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lockStructure="1"/>
  <bookViews>
    <workbookView visibility="visible" minimized="0" showHorizontalScroll="1" showVerticalScroll="1" showSheetTabs="1" tabRatio="600" firstSheet="0" activeTab="0" autoFilterDateGrouping="1"/>
  </bookViews>
  <sheets>
    <sheet xmlns:r="http://schemas.openxmlformats.org/officeDocument/2006/relationships" name="Info" sheetId="1" state="visible" r:id="rId1"/>
    <sheet xmlns:r="http://schemas.openxmlformats.org/officeDocument/2006/relationships" name="Selskap" sheetId="2" state="visible" r:id="rId2"/>
    <sheet xmlns:r="http://schemas.openxmlformats.org/officeDocument/2006/relationships" name="Kontoplan" sheetId="3" state="visible" r:id="rId3"/>
    <sheet xmlns:r="http://schemas.openxmlformats.org/officeDocument/2006/relationships" name="Åpningsbalanse" sheetId="4" state="visible" r:id="rId4"/>
    <sheet xmlns:r="http://schemas.openxmlformats.org/officeDocument/2006/relationships" name="Journal" sheetId="5" state="visible" r:id="rId5"/>
    <sheet xmlns:r="http://schemas.openxmlformats.org/officeDocument/2006/relationships" name="Bankavstemming" sheetId="6" state="visible" r:id="rId6"/>
    <sheet xmlns:r="http://schemas.openxmlformats.org/officeDocument/2006/relationships" name="Saldobalanse" sheetId="7" state="visible" r:id="rId7"/>
    <sheet xmlns:r="http://schemas.openxmlformats.org/officeDocument/2006/relationships" name="Kontospesifikasjon" sheetId="8" state="visible" r:id="rId8"/>
    <sheet xmlns:r="http://schemas.openxmlformats.org/officeDocument/2006/relationships" name="Bokføringsspesifikasjon" sheetId="9" state="visible" r:id="rId9"/>
    <sheet xmlns:r="http://schemas.openxmlformats.org/officeDocument/2006/relationships" name="Aksjer" sheetId="10" state="visible" r:id="rId10"/>
    <sheet xmlns:r="http://schemas.openxmlformats.org/officeDocument/2006/relationships" name="Lån" sheetId="11" state="visible" r:id="rId11"/>
    <sheet xmlns:r="http://schemas.openxmlformats.org/officeDocument/2006/relationships" name="Slik låser du en periode" sheetId="12" state="visible" r:id="rId12"/>
    <sheet xmlns:r="http://schemas.openxmlformats.org/officeDocument/2006/relationships" name="Eksempel" sheetId="13" state="visible" r:id="rId13"/>
    <sheet xmlns:r="http://schemas.openxmlformats.org/officeDocument/2006/relationships" name="_lister" sheetId="14" state="hidden" r:id="rId14"/>
    <sheet xmlns:r="http://schemas.openxmlformats.org/officeDocument/2006/relationships" name="_meta" sheetId="15" state="hidden" r:id="rId15"/>
  </sheets>
  <definedNames>
    <definedName name="_xlnm._FilterDatabase" localSheetId="4" hidden="1">'Journal'!$A$1:$L$2002</definedName>
  </definedNames>
  <calcPr calcId="124519" fullCalcOnLoad="1"/>
</workbook>
</file>

<file path=xl/styles.xml><?xml version="1.0" encoding="utf-8"?>
<styleSheet xmlns="http://schemas.openxmlformats.org/spreadsheetml/2006/main">
  <numFmts count="3">
    <numFmt numFmtId="164" formatCode="yyyy-mm-dd h:mm:ss"/>
    <numFmt numFmtId="165" formatCode="dd.mm.yyyy"/>
    <numFmt numFmtId="166" formatCode="#,##0.00;[Red]-#,##0.00"/>
  </numFmts>
  <fonts count="8">
    <font>
      <name val="Calibri"/>
      <family val="2"/>
      <color theme="1"/>
      <sz val="11"/>
      <scheme val="minor"/>
    </font>
    <font>
      <b val="1"/>
    </font>
    <font>
      <b val="1"/>
      <sz val="14"/>
    </font>
    <font>
      <b val="1"/>
      <sz val="12"/>
    </font>
    <font>
      <color rgb="005B6776"/>
    </font>
    <font>
      <b val="1"/>
      <color rgb="008F2633"/>
    </font>
    <font>
      <i val="1"/>
      <color rgb="005B6776"/>
    </font>
    <font/>
  </fonts>
  <fills count="4">
    <fill>
      <patternFill/>
    </fill>
    <fill>
      <patternFill patternType="gray125"/>
    </fill>
    <fill>
      <patternFill patternType="solid">
        <fgColor rgb="00FFF8E1"/>
      </patternFill>
    </fill>
    <fill>
      <patternFill patternType="solid">
        <fgColor rgb="00E6EAF0"/>
      </patternFill>
    </fill>
  </fills>
  <borders count="2">
    <border>
      <left/>
      <right/>
      <top/>
      <bottom/>
      <diagonal/>
    </border>
    <border>
      <bottom style="thin">
        <color rgb="0094A3B8"/>
      </bottom>
    </border>
  </borders>
  <cellStyleXfs count="1">
    <xf numFmtId="0" fontId="0" fillId="0" borderId="0"/>
  </cellStyleXfs>
  <cellXfs count="28">
    <xf numFmtId="0" fontId="0"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applyAlignment="1" pivotButton="0" quotePrefix="0" xfId="0">
      <alignment vertical="top" wrapText="1"/>
    </xf>
    <xf numFmtId="0" fontId="4" fillId="0" borderId="0" pivotButton="0" quotePrefix="0" xfId="0"/>
    <xf numFmtId="49" fontId="0" fillId="2" borderId="0" applyProtection="1" pivotButton="0" quotePrefix="0" xfId="0">
      <protection locked="0" hidden="0"/>
    </xf>
    <xf numFmtId="0" fontId="5" fillId="0" borderId="0" applyAlignment="1" pivotButton="0" quotePrefix="0" xfId="0">
      <alignment vertical="top" wrapText="1"/>
    </xf>
    <xf numFmtId="0" fontId="0" fillId="2" borderId="0" applyProtection="1" pivotButton="0" quotePrefix="0" xfId="0">
      <protection locked="0" hidden="0"/>
    </xf>
    <xf numFmtId="165" fontId="0" fillId="2" borderId="0" applyProtection="1" pivotButton="0" quotePrefix="0" xfId="0">
      <protection locked="0" hidden="0"/>
    </xf>
    <xf numFmtId="0" fontId="1" fillId="3" borderId="1" applyAlignment="1" pivotButton="0" quotePrefix="0" xfId="0">
      <alignment vertical="bottom" wrapText="1"/>
    </xf>
    <xf numFmtId="0" fontId="6" fillId="0" borderId="0" applyAlignment="1" pivotButton="0" quotePrefix="0" xfId="0">
      <alignment vertical="top" wrapText="1"/>
    </xf>
    <xf numFmtId="49" fontId="4" fillId="0" borderId="0" pivotButton="0" quotePrefix="0" xfId="0"/>
    <xf numFmtId="0" fontId="3" fillId="0" borderId="0" pivotButton="0" quotePrefix="0" xfId="0"/>
    <xf numFmtId="166" fontId="0" fillId="2" borderId="0" applyProtection="1" pivotButton="0" quotePrefix="0" xfId="0">
      <protection locked="0" hidden="0"/>
    </xf>
    <xf numFmtId="0" fontId="1" fillId="0" borderId="0" pivotButton="0" quotePrefix="0" xfId="0"/>
    <xf numFmtId="166" fontId="1" fillId="0" borderId="0" pivotButton="0" quotePrefix="0" xfId="0"/>
    <xf numFmtId="1" fontId="0" fillId="2" borderId="0" applyProtection="1" pivotButton="0" quotePrefix="0" xfId="0">
      <protection locked="0" hidden="0"/>
    </xf>
    <xf numFmtId="1" fontId="4" fillId="0" borderId="0" pivotButton="0" quotePrefix="0" xfId="0"/>
    <xf numFmtId="0" fontId="0" fillId="0" borderId="0" applyProtection="1" pivotButton="0" quotePrefix="0" xfId="0">
      <protection locked="0" hidden="0"/>
    </xf>
    <xf numFmtId="166" fontId="4" fillId="0" borderId="0" pivotButton="0" quotePrefix="0" xfId="0"/>
    <xf numFmtId="165" fontId="4" fillId="0" borderId="0" pivotButton="0" quotePrefix="0" xfId="0"/>
    <xf numFmtId="2" fontId="0" fillId="2" borderId="0" applyProtection="1" pivotButton="0" quotePrefix="0" xfId="0">
      <protection locked="0" hidden="0"/>
    </xf>
    <xf numFmtId="0" fontId="7" fillId="0" borderId="0" applyAlignment="1" pivotButton="0" quotePrefix="0" xfId="0">
      <alignment vertical="top" wrapText="1"/>
    </xf>
    <xf numFmtId="1" fontId="7" fillId="0" borderId="0" pivotButton="0" quotePrefix="0" xfId="0"/>
    <xf numFmtId="165" fontId="7" fillId="0" borderId="0" pivotButton="0" quotePrefix="0" xfId="0"/>
    <xf numFmtId="0" fontId="7" fillId="0" borderId="0" pivotButton="0" quotePrefix="0" xfId="0"/>
    <xf numFmtId="166" fontId="7" fillId="0" borderId="0" pivotButton="0" quotePrefix="0" xfId="0"/>
  </cellXfs>
  <cellStyles count="1">
    <cellStyle name="Normal" xfId="0" builtinId="0" hidden="0"/>
  </cellStyles>
  <dxfs count="1">
    <dxf>
      <font>
        <color rgb="008F2633"/>
      </font>
      <fill>
        <patternFill patternType="solid">
          <fgColor rgb="00FFE4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20" customWidth="1" min="1" max="1"/>
  </cols>
  <sheetData>
    <row r="1" ht="15" customHeight="1">
      <c r="A1" s="1" t="inlineStr">
        <is>
          <t>Formells regnskapsmal for holdingselskap – 2027</t>
        </is>
      </c>
    </row>
    <row r="2" ht="15" customHeight="1">
      <c r="A2" s="2" t="inlineStr">
        <is>
          <t>Malversjon 2027.1. Laget 16.10.2026.</t>
        </is>
      </c>
    </row>
    <row r="4" ht="15" customHeight="1">
      <c r="A4" s="3" t="inlineStr">
        <is>
          <t>Hvem passer malen for?</t>
        </is>
      </c>
    </row>
    <row r="5" ht="30" customHeight="1">
      <c r="A5" s="2" t="inlineStr">
        <is>
          <t>Holdingselskap og små AS uten drift: noen titalls bilag i året, for eksempel renter, gebyrer, regnskapshonorar, utbytte og lån til eller fra eiere.</t>
        </is>
      </c>
    </row>
    <row r="6" ht="45" customHeight="1">
      <c r="A6" s="2" t="inlineStr">
        <is>
          <t>Malen passer ikke hvis selskapet har MVA, lønn eller styrehonorar, sender fakturaer, eller har ansatte, varelager eller maskiner. Da trenger selskapet et regnskapsprogram eller en regnskapsfører. Velger du en slik konto i malen, viser malen det med rødt.</t>
        </is>
      </c>
    </row>
    <row r="8" ht="15" customHeight="1">
      <c r="A8" s="3" t="inlineStr">
        <is>
          <t>Slik bruker du malen</t>
        </is>
      </c>
    </row>
    <row r="9" ht="15" customHeight="1">
      <c r="A9" s="2" t="inlineStr">
        <is>
          <t>1. Skriv inn selskapet i arket «Selskap».</t>
        </is>
      </c>
    </row>
    <row r="10" ht="30" customHeight="1">
      <c r="A10" s="2" t="inlineStr">
        <is>
          <t>2. Se over kontoene i «Kontoplan». Har selskapet flere bankkontoer eller flere aksjeposter, lag én konto for hver (for eksempel 19201 og 19202).</t>
        </is>
      </c>
    </row>
    <row r="11" ht="15" customHeight="1">
      <c r="A11" s="2" t="inlineStr">
        <is>
          <t>3. Skriv inn saldoene per 1. januar i «Åpningsbalanse». Du finner dem i fjorårets årsregnskap.</t>
        </is>
      </c>
    </row>
    <row r="12" ht="30" customHeight="1">
      <c r="A12" s="2" t="inlineStr">
        <is>
          <t>4. Før hvert bilag på én rad i «Journal». Gi bilagene nummer 1, 2, 3 og så videre. Velg konto og motkonto (vanligvis banken), og skriv beløpet under «Inn» eller «Ut».</t>
        </is>
      </c>
    </row>
    <row r="13" ht="15" customHeight="1">
      <c r="A13" s="2" t="inlineStr">
        <is>
          <t>5. Sjekk banken mot kontoutskriften hver måned i «Bankavstemming».</t>
        </is>
      </c>
    </row>
    <row r="14" ht="15" customHeight="1">
      <c r="A14" s="2" t="inlineStr">
        <is>
          <t>6. Lås perioden når den er ført. Se «Slik låser du en periode».</t>
        </is>
      </c>
    </row>
    <row r="15" ht="15" customHeight="1">
      <c r="A15" s="2" t="inlineStr">
        <is>
          <t>7. Skatten og utbyttet for året regner Formell ut. Dem fører du ikke.</t>
        </is>
      </c>
    </row>
    <row r="16" ht="15" customHeight="1">
      <c r="A16" s="2" t="inlineStr">
        <is>
          <t>8. Når året er over, laster du opp filen i Formell. Da lager vi regnskapstallene til årsregnskapet og skattemeldingen.</t>
        </is>
      </c>
    </row>
    <row r="17" ht="15" customHeight="1">
      <c r="A17" s="2" t="inlineStr">
        <is>
          <t>Ikke endre navn på ark eller kolonner, og ikke flytt kolonner. Da kan vi ikke lese filen.</t>
        </is>
      </c>
    </row>
    <row r="19" ht="15" customHeight="1">
      <c r="A19" s="3" t="inlineStr">
        <is>
          <t>Dette sier reglene (kort)</t>
        </is>
      </c>
    </row>
    <row r="20" ht="30" customHeight="1">
      <c r="A20" s="2" t="inlineStr">
        <is>
          <t>Selskapet har plikt til å bokføre (bokføringsloven). Her er noen av kravene. Les reglene selv, eller spør en regnskapsfører, for å vite hva som gjelder for ditt selskap.</t>
        </is>
      </c>
    </row>
    <row r="21" ht="30" customHeight="1">
      <c r="A21" s="2" t="inlineStr">
        <is>
          <t>• Grunnleggende krav (§ 4): blant annet at alt skal bokføres, at hver postering skal ha et bilag, at det skal være mulig å følge hver postering, og at regnskapet skal være sikret mot endring, sletting og tap (§ 4 nr. 9).</t>
        </is>
      </c>
    </row>
    <row r="22" ht="30" customHeight="1">
      <c r="A22" s="2" t="inlineStr">
        <is>
          <t>• Spesifikasjoner (§ 5): selskapet skal kunne vise blant annet en liste over alle bilag i rekkefølge (bokføringsspesifikasjon) og alle posteringer per konto (kontospesifikasjon). Malen lager begge.</t>
        </is>
      </c>
    </row>
    <row r="23" ht="30" customHeight="1">
      <c r="A23" s="2" t="inlineStr">
        <is>
          <t>• Ajourhold (§ 7): bokføringen skal holdes oppdatert, og ikke sjeldnere enn hver fjerde måned. Bokføringsforskriften § 4-1 har egne regler for selskaper med færre enn 600 bilag i året.</t>
        </is>
      </c>
    </row>
    <row r="24" ht="30" customHeight="1">
      <c r="A24" s="2" t="inlineStr">
        <is>
          <t>• Dokumentasjon av balansen (§ 11): ved årsslutt skal postene i balansen kunne dokumenteres, for eksempel med årsoppgave fra banken og låneavtaler.</t>
        </is>
      </c>
    </row>
    <row r="25" ht="30" customHeight="1">
      <c r="A25" s="2" t="inlineStr">
        <is>
          <t>• Oppbevaring (§ 13): regnskapet og bilagene skal oppbevares i fem år etter at regnskapsåret er slutt, og som hovedregel i Norge.</t>
        </is>
      </c>
    </row>
    <row r="26" ht="30" customHeight="1">
      <c r="A26" s="2" t="inlineStr">
        <is>
          <t>• SAF-T (bokføringsforskriften §§ 7-7 og 7-8): mange må kunne levere regnskapet som en SAF-T-fil. Det finnes unntak, blant annet for selskaper med omsetning under 5 millioner kroner. Sjekk om unntaket gjelder for selskapet.</t>
        </is>
      </c>
    </row>
    <row r="27" ht="30" customHeight="1">
      <c r="A27" s="2" t="inlineStr">
        <is>
          <t>• Skatteetaten har tidligere uttalt (2007) at regneark frarådes som regnskapssystem, men kan godtas når hver periode låses, for eksempel ved å lagre den som PDF. Malen viser hvordan.</t>
        </is>
      </c>
    </row>
    <row r="29" ht="15" customHeight="1">
      <c r="A29" s="3" t="inlineStr">
        <is>
          <t>Ditt ansvar</t>
        </is>
      </c>
    </row>
    <row r="30" ht="30" customHeight="1">
      <c r="A30" s="2" t="inlineStr">
        <is>
          <t>Selskapet har selv ansvaret for bokføringen og for at den følger reglene. Malen er et hjelpemiddel. Formell gir ikke juridiske råd og avgjør ikke hvilke regler som gjelder for selskapet ditt. Er du usikker, spør en regnskapsfører.</t>
        </is>
      </c>
    </row>
    <row r="32" ht="15" customHeight="1">
      <c r="A32" s="2" t="inlineStr">
        <is>
          <t>Spørsmål? Skriv til oss fra Formell.</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2" customWidth="1" min="1" max="1"/>
    <col width="30" customWidth="1" min="2" max="2"/>
    <col width="70" customWidth="1" min="3" max="3"/>
  </cols>
  <sheetData>
    <row r="1">
      <c r="A1" s="4" t="inlineStr">
        <is>
          <t>Malversjon</t>
        </is>
      </c>
      <c r="B1" s="5" t="inlineStr">
        <is>
          <t>2027.1</t>
        </is>
      </c>
    </row>
    <row r="2">
      <c r="A2" s="4" t="inlineStr">
        <is>
          <t>Regnskapsår</t>
        </is>
      </c>
      <c r="B2" s="5" t="n">
        <v>2027</v>
      </c>
    </row>
    <row r="3">
      <c r="A3" s="4" t="inlineStr">
        <is>
          <t>Organisasjonsnummer</t>
        </is>
      </c>
      <c r="B3" s="6" t="n"/>
      <c r="C3" s="7">
        <f>IF(B3="","",IF(OR(LEN(B3)&lt;&gt;9,NOT(ISNUMBER(--B3))),"Ugyldig organisasjonsnummer",IF(MOD(11-MOD(SUMPRODUCT(--MID(B3,{1,2,3,4,5,6,7,8},1),{3,2,7,6,5,4,3,2}),11),11)=--MID(B3,9,1),"","Ugyldig organisasjonsnummer")))</f>
        <v/>
      </c>
    </row>
    <row r="4">
      <c r="A4" s="4" t="inlineStr">
        <is>
          <t>Selskapets navn</t>
        </is>
      </c>
      <c r="B4" s="8" t="n"/>
    </row>
    <row r="5">
      <c r="A5" s="4" t="inlineStr">
        <is>
          <t>Regnskapsperiode fra</t>
        </is>
      </c>
      <c r="B5" s="9" t="n">
        <v>46388</v>
      </c>
    </row>
    <row r="6">
      <c r="A6" s="4" t="inlineStr">
        <is>
          <t>Regnskapsperiode til</t>
        </is>
      </c>
      <c r="B6" s="9" t="n">
        <v>46752</v>
      </c>
    </row>
    <row r="7">
      <c r="A7" s="4" t="inlineStr">
        <is>
          <t>Slik fører du</t>
        </is>
      </c>
      <c r="B7" s="8" t="inlineStr">
        <is>
          <t>Bilag i Journal</t>
        </is>
      </c>
    </row>
    <row r="8">
      <c r="A8" s="4" t="inlineStr">
        <is>
          <t>Har selskapet MVA, lønn, styrehonorar eller fakturaer til kunder?</t>
        </is>
      </c>
      <c r="B8" s="8" t="inlineStr">
        <is>
          <t>Nei</t>
        </is>
      </c>
      <c r="C8" s="7">
        <f>IF(B8="Ja","Da passer ikke malen. Selskapet trenger et regnskapsprogram eller en regnskapsfører.","")</f>
        <v/>
      </c>
    </row>
    <row r="9">
      <c r="A9" s="4" t="inlineStr">
        <is>
          <t>Ført av</t>
        </is>
      </c>
      <c r="B9" s="8" t="n"/>
    </row>
    <row r="10">
      <c r="A10" s="4" t="inlineStr">
        <is>
          <t>Sist oppdatert</t>
        </is>
      </c>
      <c r="B10" s="9" t="n"/>
    </row>
    <row r="11">
      <c r="A11" s="4" t="inlineStr">
        <is>
          <t>Merknad til Formell</t>
        </is>
      </c>
      <c r="B11" s="8" t="n"/>
    </row>
  </sheetData>
  <sheetProtection selectLockedCells="0" selectUnlockedCells="0" sheet="1" objects="0" insertRows="1" insertHyperlinks="1" autoFilter="1" scenarios="0" formatColumns="1" deleteColumns="1" insertColumns="1" pivotTables="1" deleteRows="1" formatCells="1" formatRows="1" sort="1"/>
  <dataValidations count="9">
    <dataValidation sqref="B3" showDropDown="0" showInputMessage="0" showErrorMessage="1" allowBlank="1" errorTitle="Formells regnskapsmal" error="Skriv organisasjonsnummeret med ni sifre." type="custom">
      <formula1>AND(LEN(B3)=9,ISNUMBER(--B3))</formula1>
    </dataValidation>
    <dataValidation sqref="B4" showDropDown="0" showInputMessage="0" showErrorMessage="1" allowBlank="1" type="textLength" operator="lessThanOrEqual">
      <formula1>255</formula1>
    </dataValidation>
    <dataValidation sqref="B5" showDropDown="0" showInputMessage="0" showErrorMessage="1" allowBlank="1" errorTitle="Formells regnskapsmal" error="Regnskapsperioden må starte 01.01.2027." type="date" operator="equal">
      <formula1>DATE(2027,1,1)</formula1>
    </dataValidation>
    <dataValidation sqref="B6" showDropDown="0" showInputMessage="0" showErrorMessage="1" allowBlank="1" errorTitle="Formells regnskapsmal" error="Regnskapsperioden må slutte 31.12.2027." type="date" operator="equal">
      <formula1>DATE(2027,12,31)</formula1>
    </dataValidation>
    <dataValidation sqref="B7" showDropDown="0" showInputMessage="0" showErrorMessage="1" allowBlank="1" errorTitle="Formells regnskapsmal" error="Velg fra listen." type="list">
      <formula1>'_lister'!$G$2:$G$3</formula1>
    </dataValidation>
    <dataValidation sqref="B8" showDropDown="0" showInputMessage="0" showErrorMessage="1" allowBlank="1" errorTitle="Formells regnskapsmal" error="Velg Ja eller Nei." type="list">
      <formula1>'_lister'!$F$2:$F$3</formula1>
    </dataValidation>
    <dataValidation sqref="B9" showDropDown="0" showInputMessage="0" showErrorMessage="1" allowBlank="1" type="textLength" operator="lessThanOrEqual">
      <formula1>100</formula1>
    </dataValidation>
    <dataValidation sqref="B10" showDropDown="0" showInputMessage="0" showErrorMessage="1" allowBlank="1" errorTitle="Formells regnskapsmal" error="Skriv en dato." type="date" operator="greaterThan">
      <formula1>DATE(2000,1,1)</formula1>
    </dataValidation>
    <dataValidation sqref="B11" showDropDown="0" showInputMessage="0" showErrorMessage="1" allowBlank="1" type="textLength" operator="lessThanOrEqual">
      <formula1>500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2"/>
  <sheetViews>
    <sheetView workbookViewId="0">
      <pane ySplit="2" topLeftCell="A3" activePane="bottomLeft" state="frozen"/>
      <selection pane="bottomLeft" activeCell="A1" sqref="A1"/>
    </sheetView>
  </sheetViews>
  <sheetFormatPr baseColWidth="8" defaultRowHeight="15"/>
  <cols>
    <col width="10" customWidth="1" min="1" max="1"/>
    <col width="44" customWidth="1" min="2" max="2"/>
    <col width="48" customWidth="1" min="3" max="3"/>
    <col width="14" customWidth="1" min="4" max="4"/>
    <col width="28" customWidth="1" min="5" max="5"/>
    <col width="20" customWidth="1" min="6" max="6"/>
    <col width="8" customWidth="1" min="7" max="7"/>
    <col width="44" customWidth="1" min="8" max="8"/>
  </cols>
  <sheetData>
    <row r="1">
      <c r="A1" s="10" t="inlineStr">
        <is>
          <t>Konto</t>
        </is>
      </c>
      <c r="B1" s="10" t="inlineStr">
        <is>
          <t>Kontonavn</t>
        </is>
      </c>
      <c r="C1" s="10" t="inlineStr">
        <is>
          <t>Regnskapspost</t>
        </is>
      </c>
      <c r="D1" s="10" t="inlineStr">
        <is>
          <t>Type</t>
        </is>
      </c>
      <c r="E1" s="10" t="inlineStr">
        <is>
          <t>Motpart (org.nr. eller navn)</t>
        </is>
      </c>
      <c r="F1" s="10" t="inlineStr">
        <is>
          <t>Kontonummer i banken</t>
        </is>
      </c>
      <c r="G1" s="10" t="inlineStr">
        <is>
          <t>I bruk</t>
        </is>
      </c>
      <c r="H1" s="10" t="inlineStr">
        <is>
          <t>Visningsnavn</t>
        </is>
      </c>
    </row>
    <row r="2" ht="30" customHeight="1">
      <c r="A2" s="11" t="inlineStr">
        <is>
          <t>Kontoene du kan bruke. Du kan legge til egne underkontoer nederst: start med de fire sifrene til kontoen den hører til, for eksempel 19201 for en ekstra bankkonto.</t>
        </is>
      </c>
    </row>
    <row r="3">
      <c r="A3" s="12" t="inlineStr">
        <is>
          <t>1313</t>
        </is>
      </c>
      <c r="B3" s="5" t="inlineStr">
        <is>
          <t>Aksjer i datterselskap (over 50 %)</t>
        </is>
      </c>
      <c r="C3" s="5" t="inlineStr">
        <is>
          <t>1313 – Aksjer i datterselskap (over 50 %)</t>
        </is>
      </c>
      <c r="D3" s="5">
        <f>IF(C3="","",IFERROR(INDEX('_lister'!$B$2:$B$62,MATCH(C3,'_lister'!$A$2:$A$62,0)),""))</f>
        <v/>
      </c>
      <c r="E3" s="5" t="n"/>
      <c r="F3" s="6" t="n"/>
      <c r="G3" s="8" t="inlineStr">
        <is>
          <t>Ja</t>
        </is>
      </c>
      <c r="H3" s="5">
        <f>IF(A3="","",A3&amp;" "&amp;B3)</f>
        <v/>
      </c>
    </row>
    <row r="4">
      <c r="A4" s="12" t="inlineStr">
        <is>
          <t>1320</t>
        </is>
      </c>
      <c r="B4" s="5" t="inlineStr">
        <is>
          <t>Lån til datterselskap</t>
        </is>
      </c>
      <c r="C4" s="5" t="inlineStr">
        <is>
          <t>1320 – Lån til datterselskap</t>
        </is>
      </c>
      <c r="D4" s="5">
        <f>IF(C4="","",IFERROR(INDEX('_lister'!$B$2:$B$62,MATCH(C4,'_lister'!$A$2:$A$62,0)),""))</f>
        <v/>
      </c>
      <c r="E4" s="5" t="n"/>
      <c r="F4" s="6" t="n"/>
      <c r="G4" s="8" t="inlineStr">
        <is>
          <t>Ja</t>
        </is>
      </c>
      <c r="H4" s="5">
        <f>IF(A4="","",A4&amp;" "&amp;B4)</f>
        <v/>
      </c>
    </row>
    <row r="5">
      <c r="A5" s="12" t="inlineStr">
        <is>
          <t>1332</t>
        </is>
      </c>
      <c r="B5" s="5" t="inlineStr">
        <is>
          <t>Aksjer i tilknyttet selskap (20–50 %)</t>
        </is>
      </c>
      <c r="C5" s="5" t="inlineStr">
        <is>
          <t>1332 – Aksjer i tilknyttet selskap (20–50 %)</t>
        </is>
      </c>
      <c r="D5" s="5">
        <f>IF(C5="","",IFERROR(INDEX('_lister'!$B$2:$B$62,MATCH(C5,'_lister'!$A$2:$A$62,0)),""))</f>
        <v/>
      </c>
      <c r="E5" s="5" t="n"/>
      <c r="F5" s="6" t="n"/>
      <c r="G5" s="8" t="inlineStr">
        <is>
          <t>Ja</t>
        </is>
      </c>
      <c r="H5" s="5">
        <f>IF(A5="","",A5&amp;" "&amp;B5)</f>
        <v/>
      </c>
    </row>
    <row r="6">
      <c r="A6" s="12" t="inlineStr">
        <is>
          <t>1350</t>
        </is>
      </c>
      <c r="B6" s="5" t="inlineStr">
        <is>
          <t>Andre aksjer og fond</t>
        </is>
      </c>
      <c r="C6" s="5" t="inlineStr">
        <is>
          <t>1350 – Andre aksjer og fond</t>
        </is>
      </c>
      <c r="D6" s="5">
        <f>IF(C6="","",IFERROR(INDEX('_lister'!$B$2:$B$62,MATCH(C6,'_lister'!$A$2:$A$62,0)),""))</f>
        <v/>
      </c>
      <c r="E6" s="5" t="n"/>
      <c r="F6" s="6" t="n"/>
      <c r="G6" s="8" t="inlineStr">
        <is>
          <t>Ja</t>
        </is>
      </c>
      <c r="H6" s="5">
        <f>IF(A6="","",A6&amp;" "&amp;B6)</f>
        <v/>
      </c>
    </row>
    <row r="7">
      <c r="A7" s="12" t="inlineStr">
        <is>
          <t>1370</t>
        </is>
      </c>
      <c r="B7" s="5" t="inlineStr">
        <is>
          <t>Lån til eier eller styremedlem (lengre enn ett år)</t>
        </is>
      </c>
      <c r="C7" s="5" t="inlineStr">
        <is>
          <t>1370 – Lån til eier eller styremedlem (lengre enn ett år)</t>
        </is>
      </c>
      <c r="D7" s="5">
        <f>IF(C7="","",IFERROR(INDEX('_lister'!$B$2:$B$62,MATCH(C7,'_lister'!$A$2:$A$62,0)),""))</f>
        <v/>
      </c>
      <c r="E7" s="5" t="n"/>
      <c r="F7" s="6" t="n"/>
      <c r="G7" s="8" t="inlineStr">
        <is>
          <t>Ja</t>
        </is>
      </c>
      <c r="H7" s="5">
        <f>IF(A7="","",A7&amp;" "&amp;B7)</f>
        <v/>
      </c>
    </row>
    <row r="8">
      <c r="A8" s="12" t="inlineStr">
        <is>
          <t>1390</t>
        </is>
      </c>
      <c r="B8" s="5" t="inlineStr">
        <is>
          <t>Andre langsiktige fordringer</t>
        </is>
      </c>
      <c r="C8" s="5" t="inlineStr">
        <is>
          <t>1390 – Andre langsiktige fordringer</t>
        </is>
      </c>
      <c r="D8" s="5">
        <f>IF(C8="","",IFERROR(INDEX('_lister'!$B$2:$B$62,MATCH(C8,'_lister'!$A$2:$A$62,0)),""))</f>
        <v/>
      </c>
      <c r="E8" s="5" t="n"/>
      <c r="F8" s="6" t="n"/>
      <c r="G8" s="8" t="inlineStr">
        <is>
          <t>Ja</t>
        </is>
      </c>
      <c r="H8" s="5">
        <f>IF(A8="","",A8&amp;" "&amp;B8)</f>
        <v/>
      </c>
    </row>
    <row r="9">
      <c r="A9" s="12" t="inlineStr">
        <is>
          <t>1560</t>
        </is>
      </c>
      <c r="B9" s="5" t="inlineStr">
        <is>
          <t>Kortsiktig fordring på selskap i samme konsern</t>
        </is>
      </c>
      <c r="C9" s="5" t="inlineStr">
        <is>
          <t>1560 – Kortsiktig fordring på selskap i samme konsern</t>
        </is>
      </c>
      <c r="D9" s="5">
        <f>IF(C9="","",IFERROR(INDEX('_lister'!$B$2:$B$62,MATCH(C9,'_lister'!$A$2:$A$62,0)),""))</f>
        <v/>
      </c>
      <c r="E9" s="5" t="n"/>
      <c r="F9" s="6" t="n"/>
      <c r="G9" s="8" t="inlineStr">
        <is>
          <t>Ja</t>
        </is>
      </c>
      <c r="H9" s="5">
        <f>IF(A9="","",A9&amp;" "&amp;B9)</f>
        <v/>
      </c>
    </row>
    <row r="10">
      <c r="A10" s="12" t="inlineStr">
        <is>
          <t>1565</t>
        </is>
      </c>
      <c r="B10" s="5" t="inlineStr">
        <is>
          <t>Lån til eier eller styremedlem (innen ett år)</t>
        </is>
      </c>
      <c r="C10" s="5" t="inlineStr">
        <is>
          <t>1565 – Lån til eier eller styremedlem (innen ett år)</t>
        </is>
      </c>
      <c r="D10" s="5">
        <f>IF(C10="","",IFERROR(INDEX('_lister'!$B$2:$B$62,MATCH(C10,'_lister'!$A$2:$A$62,0)),""))</f>
        <v/>
      </c>
      <c r="E10" s="5" t="n"/>
      <c r="F10" s="6" t="n"/>
      <c r="G10" s="8" t="inlineStr">
        <is>
          <t>Ja</t>
        </is>
      </c>
      <c r="H10" s="5">
        <f>IF(A10="","",A10&amp;" "&amp;B10)</f>
        <v/>
      </c>
    </row>
    <row r="11">
      <c r="A11" s="12" t="inlineStr">
        <is>
          <t>1570</t>
        </is>
      </c>
      <c r="B11" s="5" t="inlineStr">
        <is>
          <t>Andre kortsiktige fordringer</t>
        </is>
      </c>
      <c r="C11" s="5" t="inlineStr">
        <is>
          <t>1570 – Andre kortsiktige fordringer</t>
        </is>
      </c>
      <c r="D11" s="5">
        <f>IF(C11="","",IFERROR(INDEX('_lister'!$B$2:$B$62,MATCH(C11,'_lister'!$A$2:$A$62,0)),""))</f>
        <v/>
      </c>
      <c r="E11" s="5" t="n"/>
      <c r="F11" s="6" t="n"/>
      <c r="G11" s="8" t="inlineStr">
        <is>
          <t>Ja</t>
        </is>
      </c>
      <c r="H11" s="5">
        <f>IF(A11="","",A11&amp;" "&amp;B11)</f>
        <v/>
      </c>
    </row>
    <row r="12">
      <c r="A12" s="12" t="inlineStr">
        <is>
          <t>1780</t>
        </is>
      </c>
      <c r="B12" s="5" t="inlineStr">
        <is>
          <t>Aksjekapital som ikke er innbetalt</t>
        </is>
      </c>
      <c r="C12" s="5" t="inlineStr">
        <is>
          <t>1780 – Aksjekapital som ikke er innbetalt</t>
        </is>
      </c>
      <c r="D12" s="5">
        <f>IF(C12="","",IFERROR(INDEX('_lister'!$B$2:$B$62,MATCH(C12,'_lister'!$A$2:$A$62,0)),""))</f>
        <v/>
      </c>
      <c r="E12" s="5" t="n"/>
      <c r="F12" s="6" t="n"/>
      <c r="G12" s="8" t="inlineStr">
        <is>
          <t>Ja</t>
        </is>
      </c>
      <c r="H12" s="5">
        <f>IF(A12="","",A12&amp;" "&amp;B12)</f>
        <v/>
      </c>
    </row>
    <row r="13">
      <c r="A13" s="12" t="inlineStr">
        <is>
          <t>1810</t>
        </is>
      </c>
      <c r="B13" s="5" t="inlineStr">
        <is>
          <t>Børsnoterte aksjer og fond</t>
        </is>
      </c>
      <c r="C13" s="5" t="inlineStr">
        <is>
          <t>1810 – Børsnoterte aksjer og fond</t>
        </is>
      </c>
      <c r="D13" s="5">
        <f>IF(C13="","",IFERROR(INDEX('_lister'!$B$2:$B$62,MATCH(C13,'_lister'!$A$2:$A$62,0)),""))</f>
        <v/>
      </c>
      <c r="E13" s="5" t="n"/>
      <c r="F13" s="6" t="n"/>
      <c r="G13" s="8" t="inlineStr">
        <is>
          <t>Ja</t>
        </is>
      </c>
      <c r="H13" s="5">
        <f>IF(A13="","",A13&amp;" "&amp;B13)</f>
        <v/>
      </c>
    </row>
    <row r="14">
      <c r="A14" s="12" t="inlineStr">
        <is>
          <t>1920</t>
        </is>
      </c>
      <c r="B14" s="5" t="inlineStr">
        <is>
          <t>Bankkonto</t>
        </is>
      </c>
      <c r="C14" s="5" t="inlineStr">
        <is>
          <t>1920 – Bankkonto</t>
        </is>
      </c>
      <c r="D14" s="5">
        <f>IF(C14="","",IFERROR(INDEX('_lister'!$B$2:$B$62,MATCH(C14,'_lister'!$A$2:$A$62,0)),""))</f>
        <v/>
      </c>
      <c r="E14" s="5" t="n"/>
      <c r="F14" s="6" t="n"/>
      <c r="G14" s="8" t="inlineStr">
        <is>
          <t>Ja</t>
        </is>
      </c>
      <c r="H14" s="5">
        <f>IF(A14="","",A14&amp;" "&amp;B14)</f>
        <v/>
      </c>
    </row>
    <row r="15">
      <c r="A15" s="12" t="inlineStr">
        <is>
          <t>2000</t>
        </is>
      </c>
      <c r="B15" s="5" t="inlineStr">
        <is>
          <t>Aksjekapital</t>
        </is>
      </c>
      <c r="C15" s="5" t="inlineStr">
        <is>
          <t>2000 – Aksjekapital</t>
        </is>
      </c>
      <c r="D15" s="5">
        <f>IF(C15="","",IFERROR(INDEX('_lister'!$B$2:$B$62,MATCH(C15,'_lister'!$A$2:$A$62,0)),""))</f>
        <v/>
      </c>
      <c r="E15" s="5" t="n"/>
      <c r="F15" s="6" t="n"/>
      <c r="G15" s="8" t="inlineStr">
        <is>
          <t>Ja</t>
        </is>
      </c>
      <c r="H15" s="5">
        <f>IF(A15="","",A15&amp;" "&amp;B15)</f>
        <v/>
      </c>
    </row>
    <row r="16">
      <c r="A16" s="12" t="inlineStr">
        <is>
          <t>2020</t>
        </is>
      </c>
      <c r="B16" s="5" t="inlineStr">
        <is>
          <t>Overkurs</t>
        </is>
      </c>
      <c r="C16" s="5" t="inlineStr">
        <is>
          <t>2020 – Overkurs</t>
        </is>
      </c>
      <c r="D16" s="5">
        <f>IF(C16="","",IFERROR(INDEX('_lister'!$B$2:$B$62,MATCH(C16,'_lister'!$A$2:$A$62,0)),""))</f>
        <v/>
      </c>
      <c r="E16" s="5" t="n"/>
      <c r="F16" s="6" t="n"/>
      <c r="G16" s="8" t="inlineStr">
        <is>
          <t>Ja</t>
        </is>
      </c>
      <c r="H16" s="5">
        <f>IF(A16="","",A16&amp;" "&amp;B16)</f>
        <v/>
      </c>
    </row>
    <row r="17">
      <c r="A17" s="12" t="inlineStr">
        <is>
          <t>2030</t>
        </is>
      </c>
      <c r="B17" s="5" t="inlineStr">
        <is>
          <t>Annen innskutt egenkapital</t>
        </is>
      </c>
      <c r="C17" s="5" t="inlineStr">
        <is>
          <t>2030 – Annen innskutt egenkapital</t>
        </is>
      </c>
      <c r="D17" s="5">
        <f>IF(C17="","",IFERROR(INDEX('_lister'!$B$2:$B$62,MATCH(C17,'_lister'!$A$2:$A$62,0)),""))</f>
        <v/>
      </c>
      <c r="E17" s="5" t="n"/>
      <c r="F17" s="6" t="n"/>
      <c r="G17" s="8" t="inlineStr">
        <is>
          <t>Ja</t>
        </is>
      </c>
      <c r="H17" s="5">
        <f>IF(A17="","",A17&amp;" "&amp;B17)</f>
        <v/>
      </c>
    </row>
    <row r="18">
      <c r="A18" s="12" t="inlineStr">
        <is>
          <t>2050</t>
        </is>
      </c>
      <c r="B18" s="5" t="inlineStr">
        <is>
          <t>Annen egenkapital</t>
        </is>
      </c>
      <c r="C18" s="5" t="inlineStr">
        <is>
          <t>2050 – Annen egenkapital</t>
        </is>
      </c>
      <c r="D18" s="5">
        <f>IF(C18="","",IFERROR(INDEX('_lister'!$B$2:$B$62,MATCH(C18,'_lister'!$A$2:$A$62,0)),""))</f>
        <v/>
      </c>
      <c r="E18" s="5" t="n"/>
      <c r="F18" s="6" t="n"/>
      <c r="G18" s="8" t="inlineStr">
        <is>
          <t>Ja</t>
        </is>
      </c>
      <c r="H18" s="5">
        <f>IF(A18="","",A18&amp;" "&amp;B18)</f>
        <v/>
      </c>
    </row>
    <row r="19">
      <c r="A19" s="12" t="inlineStr">
        <is>
          <t>2080</t>
        </is>
      </c>
      <c r="B19" s="5" t="inlineStr">
        <is>
          <t>Udekket tap</t>
        </is>
      </c>
      <c r="C19" s="5" t="inlineStr">
        <is>
          <t>2080 – Udekket tap</t>
        </is>
      </c>
      <c r="D19" s="5">
        <f>IF(C19="","",IFERROR(INDEX('_lister'!$B$2:$B$62,MATCH(C19,'_lister'!$A$2:$A$62,0)),""))</f>
        <v/>
      </c>
      <c r="E19" s="5" t="n"/>
      <c r="F19" s="6" t="n"/>
      <c r="G19" s="8" t="inlineStr">
        <is>
          <t>Ja</t>
        </is>
      </c>
      <c r="H19" s="5">
        <f>IF(A19="","",A19&amp;" "&amp;B19)</f>
        <v/>
      </c>
    </row>
    <row r="20">
      <c r="A20" s="12" t="inlineStr">
        <is>
          <t>2220</t>
        </is>
      </c>
      <c r="B20" s="5" t="inlineStr">
        <is>
          <t>Lån i bank (lengre enn ett år)</t>
        </is>
      </c>
      <c r="C20" s="5" t="inlineStr">
        <is>
          <t>2220 – Lån i bank (lengre enn ett år)</t>
        </is>
      </c>
      <c r="D20" s="5">
        <f>IF(C20="","",IFERROR(INDEX('_lister'!$B$2:$B$62,MATCH(C20,'_lister'!$A$2:$A$62,0)),""))</f>
        <v/>
      </c>
      <c r="E20" s="5" t="n"/>
      <c r="F20" s="6" t="n"/>
      <c r="G20" s="8" t="inlineStr">
        <is>
          <t>Ja</t>
        </is>
      </c>
      <c r="H20" s="5">
        <f>IF(A20="","",A20&amp;" "&amp;B20)</f>
        <v/>
      </c>
    </row>
    <row r="21">
      <c r="A21" s="12" t="inlineStr">
        <is>
          <t>2250</t>
        </is>
      </c>
      <c r="B21" s="5" t="inlineStr">
        <is>
          <t>Lån fra eier (lengre enn ett år)</t>
        </is>
      </c>
      <c r="C21" s="5" t="inlineStr">
        <is>
          <t>2250 – Lån fra eier (lengre enn ett år)</t>
        </is>
      </c>
      <c r="D21" s="5">
        <f>IF(C21="","",IFERROR(INDEX('_lister'!$B$2:$B$62,MATCH(C21,'_lister'!$A$2:$A$62,0)),""))</f>
        <v/>
      </c>
      <c r="E21" s="5" t="n"/>
      <c r="F21" s="6" t="n"/>
      <c r="G21" s="8" t="inlineStr">
        <is>
          <t>Ja</t>
        </is>
      </c>
      <c r="H21" s="5">
        <f>IF(A21="","",A21&amp;" "&amp;B21)</f>
        <v/>
      </c>
    </row>
    <row r="22">
      <c r="A22" s="12" t="inlineStr">
        <is>
          <t>2260</t>
        </is>
      </c>
      <c r="B22" s="5" t="inlineStr">
        <is>
          <t>Gjeld til selskap i samme konsern (lengre enn ett år)</t>
        </is>
      </c>
      <c r="C22" s="5" t="inlineStr">
        <is>
          <t>2260 – Gjeld til selskap i samme konsern (lengre enn ett år)</t>
        </is>
      </c>
      <c r="D22" s="5">
        <f>IF(C22="","",IFERROR(INDEX('_lister'!$B$2:$B$62,MATCH(C22,'_lister'!$A$2:$A$62,0)),""))</f>
        <v/>
      </c>
      <c r="E22" s="5" t="n"/>
      <c r="F22" s="6" t="n"/>
      <c r="G22" s="8" t="inlineStr">
        <is>
          <t>Ja</t>
        </is>
      </c>
      <c r="H22" s="5">
        <f>IF(A22="","",A22&amp;" "&amp;B22)</f>
        <v/>
      </c>
    </row>
    <row r="23">
      <c r="A23" s="12" t="inlineStr">
        <is>
          <t>2290</t>
        </is>
      </c>
      <c r="B23" s="5" t="inlineStr">
        <is>
          <t>Annen langsiktig gjeld</t>
        </is>
      </c>
      <c r="C23" s="5" t="inlineStr">
        <is>
          <t>2290 – Annen langsiktig gjeld</t>
        </is>
      </c>
      <c r="D23" s="5">
        <f>IF(C23="","",IFERROR(INDEX('_lister'!$B$2:$B$62,MATCH(C23,'_lister'!$A$2:$A$62,0)),""))</f>
        <v/>
      </c>
      <c r="E23" s="5" t="n"/>
      <c r="F23" s="6" t="n"/>
      <c r="G23" s="8" t="inlineStr">
        <is>
          <t>Ja</t>
        </is>
      </c>
      <c r="H23" s="5">
        <f>IF(A23="","",A23&amp;" "&amp;B23)</f>
        <v/>
      </c>
    </row>
    <row r="24">
      <c r="A24" s="12" t="inlineStr">
        <is>
          <t>2380</t>
        </is>
      </c>
      <c r="B24" s="5" t="inlineStr">
        <is>
          <t>Lån i bank (innen ett år)</t>
        </is>
      </c>
      <c r="C24" s="5" t="inlineStr">
        <is>
          <t>2380 – Lån i bank (innen ett år)</t>
        </is>
      </c>
      <c r="D24" s="5">
        <f>IF(C24="","",IFERROR(INDEX('_lister'!$B$2:$B$62,MATCH(C24,'_lister'!$A$2:$A$62,0)),""))</f>
        <v/>
      </c>
      <c r="E24" s="5" t="n"/>
      <c r="F24" s="6" t="n"/>
      <c r="G24" s="8" t="inlineStr">
        <is>
          <t>Ja</t>
        </is>
      </c>
      <c r="H24" s="5">
        <f>IF(A24="","",A24&amp;" "&amp;B24)</f>
        <v/>
      </c>
    </row>
    <row r="25">
      <c r="A25" s="12" t="inlineStr">
        <is>
          <t>2400</t>
        </is>
      </c>
      <c r="B25" s="5" t="inlineStr">
        <is>
          <t>Ubetalte regninger</t>
        </is>
      </c>
      <c r="C25" s="5" t="inlineStr">
        <is>
          <t>2400 – Ubetalte regninger</t>
        </is>
      </c>
      <c r="D25" s="5">
        <f>IF(C25="","",IFERROR(INDEX('_lister'!$B$2:$B$62,MATCH(C25,'_lister'!$A$2:$A$62,0)),""))</f>
        <v/>
      </c>
      <c r="E25" s="5" t="n"/>
      <c r="F25" s="6" t="n"/>
      <c r="G25" s="8" t="inlineStr">
        <is>
          <t>Ja</t>
        </is>
      </c>
      <c r="H25" s="5">
        <f>IF(A25="","",A25&amp;" "&amp;B25)</f>
        <v/>
      </c>
    </row>
    <row r="26">
      <c r="A26" s="12" t="inlineStr">
        <is>
          <t>2500</t>
        </is>
      </c>
      <c r="B26" s="5" t="inlineStr">
        <is>
          <t>Skatt for i fjor (ikke betalt)</t>
        </is>
      </c>
      <c r="C26" s="5" t="inlineStr">
        <is>
          <t>2500 – Skatt for i fjor (ikke betalt)</t>
        </is>
      </c>
      <c r="D26" s="5">
        <f>IF(C26="","",IFERROR(INDEX('_lister'!$B$2:$B$62,MATCH(C26,'_lister'!$A$2:$A$62,0)),""))</f>
        <v/>
      </c>
      <c r="E26" s="5" t="n"/>
      <c r="F26" s="6" t="n"/>
      <c r="G26" s="8" t="inlineStr">
        <is>
          <t>Ja</t>
        </is>
      </c>
      <c r="H26" s="5">
        <f>IF(A26="","",A26&amp;" "&amp;B26)</f>
        <v/>
      </c>
    </row>
    <row r="27">
      <c r="A27" s="12" t="inlineStr">
        <is>
          <t>25001</t>
        </is>
      </c>
      <c r="B27" s="5" t="inlineStr">
        <is>
          <t>Ekstra forskuddsskatt for 2027</t>
        </is>
      </c>
      <c r="C27" s="5" t="inlineStr">
        <is>
          <t>2500 – Skatt for i fjor (ikke betalt)</t>
        </is>
      </c>
      <c r="D27" s="5">
        <f>IF(C27="","",IFERROR(INDEX('_lister'!$B$2:$B$62,MATCH(C27,'_lister'!$A$2:$A$62,0)),""))</f>
        <v/>
      </c>
      <c r="E27" s="5" t="n"/>
      <c r="F27" s="6" t="n"/>
      <c r="G27" s="8" t="inlineStr">
        <is>
          <t>Ja</t>
        </is>
      </c>
      <c r="H27" s="5">
        <f>IF(A27="","",A27&amp;" "&amp;B27)</f>
        <v/>
      </c>
    </row>
    <row r="28">
      <c r="A28" s="12" t="inlineStr">
        <is>
          <t>2800</t>
        </is>
      </c>
      <c r="B28" s="5" t="inlineStr">
        <is>
          <t>Utbytte som skal betales</t>
        </is>
      </c>
      <c r="C28" s="5" t="inlineStr">
        <is>
          <t>2800 – Utbytte som skal betales</t>
        </is>
      </c>
      <c r="D28" s="5">
        <f>IF(C28="","",IFERROR(INDEX('_lister'!$B$2:$B$62,MATCH(C28,'_lister'!$A$2:$A$62,0)),""))</f>
        <v/>
      </c>
      <c r="E28" s="5" t="n"/>
      <c r="F28" s="6" t="n"/>
      <c r="G28" s="8" t="inlineStr">
        <is>
          <t>Ja</t>
        </is>
      </c>
      <c r="H28" s="5">
        <f>IF(A28="","",A28&amp;" "&amp;B28)</f>
        <v/>
      </c>
    </row>
    <row r="29">
      <c r="A29" s="12" t="inlineStr">
        <is>
          <t>2910</t>
        </is>
      </c>
      <c r="B29" s="5" t="inlineStr">
        <is>
          <t>Lån fra eier (innen ett år)</t>
        </is>
      </c>
      <c r="C29" s="5" t="inlineStr">
        <is>
          <t>2910 – Lån fra eier (innen ett år)</t>
        </is>
      </c>
      <c r="D29" s="5">
        <f>IF(C29="","",IFERROR(INDEX('_lister'!$B$2:$B$62,MATCH(C29,'_lister'!$A$2:$A$62,0)),""))</f>
        <v/>
      </c>
      <c r="E29" s="5" t="n"/>
      <c r="F29" s="6" t="n"/>
      <c r="G29" s="8" t="inlineStr">
        <is>
          <t>Ja</t>
        </is>
      </c>
      <c r="H29" s="5">
        <f>IF(A29="","",A29&amp;" "&amp;B29)</f>
        <v/>
      </c>
    </row>
    <row r="30">
      <c r="A30" s="12" t="inlineStr">
        <is>
          <t>2920</t>
        </is>
      </c>
      <c r="B30" s="5" t="inlineStr">
        <is>
          <t>Gjeld til selskap i samme konsern (innen ett år)</t>
        </is>
      </c>
      <c r="C30" s="5" t="inlineStr">
        <is>
          <t>2920 – Gjeld til selskap i samme konsern (innen ett år)</t>
        </is>
      </c>
      <c r="D30" s="5">
        <f>IF(C30="","",IFERROR(INDEX('_lister'!$B$2:$B$62,MATCH(C30,'_lister'!$A$2:$A$62,0)),""))</f>
        <v/>
      </c>
      <c r="E30" s="5" t="n"/>
      <c r="F30" s="6" t="n"/>
      <c r="G30" s="8" t="inlineStr">
        <is>
          <t>Ja</t>
        </is>
      </c>
      <c r="H30" s="5">
        <f>IF(A30="","",A30&amp;" "&amp;B30)</f>
        <v/>
      </c>
    </row>
    <row r="31">
      <c r="A31" s="12" t="inlineStr">
        <is>
          <t>2950</t>
        </is>
      </c>
      <c r="B31" s="5" t="inlineStr">
        <is>
          <t>Skyldige renter</t>
        </is>
      </c>
      <c r="C31" s="5" t="inlineStr">
        <is>
          <t>2950 – Skyldige renter</t>
        </is>
      </c>
      <c r="D31" s="5">
        <f>IF(C31="","",IFERROR(INDEX('_lister'!$B$2:$B$62,MATCH(C31,'_lister'!$A$2:$A$62,0)),""))</f>
        <v/>
      </c>
      <c r="E31" s="5" t="n"/>
      <c r="F31" s="6" t="n"/>
      <c r="G31" s="8" t="inlineStr">
        <is>
          <t>Ja</t>
        </is>
      </c>
      <c r="H31" s="5">
        <f>IF(A31="","",A31&amp;" "&amp;B31)</f>
        <v/>
      </c>
    </row>
    <row r="32">
      <c r="A32" s="12" t="inlineStr">
        <is>
          <t>2990</t>
        </is>
      </c>
      <c r="B32" s="5" t="inlineStr">
        <is>
          <t>Annen kortsiktig gjeld</t>
        </is>
      </c>
      <c r="C32" s="5" t="inlineStr">
        <is>
          <t>2990 – Annen kortsiktig gjeld</t>
        </is>
      </c>
      <c r="D32" s="5">
        <f>IF(C32="","",IFERROR(INDEX('_lister'!$B$2:$B$62,MATCH(C32,'_lister'!$A$2:$A$62,0)),""))</f>
        <v/>
      </c>
      <c r="E32" s="5" t="n"/>
      <c r="F32" s="6" t="n"/>
      <c r="G32" s="8" t="inlineStr">
        <is>
          <t>Ja</t>
        </is>
      </c>
      <c r="H32" s="5">
        <f>IF(A32="","",A32&amp;" "&amp;B32)</f>
        <v/>
      </c>
    </row>
    <row r="33">
      <c r="A33" s="12" t="inlineStr">
        <is>
          <t>3200</t>
        </is>
      </c>
      <c r="B33" s="5" t="inlineStr">
        <is>
          <t>Salg og honorar uten MVA</t>
        </is>
      </c>
      <c r="C33" s="5" t="inlineStr">
        <is>
          <t>3200 – Salg og honorar uten MVA</t>
        </is>
      </c>
      <c r="D33" s="5">
        <f>IF(C33="","",IFERROR(INDEX('_lister'!$B$2:$B$62,MATCH(C33,'_lister'!$A$2:$A$62,0)),""))</f>
        <v/>
      </c>
      <c r="E33" s="5" t="n"/>
      <c r="F33" s="6" t="n"/>
      <c r="G33" s="8" t="inlineStr">
        <is>
          <t>Ja</t>
        </is>
      </c>
      <c r="H33" s="5">
        <f>IF(A33="","",A33&amp;" "&amp;B33)</f>
        <v/>
      </c>
    </row>
    <row r="34">
      <c r="A34" s="12" t="inlineStr">
        <is>
          <t>3900</t>
        </is>
      </c>
      <c r="B34" s="5" t="inlineStr">
        <is>
          <t>Andre driftsinntekter</t>
        </is>
      </c>
      <c r="C34" s="5" t="inlineStr">
        <is>
          <t>3900 – Andre driftsinntekter</t>
        </is>
      </c>
      <c r="D34" s="5">
        <f>IF(C34="","",IFERROR(INDEX('_lister'!$B$2:$B$62,MATCH(C34,'_lister'!$A$2:$A$62,0)),""))</f>
        <v/>
      </c>
      <c r="E34" s="5" t="n"/>
      <c r="F34" s="6" t="n"/>
      <c r="G34" s="8" t="inlineStr">
        <is>
          <t>Ja</t>
        </is>
      </c>
      <c r="H34" s="5">
        <f>IF(A34="","",A34&amp;" "&amp;B34)</f>
        <v/>
      </c>
    </row>
    <row r="35">
      <c r="A35" s="12" t="inlineStr">
        <is>
          <t>6500</t>
        </is>
      </c>
      <c r="B35" s="5" t="inlineStr">
        <is>
          <t>Utstyr under 30 000 kr</t>
        </is>
      </c>
      <c r="C35" s="5" t="inlineStr">
        <is>
          <t>6500 – Utstyr under 30 000 kr</t>
        </is>
      </c>
      <c r="D35" s="5">
        <f>IF(C35="","",IFERROR(INDEX('_lister'!$B$2:$B$62,MATCH(C35,'_lister'!$A$2:$A$62,0)),""))</f>
        <v/>
      </c>
      <c r="E35" s="5" t="n"/>
      <c r="F35" s="6" t="n"/>
      <c r="G35" s="8" t="inlineStr">
        <is>
          <t>Ja</t>
        </is>
      </c>
      <c r="H35" s="5">
        <f>IF(A35="","",A35&amp;" "&amp;B35)</f>
        <v/>
      </c>
    </row>
    <row r="36">
      <c r="A36" s="12" t="inlineStr">
        <is>
          <t>6700</t>
        </is>
      </c>
      <c r="B36" s="5" t="inlineStr">
        <is>
          <t>Regnskap, revisjon og rådgivning</t>
        </is>
      </c>
      <c r="C36" s="5" t="inlineStr">
        <is>
          <t>6700 – Regnskap, revisjon og rådgivning</t>
        </is>
      </c>
      <c r="D36" s="5">
        <f>IF(C36="","",IFERROR(INDEX('_lister'!$B$2:$B$62,MATCH(C36,'_lister'!$A$2:$A$62,0)),""))</f>
        <v/>
      </c>
      <c r="E36" s="5" t="n"/>
      <c r="F36" s="6" t="n"/>
      <c r="G36" s="8" t="inlineStr">
        <is>
          <t>Ja</t>
        </is>
      </c>
      <c r="H36" s="5">
        <f>IF(A36="","",A36&amp;" "&amp;B36)</f>
        <v/>
      </c>
    </row>
    <row r="37">
      <c r="A37" s="12" t="inlineStr">
        <is>
          <t>6995</t>
        </is>
      </c>
      <c r="B37" s="5" t="inlineStr">
        <is>
          <t>Kontorrekvisita, programvare, telefon og porto</t>
        </is>
      </c>
      <c r="C37" s="5" t="inlineStr">
        <is>
          <t>6995 – Kontorrekvisita, programvare, telefon og porto</t>
        </is>
      </c>
      <c r="D37" s="5">
        <f>IF(C37="","",IFERROR(INDEX('_lister'!$B$2:$B$62,MATCH(C37,'_lister'!$A$2:$A$62,0)),""))</f>
        <v/>
      </c>
      <c r="E37" s="5" t="n"/>
      <c r="F37" s="6" t="n"/>
      <c r="G37" s="8" t="inlineStr">
        <is>
          <t>Ja</t>
        </is>
      </c>
      <c r="H37" s="5">
        <f>IF(A37="","",A37&amp;" "&amp;B37)</f>
        <v/>
      </c>
    </row>
    <row r="38">
      <c r="A38" s="12" t="inlineStr">
        <is>
          <t>7370</t>
        </is>
      </c>
      <c r="B38" s="5" t="inlineStr">
        <is>
          <t>Representasjon</t>
        </is>
      </c>
      <c r="C38" s="5" t="inlineStr">
        <is>
          <t>7370 – Representasjon</t>
        </is>
      </c>
      <c r="D38" s="5">
        <f>IF(C38="","",IFERROR(INDEX('_lister'!$B$2:$B$62,MATCH(C38,'_lister'!$A$2:$A$62,0)),""))</f>
        <v/>
      </c>
      <c r="E38" s="5" t="n"/>
      <c r="F38" s="6" t="n"/>
      <c r="G38" s="8" t="inlineStr">
        <is>
          <t>Ja</t>
        </is>
      </c>
      <c r="H38" s="5">
        <f>IF(A38="","",A38&amp;" "&amp;B38)</f>
        <v/>
      </c>
    </row>
    <row r="39">
      <c r="A39" s="12" t="inlineStr">
        <is>
          <t>7440</t>
        </is>
      </c>
      <c r="B39" s="5" t="inlineStr">
        <is>
          <t>Gaver</t>
        </is>
      </c>
      <c r="C39" s="5" t="inlineStr">
        <is>
          <t>7440 – Gaver</t>
        </is>
      </c>
      <c r="D39" s="5">
        <f>IF(C39="","",IFERROR(INDEX('_lister'!$B$2:$B$62,MATCH(C39,'_lister'!$A$2:$A$62,0)),""))</f>
        <v/>
      </c>
      <c r="E39" s="5" t="n"/>
      <c r="F39" s="6" t="n"/>
      <c r="G39" s="8" t="inlineStr">
        <is>
          <t>Ja</t>
        </is>
      </c>
      <c r="H39" s="5">
        <f>IF(A39="","",A39&amp;" "&amp;B39)</f>
        <v/>
      </c>
    </row>
    <row r="40">
      <c r="A40" s="12" t="inlineStr">
        <is>
          <t>7490</t>
        </is>
      </c>
      <c r="B40" s="5" t="inlineStr">
        <is>
          <t>Kontingenter</t>
        </is>
      </c>
      <c r="C40" s="5" t="inlineStr">
        <is>
          <t>7490 – Kontingenter</t>
        </is>
      </c>
      <c r="D40" s="5">
        <f>IF(C40="","",IFERROR(INDEX('_lister'!$B$2:$B$62,MATCH(C40,'_lister'!$A$2:$A$62,0)),""))</f>
        <v/>
      </c>
      <c r="E40" s="5" t="n"/>
      <c r="F40" s="6" t="n"/>
      <c r="G40" s="8" t="inlineStr">
        <is>
          <t>Ja</t>
        </is>
      </c>
      <c r="H40" s="5">
        <f>IF(A40="","",A40&amp;" "&amp;B40)</f>
        <v/>
      </c>
    </row>
    <row r="41">
      <c r="A41" s="12" t="inlineStr">
        <is>
          <t>7500</t>
        </is>
      </c>
      <c r="B41" s="5" t="inlineStr">
        <is>
          <t>Forsikring</t>
        </is>
      </c>
      <c r="C41" s="5" t="inlineStr">
        <is>
          <t>7500 – Forsikring</t>
        </is>
      </c>
      <c r="D41" s="5">
        <f>IF(C41="","",IFERROR(INDEX('_lister'!$B$2:$B$62,MATCH(C41,'_lister'!$A$2:$A$62,0)),""))</f>
        <v/>
      </c>
      <c r="E41" s="5" t="n"/>
      <c r="F41" s="6" t="n"/>
      <c r="G41" s="8" t="inlineStr">
        <is>
          <t>Ja</t>
        </is>
      </c>
      <c r="H41" s="5">
        <f>IF(A41="","",A41&amp;" "&amp;B41)</f>
        <v/>
      </c>
    </row>
    <row r="42">
      <c r="A42" s="12" t="inlineStr">
        <is>
          <t>7700</t>
        </is>
      </c>
      <c r="B42" s="5" t="inlineStr">
        <is>
          <t>Andre kostnader (gebyrer o.l.)</t>
        </is>
      </c>
      <c r="C42" s="5" t="inlineStr">
        <is>
          <t>7700 – Andre kostnader (gebyrer o.l.)</t>
        </is>
      </c>
      <c r="D42" s="5">
        <f>IF(C42="","",IFERROR(INDEX('_lister'!$B$2:$B$62,MATCH(C42,'_lister'!$A$2:$A$62,0)),""))</f>
        <v/>
      </c>
      <c r="E42" s="5" t="n"/>
      <c r="F42" s="6" t="n"/>
      <c r="G42" s="8" t="inlineStr">
        <is>
          <t>Ja</t>
        </is>
      </c>
      <c r="H42" s="5">
        <f>IF(A42="","",A42&amp;" "&amp;B42)</f>
        <v/>
      </c>
    </row>
    <row r="43">
      <c r="A43" s="12" t="inlineStr">
        <is>
          <t>8030</t>
        </is>
      </c>
      <c r="B43" s="5" t="inlineStr">
        <is>
          <t>Renter fra selskap i samme konsern</t>
        </is>
      </c>
      <c r="C43" s="5" t="inlineStr">
        <is>
          <t>8030 – Renter fra selskap i samme konsern</t>
        </is>
      </c>
      <c r="D43" s="5">
        <f>IF(C43="","",IFERROR(INDEX('_lister'!$B$2:$B$62,MATCH(C43,'_lister'!$A$2:$A$62,0)),""))</f>
        <v/>
      </c>
      <c r="E43" s="5" t="n"/>
      <c r="F43" s="6" t="n"/>
      <c r="G43" s="8" t="inlineStr">
        <is>
          <t>Ja</t>
        </is>
      </c>
      <c r="H43" s="5">
        <f>IF(A43="","",A43&amp;" "&amp;B43)</f>
        <v/>
      </c>
    </row>
    <row r="44">
      <c r="A44" s="12" t="inlineStr">
        <is>
          <t>8050</t>
        </is>
      </c>
      <c r="B44" s="5" t="inlineStr">
        <is>
          <t>Renteinntekter</t>
        </is>
      </c>
      <c r="C44" s="5" t="inlineStr">
        <is>
          <t>8050 – Renteinntekter</t>
        </is>
      </c>
      <c r="D44" s="5">
        <f>IF(C44="","",IFERROR(INDEX('_lister'!$B$2:$B$62,MATCH(C44,'_lister'!$A$2:$A$62,0)),""))</f>
        <v/>
      </c>
      <c r="E44" s="5" t="n"/>
      <c r="F44" s="6" t="n"/>
      <c r="G44" s="8" t="inlineStr">
        <is>
          <t>Ja</t>
        </is>
      </c>
      <c r="H44" s="5">
        <f>IF(A44="","",A44&amp;" "&amp;B44)</f>
        <v/>
      </c>
    </row>
    <row r="45">
      <c r="A45" s="12" t="inlineStr">
        <is>
          <t>8074</t>
        </is>
      </c>
      <c r="B45" s="5" t="inlineStr">
        <is>
          <t>Gevinst ved salg av aksjer og fond</t>
        </is>
      </c>
      <c r="C45" s="5" t="inlineStr">
        <is>
          <t>8074 – Gevinst ved salg av aksjer og fond</t>
        </is>
      </c>
      <c r="D45" s="5">
        <f>IF(C45="","",IFERROR(INDEX('_lister'!$B$2:$B$62,MATCH(C45,'_lister'!$A$2:$A$62,0)),""))</f>
        <v/>
      </c>
      <c r="E45" s="5" t="n"/>
      <c r="F45" s="6" t="n"/>
      <c r="G45" s="8" t="inlineStr">
        <is>
          <t>Ja</t>
        </is>
      </c>
      <c r="H45" s="5">
        <f>IF(A45="","",A45&amp;" "&amp;B45)</f>
        <v/>
      </c>
    </row>
    <row r="46">
      <c r="A46" s="12" t="inlineStr">
        <is>
          <t>8079</t>
        </is>
      </c>
      <c r="B46" s="5" t="inlineStr">
        <is>
          <t>Andre finansinntekter</t>
        </is>
      </c>
      <c r="C46" s="5" t="inlineStr">
        <is>
          <t>8079 – Andre finansinntekter</t>
        </is>
      </c>
      <c r="D46" s="5">
        <f>IF(C46="","",IFERROR(INDEX('_lister'!$B$2:$B$62,MATCH(C46,'_lister'!$A$2:$A$62,0)),""))</f>
        <v/>
      </c>
      <c r="E46" s="5" t="n"/>
      <c r="F46" s="6" t="n"/>
      <c r="G46" s="8" t="inlineStr">
        <is>
          <t>Ja</t>
        </is>
      </c>
      <c r="H46" s="5">
        <f>IF(A46="","",A46&amp;" "&amp;B46)</f>
        <v/>
      </c>
    </row>
    <row r="47">
      <c r="A47" s="12" t="inlineStr">
        <is>
          <t>8090</t>
        </is>
      </c>
      <c r="B47" s="5" t="inlineStr">
        <is>
          <t>Utbytte fra aksjer og fond</t>
        </is>
      </c>
      <c r="C47" s="5" t="inlineStr">
        <is>
          <t>8090 – Utbytte fra aksjer og fond</t>
        </is>
      </c>
      <c r="D47" s="5">
        <f>IF(C47="","",IFERROR(INDEX('_lister'!$B$2:$B$62,MATCH(C47,'_lister'!$A$2:$A$62,0)),""))</f>
        <v/>
      </c>
      <c r="E47" s="5" t="n"/>
      <c r="F47" s="6" t="n"/>
      <c r="G47" s="8" t="inlineStr">
        <is>
          <t>Ja</t>
        </is>
      </c>
      <c r="H47" s="5">
        <f>IF(A47="","",A47&amp;" "&amp;B47)</f>
        <v/>
      </c>
    </row>
    <row r="48">
      <c r="A48" s="12" t="inlineStr">
        <is>
          <t>8115</t>
        </is>
      </c>
      <c r="B48" s="5" t="inlineStr">
        <is>
          <t>Nedskrivning av aksjer</t>
        </is>
      </c>
      <c r="C48" s="5" t="inlineStr">
        <is>
          <t>8115 – Nedskrivning av aksjer</t>
        </is>
      </c>
      <c r="D48" s="5">
        <f>IF(C48="","",IFERROR(INDEX('_lister'!$B$2:$B$62,MATCH(C48,'_lister'!$A$2:$A$62,0)),""))</f>
        <v/>
      </c>
      <c r="E48" s="5" t="n"/>
      <c r="F48" s="6" t="n"/>
      <c r="G48" s="8" t="inlineStr">
        <is>
          <t>Ja</t>
        </is>
      </c>
      <c r="H48" s="5">
        <f>IF(A48="","",A48&amp;" "&amp;B48)</f>
        <v/>
      </c>
    </row>
    <row r="49">
      <c r="A49" s="12" t="inlineStr">
        <is>
          <t>8130</t>
        </is>
      </c>
      <c r="B49" s="5" t="inlineStr">
        <is>
          <t>Renter til selskap i samme konsern</t>
        </is>
      </c>
      <c r="C49" s="5" t="inlineStr">
        <is>
          <t>8130 – Renter til selskap i samme konsern</t>
        </is>
      </c>
      <c r="D49" s="5">
        <f>IF(C49="","",IFERROR(INDEX('_lister'!$B$2:$B$62,MATCH(C49,'_lister'!$A$2:$A$62,0)),""))</f>
        <v/>
      </c>
      <c r="E49" s="5" t="n"/>
      <c r="F49" s="6" t="n"/>
      <c r="G49" s="8" t="inlineStr">
        <is>
          <t>Ja</t>
        </is>
      </c>
      <c r="H49" s="5">
        <f>IF(A49="","",A49&amp;" "&amp;B49)</f>
        <v/>
      </c>
    </row>
    <row r="50">
      <c r="A50" s="12" t="inlineStr">
        <is>
          <t>8150</t>
        </is>
      </c>
      <c r="B50" s="5" t="inlineStr">
        <is>
          <t>Rentekostnader</t>
        </is>
      </c>
      <c r="C50" s="5" t="inlineStr">
        <is>
          <t>8150 – Rentekostnader</t>
        </is>
      </c>
      <c r="D50" s="5">
        <f>IF(C50="","",IFERROR(INDEX('_lister'!$B$2:$B$62,MATCH(C50,'_lister'!$A$2:$A$62,0)),""))</f>
        <v/>
      </c>
      <c r="E50" s="5" t="n"/>
      <c r="F50" s="6" t="n"/>
      <c r="G50" s="8" t="inlineStr">
        <is>
          <t>Ja</t>
        </is>
      </c>
      <c r="H50" s="5">
        <f>IF(A50="","",A50&amp;" "&amp;B50)</f>
        <v/>
      </c>
    </row>
    <row r="51">
      <c r="A51" s="12" t="inlineStr">
        <is>
          <t>8174</t>
        </is>
      </c>
      <c r="B51" s="5" t="inlineStr">
        <is>
          <t>Tap ved salg av aksjer og fond</t>
        </is>
      </c>
      <c r="C51" s="5" t="inlineStr">
        <is>
          <t>8174 – Tap ved salg av aksjer og fond</t>
        </is>
      </c>
      <c r="D51" s="5">
        <f>IF(C51="","",IFERROR(INDEX('_lister'!$B$2:$B$62,MATCH(C51,'_lister'!$A$2:$A$62,0)),""))</f>
        <v/>
      </c>
      <c r="E51" s="5" t="n"/>
      <c r="F51" s="6" t="n"/>
      <c r="G51" s="8" t="inlineStr">
        <is>
          <t>Ja</t>
        </is>
      </c>
      <c r="H51" s="5">
        <f>IF(A51="","",A51&amp;" "&amp;B51)</f>
        <v/>
      </c>
    </row>
    <row r="52">
      <c r="A52" s="12" t="inlineStr">
        <is>
          <t>8179</t>
        </is>
      </c>
      <c r="B52" s="5" t="inlineStr">
        <is>
          <t>Andre finanskostnader</t>
        </is>
      </c>
      <c r="C52" s="5" t="inlineStr">
        <is>
          <t>8179 – Andre finanskostnader</t>
        </is>
      </c>
      <c r="D52" s="5">
        <f>IF(C52="","",IFERROR(INDEX('_lister'!$B$2:$B$62,MATCH(C52,'_lister'!$A$2:$A$62,0)),""))</f>
        <v/>
      </c>
      <c r="E52" s="5" t="n"/>
      <c r="F52" s="6" t="n"/>
      <c r="G52" s="8" t="inlineStr">
        <is>
          <t>Ja</t>
        </is>
      </c>
      <c r="H52" s="5">
        <f>IF(A52="","",A52&amp;" "&amp;B52)</f>
        <v/>
      </c>
    </row>
    <row r="53">
      <c r="A53" s="12" t="inlineStr">
        <is>
          <t>8323</t>
        </is>
      </c>
      <c r="B53" s="5" t="inlineStr">
        <is>
          <t>For lite skatt avsatt i fjor</t>
        </is>
      </c>
      <c r="C53" s="5" t="inlineStr">
        <is>
          <t>8323 – For lite skatt avsatt i fjor</t>
        </is>
      </c>
      <c r="D53" s="5">
        <f>IF(C53="","",IFERROR(INDEX('_lister'!$B$2:$B$62,MATCH(C53,'_lister'!$A$2:$A$62,0)),""))</f>
        <v/>
      </c>
      <c r="E53" s="5" t="n"/>
      <c r="F53" s="6" t="n"/>
      <c r="G53" s="8" t="inlineStr">
        <is>
          <t>Ja</t>
        </is>
      </c>
      <c r="H53" s="5">
        <f>IF(A53="","",A53&amp;" "&amp;B53)</f>
        <v/>
      </c>
    </row>
    <row r="54">
      <c r="A54" s="12" t="inlineStr">
        <is>
          <t>8324</t>
        </is>
      </c>
      <c r="B54" s="5" t="inlineStr">
        <is>
          <t>For mye skatt avsatt i fjor</t>
        </is>
      </c>
      <c r="C54" s="5" t="inlineStr">
        <is>
          <t>8324 – For mye skatt avsatt i fjor</t>
        </is>
      </c>
      <c r="D54" s="5">
        <f>IF(C54="","",IFERROR(INDEX('_lister'!$B$2:$B$62,MATCH(C54,'_lister'!$A$2:$A$62,0)),""))</f>
        <v/>
      </c>
      <c r="E54" s="5" t="n"/>
      <c r="F54" s="6" t="n"/>
      <c r="G54" s="8" t="inlineStr">
        <is>
          <t>Ja</t>
        </is>
      </c>
      <c r="H54" s="5">
        <f>IF(A54="","",A54&amp;" "&amp;B54)</f>
        <v/>
      </c>
    </row>
    <row r="55">
      <c r="A55" s="12" t="inlineStr">
        <is>
          <t>1205</t>
        </is>
      </c>
      <c r="B55" s="5" t="inlineStr">
        <is>
          <t>Biler, maskiner og inventar</t>
        </is>
      </c>
      <c r="C55" s="5" t="inlineStr">
        <is>
          <t>1205 – Biler, maskiner og inventar (støttes ikke)</t>
        </is>
      </c>
      <c r="D55" s="5">
        <f>IF(C55="","",IFERROR(INDEX('_lister'!$B$2:$B$62,MATCH(C55,'_lister'!$A$2:$A$62,0)),""))</f>
        <v/>
      </c>
      <c r="E55" s="5" t="n"/>
      <c r="F55" s="6" t="n"/>
      <c r="G55" s="8" t="inlineStr">
        <is>
          <t>Ja</t>
        </is>
      </c>
      <c r="H55" s="5">
        <f>IF(A55="","",A55&amp;" "&amp;B55)</f>
        <v/>
      </c>
    </row>
    <row r="56">
      <c r="A56" s="12" t="inlineStr">
        <is>
          <t>1400</t>
        </is>
      </c>
      <c r="B56" s="5" t="inlineStr">
        <is>
          <t>Varelager</t>
        </is>
      </c>
      <c r="C56" s="5" t="inlineStr">
        <is>
          <t>1400 – Varelager (støttes ikke)</t>
        </is>
      </c>
      <c r="D56" s="5">
        <f>IF(C56="","",IFERROR(INDEX('_lister'!$B$2:$B$62,MATCH(C56,'_lister'!$A$2:$A$62,0)),""))</f>
        <v/>
      </c>
      <c r="E56" s="5" t="n"/>
      <c r="F56" s="6" t="n"/>
      <c r="G56" s="8" t="inlineStr">
        <is>
          <t>Ja</t>
        </is>
      </c>
      <c r="H56" s="5">
        <f>IF(A56="","",A56&amp;" "&amp;B56)</f>
        <v/>
      </c>
    </row>
    <row r="57">
      <c r="A57" s="12" t="inlineStr">
        <is>
          <t>1500</t>
        </is>
      </c>
      <c r="B57" s="5" t="inlineStr">
        <is>
          <t>Kundefordringer (fakturaer)</t>
        </is>
      </c>
      <c r="C57" s="5" t="inlineStr">
        <is>
          <t>1500 – Kundefordringer (fakturaer) (støttes ikke)</t>
        </is>
      </c>
      <c r="D57" s="5">
        <f>IF(C57="","",IFERROR(INDEX('_lister'!$B$2:$B$62,MATCH(C57,'_lister'!$A$2:$A$62,0)),""))</f>
        <v/>
      </c>
      <c r="E57" s="5" t="n"/>
      <c r="F57" s="6" t="n"/>
      <c r="G57" s="8" t="inlineStr">
        <is>
          <t>Ja</t>
        </is>
      </c>
      <c r="H57" s="5">
        <f>IF(A57="","",A57&amp;" "&amp;B57)</f>
        <v/>
      </c>
    </row>
    <row r="58">
      <c r="A58" s="12" t="inlineStr">
        <is>
          <t>2600</t>
        </is>
      </c>
      <c r="B58" s="5" t="inlineStr">
        <is>
          <t>Skattetrekk</t>
        </is>
      </c>
      <c r="C58" s="5" t="inlineStr">
        <is>
          <t>2600 – Skattetrekk (støttes ikke)</t>
        </is>
      </c>
      <c r="D58" s="5">
        <f>IF(C58="","",IFERROR(INDEX('_lister'!$B$2:$B$62,MATCH(C58,'_lister'!$A$2:$A$62,0)),""))</f>
        <v/>
      </c>
      <c r="E58" s="5" t="n"/>
      <c r="F58" s="6" t="n"/>
      <c r="G58" s="8" t="inlineStr">
        <is>
          <t>Ja</t>
        </is>
      </c>
      <c r="H58" s="5">
        <f>IF(A58="","",A58&amp;" "&amp;B58)</f>
        <v/>
      </c>
    </row>
    <row r="59">
      <c r="A59" s="12" t="inlineStr">
        <is>
          <t>2740</t>
        </is>
      </c>
      <c r="B59" s="5" t="inlineStr">
        <is>
          <t>Skyldig MVA</t>
        </is>
      </c>
      <c r="C59" s="5" t="inlineStr">
        <is>
          <t>2740 – Skyldig MVA (støttes ikke)</t>
        </is>
      </c>
      <c r="D59" s="5">
        <f>IF(C59="","",IFERROR(INDEX('_lister'!$B$2:$B$62,MATCH(C59,'_lister'!$A$2:$A$62,0)),""))</f>
        <v/>
      </c>
      <c r="E59" s="5" t="n"/>
      <c r="F59" s="6" t="n"/>
      <c r="G59" s="8" t="inlineStr">
        <is>
          <t>Ja</t>
        </is>
      </c>
      <c r="H59" s="5">
        <f>IF(A59="","",A59&amp;" "&amp;B59)</f>
        <v/>
      </c>
    </row>
    <row r="60">
      <c r="A60" s="12" t="inlineStr">
        <is>
          <t>2770</t>
        </is>
      </c>
      <c r="B60" s="5" t="inlineStr">
        <is>
          <t>Skyldig arbeidsgiveravgift</t>
        </is>
      </c>
      <c r="C60" s="5" t="inlineStr">
        <is>
          <t>2770 – Skyldig arbeidsgiveravgift (støttes ikke)</t>
        </is>
      </c>
      <c r="D60" s="5">
        <f>IF(C60="","",IFERROR(INDEX('_lister'!$B$2:$B$62,MATCH(C60,'_lister'!$A$2:$A$62,0)),""))</f>
        <v/>
      </c>
      <c r="E60" s="5" t="n"/>
      <c r="F60" s="6" t="n"/>
      <c r="G60" s="8" t="inlineStr">
        <is>
          <t>Ja</t>
        </is>
      </c>
      <c r="H60" s="5">
        <f>IF(A60="","",A60&amp;" "&amp;B60)</f>
        <v/>
      </c>
    </row>
    <row r="61">
      <c r="A61" s="12" t="inlineStr">
        <is>
          <t>3000</t>
        </is>
      </c>
      <c r="B61" s="5" t="inlineStr">
        <is>
          <t>Salg med MVA</t>
        </is>
      </c>
      <c r="C61" s="5" t="inlineStr">
        <is>
          <t>3000 – Salg med MVA (støttes ikke)</t>
        </is>
      </c>
      <c r="D61" s="5">
        <f>IF(C61="","",IFERROR(INDEX('_lister'!$B$2:$B$62,MATCH(C61,'_lister'!$A$2:$A$62,0)),""))</f>
        <v/>
      </c>
      <c r="E61" s="5" t="n"/>
      <c r="F61" s="6" t="n"/>
      <c r="G61" s="8" t="inlineStr">
        <is>
          <t>Ja</t>
        </is>
      </c>
      <c r="H61" s="5">
        <f>IF(A61="","",A61&amp;" "&amp;B61)</f>
        <v/>
      </c>
    </row>
    <row r="62">
      <c r="A62" s="12" t="inlineStr">
        <is>
          <t>5000</t>
        </is>
      </c>
      <c r="B62" s="5" t="inlineStr">
        <is>
          <t>Lønn</t>
        </is>
      </c>
      <c r="C62" s="5" t="inlineStr">
        <is>
          <t>5000 – Lønn (støttes ikke)</t>
        </is>
      </c>
      <c r="D62" s="5">
        <f>IF(C62="","",IFERROR(INDEX('_lister'!$B$2:$B$62,MATCH(C62,'_lister'!$A$2:$A$62,0)),""))</f>
        <v/>
      </c>
      <c r="E62" s="5" t="n"/>
      <c r="F62" s="6" t="n"/>
      <c r="G62" s="8" t="inlineStr">
        <is>
          <t>Ja</t>
        </is>
      </c>
      <c r="H62" s="5">
        <f>IF(A62="","",A62&amp;" "&amp;B62)</f>
        <v/>
      </c>
    </row>
    <row r="63">
      <c r="A63" s="12" t="inlineStr">
        <is>
          <t>5300</t>
        </is>
      </c>
      <c r="B63" s="5" t="inlineStr">
        <is>
          <t>Styrehonorar og andre honorarer</t>
        </is>
      </c>
      <c r="C63" s="5" t="inlineStr">
        <is>
          <t>5300 – Styrehonorar og andre honorarer (støttes ikke)</t>
        </is>
      </c>
      <c r="D63" s="5">
        <f>IF(C63="","",IFERROR(INDEX('_lister'!$B$2:$B$62,MATCH(C63,'_lister'!$A$2:$A$62,0)),""))</f>
        <v/>
      </c>
      <c r="E63" s="5" t="n"/>
      <c r="F63" s="6" t="n"/>
      <c r="G63" s="8" t="inlineStr">
        <is>
          <t>Ja</t>
        </is>
      </c>
      <c r="H63" s="5">
        <f>IF(A63="","",A63&amp;" "&amp;B63)</f>
        <v/>
      </c>
    </row>
    <row r="64">
      <c r="A64" s="12" t="inlineStr">
        <is>
          <t>5400</t>
        </is>
      </c>
      <c r="B64" s="5" t="inlineStr">
        <is>
          <t>Arbeidsgiveravgift</t>
        </is>
      </c>
      <c r="C64" s="5" t="inlineStr">
        <is>
          <t>5400 – Arbeidsgiveravgift (støttes ikke)</t>
        </is>
      </c>
      <c r="D64" s="5">
        <f>IF(C64="","",IFERROR(INDEX('_lister'!$B$2:$B$62,MATCH(C64,'_lister'!$A$2:$A$62,0)),""))</f>
        <v/>
      </c>
      <c r="E64" s="5" t="n"/>
      <c r="F64" s="6" t="n"/>
      <c r="G64" s="8" t="inlineStr">
        <is>
          <t>Ja</t>
        </is>
      </c>
      <c r="H64" s="5">
        <f>IF(A64="","",A64&amp;" "&amp;B64)</f>
        <v/>
      </c>
    </row>
    <row r="65">
      <c r="A65" s="6" t="n"/>
      <c r="B65" s="8" t="n"/>
      <c r="C65" s="8" t="n"/>
      <c r="D65" s="5">
        <f>IF(C65="","",IFERROR(INDEX('_lister'!$B$2:$B$62,MATCH(C65,'_lister'!$A$2:$A$62,0)),""))</f>
        <v/>
      </c>
      <c r="E65" s="8" t="n"/>
      <c r="F65" s="6" t="n"/>
      <c r="G65" s="8" t="n"/>
      <c r="H65" s="5">
        <f>IF(A65="","",A65&amp;" "&amp;B65)</f>
        <v/>
      </c>
    </row>
    <row r="66">
      <c r="A66" s="6" t="n"/>
      <c r="B66" s="8" t="n"/>
      <c r="C66" s="8" t="n"/>
      <c r="D66" s="5">
        <f>IF(C66="","",IFERROR(INDEX('_lister'!$B$2:$B$62,MATCH(C66,'_lister'!$A$2:$A$62,0)),""))</f>
        <v/>
      </c>
      <c r="E66" s="8" t="n"/>
      <c r="F66" s="6" t="n"/>
      <c r="G66" s="8" t="n"/>
      <c r="H66" s="5">
        <f>IF(A66="","",A66&amp;" "&amp;B66)</f>
        <v/>
      </c>
    </row>
    <row r="67">
      <c r="A67" s="6" t="n"/>
      <c r="B67" s="8" t="n"/>
      <c r="C67" s="8" t="n"/>
      <c r="D67" s="5">
        <f>IF(C67="","",IFERROR(INDEX('_lister'!$B$2:$B$62,MATCH(C67,'_lister'!$A$2:$A$62,0)),""))</f>
        <v/>
      </c>
      <c r="E67" s="8" t="n"/>
      <c r="F67" s="6" t="n"/>
      <c r="G67" s="8" t="n"/>
      <c r="H67" s="5">
        <f>IF(A67="","",A67&amp;" "&amp;B67)</f>
        <v/>
      </c>
    </row>
    <row r="68">
      <c r="A68" s="6" t="n"/>
      <c r="B68" s="8" t="n"/>
      <c r="C68" s="8" t="n"/>
      <c r="D68" s="5">
        <f>IF(C68="","",IFERROR(INDEX('_lister'!$B$2:$B$62,MATCH(C68,'_lister'!$A$2:$A$62,0)),""))</f>
        <v/>
      </c>
      <c r="E68" s="8" t="n"/>
      <c r="F68" s="6" t="n"/>
      <c r="G68" s="8" t="n"/>
      <c r="H68" s="5">
        <f>IF(A68="","",A68&amp;" "&amp;B68)</f>
        <v/>
      </c>
    </row>
    <row r="69">
      <c r="A69" s="6" t="n"/>
      <c r="B69" s="8" t="n"/>
      <c r="C69" s="8" t="n"/>
      <c r="D69" s="5">
        <f>IF(C69="","",IFERROR(INDEX('_lister'!$B$2:$B$62,MATCH(C69,'_lister'!$A$2:$A$62,0)),""))</f>
        <v/>
      </c>
      <c r="E69" s="8" t="n"/>
      <c r="F69" s="6" t="n"/>
      <c r="G69" s="8" t="n"/>
      <c r="H69" s="5">
        <f>IF(A69="","",A69&amp;" "&amp;B69)</f>
        <v/>
      </c>
    </row>
    <row r="70">
      <c r="A70" s="6" t="n"/>
      <c r="B70" s="8" t="n"/>
      <c r="C70" s="8" t="n"/>
      <c r="D70" s="5">
        <f>IF(C70="","",IFERROR(INDEX('_lister'!$B$2:$B$62,MATCH(C70,'_lister'!$A$2:$A$62,0)),""))</f>
        <v/>
      </c>
      <c r="E70" s="8" t="n"/>
      <c r="F70" s="6" t="n"/>
      <c r="G70" s="8" t="n"/>
      <c r="H70" s="5">
        <f>IF(A70="","",A70&amp;" "&amp;B70)</f>
        <v/>
      </c>
    </row>
    <row r="71">
      <c r="A71" s="6" t="n"/>
      <c r="B71" s="8" t="n"/>
      <c r="C71" s="8" t="n"/>
      <c r="D71" s="5">
        <f>IF(C71="","",IFERROR(INDEX('_lister'!$B$2:$B$62,MATCH(C71,'_lister'!$A$2:$A$62,0)),""))</f>
        <v/>
      </c>
      <c r="E71" s="8" t="n"/>
      <c r="F71" s="6" t="n"/>
      <c r="G71" s="8" t="n"/>
      <c r="H71" s="5">
        <f>IF(A71="","",A71&amp;" "&amp;B71)</f>
        <v/>
      </c>
    </row>
    <row r="72">
      <c r="A72" s="6" t="n"/>
      <c r="B72" s="8" t="n"/>
      <c r="C72" s="8" t="n"/>
      <c r="D72" s="5">
        <f>IF(C72="","",IFERROR(INDEX('_lister'!$B$2:$B$62,MATCH(C72,'_lister'!$A$2:$A$62,0)),""))</f>
        <v/>
      </c>
      <c r="E72" s="8" t="n"/>
      <c r="F72" s="6" t="n"/>
      <c r="G72" s="8" t="n"/>
      <c r="H72" s="5">
        <f>IF(A72="","",A72&amp;" "&amp;B72)</f>
        <v/>
      </c>
    </row>
    <row r="73">
      <c r="A73" s="6" t="n"/>
      <c r="B73" s="8" t="n"/>
      <c r="C73" s="8" t="n"/>
      <c r="D73" s="5">
        <f>IF(C73="","",IFERROR(INDEX('_lister'!$B$2:$B$62,MATCH(C73,'_lister'!$A$2:$A$62,0)),""))</f>
        <v/>
      </c>
      <c r="E73" s="8" t="n"/>
      <c r="F73" s="6" t="n"/>
      <c r="G73" s="8" t="n"/>
      <c r="H73" s="5">
        <f>IF(A73="","",A73&amp;" "&amp;B73)</f>
        <v/>
      </c>
    </row>
    <row r="74">
      <c r="A74" s="6" t="n"/>
      <c r="B74" s="8" t="n"/>
      <c r="C74" s="8" t="n"/>
      <c r="D74" s="5">
        <f>IF(C74="","",IFERROR(INDEX('_lister'!$B$2:$B$62,MATCH(C74,'_lister'!$A$2:$A$62,0)),""))</f>
        <v/>
      </c>
      <c r="E74" s="8" t="n"/>
      <c r="F74" s="6" t="n"/>
      <c r="G74" s="8" t="n"/>
      <c r="H74" s="5">
        <f>IF(A74="","",A74&amp;" "&amp;B74)</f>
        <v/>
      </c>
    </row>
    <row r="75">
      <c r="A75" s="6" t="n"/>
      <c r="B75" s="8" t="n"/>
      <c r="C75" s="8" t="n"/>
      <c r="D75" s="5">
        <f>IF(C75="","",IFERROR(INDEX('_lister'!$B$2:$B$62,MATCH(C75,'_lister'!$A$2:$A$62,0)),""))</f>
        <v/>
      </c>
      <c r="E75" s="8" t="n"/>
      <c r="F75" s="6" t="n"/>
      <c r="G75" s="8" t="n"/>
      <c r="H75" s="5">
        <f>IF(A75="","",A75&amp;" "&amp;B75)</f>
        <v/>
      </c>
    </row>
    <row r="76">
      <c r="A76" s="6" t="n"/>
      <c r="B76" s="8" t="n"/>
      <c r="C76" s="8" t="n"/>
      <c r="D76" s="5">
        <f>IF(C76="","",IFERROR(INDEX('_lister'!$B$2:$B$62,MATCH(C76,'_lister'!$A$2:$A$62,0)),""))</f>
        <v/>
      </c>
      <c r="E76" s="8" t="n"/>
      <c r="F76" s="6" t="n"/>
      <c r="G76" s="8" t="n"/>
      <c r="H76" s="5">
        <f>IF(A76="","",A76&amp;" "&amp;B76)</f>
        <v/>
      </c>
    </row>
    <row r="77">
      <c r="A77" s="6" t="n"/>
      <c r="B77" s="8" t="n"/>
      <c r="C77" s="8" t="n"/>
      <c r="D77" s="5">
        <f>IF(C77="","",IFERROR(INDEX('_lister'!$B$2:$B$62,MATCH(C77,'_lister'!$A$2:$A$62,0)),""))</f>
        <v/>
      </c>
      <c r="E77" s="8" t="n"/>
      <c r="F77" s="6" t="n"/>
      <c r="G77" s="8" t="n"/>
      <c r="H77" s="5">
        <f>IF(A77="","",A77&amp;" "&amp;B77)</f>
        <v/>
      </c>
    </row>
    <row r="78">
      <c r="A78" s="6" t="n"/>
      <c r="B78" s="8" t="n"/>
      <c r="C78" s="8" t="n"/>
      <c r="D78" s="5">
        <f>IF(C78="","",IFERROR(INDEX('_lister'!$B$2:$B$62,MATCH(C78,'_lister'!$A$2:$A$62,0)),""))</f>
        <v/>
      </c>
      <c r="E78" s="8" t="n"/>
      <c r="F78" s="6" t="n"/>
      <c r="G78" s="8" t="n"/>
      <c r="H78" s="5">
        <f>IF(A78="","",A78&amp;" "&amp;B78)</f>
        <v/>
      </c>
    </row>
    <row r="79">
      <c r="A79" s="6" t="n"/>
      <c r="B79" s="8" t="n"/>
      <c r="C79" s="8" t="n"/>
      <c r="D79" s="5">
        <f>IF(C79="","",IFERROR(INDEX('_lister'!$B$2:$B$62,MATCH(C79,'_lister'!$A$2:$A$62,0)),""))</f>
        <v/>
      </c>
      <c r="E79" s="8" t="n"/>
      <c r="F79" s="6" t="n"/>
      <c r="G79" s="8" t="n"/>
      <c r="H79" s="5">
        <f>IF(A79="","",A79&amp;" "&amp;B79)</f>
        <v/>
      </c>
    </row>
    <row r="80">
      <c r="A80" s="6" t="n"/>
      <c r="B80" s="8" t="n"/>
      <c r="C80" s="8" t="n"/>
      <c r="D80" s="5">
        <f>IF(C80="","",IFERROR(INDEX('_lister'!$B$2:$B$62,MATCH(C80,'_lister'!$A$2:$A$62,0)),""))</f>
        <v/>
      </c>
      <c r="E80" s="8" t="n"/>
      <c r="F80" s="6" t="n"/>
      <c r="G80" s="8" t="n"/>
      <c r="H80" s="5">
        <f>IF(A80="","",A80&amp;" "&amp;B80)</f>
        <v/>
      </c>
    </row>
    <row r="81">
      <c r="A81" s="6" t="n"/>
      <c r="B81" s="8" t="n"/>
      <c r="C81" s="8" t="n"/>
      <c r="D81" s="5">
        <f>IF(C81="","",IFERROR(INDEX('_lister'!$B$2:$B$62,MATCH(C81,'_lister'!$A$2:$A$62,0)),""))</f>
        <v/>
      </c>
      <c r="E81" s="8" t="n"/>
      <c r="F81" s="6" t="n"/>
      <c r="G81" s="8" t="n"/>
      <c r="H81" s="5">
        <f>IF(A81="","",A81&amp;" "&amp;B81)</f>
        <v/>
      </c>
    </row>
    <row r="82">
      <c r="A82" s="6" t="n"/>
      <c r="B82" s="8" t="n"/>
      <c r="C82" s="8" t="n"/>
      <c r="D82" s="5">
        <f>IF(C82="","",IFERROR(INDEX('_lister'!$B$2:$B$62,MATCH(C82,'_lister'!$A$2:$A$62,0)),""))</f>
        <v/>
      </c>
      <c r="E82" s="8" t="n"/>
      <c r="F82" s="6" t="n"/>
      <c r="G82" s="8" t="n"/>
      <c r="H82" s="5">
        <f>IF(A82="","",A82&amp;" "&amp;B82)</f>
        <v/>
      </c>
    </row>
    <row r="83">
      <c r="A83" s="6" t="n"/>
      <c r="B83" s="8" t="n"/>
      <c r="C83" s="8" t="n"/>
      <c r="D83" s="5">
        <f>IF(C83="","",IFERROR(INDEX('_lister'!$B$2:$B$62,MATCH(C83,'_lister'!$A$2:$A$62,0)),""))</f>
        <v/>
      </c>
      <c r="E83" s="8" t="n"/>
      <c r="F83" s="6" t="n"/>
      <c r="G83" s="8" t="n"/>
      <c r="H83" s="5">
        <f>IF(A83="","",A83&amp;" "&amp;B83)</f>
        <v/>
      </c>
    </row>
    <row r="84">
      <c r="A84" s="6" t="n"/>
      <c r="B84" s="8" t="n"/>
      <c r="C84" s="8" t="n"/>
      <c r="D84" s="5">
        <f>IF(C84="","",IFERROR(INDEX('_lister'!$B$2:$B$62,MATCH(C84,'_lister'!$A$2:$A$62,0)),""))</f>
        <v/>
      </c>
      <c r="E84" s="8" t="n"/>
      <c r="F84" s="6" t="n"/>
      <c r="G84" s="8" t="n"/>
      <c r="H84" s="5">
        <f>IF(A84="","",A84&amp;" "&amp;B84)</f>
        <v/>
      </c>
    </row>
    <row r="85">
      <c r="A85" s="6" t="n"/>
      <c r="B85" s="8" t="n"/>
      <c r="C85" s="8" t="n"/>
      <c r="D85" s="5">
        <f>IF(C85="","",IFERROR(INDEX('_lister'!$B$2:$B$62,MATCH(C85,'_lister'!$A$2:$A$62,0)),""))</f>
        <v/>
      </c>
      <c r="E85" s="8" t="n"/>
      <c r="F85" s="6" t="n"/>
      <c r="G85" s="8" t="n"/>
      <c r="H85" s="5">
        <f>IF(A85="","",A85&amp;" "&amp;B85)</f>
        <v/>
      </c>
    </row>
    <row r="86">
      <c r="A86" s="6" t="n"/>
      <c r="B86" s="8" t="n"/>
      <c r="C86" s="8" t="n"/>
      <c r="D86" s="5">
        <f>IF(C86="","",IFERROR(INDEX('_lister'!$B$2:$B$62,MATCH(C86,'_lister'!$A$2:$A$62,0)),""))</f>
        <v/>
      </c>
      <c r="E86" s="8" t="n"/>
      <c r="F86" s="6" t="n"/>
      <c r="G86" s="8" t="n"/>
      <c r="H86" s="5">
        <f>IF(A86="","",A86&amp;" "&amp;B86)</f>
        <v/>
      </c>
    </row>
    <row r="87">
      <c r="A87" s="6" t="n"/>
      <c r="B87" s="8" t="n"/>
      <c r="C87" s="8" t="n"/>
      <c r="D87" s="5">
        <f>IF(C87="","",IFERROR(INDEX('_lister'!$B$2:$B$62,MATCH(C87,'_lister'!$A$2:$A$62,0)),""))</f>
        <v/>
      </c>
      <c r="E87" s="8" t="n"/>
      <c r="F87" s="6" t="n"/>
      <c r="G87" s="8" t="n"/>
      <c r="H87" s="5">
        <f>IF(A87="","",A87&amp;" "&amp;B87)</f>
        <v/>
      </c>
    </row>
    <row r="88">
      <c r="A88" s="6" t="n"/>
      <c r="B88" s="8" t="n"/>
      <c r="C88" s="8" t="n"/>
      <c r="D88" s="5">
        <f>IF(C88="","",IFERROR(INDEX('_lister'!$B$2:$B$62,MATCH(C88,'_lister'!$A$2:$A$62,0)),""))</f>
        <v/>
      </c>
      <c r="E88" s="8" t="n"/>
      <c r="F88" s="6" t="n"/>
      <c r="G88" s="8" t="n"/>
      <c r="H88" s="5">
        <f>IF(A88="","",A88&amp;" "&amp;B88)</f>
        <v/>
      </c>
    </row>
    <row r="89">
      <c r="A89" s="6" t="n"/>
      <c r="B89" s="8" t="n"/>
      <c r="C89" s="8" t="n"/>
      <c r="D89" s="5">
        <f>IF(C89="","",IFERROR(INDEX('_lister'!$B$2:$B$62,MATCH(C89,'_lister'!$A$2:$A$62,0)),""))</f>
        <v/>
      </c>
      <c r="E89" s="8" t="n"/>
      <c r="F89" s="6" t="n"/>
      <c r="G89" s="8" t="n"/>
      <c r="H89" s="5">
        <f>IF(A89="","",A89&amp;" "&amp;B89)</f>
        <v/>
      </c>
    </row>
    <row r="90">
      <c r="A90" s="6" t="n"/>
      <c r="B90" s="8" t="n"/>
      <c r="C90" s="8" t="n"/>
      <c r="D90" s="5">
        <f>IF(C90="","",IFERROR(INDEX('_lister'!$B$2:$B$62,MATCH(C90,'_lister'!$A$2:$A$62,0)),""))</f>
        <v/>
      </c>
      <c r="E90" s="8" t="n"/>
      <c r="F90" s="6" t="n"/>
      <c r="G90" s="8" t="n"/>
      <c r="H90" s="5">
        <f>IF(A90="","",A90&amp;" "&amp;B90)</f>
        <v/>
      </c>
    </row>
    <row r="91">
      <c r="A91" s="6" t="n"/>
      <c r="B91" s="8" t="n"/>
      <c r="C91" s="8" t="n"/>
      <c r="D91" s="5">
        <f>IF(C91="","",IFERROR(INDEX('_lister'!$B$2:$B$62,MATCH(C91,'_lister'!$A$2:$A$62,0)),""))</f>
        <v/>
      </c>
      <c r="E91" s="8" t="n"/>
      <c r="F91" s="6" t="n"/>
      <c r="G91" s="8" t="n"/>
      <c r="H91" s="5">
        <f>IF(A91="","",A91&amp;" "&amp;B91)</f>
        <v/>
      </c>
    </row>
    <row r="92">
      <c r="A92" s="6" t="n"/>
      <c r="B92" s="8" t="n"/>
      <c r="C92" s="8" t="n"/>
      <c r="D92" s="5">
        <f>IF(C92="","",IFERROR(INDEX('_lister'!$B$2:$B$62,MATCH(C92,'_lister'!$A$2:$A$62,0)),""))</f>
        <v/>
      </c>
      <c r="E92" s="8" t="n"/>
      <c r="F92" s="6" t="n"/>
      <c r="G92" s="8" t="n"/>
      <c r="H92" s="5">
        <f>IF(A92="","",A92&amp;" "&amp;B92)</f>
        <v/>
      </c>
    </row>
    <row r="93">
      <c r="A93" s="6" t="n"/>
      <c r="B93" s="8" t="n"/>
      <c r="C93" s="8" t="n"/>
      <c r="D93" s="5">
        <f>IF(C93="","",IFERROR(INDEX('_lister'!$B$2:$B$62,MATCH(C93,'_lister'!$A$2:$A$62,0)),""))</f>
        <v/>
      </c>
      <c r="E93" s="8" t="n"/>
      <c r="F93" s="6" t="n"/>
      <c r="G93" s="8" t="n"/>
      <c r="H93" s="5">
        <f>IF(A93="","",A93&amp;" "&amp;B93)</f>
        <v/>
      </c>
    </row>
    <row r="94">
      <c r="A94" s="6" t="n"/>
      <c r="B94" s="8" t="n"/>
      <c r="C94" s="8" t="n"/>
      <c r="D94" s="5">
        <f>IF(C94="","",IFERROR(INDEX('_lister'!$B$2:$B$62,MATCH(C94,'_lister'!$A$2:$A$62,0)),""))</f>
        <v/>
      </c>
      <c r="E94" s="8" t="n"/>
      <c r="F94" s="6" t="n"/>
      <c r="G94" s="8" t="n"/>
      <c r="H94" s="5">
        <f>IF(A94="","",A94&amp;" "&amp;B94)</f>
        <v/>
      </c>
    </row>
    <row r="95">
      <c r="A95" s="6" t="n"/>
      <c r="B95" s="8" t="n"/>
      <c r="C95" s="8" t="n"/>
      <c r="D95" s="5">
        <f>IF(C95="","",IFERROR(INDEX('_lister'!$B$2:$B$62,MATCH(C95,'_lister'!$A$2:$A$62,0)),""))</f>
        <v/>
      </c>
      <c r="E95" s="8" t="n"/>
      <c r="F95" s="6" t="n"/>
      <c r="G95" s="8" t="n"/>
      <c r="H95" s="5">
        <f>IF(A95="","",A95&amp;" "&amp;B95)</f>
        <v/>
      </c>
    </row>
    <row r="96">
      <c r="A96" s="6" t="n"/>
      <c r="B96" s="8" t="n"/>
      <c r="C96" s="8" t="n"/>
      <c r="D96" s="5">
        <f>IF(C96="","",IFERROR(INDEX('_lister'!$B$2:$B$62,MATCH(C96,'_lister'!$A$2:$A$62,0)),""))</f>
        <v/>
      </c>
      <c r="E96" s="8" t="n"/>
      <c r="F96" s="6" t="n"/>
      <c r="G96" s="8" t="n"/>
      <c r="H96" s="5">
        <f>IF(A96="","",A96&amp;" "&amp;B96)</f>
        <v/>
      </c>
    </row>
    <row r="97">
      <c r="A97" s="6" t="n"/>
      <c r="B97" s="8" t="n"/>
      <c r="C97" s="8" t="n"/>
      <c r="D97" s="5">
        <f>IF(C97="","",IFERROR(INDEX('_lister'!$B$2:$B$62,MATCH(C97,'_lister'!$A$2:$A$62,0)),""))</f>
        <v/>
      </c>
      <c r="E97" s="8" t="n"/>
      <c r="F97" s="6" t="n"/>
      <c r="G97" s="8" t="n"/>
      <c r="H97" s="5">
        <f>IF(A97="","",A97&amp;" "&amp;B97)</f>
        <v/>
      </c>
    </row>
    <row r="98">
      <c r="A98" s="6" t="n"/>
      <c r="B98" s="8" t="n"/>
      <c r="C98" s="8" t="n"/>
      <c r="D98" s="5">
        <f>IF(C98="","",IFERROR(INDEX('_lister'!$B$2:$B$62,MATCH(C98,'_lister'!$A$2:$A$62,0)),""))</f>
        <v/>
      </c>
      <c r="E98" s="8" t="n"/>
      <c r="F98" s="6" t="n"/>
      <c r="G98" s="8" t="n"/>
      <c r="H98" s="5">
        <f>IF(A98="","",A98&amp;" "&amp;B98)</f>
        <v/>
      </c>
    </row>
    <row r="99">
      <c r="A99" s="6" t="n"/>
      <c r="B99" s="8" t="n"/>
      <c r="C99" s="8" t="n"/>
      <c r="D99" s="5">
        <f>IF(C99="","",IFERROR(INDEX('_lister'!$B$2:$B$62,MATCH(C99,'_lister'!$A$2:$A$62,0)),""))</f>
        <v/>
      </c>
      <c r="E99" s="8" t="n"/>
      <c r="F99" s="6" t="n"/>
      <c r="G99" s="8" t="n"/>
      <c r="H99" s="5">
        <f>IF(A99="","",A99&amp;" "&amp;B99)</f>
        <v/>
      </c>
    </row>
    <row r="100">
      <c r="A100" s="6" t="n"/>
      <c r="B100" s="8" t="n"/>
      <c r="C100" s="8" t="n"/>
      <c r="D100" s="5">
        <f>IF(C100="","",IFERROR(INDEX('_lister'!$B$2:$B$62,MATCH(C100,'_lister'!$A$2:$A$62,0)),""))</f>
        <v/>
      </c>
      <c r="E100" s="8" t="n"/>
      <c r="F100" s="6" t="n"/>
      <c r="G100" s="8" t="n"/>
      <c r="H100" s="5">
        <f>IF(A100="","",A100&amp;" "&amp;B100)</f>
        <v/>
      </c>
    </row>
    <row r="101">
      <c r="A101" s="6" t="n"/>
      <c r="B101" s="8" t="n"/>
      <c r="C101" s="8" t="n"/>
      <c r="D101" s="5">
        <f>IF(C101="","",IFERROR(INDEX('_lister'!$B$2:$B$62,MATCH(C101,'_lister'!$A$2:$A$62,0)),""))</f>
        <v/>
      </c>
      <c r="E101" s="8" t="n"/>
      <c r="F101" s="6" t="n"/>
      <c r="G101" s="8" t="n"/>
      <c r="H101" s="5">
        <f>IF(A101="","",A101&amp;" "&amp;B101)</f>
        <v/>
      </c>
    </row>
    <row r="102">
      <c r="A102" s="6" t="n"/>
      <c r="B102" s="8" t="n"/>
      <c r="C102" s="8" t="n"/>
      <c r="D102" s="5">
        <f>IF(C102="","",IFERROR(INDEX('_lister'!$B$2:$B$62,MATCH(C102,'_lister'!$A$2:$A$62,0)),""))</f>
        <v/>
      </c>
      <c r="E102" s="8" t="n"/>
      <c r="F102" s="6" t="n"/>
      <c r="G102" s="8" t="n"/>
      <c r="H102" s="5">
        <f>IF(A102="","",A102&amp;" "&amp;B102)</f>
        <v/>
      </c>
    </row>
    <row r="103">
      <c r="A103" s="6" t="n"/>
      <c r="B103" s="8" t="n"/>
      <c r="C103" s="8" t="n"/>
      <c r="D103" s="5">
        <f>IF(C103="","",IFERROR(INDEX('_lister'!$B$2:$B$62,MATCH(C103,'_lister'!$A$2:$A$62,0)),""))</f>
        <v/>
      </c>
      <c r="E103" s="8" t="n"/>
      <c r="F103" s="6" t="n"/>
      <c r="G103" s="8" t="n"/>
      <c r="H103" s="5">
        <f>IF(A103="","",A103&amp;" "&amp;B103)</f>
        <v/>
      </c>
    </row>
    <row r="104">
      <c r="A104" s="6" t="n"/>
      <c r="B104" s="8" t="n"/>
      <c r="C104" s="8" t="n"/>
      <c r="D104" s="5">
        <f>IF(C104="","",IFERROR(INDEX('_lister'!$B$2:$B$62,MATCH(C104,'_lister'!$A$2:$A$62,0)),""))</f>
        <v/>
      </c>
      <c r="E104" s="8" t="n"/>
      <c r="F104" s="6" t="n"/>
      <c r="G104" s="8" t="n"/>
      <c r="H104" s="5">
        <f>IF(A104="","",A104&amp;" "&amp;B104)</f>
        <v/>
      </c>
    </row>
    <row r="105">
      <c r="A105" s="6" t="n"/>
      <c r="B105" s="8" t="n"/>
      <c r="C105" s="8" t="n"/>
      <c r="D105" s="5">
        <f>IF(C105="","",IFERROR(INDEX('_lister'!$B$2:$B$62,MATCH(C105,'_lister'!$A$2:$A$62,0)),""))</f>
        <v/>
      </c>
      <c r="E105" s="8" t="n"/>
      <c r="F105" s="6" t="n"/>
      <c r="G105" s="8" t="n"/>
      <c r="H105" s="5">
        <f>IF(A105="","",A105&amp;" "&amp;B105)</f>
        <v/>
      </c>
    </row>
    <row r="106">
      <c r="A106" s="6" t="n"/>
      <c r="B106" s="8" t="n"/>
      <c r="C106" s="8" t="n"/>
      <c r="D106" s="5">
        <f>IF(C106="","",IFERROR(INDEX('_lister'!$B$2:$B$62,MATCH(C106,'_lister'!$A$2:$A$62,0)),""))</f>
        <v/>
      </c>
      <c r="E106" s="8" t="n"/>
      <c r="F106" s="6" t="n"/>
      <c r="G106" s="8" t="n"/>
      <c r="H106" s="5">
        <f>IF(A106="","",A106&amp;" "&amp;B106)</f>
        <v/>
      </c>
    </row>
    <row r="107">
      <c r="A107" s="6" t="n"/>
      <c r="B107" s="8" t="n"/>
      <c r="C107" s="8" t="n"/>
      <c r="D107" s="5">
        <f>IF(C107="","",IFERROR(INDEX('_lister'!$B$2:$B$62,MATCH(C107,'_lister'!$A$2:$A$62,0)),""))</f>
        <v/>
      </c>
      <c r="E107" s="8" t="n"/>
      <c r="F107" s="6" t="n"/>
      <c r="G107" s="8" t="n"/>
      <c r="H107" s="5">
        <f>IF(A107="","",A107&amp;" "&amp;B107)</f>
        <v/>
      </c>
    </row>
    <row r="108">
      <c r="A108" s="6" t="n"/>
      <c r="B108" s="8" t="n"/>
      <c r="C108" s="8" t="n"/>
      <c r="D108" s="5">
        <f>IF(C108="","",IFERROR(INDEX('_lister'!$B$2:$B$62,MATCH(C108,'_lister'!$A$2:$A$62,0)),""))</f>
        <v/>
      </c>
      <c r="E108" s="8" t="n"/>
      <c r="F108" s="6" t="n"/>
      <c r="G108" s="8" t="n"/>
      <c r="H108" s="5">
        <f>IF(A108="","",A108&amp;" "&amp;B108)</f>
        <v/>
      </c>
    </row>
    <row r="109">
      <c r="A109" s="6" t="n"/>
      <c r="B109" s="8" t="n"/>
      <c r="C109" s="8" t="n"/>
      <c r="D109" s="5">
        <f>IF(C109="","",IFERROR(INDEX('_lister'!$B$2:$B$62,MATCH(C109,'_lister'!$A$2:$A$62,0)),""))</f>
        <v/>
      </c>
      <c r="E109" s="8" t="n"/>
      <c r="F109" s="6" t="n"/>
      <c r="G109" s="8" t="n"/>
      <c r="H109" s="5">
        <f>IF(A109="","",A109&amp;" "&amp;B109)</f>
        <v/>
      </c>
    </row>
    <row r="110">
      <c r="A110" s="6" t="n"/>
      <c r="B110" s="8" t="n"/>
      <c r="C110" s="8" t="n"/>
      <c r="D110" s="5">
        <f>IF(C110="","",IFERROR(INDEX('_lister'!$B$2:$B$62,MATCH(C110,'_lister'!$A$2:$A$62,0)),""))</f>
        <v/>
      </c>
      <c r="E110" s="8" t="n"/>
      <c r="F110" s="6" t="n"/>
      <c r="G110" s="8" t="n"/>
      <c r="H110" s="5">
        <f>IF(A110="","",A110&amp;" "&amp;B110)</f>
        <v/>
      </c>
    </row>
    <row r="111">
      <c r="A111" s="6" t="n"/>
      <c r="B111" s="8" t="n"/>
      <c r="C111" s="8" t="n"/>
      <c r="D111" s="5">
        <f>IF(C111="","",IFERROR(INDEX('_lister'!$B$2:$B$62,MATCH(C111,'_lister'!$A$2:$A$62,0)),""))</f>
        <v/>
      </c>
      <c r="E111" s="8" t="n"/>
      <c r="F111" s="6" t="n"/>
      <c r="G111" s="8" t="n"/>
      <c r="H111" s="5">
        <f>IF(A111="","",A111&amp;" "&amp;B111)</f>
        <v/>
      </c>
    </row>
    <row r="112">
      <c r="A112" s="6" t="n"/>
      <c r="B112" s="8" t="n"/>
      <c r="C112" s="8" t="n"/>
      <c r="D112" s="5">
        <f>IF(C112="","",IFERROR(INDEX('_lister'!$B$2:$B$62,MATCH(C112,'_lister'!$A$2:$A$62,0)),""))</f>
        <v/>
      </c>
      <c r="E112" s="8" t="n"/>
      <c r="F112" s="6" t="n"/>
      <c r="G112" s="8" t="n"/>
      <c r="H112" s="5">
        <f>IF(A112="","",A112&amp;" "&amp;B112)</f>
        <v/>
      </c>
    </row>
    <row r="113">
      <c r="A113" s="6" t="n"/>
      <c r="B113" s="8" t="n"/>
      <c r="C113" s="8" t="n"/>
      <c r="D113" s="5">
        <f>IF(C113="","",IFERROR(INDEX('_lister'!$B$2:$B$62,MATCH(C113,'_lister'!$A$2:$A$62,0)),""))</f>
        <v/>
      </c>
      <c r="E113" s="8" t="n"/>
      <c r="F113" s="6" t="n"/>
      <c r="G113" s="8" t="n"/>
      <c r="H113" s="5">
        <f>IF(A113="","",A113&amp;" "&amp;B113)</f>
        <v/>
      </c>
    </row>
    <row r="114">
      <c r="A114" s="6" t="n"/>
      <c r="B114" s="8" t="n"/>
      <c r="C114" s="8" t="n"/>
      <c r="D114" s="5">
        <f>IF(C114="","",IFERROR(INDEX('_lister'!$B$2:$B$62,MATCH(C114,'_lister'!$A$2:$A$62,0)),""))</f>
        <v/>
      </c>
      <c r="E114" s="8" t="n"/>
      <c r="F114" s="6" t="n"/>
      <c r="G114" s="8" t="n"/>
      <c r="H114" s="5">
        <f>IF(A114="","",A114&amp;" "&amp;B114)</f>
        <v/>
      </c>
    </row>
    <row r="115">
      <c r="A115" s="6" t="n"/>
      <c r="B115" s="8" t="n"/>
      <c r="C115" s="8" t="n"/>
      <c r="D115" s="5">
        <f>IF(C115="","",IFERROR(INDEX('_lister'!$B$2:$B$62,MATCH(C115,'_lister'!$A$2:$A$62,0)),""))</f>
        <v/>
      </c>
      <c r="E115" s="8" t="n"/>
      <c r="F115" s="6" t="n"/>
      <c r="G115" s="8" t="n"/>
      <c r="H115" s="5">
        <f>IF(A115="","",A115&amp;" "&amp;B115)</f>
        <v/>
      </c>
    </row>
    <row r="116">
      <c r="A116" s="6" t="n"/>
      <c r="B116" s="8" t="n"/>
      <c r="C116" s="8" t="n"/>
      <c r="D116" s="5">
        <f>IF(C116="","",IFERROR(INDEX('_lister'!$B$2:$B$62,MATCH(C116,'_lister'!$A$2:$A$62,0)),""))</f>
        <v/>
      </c>
      <c r="E116" s="8" t="n"/>
      <c r="F116" s="6" t="n"/>
      <c r="G116" s="8" t="n"/>
      <c r="H116" s="5">
        <f>IF(A116="","",A116&amp;" "&amp;B116)</f>
        <v/>
      </c>
    </row>
    <row r="117">
      <c r="A117" s="6" t="n"/>
      <c r="B117" s="8" t="n"/>
      <c r="C117" s="8" t="n"/>
      <c r="D117" s="5">
        <f>IF(C117="","",IFERROR(INDEX('_lister'!$B$2:$B$62,MATCH(C117,'_lister'!$A$2:$A$62,0)),""))</f>
        <v/>
      </c>
      <c r="E117" s="8" t="n"/>
      <c r="F117" s="6" t="n"/>
      <c r="G117" s="8" t="n"/>
      <c r="H117" s="5">
        <f>IF(A117="","",A117&amp;" "&amp;B117)</f>
        <v/>
      </c>
    </row>
    <row r="118">
      <c r="A118" s="6" t="n"/>
      <c r="B118" s="8" t="n"/>
      <c r="C118" s="8" t="n"/>
      <c r="D118" s="5">
        <f>IF(C118="","",IFERROR(INDEX('_lister'!$B$2:$B$62,MATCH(C118,'_lister'!$A$2:$A$62,0)),""))</f>
        <v/>
      </c>
      <c r="E118" s="8" t="n"/>
      <c r="F118" s="6" t="n"/>
      <c r="G118" s="8" t="n"/>
      <c r="H118" s="5">
        <f>IF(A118="","",A118&amp;" "&amp;B118)</f>
        <v/>
      </c>
    </row>
    <row r="119">
      <c r="A119" s="6" t="n"/>
      <c r="B119" s="8" t="n"/>
      <c r="C119" s="8" t="n"/>
      <c r="D119" s="5">
        <f>IF(C119="","",IFERROR(INDEX('_lister'!$B$2:$B$62,MATCH(C119,'_lister'!$A$2:$A$62,0)),""))</f>
        <v/>
      </c>
      <c r="E119" s="8" t="n"/>
      <c r="F119" s="6" t="n"/>
      <c r="G119" s="8" t="n"/>
      <c r="H119" s="5">
        <f>IF(A119="","",A119&amp;" "&amp;B119)</f>
        <v/>
      </c>
    </row>
    <row r="120">
      <c r="A120" s="6" t="n"/>
      <c r="B120" s="8" t="n"/>
      <c r="C120" s="8" t="n"/>
      <c r="D120" s="5">
        <f>IF(C120="","",IFERROR(INDEX('_lister'!$B$2:$B$62,MATCH(C120,'_lister'!$A$2:$A$62,0)),""))</f>
        <v/>
      </c>
      <c r="E120" s="8" t="n"/>
      <c r="F120" s="6" t="n"/>
      <c r="G120" s="8" t="n"/>
      <c r="H120" s="5">
        <f>IF(A120="","",A120&amp;" "&amp;B120)</f>
        <v/>
      </c>
    </row>
    <row r="121">
      <c r="A121" s="6" t="n"/>
      <c r="B121" s="8" t="n"/>
      <c r="C121" s="8" t="n"/>
      <c r="D121" s="5">
        <f>IF(C121="","",IFERROR(INDEX('_lister'!$B$2:$B$62,MATCH(C121,'_lister'!$A$2:$A$62,0)),""))</f>
        <v/>
      </c>
      <c r="E121" s="8" t="n"/>
      <c r="F121" s="6" t="n"/>
      <c r="G121" s="8" t="n"/>
      <c r="H121" s="5">
        <f>IF(A121="","",A121&amp;" "&amp;B121)</f>
        <v/>
      </c>
    </row>
    <row r="122">
      <c r="A122" s="6" t="n"/>
      <c r="B122" s="8" t="n"/>
      <c r="C122" s="8" t="n"/>
      <c r="D122" s="5">
        <f>IF(C122="","",IFERROR(INDEX('_lister'!$B$2:$B$62,MATCH(C122,'_lister'!$A$2:$A$62,0)),""))</f>
        <v/>
      </c>
      <c r="E122" s="8" t="n"/>
      <c r="F122" s="6" t="n"/>
      <c r="G122" s="8" t="n"/>
      <c r="H122" s="5">
        <f>IF(A122="","",A122&amp;" "&amp;B122)</f>
        <v/>
      </c>
    </row>
    <row r="123">
      <c r="A123" s="6" t="n"/>
      <c r="B123" s="8" t="n"/>
      <c r="C123" s="8" t="n"/>
      <c r="D123" s="5">
        <f>IF(C123="","",IFERROR(INDEX('_lister'!$B$2:$B$62,MATCH(C123,'_lister'!$A$2:$A$62,0)),""))</f>
        <v/>
      </c>
      <c r="E123" s="8" t="n"/>
      <c r="F123" s="6" t="n"/>
      <c r="G123" s="8" t="n"/>
      <c r="H123" s="5">
        <f>IF(A123="","",A123&amp;" "&amp;B123)</f>
        <v/>
      </c>
    </row>
    <row r="124">
      <c r="A124" s="6" t="n"/>
      <c r="B124" s="8" t="n"/>
      <c r="C124" s="8" t="n"/>
      <c r="D124" s="5">
        <f>IF(C124="","",IFERROR(INDEX('_lister'!$B$2:$B$62,MATCH(C124,'_lister'!$A$2:$A$62,0)),""))</f>
        <v/>
      </c>
      <c r="E124" s="8" t="n"/>
      <c r="F124" s="6" t="n"/>
      <c r="G124" s="8" t="n"/>
      <c r="H124" s="5">
        <f>IF(A124="","",A124&amp;" "&amp;B124)</f>
        <v/>
      </c>
    </row>
    <row r="125">
      <c r="A125" s="6" t="n"/>
      <c r="B125" s="8" t="n"/>
      <c r="C125" s="8" t="n"/>
      <c r="D125" s="5">
        <f>IF(C125="","",IFERROR(INDEX('_lister'!$B$2:$B$62,MATCH(C125,'_lister'!$A$2:$A$62,0)),""))</f>
        <v/>
      </c>
      <c r="E125" s="8" t="n"/>
      <c r="F125" s="6" t="n"/>
      <c r="G125" s="8" t="n"/>
      <c r="H125" s="5">
        <f>IF(A125="","",A125&amp;" "&amp;B125)</f>
        <v/>
      </c>
    </row>
    <row r="126">
      <c r="A126" s="6" t="n"/>
      <c r="B126" s="8" t="n"/>
      <c r="C126" s="8" t="n"/>
      <c r="D126" s="5">
        <f>IF(C126="","",IFERROR(INDEX('_lister'!$B$2:$B$62,MATCH(C126,'_lister'!$A$2:$A$62,0)),""))</f>
        <v/>
      </c>
      <c r="E126" s="8" t="n"/>
      <c r="F126" s="6" t="n"/>
      <c r="G126" s="8" t="n"/>
      <c r="H126" s="5">
        <f>IF(A126="","",A126&amp;" "&amp;B126)</f>
        <v/>
      </c>
    </row>
    <row r="127">
      <c r="A127" s="6" t="n"/>
      <c r="B127" s="8" t="n"/>
      <c r="C127" s="8" t="n"/>
      <c r="D127" s="5">
        <f>IF(C127="","",IFERROR(INDEX('_lister'!$B$2:$B$62,MATCH(C127,'_lister'!$A$2:$A$62,0)),""))</f>
        <v/>
      </c>
      <c r="E127" s="8" t="n"/>
      <c r="F127" s="6" t="n"/>
      <c r="G127" s="8" t="n"/>
      <c r="H127" s="5">
        <f>IF(A127="","",A127&amp;" "&amp;B127)</f>
        <v/>
      </c>
    </row>
    <row r="128">
      <c r="A128" s="6" t="n"/>
      <c r="B128" s="8" t="n"/>
      <c r="C128" s="8" t="n"/>
      <c r="D128" s="5">
        <f>IF(C128="","",IFERROR(INDEX('_lister'!$B$2:$B$62,MATCH(C128,'_lister'!$A$2:$A$62,0)),""))</f>
        <v/>
      </c>
      <c r="E128" s="8" t="n"/>
      <c r="F128" s="6" t="n"/>
      <c r="G128" s="8" t="n"/>
      <c r="H128" s="5">
        <f>IF(A128="","",A128&amp;" "&amp;B128)</f>
        <v/>
      </c>
    </row>
    <row r="129">
      <c r="A129" s="6" t="n"/>
      <c r="B129" s="8" t="n"/>
      <c r="C129" s="8" t="n"/>
      <c r="D129" s="5">
        <f>IF(C129="","",IFERROR(INDEX('_lister'!$B$2:$B$62,MATCH(C129,'_lister'!$A$2:$A$62,0)),""))</f>
        <v/>
      </c>
      <c r="E129" s="8" t="n"/>
      <c r="F129" s="6" t="n"/>
      <c r="G129" s="8" t="n"/>
      <c r="H129" s="5">
        <f>IF(A129="","",A129&amp;" "&amp;B129)</f>
        <v/>
      </c>
    </row>
    <row r="130">
      <c r="A130" s="6" t="n"/>
      <c r="B130" s="8" t="n"/>
      <c r="C130" s="8" t="n"/>
      <c r="D130" s="5">
        <f>IF(C130="","",IFERROR(INDEX('_lister'!$B$2:$B$62,MATCH(C130,'_lister'!$A$2:$A$62,0)),""))</f>
        <v/>
      </c>
      <c r="E130" s="8" t="n"/>
      <c r="F130" s="6" t="n"/>
      <c r="G130" s="8" t="n"/>
      <c r="H130" s="5">
        <f>IF(A130="","",A130&amp;" "&amp;B130)</f>
        <v/>
      </c>
    </row>
    <row r="131">
      <c r="A131" s="6" t="n"/>
      <c r="B131" s="8" t="n"/>
      <c r="C131" s="8" t="n"/>
      <c r="D131" s="5">
        <f>IF(C131="","",IFERROR(INDEX('_lister'!$B$2:$B$62,MATCH(C131,'_lister'!$A$2:$A$62,0)),""))</f>
        <v/>
      </c>
      <c r="E131" s="8" t="n"/>
      <c r="F131" s="6" t="n"/>
      <c r="G131" s="8" t="n"/>
      <c r="H131" s="5">
        <f>IF(A131="","",A131&amp;" "&amp;B131)</f>
        <v/>
      </c>
    </row>
    <row r="132">
      <c r="A132" s="6" t="n"/>
      <c r="B132" s="8" t="n"/>
      <c r="C132" s="8" t="n"/>
      <c r="D132" s="5">
        <f>IF(C132="","",IFERROR(INDEX('_lister'!$B$2:$B$62,MATCH(C132,'_lister'!$A$2:$A$62,0)),""))</f>
        <v/>
      </c>
      <c r="E132" s="8" t="n"/>
      <c r="F132" s="6" t="n"/>
      <c r="G132" s="8" t="n"/>
      <c r="H132" s="5">
        <f>IF(A132="","",A132&amp;" "&amp;B132)</f>
        <v/>
      </c>
    </row>
    <row r="133">
      <c r="A133" s="6" t="n"/>
      <c r="B133" s="8" t="n"/>
      <c r="C133" s="8" t="n"/>
      <c r="D133" s="5">
        <f>IF(C133="","",IFERROR(INDEX('_lister'!$B$2:$B$62,MATCH(C133,'_lister'!$A$2:$A$62,0)),""))</f>
        <v/>
      </c>
      <c r="E133" s="8" t="n"/>
      <c r="F133" s="6" t="n"/>
      <c r="G133" s="8" t="n"/>
      <c r="H133" s="5">
        <f>IF(A133="","",A133&amp;" "&amp;B133)</f>
        <v/>
      </c>
    </row>
    <row r="134">
      <c r="A134" s="6" t="n"/>
      <c r="B134" s="8" t="n"/>
      <c r="C134" s="8" t="n"/>
      <c r="D134" s="5">
        <f>IF(C134="","",IFERROR(INDEX('_lister'!$B$2:$B$62,MATCH(C134,'_lister'!$A$2:$A$62,0)),""))</f>
        <v/>
      </c>
      <c r="E134" s="8" t="n"/>
      <c r="F134" s="6" t="n"/>
      <c r="G134" s="8" t="n"/>
      <c r="H134" s="5">
        <f>IF(A134="","",A134&amp;" "&amp;B134)</f>
        <v/>
      </c>
    </row>
    <row r="135">
      <c r="A135" s="6" t="n"/>
      <c r="B135" s="8" t="n"/>
      <c r="C135" s="8" t="n"/>
      <c r="D135" s="5">
        <f>IF(C135="","",IFERROR(INDEX('_lister'!$B$2:$B$62,MATCH(C135,'_lister'!$A$2:$A$62,0)),""))</f>
        <v/>
      </c>
      <c r="E135" s="8" t="n"/>
      <c r="F135" s="6" t="n"/>
      <c r="G135" s="8" t="n"/>
      <c r="H135" s="5">
        <f>IF(A135="","",A135&amp;" "&amp;B135)</f>
        <v/>
      </c>
    </row>
    <row r="136">
      <c r="A136" s="6" t="n"/>
      <c r="B136" s="8" t="n"/>
      <c r="C136" s="8" t="n"/>
      <c r="D136" s="5">
        <f>IF(C136="","",IFERROR(INDEX('_lister'!$B$2:$B$62,MATCH(C136,'_lister'!$A$2:$A$62,0)),""))</f>
        <v/>
      </c>
      <c r="E136" s="8" t="n"/>
      <c r="F136" s="6" t="n"/>
      <c r="G136" s="8" t="n"/>
      <c r="H136" s="5">
        <f>IF(A136="","",A136&amp;" "&amp;B136)</f>
        <v/>
      </c>
    </row>
    <row r="137">
      <c r="A137" s="6" t="n"/>
      <c r="B137" s="8" t="n"/>
      <c r="C137" s="8" t="n"/>
      <c r="D137" s="5">
        <f>IF(C137="","",IFERROR(INDEX('_lister'!$B$2:$B$62,MATCH(C137,'_lister'!$A$2:$A$62,0)),""))</f>
        <v/>
      </c>
      <c r="E137" s="8" t="n"/>
      <c r="F137" s="6" t="n"/>
      <c r="G137" s="8" t="n"/>
      <c r="H137" s="5">
        <f>IF(A137="","",A137&amp;" "&amp;B137)</f>
        <v/>
      </c>
    </row>
    <row r="138">
      <c r="A138" s="6" t="n"/>
      <c r="B138" s="8" t="n"/>
      <c r="C138" s="8" t="n"/>
      <c r="D138" s="5">
        <f>IF(C138="","",IFERROR(INDEX('_lister'!$B$2:$B$62,MATCH(C138,'_lister'!$A$2:$A$62,0)),""))</f>
        <v/>
      </c>
      <c r="E138" s="8" t="n"/>
      <c r="F138" s="6" t="n"/>
      <c r="G138" s="8" t="n"/>
      <c r="H138" s="5">
        <f>IF(A138="","",A138&amp;" "&amp;B138)</f>
        <v/>
      </c>
    </row>
    <row r="139">
      <c r="A139" s="6" t="n"/>
      <c r="B139" s="8" t="n"/>
      <c r="C139" s="8" t="n"/>
      <c r="D139" s="5">
        <f>IF(C139="","",IFERROR(INDEX('_lister'!$B$2:$B$62,MATCH(C139,'_lister'!$A$2:$A$62,0)),""))</f>
        <v/>
      </c>
      <c r="E139" s="8" t="n"/>
      <c r="F139" s="6" t="n"/>
      <c r="G139" s="8" t="n"/>
      <c r="H139" s="5">
        <f>IF(A139="","",A139&amp;" "&amp;B139)</f>
        <v/>
      </c>
    </row>
    <row r="140">
      <c r="A140" s="6" t="n"/>
      <c r="B140" s="8" t="n"/>
      <c r="C140" s="8" t="n"/>
      <c r="D140" s="5">
        <f>IF(C140="","",IFERROR(INDEX('_lister'!$B$2:$B$62,MATCH(C140,'_lister'!$A$2:$A$62,0)),""))</f>
        <v/>
      </c>
      <c r="E140" s="8" t="n"/>
      <c r="F140" s="6" t="n"/>
      <c r="G140" s="8" t="n"/>
      <c r="H140" s="5">
        <f>IF(A140="","",A140&amp;" "&amp;B140)</f>
        <v/>
      </c>
    </row>
    <row r="141">
      <c r="A141" s="6" t="n"/>
      <c r="B141" s="8" t="n"/>
      <c r="C141" s="8" t="n"/>
      <c r="D141" s="5">
        <f>IF(C141="","",IFERROR(INDEX('_lister'!$B$2:$B$62,MATCH(C141,'_lister'!$A$2:$A$62,0)),""))</f>
        <v/>
      </c>
      <c r="E141" s="8" t="n"/>
      <c r="F141" s="6" t="n"/>
      <c r="G141" s="8" t="n"/>
      <c r="H141" s="5">
        <f>IF(A141="","",A141&amp;" "&amp;B141)</f>
        <v/>
      </c>
    </row>
    <row r="142">
      <c r="A142" s="6" t="n"/>
      <c r="B142" s="8" t="n"/>
      <c r="C142" s="8" t="n"/>
      <c r="D142" s="5">
        <f>IF(C142="","",IFERROR(INDEX('_lister'!$B$2:$B$62,MATCH(C142,'_lister'!$A$2:$A$62,0)),""))</f>
        <v/>
      </c>
      <c r="E142" s="8" t="n"/>
      <c r="F142" s="6" t="n"/>
      <c r="G142" s="8" t="n"/>
      <c r="H142" s="5">
        <f>IF(A142="","",A142&amp;" "&amp;B142)</f>
        <v/>
      </c>
    </row>
    <row r="143">
      <c r="A143" s="6" t="n"/>
      <c r="B143" s="8" t="n"/>
      <c r="C143" s="8" t="n"/>
      <c r="D143" s="5">
        <f>IF(C143="","",IFERROR(INDEX('_lister'!$B$2:$B$62,MATCH(C143,'_lister'!$A$2:$A$62,0)),""))</f>
        <v/>
      </c>
      <c r="E143" s="8" t="n"/>
      <c r="F143" s="6" t="n"/>
      <c r="G143" s="8" t="n"/>
      <c r="H143" s="5">
        <f>IF(A143="","",A143&amp;" "&amp;B143)</f>
        <v/>
      </c>
    </row>
    <row r="144">
      <c r="A144" s="6" t="n"/>
      <c r="B144" s="8" t="n"/>
      <c r="C144" s="8" t="n"/>
      <c r="D144" s="5">
        <f>IF(C144="","",IFERROR(INDEX('_lister'!$B$2:$B$62,MATCH(C144,'_lister'!$A$2:$A$62,0)),""))</f>
        <v/>
      </c>
      <c r="E144" s="8" t="n"/>
      <c r="F144" s="6" t="n"/>
      <c r="G144" s="8" t="n"/>
      <c r="H144" s="5">
        <f>IF(A144="","",A144&amp;" "&amp;B144)</f>
        <v/>
      </c>
    </row>
    <row r="145">
      <c r="A145" s="6" t="n"/>
      <c r="B145" s="8" t="n"/>
      <c r="C145" s="8" t="n"/>
      <c r="D145" s="5">
        <f>IF(C145="","",IFERROR(INDEX('_lister'!$B$2:$B$62,MATCH(C145,'_lister'!$A$2:$A$62,0)),""))</f>
        <v/>
      </c>
      <c r="E145" s="8" t="n"/>
      <c r="F145" s="6" t="n"/>
      <c r="G145" s="8" t="n"/>
      <c r="H145" s="5">
        <f>IF(A145="","",A145&amp;" "&amp;B145)</f>
        <v/>
      </c>
    </row>
    <row r="146">
      <c r="A146" s="6" t="n"/>
      <c r="B146" s="8" t="n"/>
      <c r="C146" s="8" t="n"/>
      <c r="D146" s="5">
        <f>IF(C146="","",IFERROR(INDEX('_lister'!$B$2:$B$62,MATCH(C146,'_lister'!$A$2:$A$62,0)),""))</f>
        <v/>
      </c>
      <c r="E146" s="8" t="n"/>
      <c r="F146" s="6" t="n"/>
      <c r="G146" s="8" t="n"/>
      <c r="H146" s="5">
        <f>IF(A146="","",A146&amp;" "&amp;B146)</f>
        <v/>
      </c>
    </row>
    <row r="147">
      <c r="A147" s="6" t="n"/>
      <c r="B147" s="8" t="n"/>
      <c r="C147" s="8" t="n"/>
      <c r="D147" s="5">
        <f>IF(C147="","",IFERROR(INDEX('_lister'!$B$2:$B$62,MATCH(C147,'_lister'!$A$2:$A$62,0)),""))</f>
        <v/>
      </c>
      <c r="E147" s="8" t="n"/>
      <c r="F147" s="6" t="n"/>
      <c r="G147" s="8" t="n"/>
      <c r="H147" s="5">
        <f>IF(A147="","",A147&amp;" "&amp;B147)</f>
        <v/>
      </c>
    </row>
    <row r="148">
      <c r="A148" s="6" t="n"/>
      <c r="B148" s="8" t="n"/>
      <c r="C148" s="8" t="n"/>
      <c r="D148" s="5">
        <f>IF(C148="","",IFERROR(INDEX('_lister'!$B$2:$B$62,MATCH(C148,'_lister'!$A$2:$A$62,0)),""))</f>
        <v/>
      </c>
      <c r="E148" s="8" t="n"/>
      <c r="F148" s="6" t="n"/>
      <c r="G148" s="8" t="n"/>
      <c r="H148" s="5">
        <f>IF(A148="","",A148&amp;" "&amp;B148)</f>
        <v/>
      </c>
    </row>
    <row r="149">
      <c r="A149" s="6" t="n"/>
      <c r="B149" s="8" t="n"/>
      <c r="C149" s="8" t="n"/>
      <c r="D149" s="5">
        <f>IF(C149="","",IFERROR(INDEX('_lister'!$B$2:$B$62,MATCH(C149,'_lister'!$A$2:$A$62,0)),""))</f>
        <v/>
      </c>
      <c r="E149" s="8" t="n"/>
      <c r="F149" s="6" t="n"/>
      <c r="G149" s="8" t="n"/>
      <c r="H149" s="5">
        <f>IF(A149="","",A149&amp;" "&amp;B149)</f>
        <v/>
      </c>
    </row>
    <row r="150">
      <c r="A150" s="6" t="n"/>
      <c r="B150" s="8" t="n"/>
      <c r="C150" s="8" t="n"/>
      <c r="D150" s="5">
        <f>IF(C150="","",IFERROR(INDEX('_lister'!$B$2:$B$62,MATCH(C150,'_lister'!$A$2:$A$62,0)),""))</f>
        <v/>
      </c>
      <c r="E150" s="8" t="n"/>
      <c r="F150" s="6" t="n"/>
      <c r="G150" s="8" t="n"/>
      <c r="H150" s="5">
        <f>IF(A150="","",A150&amp;" "&amp;B150)</f>
        <v/>
      </c>
    </row>
    <row r="151">
      <c r="A151" s="6" t="n"/>
      <c r="B151" s="8" t="n"/>
      <c r="C151" s="8" t="n"/>
      <c r="D151" s="5">
        <f>IF(C151="","",IFERROR(INDEX('_lister'!$B$2:$B$62,MATCH(C151,'_lister'!$A$2:$A$62,0)),""))</f>
        <v/>
      </c>
      <c r="E151" s="8" t="n"/>
      <c r="F151" s="6" t="n"/>
      <c r="G151" s="8" t="n"/>
      <c r="H151" s="5">
        <f>IF(A151="","",A151&amp;" "&amp;B151)</f>
        <v/>
      </c>
    </row>
    <row r="152">
      <c r="A152" s="6" t="n"/>
      <c r="B152" s="8" t="n"/>
      <c r="C152" s="8" t="n"/>
      <c r="D152" s="5">
        <f>IF(C152="","",IFERROR(INDEX('_lister'!$B$2:$B$62,MATCH(C152,'_lister'!$A$2:$A$62,0)),""))</f>
        <v/>
      </c>
      <c r="E152" s="8" t="n"/>
      <c r="F152" s="6" t="n"/>
      <c r="G152" s="8" t="n"/>
      <c r="H152" s="5">
        <f>IF(A152="","",A152&amp;" "&amp;B152)</f>
        <v/>
      </c>
    </row>
    <row r="153">
      <c r="A153" s="6" t="n"/>
      <c r="B153" s="8" t="n"/>
      <c r="C153" s="8" t="n"/>
      <c r="D153" s="5">
        <f>IF(C153="","",IFERROR(INDEX('_lister'!$B$2:$B$62,MATCH(C153,'_lister'!$A$2:$A$62,0)),""))</f>
        <v/>
      </c>
      <c r="E153" s="8" t="n"/>
      <c r="F153" s="6" t="n"/>
      <c r="G153" s="8" t="n"/>
      <c r="H153" s="5">
        <f>IF(A153="","",A153&amp;" "&amp;B153)</f>
        <v/>
      </c>
    </row>
    <row r="154">
      <c r="A154" s="6" t="n"/>
      <c r="B154" s="8" t="n"/>
      <c r="C154" s="8" t="n"/>
      <c r="D154" s="5">
        <f>IF(C154="","",IFERROR(INDEX('_lister'!$B$2:$B$62,MATCH(C154,'_lister'!$A$2:$A$62,0)),""))</f>
        <v/>
      </c>
      <c r="E154" s="8" t="n"/>
      <c r="F154" s="6" t="n"/>
      <c r="G154" s="8" t="n"/>
      <c r="H154" s="5">
        <f>IF(A154="","",A154&amp;" "&amp;B154)</f>
        <v/>
      </c>
    </row>
    <row r="155">
      <c r="A155" s="6" t="n"/>
      <c r="B155" s="8" t="n"/>
      <c r="C155" s="8" t="n"/>
      <c r="D155" s="5">
        <f>IF(C155="","",IFERROR(INDEX('_lister'!$B$2:$B$62,MATCH(C155,'_lister'!$A$2:$A$62,0)),""))</f>
        <v/>
      </c>
      <c r="E155" s="8" t="n"/>
      <c r="F155" s="6" t="n"/>
      <c r="G155" s="8" t="n"/>
      <c r="H155" s="5">
        <f>IF(A155="","",A155&amp;" "&amp;B155)</f>
        <v/>
      </c>
    </row>
    <row r="156">
      <c r="A156" s="6" t="n"/>
      <c r="B156" s="8" t="n"/>
      <c r="C156" s="8" t="n"/>
      <c r="D156" s="5">
        <f>IF(C156="","",IFERROR(INDEX('_lister'!$B$2:$B$62,MATCH(C156,'_lister'!$A$2:$A$62,0)),""))</f>
        <v/>
      </c>
      <c r="E156" s="8" t="n"/>
      <c r="F156" s="6" t="n"/>
      <c r="G156" s="8" t="n"/>
      <c r="H156" s="5">
        <f>IF(A156="","",A156&amp;" "&amp;B156)</f>
        <v/>
      </c>
    </row>
    <row r="157">
      <c r="A157" s="6" t="n"/>
      <c r="B157" s="8" t="n"/>
      <c r="C157" s="8" t="n"/>
      <c r="D157" s="5">
        <f>IF(C157="","",IFERROR(INDEX('_lister'!$B$2:$B$62,MATCH(C157,'_lister'!$A$2:$A$62,0)),""))</f>
        <v/>
      </c>
      <c r="E157" s="8" t="n"/>
      <c r="F157" s="6" t="n"/>
      <c r="G157" s="8" t="n"/>
      <c r="H157" s="5">
        <f>IF(A157="","",A157&amp;" "&amp;B157)</f>
        <v/>
      </c>
    </row>
    <row r="158">
      <c r="A158" s="6" t="n"/>
      <c r="B158" s="8" t="n"/>
      <c r="C158" s="8" t="n"/>
      <c r="D158" s="5">
        <f>IF(C158="","",IFERROR(INDEX('_lister'!$B$2:$B$62,MATCH(C158,'_lister'!$A$2:$A$62,0)),""))</f>
        <v/>
      </c>
      <c r="E158" s="8" t="n"/>
      <c r="F158" s="6" t="n"/>
      <c r="G158" s="8" t="n"/>
      <c r="H158" s="5">
        <f>IF(A158="","",A158&amp;" "&amp;B158)</f>
        <v/>
      </c>
    </row>
    <row r="159">
      <c r="A159" s="6" t="n"/>
      <c r="B159" s="8" t="n"/>
      <c r="C159" s="8" t="n"/>
      <c r="D159" s="5">
        <f>IF(C159="","",IFERROR(INDEX('_lister'!$B$2:$B$62,MATCH(C159,'_lister'!$A$2:$A$62,0)),""))</f>
        <v/>
      </c>
      <c r="E159" s="8" t="n"/>
      <c r="F159" s="6" t="n"/>
      <c r="G159" s="8" t="n"/>
      <c r="H159" s="5">
        <f>IF(A159="","",A159&amp;" "&amp;B159)</f>
        <v/>
      </c>
    </row>
    <row r="160">
      <c r="A160" s="6" t="n"/>
      <c r="B160" s="8" t="n"/>
      <c r="C160" s="8" t="n"/>
      <c r="D160" s="5">
        <f>IF(C160="","",IFERROR(INDEX('_lister'!$B$2:$B$62,MATCH(C160,'_lister'!$A$2:$A$62,0)),""))</f>
        <v/>
      </c>
      <c r="E160" s="8" t="n"/>
      <c r="F160" s="6" t="n"/>
      <c r="G160" s="8" t="n"/>
      <c r="H160" s="5">
        <f>IF(A160="","",A160&amp;" "&amp;B160)</f>
        <v/>
      </c>
    </row>
    <row r="161">
      <c r="A161" s="6" t="n"/>
      <c r="B161" s="8" t="n"/>
      <c r="C161" s="8" t="n"/>
      <c r="D161" s="5">
        <f>IF(C161="","",IFERROR(INDEX('_lister'!$B$2:$B$62,MATCH(C161,'_lister'!$A$2:$A$62,0)),""))</f>
        <v/>
      </c>
      <c r="E161" s="8" t="n"/>
      <c r="F161" s="6" t="n"/>
      <c r="G161" s="8" t="n"/>
      <c r="H161" s="5">
        <f>IF(A161="","",A161&amp;" "&amp;B161)</f>
        <v/>
      </c>
    </row>
    <row r="162">
      <c r="A162" s="6" t="n"/>
      <c r="B162" s="8" t="n"/>
      <c r="C162" s="8" t="n"/>
      <c r="D162" s="5">
        <f>IF(C162="","",IFERROR(INDEX('_lister'!$B$2:$B$62,MATCH(C162,'_lister'!$A$2:$A$62,0)),""))</f>
        <v/>
      </c>
      <c r="E162" s="8" t="n"/>
      <c r="F162" s="6" t="n"/>
      <c r="G162" s="8" t="n"/>
      <c r="H162" s="5">
        <f>IF(A162="","",A162&amp;" "&amp;B162)</f>
        <v/>
      </c>
    </row>
    <row r="163">
      <c r="A163" s="6" t="n"/>
      <c r="B163" s="8" t="n"/>
      <c r="C163" s="8" t="n"/>
      <c r="D163" s="5">
        <f>IF(C163="","",IFERROR(INDEX('_lister'!$B$2:$B$62,MATCH(C163,'_lister'!$A$2:$A$62,0)),""))</f>
        <v/>
      </c>
      <c r="E163" s="8" t="n"/>
      <c r="F163" s="6" t="n"/>
      <c r="G163" s="8" t="n"/>
      <c r="H163" s="5">
        <f>IF(A163="","",A163&amp;" "&amp;B163)</f>
        <v/>
      </c>
    </row>
    <row r="164">
      <c r="A164" s="6" t="n"/>
      <c r="B164" s="8" t="n"/>
      <c r="C164" s="8" t="n"/>
      <c r="D164" s="5">
        <f>IF(C164="","",IFERROR(INDEX('_lister'!$B$2:$B$62,MATCH(C164,'_lister'!$A$2:$A$62,0)),""))</f>
        <v/>
      </c>
      <c r="E164" s="8" t="n"/>
      <c r="F164" s="6" t="n"/>
      <c r="G164" s="8" t="n"/>
      <c r="H164" s="5">
        <f>IF(A164="","",A164&amp;" "&amp;B164)</f>
        <v/>
      </c>
    </row>
    <row r="165">
      <c r="A165" s="6" t="n"/>
      <c r="B165" s="8" t="n"/>
      <c r="C165" s="8" t="n"/>
      <c r="D165" s="5">
        <f>IF(C165="","",IFERROR(INDEX('_lister'!$B$2:$B$62,MATCH(C165,'_lister'!$A$2:$A$62,0)),""))</f>
        <v/>
      </c>
      <c r="E165" s="8" t="n"/>
      <c r="F165" s="6" t="n"/>
      <c r="G165" s="8" t="n"/>
      <c r="H165" s="5">
        <f>IF(A165="","",A165&amp;" "&amp;B165)</f>
        <v/>
      </c>
    </row>
    <row r="166">
      <c r="A166" s="6" t="n"/>
      <c r="B166" s="8" t="n"/>
      <c r="C166" s="8" t="n"/>
      <c r="D166" s="5">
        <f>IF(C166="","",IFERROR(INDEX('_lister'!$B$2:$B$62,MATCH(C166,'_lister'!$A$2:$A$62,0)),""))</f>
        <v/>
      </c>
      <c r="E166" s="8" t="n"/>
      <c r="F166" s="6" t="n"/>
      <c r="G166" s="8" t="n"/>
      <c r="H166" s="5">
        <f>IF(A166="","",A166&amp;" "&amp;B166)</f>
        <v/>
      </c>
    </row>
    <row r="167">
      <c r="A167" s="6" t="n"/>
      <c r="B167" s="8" t="n"/>
      <c r="C167" s="8" t="n"/>
      <c r="D167" s="5">
        <f>IF(C167="","",IFERROR(INDEX('_lister'!$B$2:$B$62,MATCH(C167,'_lister'!$A$2:$A$62,0)),""))</f>
        <v/>
      </c>
      <c r="E167" s="8" t="n"/>
      <c r="F167" s="6" t="n"/>
      <c r="G167" s="8" t="n"/>
      <c r="H167" s="5">
        <f>IF(A167="","",A167&amp;" "&amp;B167)</f>
        <v/>
      </c>
    </row>
    <row r="168">
      <c r="A168" s="6" t="n"/>
      <c r="B168" s="8" t="n"/>
      <c r="C168" s="8" t="n"/>
      <c r="D168" s="5">
        <f>IF(C168="","",IFERROR(INDEX('_lister'!$B$2:$B$62,MATCH(C168,'_lister'!$A$2:$A$62,0)),""))</f>
        <v/>
      </c>
      <c r="E168" s="8" t="n"/>
      <c r="F168" s="6" t="n"/>
      <c r="G168" s="8" t="n"/>
      <c r="H168" s="5">
        <f>IF(A168="","",A168&amp;" "&amp;B168)</f>
        <v/>
      </c>
    </row>
    <row r="169">
      <c r="A169" s="6" t="n"/>
      <c r="B169" s="8" t="n"/>
      <c r="C169" s="8" t="n"/>
      <c r="D169" s="5">
        <f>IF(C169="","",IFERROR(INDEX('_lister'!$B$2:$B$62,MATCH(C169,'_lister'!$A$2:$A$62,0)),""))</f>
        <v/>
      </c>
      <c r="E169" s="8" t="n"/>
      <c r="F169" s="6" t="n"/>
      <c r="G169" s="8" t="n"/>
      <c r="H169" s="5">
        <f>IF(A169="","",A169&amp;" "&amp;B169)</f>
        <v/>
      </c>
    </row>
    <row r="170">
      <c r="A170" s="6" t="n"/>
      <c r="B170" s="8" t="n"/>
      <c r="C170" s="8" t="n"/>
      <c r="D170" s="5">
        <f>IF(C170="","",IFERROR(INDEX('_lister'!$B$2:$B$62,MATCH(C170,'_lister'!$A$2:$A$62,0)),""))</f>
        <v/>
      </c>
      <c r="E170" s="8" t="n"/>
      <c r="F170" s="6" t="n"/>
      <c r="G170" s="8" t="n"/>
      <c r="H170" s="5">
        <f>IF(A170="","",A170&amp;" "&amp;B170)</f>
        <v/>
      </c>
    </row>
    <row r="171">
      <c r="A171" s="6" t="n"/>
      <c r="B171" s="8" t="n"/>
      <c r="C171" s="8" t="n"/>
      <c r="D171" s="5">
        <f>IF(C171="","",IFERROR(INDEX('_lister'!$B$2:$B$62,MATCH(C171,'_lister'!$A$2:$A$62,0)),""))</f>
        <v/>
      </c>
      <c r="E171" s="8" t="n"/>
      <c r="F171" s="6" t="n"/>
      <c r="G171" s="8" t="n"/>
      <c r="H171" s="5">
        <f>IF(A171="","",A171&amp;" "&amp;B171)</f>
        <v/>
      </c>
    </row>
    <row r="172">
      <c r="A172" s="6" t="n"/>
      <c r="B172" s="8" t="n"/>
      <c r="C172" s="8" t="n"/>
      <c r="D172" s="5">
        <f>IF(C172="","",IFERROR(INDEX('_lister'!$B$2:$B$62,MATCH(C172,'_lister'!$A$2:$A$62,0)),""))</f>
        <v/>
      </c>
      <c r="E172" s="8" t="n"/>
      <c r="F172" s="6" t="n"/>
      <c r="G172" s="8" t="n"/>
      <c r="H172" s="5">
        <f>IF(A172="","",A172&amp;" "&amp;B172)</f>
        <v/>
      </c>
    </row>
    <row r="173">
      <c r="A173" s="6" t="n"/>
      <c r="B173" s="8" t="n"/>
      <c r="C173" s="8" t="n"/>
      <c r="D173" s="5">
        <f>IF(C173="","",IFERROR(INDEX('_lister'!$B$2:$B$62,MATCH(C173,'_lister'!$A$2:$A$62,0)),""))</f>
        <v/>
      </c>
      <c r="E173" s="8" t="n"/>
      <c r="F173" s="6" t="n"/>
      <c r="G173" s="8" t="n"/>
      <c r="H173" s="5">
        <f>IF(A173="","",A173&amp;" "&amp;B173)</f>
        <v/>
      </c>
    </row>
    <row r="174">
      <c r="A174" s="6" t="n"/>
      <c r="B174" s="8" t="n"/>
      <c r="C174" s="8" t="n"/>
      <c r="D174" s="5">
        <f>IF(C174="","",IFERROR(INDEX('_lister'!$B$2:$B$62,MATCH(C174,'_lister'!$A$2:$A$62,0)),""))</f>
        <v/>
      </c>
      <c r="E174" s="8" t="n"/>
      <c r="F174" s="6" t="n"/>
      <c r="G174" s="8" t="n"/>
      <c r="H174" s="5">
        <f>IF(A174="","",A174&amp;" "&amp;B174)</f>
        <v/>
      </c>
    </row>
    <row r="175">
      <c r="A175" s="6" t="n"/>
      <c r="B175" s="8" t="n"/>
      <c r="C175" s="8" t="n"/>
      <c r="D175" s="5">
        <f>IF(C175="","",IFERROR(INDEX('_lister'!$B$2:$B$62,MATCH(C175,'_lister'!$A$2:$A$62,0)),""))</f>
        <v/>
      </c>
      <c r="E175" s="8" t="n"/>
      <c r="F175" s="6" t="n"/>
      <c r="G175" s="8" t="n"/>
      <c r="H175" s="5">
        <f>IF(A175="","",A175&amp;" "&amp;B175)</f>
        <v/>
      </c>
    </row>
    <row r="176">
      <c r="A176" s="6" t="n"/>
      <c r="B176" s="8" t="n"/>
      <c r="C176" s="8" t="n"/>
      <c r="D176" s="5">
        <f>IF(C176="","",IFERROR(INDEX('_lister'!$B$2:$B$62,MATCH(C176,'_lister'!$A$2:$A$62,0)),""))</f>
        <v/>
      </c>
      <c r="E176" s="8" t="n"/>
      <c r="F176" s="6" t="n"/>
      <c r="G176" s="8" t="n"/>
      <c r="H176" s="5">
        <f>IF(A176="","",A176&amp;" "&amp;B176)</f>
        <v/>
      </c>
    </row>
    <row r="177">
      <c r="A177" s="6" t="n"/>
      <c r="B177" s="8" t="n"/>
      <c r="C177" s="8" t="n"/>
      <c r="D177" s="5">
        <f>IF(C177="","",IFERROR(INDEX('_lister'!$B$2:$B$62,MATCH(C177,'_lister'!$A$2:$A$62,0)),""))</f>
        <v/>
      </c>
      <c r="E177" s="8" t="n"/>
      <c r="F177" s="6" t="n"/>
      <c r="G177" s="8" t="n"/>
      <c r="H177" s="5">
        <f>IF(A177="","",A177&amp;" "&amp;B177)</f>
        <v/>
      </c>
    </row>
    <row r="178">
      <c r="A178" s="6" t="n"/>
      <c r="B178" s="8" t="n"/>
      <c r="C178" s="8" t="n"/>
      <c r="D178" s="5">
        <f>IF(C178="","",IFERROR(INDEX('_lister'!$B$2:$B$62,MATCH(C178,'_lister'!$A$2:$A$62,0)),""))</f>
        <v/>
      </c>
      <c r="E178" s="8" t="n"/>
      <c r="F178" s="6" t="n"/>
      <c r="G178" s="8" t="n"/>
      <c r="H178" s="5">
        <f>IF(A178="","",A178&amp;" "&amp;B178)</f>
        <v/>
      </c>
    </row>
    <row r="179">
      <c r="A179" s="6" t="n"/>
      <c r="B179" s="8" t="n"/>
      <c r="C179" s="8" t="n"/>
      <c r="D179" s="5">
        <f>IF(C179="","",IFERROR(INDEX('_lister'!$B$2:$B$62,MATCH(C179,'_lister'!$A$2:$A$62,0)),""))</f>
        <v/>
      </c>
      <c r="E179" s="8" t="n"/>
      <c r="F179" s="6" t="n"/>
      <c r="G179" s="8" t="n"/>
      <c r="H179" s="5">
        <f>IF(A179="","",A179&amp;" "&amp;B179)</f>
        <v/>
      </c>
    </row>
    <row r="180">
      <c r="A180" s="6" t="n"/>
      <c r="B180" s="8" t="n"/>
      <c r="C180" s="8" t="n"/>
      <c r="D180" s="5">
        <f>IF(C180="","",IFERROR(INDEX('_lister'!$B$2:$B$62,MATCH(C180,'_lister'!$A$2:$A$62,0)),""))</f>
        <v/>
      </c>
      <c r="E180" s="8" t="n"/>
      <c r="F180" s="6" t="n"/>
      <c r="G180" s="8" t="n"/>
      <c r="H180" s="5">
        <f>IF(A180="","",A180&amp;" "&amp;B180)</f>
        <v/>
      </c>
    </row>
    <row r="181">
      <c r="A181" s="6" t="n"/>
      <c r="B181" s="8" t="n"/>
      <c r="C181" s="8" t="n"/>
      <c r="D181" s="5">
        <f>IF(C181="","",IFERROR(INDEX('_lister'!$B$2:$B$62,MATCH(C181,'_lister'!$A$2:$A$62,0)),""))</f>
        <v/>
      </c>
      <c r="E181" s="8" t="n"/>
      <c r="F181" s="6" t="n"/>
      <c r="G181" s="8" t="n"/>
      <c r="H181" s="5">
        <f>IF(A181="","",A181&amp;" "&amp;B181)</f>
        <v/>
      </c>
    </row>
    <row r="182">
      <c r="A182" s="6" t="n"/>
      <c r="B182" s="8" t="n"/>
      <c r="C182" s="8" t="n"/>
      <c r="D182" s="5">
        <f>IF(C182="","",IFERROR(INDEX('_lister'!$B$2:$B$62,MATCH(C182,'_lister'!$A$2:$A$62,0)),""))</f>
        <v/>
      </c>
      <c r="E182" s="8" t="n"/>
      <c r="F182" s="6" t="n"/>
      <c r="G182" s="8" t="n"/>
      <c r="H182" s="5">
        <f>IF(A182="","",A182&amp;" "&amp;B182)</f>
        <v/>
      </c>
    </row>
    <row r="183">
      <c r="A183" s="6" t="n"/>
      <c r="B183" s="8" t="n"/>
      <c r="C183" s="8" t="n"/>
      <c r="D183" s="5">
        <f>IF(C183="","",IFERROR(INDEX('_lister'!$B$2:$B$62,MATCH(C183,'_lister'!$A$2:$A$62,0)),""))</f>
        <v/>
      </c>
      <c r="E183" s="8" t="n"/>
      <c r="F183" s="6" t="n"/>
      <c r="G183" s="8" t="n"/>
      <c r="H183" s="5">
        <f>IF(A183="","",A183&amp;" "&amp;B183)</f>
        <v/>
      </c>
    </row>
    <row r="184">
      <c r="A184" s="6" t="n"/>
      <c r="B184" s="8" t="n"/>
      <c r="C184" s="8" t="n"/>
      <c r="D184" s="5">
        <f>IF(C184="","",IFERROR(INDEX('_lister'!$B$2:$B$62,MATCH(C184,'_lister'!$A$2:$A$62,0)),""))</f>
        <v/>
      </c>
      <c r="E184" s="8" t="n"/>
      <c r="F184" s="6" t="n"/>
      <c r="G184" s="8" t="n"/>
      <c r="H184" s="5">
        <f>IF(A184="","",A184&amp;" "&amp;B184)</f>
        <v/>
      </c>
    </row>
    <row r="185">
      <c r="A185" s="6" t="n"/>
      <c r="B185" s="8" t="n"/>
      <c r="C185" s="8" t="n"/>
      <c r="D185" s="5">
        <f>IF(C185="","",IFERROR(INDEX('_lister'!$B$2:$B$62,MATCH(C185,'_lister'!$A$2:$A$62,0)),""))</f>
        <v/>
      </c>
      <c r="E185" s="8" t="n"/>
      <c r="F185" s="6" t="n"/>
      <c r="G185" s="8" t="n"/>
      <c r="H185" s="5">
        <f>IF(A185="","",A185&amp;" "&amp;B185)</f>
        <v/>
      </c>
    </row>
    <row r="186">
      <c r="A186" s="6" t="n"/>
      <c r="B186" s="8" t="n"/>
      <c r="C186" s="8" t="n"/>
      <c r="D186" s="5">
        <f>IF(C186="","",IFERROR(INDEX('_lister'!$B$2:$B$62,MATCH(C186,'_lister'!$A$2:$A$62,0)),""))</f>
        <v/>
      </c>
      <c r="E186" s="8" t="n"/>
      <c r="F186" s="6" t="n"/>
      <c r="G186" s="8" t="n"/>
      <c r="H186" s="5">
        <f>IF(A186="","",A186&amp;" "&amp;B186)</f>
        <v/>
      </c>
    </row>
    <row r="187">
      <c r="A187" s="6" t="n"/>
      <c r="B187" s="8" t="n"/>
      <c r="C187" s="8" t="n"/>
      <c r="D187" s="5">
        <f>IF(C187="","",IFERROR(INDEX('_lister'!$B$2:$B$62,MATCH(C187,'_lister'!$A$2:$A$62,0)),""))</f>
        <v/>
      </c>
      <c r="E187" s="8" t="n"/>
      <c r="F187" s="6" t="n"/>
      <c r="G187" s="8" t="n"/>
      <c r="H187" s="5">
        <f>IF(A187="","",A187&amp;" "&amp;B187)</f>
        <v/>
      </c>
    </row>
    <row r="188">
      <c r="A188" s="6" t="n"/>
      <c r="B188" s="8" t="n"/>
      <c r="C188" s="8" t="n"/>
      <c r="D188" s="5">
        <f>IF(C188="","",IFERROR(INDEX('_lister'!$B$2:$B$62,MATCH(C188,'_lister'!$A$2:$A$62,0)),""))</f>
        <v/>
      </c>
      <c r="E188" s="8" t="n"/>
      <c r="F188" s="6" t="n"/>
      <c r="G188" s="8" t="n"/>
      <c r="H188" s="5">
        <f>IF(A188="","",A188&amp;" "&amp;B188)</f>
        <v/>
      </c>
    </row>
    <row r="189">
      <c r="A189" s="6" t="n"/>
      <c r="B189" s="8" t="n"/>
      <c r="C189" s="8" t="n"/>
      <c r="D189" s="5">
        <f>IF(C189="","",IFERROR(INDEX('_lister'!$B$2:$B$62,MATCH(C189,'_lister'!$A$2:$A$62,0)),""))</f>
        <v/>
      </c>
      <c r="E189" s="8" t="n"/>
      <c r="F189" s="6" t="n"/>
      <c r="G189" s="8" t="n"/>
      <c r="H189" s="5">
        <f>IF(A189="","",A189&amp;" "&amp;B189)</f>
        <v/>
      </c>
    </row>
    <row r="190">
      <c r="A190" s="6" t="n"/>
      <c r="B190" s="8" t="n"/>
      <c r="C190" s="8" t="n"/>
      <c r="D190" s="5">
        <f>IF(C190="","",IFERROR(INDEX('_lister'!$B$2:$B$62,MATCH(C190,'_lister'!$A$2:$A$62,0)),""))</f>
        <v/>
      </c>
      <c r="E190" s="8" t="n"/>
      <c r="F190" s="6" t="n"/>
      <c r="G190" s="8" t="n"/>
      <c r="H190" s="5">
        <f>IF(A190="","",A190&amp;" "&amp;B190)</f>
        <v/>
      </c>
    </row>
    <row r="191">
      <c r="A191" s="6" t="n"/>
      <c r="B191" s="8" t="n"/>
      <c r="C191" s="8" t="n"/>
      <c r="D191" s="5">
        <f>IF(C191="","",IFERROR(INDEX('_lister'!$B$2:$B$62,MATCH(C191,'_lister'!$A$2:$A$62,0)),""))</f>
        <v/>
      </c>
      <c r="E191" s="8" t="n"/>
      <c r="F191" s="6" t="n"/>
      <c r="G191" s="8" t="n"/>
      <c r="H191" s="5">
        <f>IF(A191="","",A191&amp;" "&amp;B191)</f>
        <v/>
      </c>
    </row>
    <row r="192">
      <c r="A192" s="6" t="n"/>
      <c r="B192" s="8" t="n"/>
      <c r="C192" s="8" t="n"/>
      <c r="D192" s="5">
        <f>IF(C192="","",IFERROR(INDEX('_lister'!$B$2:$B$62,MATCH(C192,'_lister'!$A$2:$A$62,0)),""))</f>
        <v/>
      </c>
      <c r="E192" s="8" t="n"/>
      <c r="F192" s="6" t="n"/>
      <c r="G192" s="8" t="n"/>
      <c r="H192" s="5">
        <f>IF(A192="","",A192&amp;" "&amp;B192)</f>
        <v/>
      </c>
    </row>
    <row r="193">
      <c r="A193" s="6" t="n"/>
      <c r="B193" s="8" t="n"/>
      <c r="C193" s="8" t="n"/>
      <c r="D193" s="5">
        <f>IF(C193="","",IFERROR(INDEX('_lister'!$B$2:$B$62,MATCH(C193,'_lister'!$A$2:$A$62,0)),""))</f>
        <v/>
      </c>
      <c r="E193" s="8" t="n"/>
      <c r="F193" s="6" t="n"/>
      <c r="G193" s="8" t="n"/>
      <c r="H193" s="5">
        <f>IF(A193="","",A193&amp;" "&amp;B193)</f>
        <v/>
      </c>
    </row>
    <row r="194">
      <c r="A194" s="6" t="n"/>
      <c r="B194" s="8" t="n"/>
      <c r="C194" s="8" t="n"/>
      <c r="D194" s="5">
        <f>IF(C194="","",IFERROR(INDEX('_lister'!$B$2:$B$62,MATCH(C194,'_lister'!$A$2:$A$62,0)),""))</f>
        <v/>
      </c>
      <c r="E194" s="8" t="n"/>
      <c r="F194" s="6" t="n"/>
      <c r="G194" s="8" t="n"/>
      <c r="H194" s="5">
        <f>IF(A194="","",A194&amp;" "&amp;B194)</f>
        <v/>
      </c>
    </row>
    <row r="195">
      <c r="A195" s="6" t="n"/>
      <c r="B195" s="8" t="n"/>
      <c r="C195" s="8" t="n"/>
      <c r="D195" s="5">
        <f>IF(C195="","",IFERROR(INDEX('_lister'!$B$2:$B$62,MATCH(C195,'_lister'!$A$2:$A$62,0)),""))</f>
        <v/>
      </c>
      <c r="E195" s="8" t="n"/>
      <c r="F195" s="6" t="n"/>
      <c r="G195" s="8" t="n"/>
      <c r="H195" s="5">
        <f>IF(A195="","",A195&amp;" "&amp;B195)</f>
        <v/>
      </c>
    </row>
    <row r="196">
      <c r="A196" s="6" t="n"/>
      <c r="B196" s="8" t="n"/>
      <c r="C196" s="8" t="n"/>
      <c r="D196" s="5">
        <f>IF(C196="","",IFERROR(INDEX('_lister'!$B$2:$B$62,MATCH(C196,'_lister'!$A$2:$A$62,0)),""))</f>
        <v/>
      </c>
      <c r="E196" s="8" t="n"/>
      <c r="F196" s="6" t="n"/>
      <c r="G196" s="8" t="n"/>
      <c r="H196" s="5">
        <f>IF(A196="","",A196&amp;" "&amp;B196)</f>
        <v/>
      </c>
    </row>
    <row r="197">
      <c r="A197" s="6" t="n"/>
      <c r="B197" s="8" t="n"/>
      <c r="C197" s="8" t="n"/>
      <c r="D197" s="5">
        <f>IF(C197="","",IFERROR(INDEX('_lister'!$B$2:$B$62,MATCH(C197,'_lister'!$A$2:$A$62,0)),""))</f>
        <v/>
      </c>
      <c r="E197" s="8" t="n"/>
      <c r="F197" s="6" t="n"/>
      <c r="G197" s="8" t="n"/>
      <c r="H197" s="5">
        <f>IF(A197="","",A197&amp;" "&amp;B197)</f>
        <v/>
      </c>
    </row>
    <row r="198">
      <c r="A198" s="6" t="n"/>
      <c r="B198" s="8" t="n"/>
      <c r="C198" s="8" t="n"/>
      <c r="D198" s="5">
        <f>IF(C198="","",IFERROR(INDEX('_lister'!$B$2:$B$62,MATCH(C198,'_lister'!$A$2:$A$62,0)),""))</f>
        <v/>
      </c>
      <c r="E198" s="8" t="n"/>
      <c r="F198" s="6" t="n"/>
      <c r="G198" s="8" t="n"/>
      <c r="H198" s="5">
        <f>IF(A198="","",A198&amp;" "&amp;B198)</f>
        <v/>
      </c>
    </row>
    <row r="199">
      <c r="A199" s="6" t="n"/>
      <c r="B199" s="8" t="n"/>
      <c r="C199" s="8" t="n"/>
      <c r="D199" s="5">
        <f>IF(C199="","",IFERROR(INDEX('_lister'!$B$2:$B$62,MATCH(C199,'_lister'!$A$2:$A$62,0)),""))</f>
        <v/>
      </c>
      <c r="E199" s="8" t="n"/>
      <c r="F199" s="6" t="n"/>
      <c r="G199" s="8" t="n"/>
      <c r="H199" s="5">
        <f>IF(A199="","",A199&amp;" "&amp;B199)</f>
        <v/>
      </c>
    </row>
    <row r="200">
      <c r="A200" s="6" t="n"/>
      <c r="B200" s="8" t="n"/>
      <c r="C200" s="8" t="n"/>
      <c r="D200" s="5">
        <f>IF(C200="","",IFERROR(INDEX('_lister'!$B$2:$B$62,MATCH(C200,'_lister'!$A$2:$A$62,0)),""))</f>
        <v/>
      </c>
      <c r="E200" s="8" t="n"/>
      <c r="F200" s="6" t="n"/>
      <c r="G200" s="8" t="n"/>
      <c r="H200" s="5">
        <f>IF(A200="","",A200&amp;" "&amp;B200)</f>
        <v/>
      </c>
    </row>
    <row r="201">
      <c r="A201" s="6" t="n"/>
      <c r="B201" s="8" t="n"/>
      <c r="C201" s="8" t="n"/>
      <c r="D201" s="5">
        <f>IF(C201="","",IFERROR(INDEX('_lister'!$B$2:$B$62,MATCH(C201,'_lister'!$A$2:$A$62,0)),""))</f>
        <v/>
      </c>
      <c r="E201" s="8" t="n"/>
      <c r="F201" s="6" t="n"/>
      <c r="G201" s="8" t="n"/>
      <c r="H201" s="5">
        <f>IF(A201="","",A201&amp;" "&amp;B201)</f>
        <v/>
      </c>
    </row>
    <row r="202">
      <c r="A202" s="6" t="n"/>
      <c r="B202" s="8" t="n"/>
      <c r="C202" s="8" t="n"/>
      <c r="D202" s="5">
        <f>IF(C202="","",IFERROR(INDEX('_lister'!$B$2:$B$62,MATCH(C202,'_lister'!$A$2:$A$62,0)),""))</f>
        <v/>
      </c>
      <c r="E202" s="8" t="n"/>
      <c r="F202" s="6" t="n"/>
      <c r="G202" s="8" t="n"/>
      <c r="H202" s="5">
        <f>IF(A202="","",A202&amp;" "&amp;B202)</f>
        <v/>
      </c>
    </row>
    <row r="203">
      <c r="A203" s="6" t="n"/>
      <c r="B203" s="8" t="n"/>
      <c r="C203" s="8" t="n"/>
      <c r="D203" s="5">
        <f>IF(C203="","",IFERROR(INDEX('_lister'!$B$2:$B$62,MATCH(C203,'_lister'!$A$2:$A$62,0)),""))</f>
        <v/>
      </c>
      <c r="E203" s="8" t="n"/>
      <c r="F203" s="6" t="n"/>
      <c r="G203" s="8" t="n"/>
      <c r="H203" s="5">
        <f>IF(A203="","",A203&amp;" "&amp;B203)</f>
        <v/>
      </c>
    </row>
    <row r="204">
      <c r="A204" s="6" t="n"/>
      <c r="B204" s="8" t="n"/>
      <c r="C204" s="8" t="n"/>
      <c r="D204" s="5">
        <f>IF(C204="","",IFERROR(INDEX('_lister'!$B$2:$B$62,MATCH(C204,'_lister'!$A$2:$A$62,0)),""))</f>
        <v/>
      </c>
      <c r="E204" s="8" t="n"/>
      <c r="F204" s="6" t="n"/>
      <c r="G204" s="8" t="n"/>
      <c r="H204" s="5">
        <f>IF(A204="","",A204&amp;" "&amp;B204)</f>
        <v/>
      </c>
    </row>
    <row r="205">
      <c r="A205" s="6" t="n"/>
      <c r="B205" s="8" t="n"/>
      <c r="C205" s="8" t="n"/>
      <c r="D205" s="5">
        <f>IF(C205="","",IFERROR(INDEX('_lister'!$B$2:$B$62,MATCH(C205,'_lister'!$A$2:$A$62,0)),""))</f>
        <v/>
      </c>
      <c r="E205" s="8" t="n"/>
      <c r="F205" s="6" t="n"/>
      <c r="G205" s="8" t="n"/>
      <c r="H205" s="5">
        <f>IF(A205="","",A205&amp;" "&amp;B205)</f>
        <v/>
      </c>
    </row>
    <row r="206">
      <c r="A206" s="6" t="n"/>
      <c r="B206" s="8" t="n"/>
      <c r="C206" s="8" t="n"/>
      <c r="D206" s="5">
        <f>IF(C206="","",IFERROR(INDEX('_lister'!$B$2:$B$62,MATCH(C206,'_lister'!$A$2:$A$62,0)),""))</f>
        <v/>
      </c>
      <c r="E206" s="8" t="n"/>
      <c r="F206" s="6" t="n"/>
      <c r="G206" s="8" t="n"/>
      <c r="H206" s="5">
        <f>IF(A206="","",A206&amp;" "&amp;B206)</f>
        <v/>
      </c>
    </row>
    <row r="207">
      <c r="A207" s="6" t="n"/>
      <c r="B207" s="8" t="n"/>
      <c r="C207" s="8" t="n"/>
      <c r="D207" s="5">
        <f>IF(C207="","",IFERROR(INDEX('_lister'!$B$2:$B$62,MATCH(C207,'_lister'!$A$2:$A$62,0)),""))</f>
        <v/>
      </c>
      <c r="E207" s="8" t="n"/>
      <c r="F207" s="6" t="n"/>
      <c r="G207" s="8" t="n"/>
      <c r="H207" s="5">
        <f>IF(A207="","",A207&amp;" "&amp;B207)</f>
        <v/>
      </c>
    </row>
    <row r="208">
      <c r="A208" s="6" t="n"/>
      <c r="B208" s="8" t="n"/>
      <c r="C208" s="8" t="n"/>
      <c r="D208" s="5">
        <f>IF(C208="","",IFERROR(INDEX('_lister'!$B$2:$B$62,MATCH(C208,'_lister'!$A$2:$A$62,0)),""))</f>
        <v/>
      </c>
      <c r="E208" s="8" t="n"/>
      <c r="F208" s="6" t="n"/>
      <c r="G208" s="8" t="n"/>
      <c r="H208" s="5">
        <f>IF(A208="","",A208&amp;" "&amp;B208)</f>
        <v/>
      </c>
    </row>
    <row r="209">
      <c r="A209" s="6" t="n"/>
      <c r="B209" s="8" t="n"/>
      <c r="C209" s="8" t="n"/>
      <c r="D209" s="5">
        <f>IF(C209="","",IFERROR(INDEX('_lister'!$B$2:$B$62,MATCH(C209,'_lister'!$A$2:$A$62,0)),""))</f>
        <v/>
      </c>
      <c r="E209" s="8" t="n"/>
      <c r="F209" s="6" t="n"/>
      <c r="G209" s="8" t="n"/>
      <c r="H209" s="5">
        <f>IF(A209="","",A209&amp;" "&amp;B209)</f>
        <v/>
      </c>
    </row>
    <row r="210">
      <c r="A210" s="6" t="n"/>
      <c r="B210" s="8" t="n"/>
      <c r="C210" s="8" t="n"/>
      <c r="D210" s="5">
        <f>IF(C210="","",IFERROR(INDEX('_lister'!$B$2:$B$62,MATCH(C210,'_lister'!$A$2:$A$62,0)),""))</f>
        <v/>
      </c>
      <c r="E210" s="8" t="n"/>
      <c r="F210" s="6" t="n"/>
      <c r="G210" s="8" t="n"/>
      <c r="H210" s="5">
        <f>IF(A210="","",A210&amp;" "&amp;B210)</f>
        <v/>
      </c>
    </row>
    <row r="211">
      <c r="A211" s="6" t="n"/>
      <c r="B211" s="8" t="n"/>
      <c r="C211" s="8" t="n"/>
      <c r="D211" s="5">
        <f>IF(C211="","",IFERROR(INDEX('_lister'!$B$2:$B$62,MATCH(C211,'_lister'!$A$2:$A$62,0)),""))</f>
        <v/>
      </c>
      <c r="E211" s="8" t="n"/>
      <c r="F211" s="6" t="n"/>
      <c r="G211" s="8" t="n"/>
      <c r="H211" s="5">
        <f>IF(A211="","",A211&amp;" "&amp;B211)</f>
        <v/>
      </c>
    </row>
    <row r="212">
      <c r="A212" s="6" t="n"/>
      <c r="B212" s="8" t="n"/>
      <c r="C212" s="8" t="n"/>
      <c r="D212" s="5">
        <f>IF(C212="","",IFERROR(INDEX('_lister'!$B$2:$B$62,MATCH(C212,'_lister'!$A$2:$A$62,0)),""))</f>
        <v/>
      </c>
      <c r="E212" s="8" t="n"/>
      <c r="F212" s="6" t="n"/>
      <c r="G212" s="8" t="n"/>
      <c r="H212" s="5">
        <f>IF(A212="","",A212&amp;" "&amp;B212)</f>
        <v/>
      </c>
    </row>
    <row r="213">
      <c r="A213" s="6" t="n"/>
      <c r="B213" s="8" t="n"/>
      <c r="C213" s="8" t="n"/>
      <c r="D213" s="5">
        <f>IF(C213="","",IFERROR(INDEX('_lister'!$B$2:$B$62,MATCH(C213,'_lister'!$A$2:$A$62,0)),""))</f>
        <v/>
      </c>
      <c r="E213" s="8" t="n"/>
      <c r="F213" s="6" t="n"/>
      <c r="G213" s="8" t="n"/>
      <c r="H213" s="5">
        <f>IF(A213="","",A213&amp;" "&amp;B213)</f>
        <v/>
      </c>
    </row>
    <row r="214">
      <c r="A214" s="6" t="n"/>
      <c r="B214" s="8" t="n"/>
      <c r="C214" s="8" t="n"/>
      <c r="D214" s="5">
        <f>IF(C214="","",IFERROR(INDEX('_lister'!$B$2:$B$62,MATCH(C214,'_lister'!$A$2:$A$62,0)),""))</f>
        <v/>
      </c>
      <c r="E214" s="8" t="n"/>
      <c r="F214" s="6" t="n"/>
      <c r="G214" s="8" t="n"/>
      <c r="H214" s="5">
        <f>IF(A214="","",A214&amp;" "&amp;B214)</f>
        <v/>
      </c>
    </row>
    <row r="215">
      <c r="A215" s="6" t="n"/>
      <c r="B215" s="8" t="n"/>
      <c r="C215" s="8" t="n"/>
      <c r="D215" s="5">
        <f>IF(C215="","",IFERROR(INDEX('_lister'!$B$2:$B$62,MATCH(C215,'_lister'!$A$2:$A$62,0)),""))</f>
        <v/>
      </c>
      <c r="E215" s="8" t="n"/>
      <c r="F215" s="6" t="n"/>
      <c r="G215" s="8" t="n"/>
      <c r="H215" s="5">
        <f>IF(A215="","",A215&amp;" "&amp;B215)</f>
        <v/>
      </c>
    </row>
    <row r="216">
      <c r="A216" s="6" t="n"/>
      <c r="B216" s="8" t="n"/>
      <c r="C216" s="8" t="n"/>
      <c r="D216" s="5">
        <f>IF(C216="","",IFERROR(INDEX('_lister'!$B$2:$B$62,MATCH(C216,'_lister'!$A$2:$A$62,0)),""))</f>
        <v/>
      </c>
      <c r="E216" s="8" t="n"/>
      <c r="F216" s="6" t="n"/>
      <c r="G216" s="8" t="n"/>
      <c r="H216" s="5">
        <f>IF(A216="","",A216&amp;" "&amp;B216)</f>
        <v/>
      </c>
    </row>
    <row r="217">
      <c r="A217" s="6" t="n"/>
      <c r="B217" s="8" t="n"/>
      <c r="C217" s="8" t="n"/>
      <c r="D217" s="5">
        <f>IF(C217="","",IFERROR(INDEX('_lister'!$B$2:$B$62,MATCH(C217,'_lister'!$A$2:$A$62,0)),""))</f>
        <v/>
      </c>
      <c r="E217" s="8" t="n"/>
      <c r="F217" s="6" t="n"/>
      <c r="G217" s="8" t="n"/>
      <c r="H217" s="5">
        <f>IF(A217="","",A217&amp;" "&amp;B217)</f>
        <v/>
      </c>
    </row>
    <row r="218">
      <c r="A218" s="6" t="n"/>
      <c r="B218" s="8" t="n"/>
      <c r="C218" s="8" t="n"/>
      <c r="D218" s="5">
        <f>IF(C218="","",IFERROR(INDEX('_lister'!$B$2:$B$62,MATCH(C218,'_lister'!$A$2:$A$62,0)),""))</f>
        <v/>
      </c>
      <c r="E218" s="8" t="n"/>
      <c r="F218" s="6" t="n"/>
      <c r="G218" s="8" t="n"/>
      <c r="H218" s="5">
        <f>IF(A218="","",A218&amp;" "&amp;B218)</f>
        <v/>
      </c>
    </row>
    <row r="219">
      <c r="A219" s="6" t="n"/>
      <c r="B219" s="8" t="n"/>
      <c r="C219" s="8" t="n"/>
      <c r="D219" s="5">
        <f>IF(C219="","",IFERROR(INDEX('_lister'!$B$2:$B$62,MATCH(C219,'_lister'!$A$2:$A$62,0)),""))</f>
        <v/>
      </c>
      <c r="E219" s="8" t="n"/>
      <c r="F219" s="6" t="n"/>
      <c r="G219" s="8" t="n"/>
      <c r="H219" s="5">
        <f>IF(A219="","",A219&amp;" "&amp;B219)</f>
        <v/>
      </c>
    </row>
    <row r="220">
      <c r="A220" s="6" t="n"/>
      <c r="B220" s="8" t="n"/>
      <c r="C220" s="8" t="n"/>
      <c r="D220" s="5">
        <f>IF(C220="","",IFERROR(INDEX('_lister'!$B$2:$B$62,MATCH(C220,'_lister'!$A$2:$A$62,0)),""))</f>
        <v/>
      </c>
      <c r="E220" s="8" t="n"/>
      <c r="F220" s="6" t="n"/>
      <c r="G220" s="8" t="n"/>
      <c r="H220" s="5">
        <f>IF(A220="","",A220&amp;" "&amp;B220)</f>
        <v/>
      </c>
    </row>
    <row r="221">
      <c r="A221" s="6" t="n"/>
      <c r="B221" s="8" t="n"/>
      <c r="C221" s="8" t="n"/>
      <c r="D221" s="5">
        <f>IF(C221="","",IFERROR(INDEX('_lister'!$B$2:$B$62,MATCH(C221,'_lister'!$A$2:$A$62,0)),""))</f>
        <v/>
      </c>
      <c r="E221" s="8" t="n"/>
      <c r="F221" s="6" t="n"/>
      <c r="G221" s="8" t="n"/>
      <c r="H221" s="5">
        <f>IF(A221="","",A221&amp;" "&amp;B221)</f>
        <v/>
      </c>
    </row>
    <row r="222">
      <c r="A222" s="6" t="n"/>
      <c r="B222" s="8" t="n"/>
      <c r="C222" s="8" t="n"/>
      <c r="D222" s="5">
        <f>IF(C222="","",IFERROR(INDEX('_lister'!$B$2:$B$62,MATCH(C222,'_lister'!$A$2:$A$62,0)),""))</f>
        <v/>
      </c>
      <c r="E222" s="8" t="n"/>
      <c r="F222" s="6" t="n"/>
      <c r="G222" s="8" t="n"/>
      <c r="H222" s="5">
        <f>IF(A222="","",A222&amp;" "&amp;B222)</f>
        <v/>
      </c>
    </row>
    <row r="223">
      <c r="A223" s="6" t="n"/>
      <c r="B223" s="8" t="n"/>
      <c r="C223" s="8" t="n"/>
      <c r="D223" s="5">
        <f>IF(C223="","",IFERROR(INDEX('_lister'!$B$2:$B$62,MATCH(C223,'_lister'!$A$2:$A$62,0)),""))</f>
        <v/>
      </c>
      <c r="E223" s="8" t="n"/>
      <c r="F223" s="6" t="n"/>
      <c r="G223" s="8" t="n"/>
      <c r="H223" s="5">
        <f>IF(A223="","",A223&amp;" "&amp;B223)</f>
        <v/>
      </c>
    </row>
    <row r="224">
      <c r="A224" s="6" t="n"/>
      <c r="B224" s="8" t="n"/>
      <c r="C224" s="8" t="n"/>
      <c r="D224" s="5">
        <f>IF(C224="","",IFERROR(INDEX('_lister'!$B$2:$B$62,MATCH(C224,'_lister'!$A$2:$A$62,0)),""))</f>
        <v/>
      </c>
      <c r="E224" s="8" t="n"/>
      <c r="F224" s="6" t="n"/>
      <c r="G224" s="8" t="n"/>
      <c r="H224" s="5">
        <f>IF(A224="","",A224&amp;" "&amp;B224)</f>
        <v/>
      </c>
    </row>
    <row r="225">
      <c r="A225" s="6" t="n"/>
      <c r="B225" s="8" t="n"/>
      <c r="C225" s="8" t="n"/>
      <c r="D225" s="5">
        <f>IF(C225="","",IFERROR(INDEX('_lister'!$B$2:$B$62,MATCH(C225,'_lister'!$A$2:$A$62,0)),""))</f>
        <v/>
      </c>
      <c r="E225" s="8" t="n"/>
      <c r="F225" s="6" t="n"/>
      <c r="G225" s="8" t="n"/>
      <c r="H225" s="5">
        <f>IF(A225="","",A225&amp;" "&amp;B225)</f>
        <v/>
      </c>
    </row>
    <row r="226">
      <c r="A226" s="6" t="n"/>
      <c r="B226" s="8" t="n"/>
      <c r="C226" s="8" t="n"/>
      <c r="D226" s="5">
        <f>IF(C226="","",IFERROR(INDEX('_lister'!$B$2:$B$62,MATCH(C226,'_lister'!$A$2:$A$62,0)),""))</f>
        <v/>
      </c>
      <c r="E226" s="8" t="n"/>
      <c r="F226" s="6" t="n"/>
      <c r="G226" s="8" t="n"/>
      <c r="H226" s="5">
        <f>IF(A226="","",A226&amp;" "&amp;B226)</f>
        <v/>
      </c>
    </row>
    <row r="227">
      <c r="A227" s="6" t="n"/>
      <c r="B227" s="8" t="n"/>
      <c r="C227" s="8" t="n"/>
      <c r="D227" s="5">
        <f>IF(C227="","",IFERROR(INDEX('_lister'!$B$2:$B$62,MATCH(C227,'_lister'!$A$2:$A$62,0)),""))</f>
        <v/>
      </c>
      <c r="E227" s="8" t="n"/>
      <c r="F227" s="6" t="n"/>
      <c r="G227" s="8" t="n"/>
      <c r="H227" s="5">
        <f>IF(A227="","",A227&amp;" "&amp;B227)</f>
        <v/>
      </c>
    </row>
    <row r="228">
      <c r="A228" s="6" t="n"/>
      <c r="B228" s="8" t="n"/>
      <c r="C228" s="8" t="n"/>
      <c r="D228" s="5">
        <f>IF(C228="","",IFERROR(INDEX('_lister'!$B$2:$B$62,MATCH(C228,'_lister'!$A$2:$A$62,0)),""))</f>
        <v/>
      </c>
      <c r="E228" s="8" t="n"/>
      <c r="F228" s="6" t="n"/>
      <c r="G228" s="8" t="n"/>
      <c r="H228" s="5">
        <f>IF(A228="","",A228&amp;" "&amp;B228)</f>
        <v/>
      </c>
    </row>
    <row r="229">
      <c r="A229" s="6" t="n"/>
      <c r="B229" s="8" t="n"/>
      <c r="C229" s="8" t="n"/>
      <c r="D229" s="5">
        <f>IF(C229="","",IFERROR(INDEX('_lister'!$B$2:$B$62,MATCH(C229,'_lister'!$A$2:$A$62,0)),""))</f>
        <v/>
      </c>
      <c r="E229" s="8" t="n"/>
      <c r="F229" s="6" t="n"/>
      <c r="G229" s="8" t="n"/>
      <c r="H229" s="5">
        <f>IF(A229="","",A229&amp;" "&amp;B229)</f>
        <v/>
      </c>
    </row>
    <row r="230">
      <c r="A230" s="6" t="n"/>
      <c r="B230" s="8" t="n"/>
      <c r="C230" s="8" t="n"/>
      <c r="D230" s="5">
        <f>IF(C230="","",IFERROR(INDEX('_lister'!$B$2:$B$62,MATCH(C230,'_lister'!$A$2:$A$62,0)),""))</f>
        <v/>
      </c>
      <c r="E230" s="8" t="n"/>
      <c r="F230" s="6" t="n"/>
      <c r="G230" s="8" t="n"/>
      <c r="H230" s="5">
        <f>IF(A230="","",A230&amp;" "&amp;B230)</f>
        <v/>
      </c>
    </row>
    <row r="231">
      <c r="A231" s="6" t="n"/>
      <c r="B231" s="8" t="n"/>
      <c r="C231" s="8" t="n"/>
      <c r="D231" s="5">
        <f>IF(C231="","",IFERROR(INDEX('_lister'!$B$2:$B$62,MATCH(C231,'_lister'!$A$2:$A$62,0)),""))</f>
        <v/>
      </c>
      <c r="E231" s="8" t="n"/>
      <c r="F231" s="6" t="n"/>
      <c r="G231" s="8" t="n"/>
      <c r="H231" s="5">
        <f>IF(A231="","",A231&amp;" "&amp;B231)</f>
        <v/>
      </c>
    </row>
    <row r="232">
      <c r="A232" s="6" t="n"/>
      <c r="B232" s="8" t="n"/>
      <c r="C232" s="8" t="n"/>
      <c r="D232" s="5">
        <f>IF(C232="","",IFERROR(INDEX('_lister'!$B$2:$B$62,MATCH(C232,'_lister'!$A$2:$A$62,0)),""))</f>
        <v/>
      </c>
      <c r="E232" s="8" t="n"/>
      <c r="F232" s="6" t="n"/>
      <c r="G232" s="8" t="n"/>
      <c r="H232" s="5">
        <f>IF(A232="","",A232&amp;" "&amp;B232)</f>
        <v/>
      </c>
    </row>
    <row r="233">
      <c r="A233" s="6" t="n"/>
      <c r="B233" s="8" t="n"/>
      <c r="C233" s="8" t="n"/>
      <c r="D233" s="5">
        <f>IF(C233="","",IFERROR(INDEX('_lister'!$B$2:$B$62,MATCH(C233,'_lister'!$A$2:$A$62,0)),""))</f>
        <v/>
      </c>
      <c r="E233" s="8" t="n"/>
      <c r="F233" s="6" t="n"/>
      <c r="G233" s="8" t="n"/>
      <c r="H233" s="5">
        <f>IF(A233="","",A233&amp;" "&amp;B233)</f>
        <v/>
      </c>
    </row>
    <row r="234">
      <c r="A234" s="6" t="n"/>
      <c r="B234" s="8" t="n"/>
      <c r="C234" s="8" t="n"/>
      <c r="D234" s="5">
        <f>IF(C234="","",IFERROR(INDEX('_lister'!$B$2:$B$62,MATCH(C234,'_lister'!$A$2:$A$62,0)),""))</f>
        <v/>
      </c>
      <c r="E234" s="8" t="n"/>
      <c r="F234" s="6" t="n"/>
      <c r="G234" s="8" t="n"/>
      <c r="H234" s="5">
        <f>IF(A234="","",A234&amp;" "&amp;B234)</f>
        <v/>
      </c>
    </row>
    <row r="235">
      <c r="A235" s="6" t="n"/>
      <c r="B235" s="8" t="n"/>
      <c r="C235" s="8" t="n"/>
      <c r="D235" s="5">
        <f>IF(C235="","",IFERROR(INDEX('_lister'!$B$2:$B$62,MATCH(C235,'_lister'!$A$2:$A$62,0)),""))</f>
        <v/>
      </c>
      <c r="E235" s="8" t="n"/>
      <c r="F235" s="6" t="n"/>
      <c r="G235" s="8" t="n"/>
      <c r="H235" s="5">
        <f>IF(A235="","",A235&amp;" "&amp;B235)</f>
        <v/>
      </c>
    </row>
    <row r="236">
      <c r="A236" s="6" t="n"/>
      <c r="B236" s="8" t="n"/>
      <c r="C236" s="8" t="n"/>
      <c r="D236" s="5">
        <f>IF(C236="","",IFERROR(INDEX('_lister'!$B$2:$B$62,MATCH(C236,'_lister'!$A$2:$A$62,0)),""))</f>
        <v/>
      </c>
      <c r="E236" s="8" t="n"/>
      <c r="F236" s="6" t="n"/>
      <c r="G236" s="8" t="n"/>
      <c r="H236" s="5">
        <f>IF(A236="","",A236&amp;" "&amp;B236)</f>
        <v/>
      </c>
    </row>
    <row r="237">
      <c r="A237" s="6" t="n"/>
      <c r="B237" s="8" t="n"/>
      <c r="C237" s="8" t="n"/>
      <c r="D237" s="5">
        <f>IF(C237="","",IFERROR(INDEX('_lister'!$B$2:$B$62,MATCH(C237,'_lister'!$A$2:$A$62,0)),""))</f>
        <v/>
      </c>
      <c r="E237" s="8" t="n"/>
      <c r="F237" s="6" t="n"/>
      <c r="G237" s="8" t="n"/>
      <c r="H237" s="5">
        <f>IF(A237="","",A237&amp;" "&amp;B237)</f>
        <v/>
      </c>
    </row>
    <row r="238">
      <c r="A238" s="6" t="n"/>
      <c r="B238" s="8" t="n"/>
      <c r="C238" s="8" t="n"/>
      <c r="D238" s="5">
        <f>IF(C238="","",IFERROR(INDEX('_lister'!$B$2:$B$62,MATCH(C238,'_lister'!$A$2:$A$62,0)),""))</f>
        <v/>
      </c>
      <c r="E238" s="8" t="n"/>
      <c r="F238" s="6" t="n"/>
      <c r="G238" s="8" t="n"/>
      <c r="H238" s="5">
        <f>IF(A238="","",A238&amp;" "&amp;B238)</f>
        <v/>
      </c>
    </row>
    <row r="239">
      <c r="A239" s="6" t="n"/>
      <c r="B239" s="8" t="n"/>
      <c r="C239" s="8" t="n"/>
      <c r="D239" s="5">
        <f>IF(C239="","",IFERROR(INDEX('_lister'!$B$2:$B$62,MATCH(C239,'_lister'!$A$2:$A$62,0)),""))</f>
        <v/>
      </c>
      <c r="E239" s="8" t="n"/>
      <c r="F239" s="6" t="n"/>
      <c r="G239" s="8" t="n"/>
      <c r="H239" s="5">
        <f>IF(A239="","",A239&amp;" "&amp;B239)</f>
        <v/>
      </c>
    </row>
    <row r="240">
      <c r="A240" s="6" t="n"/>
      <c r="B240" s="8" t="n"/>
      <c r="C240" s="8" t="n"/>
      <c r="D240" s="5">
        <f>IF(C240="","",IFERROR(INDEX('_lister'!$B$2:$B$62,MATCH(C240,'_lister'!$A$2:$A$62,0)),""))</f>
        <v/>
      </c>
      <c r="E240" s="8" t="n"/>
      <c r="F240" s="6" t="n"/>
      <c r="G240" s="8" t="n"/>
      <c r="H240" s="5">
        <f>IF(A240="","",A240&amp;" "&amp;B240)</f>
        <v/>
      </c>
    </row>
    <row r="241">
      <c r="A241" s="6" t="n"/>
      <c r="B241" s="8" t="n"/>
      <c r="C241" s="8" t="n"/>
      <c r="D241" s="5">
        <f>IF(C241="","",IFERROR(INDEX('_lister'!$B$2:$B$62,MATCH(C241,'_lister'!$A$2:$A$62,0)),""))</f>
        <v/>
      </c>
      <c r="E241" s="8" t="n"/>
      <c r="F241" s="6" t="n"/>
      <c r="G241" s="8" t="n"/>
      <c r="H241" s="5">
        <f>IF(A241="","",A241&amp;" "&amp;B241)</f>
        <v/>
      </c>
    </row>
    <row r="242">
      <c r="A242" s="6" t="n"/>
      <c r="B242" s="8" t="n"/>
      <c r="C242" s="8" t="n"/>
      <c r="D242" s="5">
        <f>IF(C242="","",IFERROR(INDEX('_lister'!$B$2:$B$62,MATCH(C242,'_lister'!$A$2:$A$62,0)),""))</f>
        <v/>
      </c>
      <c r="E242" s="8" t="n"/>
      <c r="F242" s="6" t="n"/>
      <c r="G242" s="8" t="n"/>
      <c r="H242" s="5">
        <f>IF(A242="","",A242&amp;" "&amp;B242)</f>
        <v/>
      </c>
    </row>
    <row r="243">
      <c r="A243" s="6" t="n"/>
      <c r="B243" s="8" t="n"/>
      <c r="C243" s="8" t="n"/>
      <c r="D243" s="5">
        <f>IF(C243="","",IFERROR(INDEX('_lister'!$B$2:$B$62,MATCH(C243,'_lister'!$A$2:$A$62,0)),""))</f>
        <v/>
      </c>
      <c r="E243" s="8" t="n"/>
      <c r="F243" s="6" t="n"/>
      <c r="G243" s="8" t="n"/>
      <c r="H243" s="5">
        <f>IF(A243="","",A243&amp;" "&amp;B243)</f>
        <v/>
      </c>
    </row>
    <row r="244">
      <c r="A244" s="6" t="n"/>
      <c r="B244" s="8" t="n"/>
      <c r="C244" s="8" t="n"/>
      <c r="D244" s="5">
        <f>IF(C244="","",IFERROR(INDEX('_lister'!$B$2:$B$62,MATCH(C244,'_lister'!$A$2:$A$62,0)),""))</f>
        <v/>
      </c>
      <c r="E244" s="8" t="n"/>
      <c r="F244" s="6" t="n"/>
      <c r="G244" s="8" t="n"/>
      <c r="H244" s="5">
        <f>IF(A244="","",A244&amp;" "&amp;B244)</f>
        <v/>
      </c>
    </row>
    <row r="245">
      <c r="A245" s="6" t="n"/>
      <c r="B245" s="8" t="n"/>
      <c r="C245" s="8" t="n"/>
      <c r="D245" s="5">
        <f>IF(C245="","",IFERROR(INDEX('_lister'!$B$2:$B$62,MATCH(C245,'_lister'!$A$2:$A$62,0)),""))</f>
        <v/>
      </c>
      <c r="E245" s="8" t="n"/>
      <c r="F245" s="6" t="n"/>
      <c r="G245" s="8" t="n"/>
      <c r="H245" s="5">
        <f>IF(A245="","",A245&amp;" "&amp;B245)</f>
        <v/>
      </c>
    </row>
    <row r="246">
      <c r="A246" s="6" t="n"/>
      <c r="B246" s="8" t="n"/>
      <c r="C246" s="8" t="n"/>
      <c r="D246" s="5">
        <f>IF(C246="","",IFERROR(INDEX('_lister'!$B$2:$B$62,MATCH(C246,'_lister'!$A$2:$A$62,0)),""))</f>
        <v/>
      </c>
      <c r="E246" s="8" t="n"/>
      <c r="F246" s="6" t="n"/>
      <c r="G246" s="8" t="n"/>
      <c r="H246" s="5">
        <f>IF(A246="","",A246&amp;" "&amp;B246)</f>
        <v/>
      </c>
    </row>
    <row r="247">
      <c r="A247" s="6" t="n"/>
      <c r="B247" s="8" t="n"/>
      <c r="C247" s="8" t="n"/>
      <c r="D247" s="5">
        <f>IF(C247="","",IFERROR(INDEX('_lister'!$B$2:$B$62,MATCH(C247,'_lister'!$A$2:$A$62,0)),""))</f>
        <v/>
      </c>
      <c r="E247" s="8" t="n"/>
      <c r="F247" s="6" t="n"/>
      <c r="G247" s="8" t="n"/>
      <c r="H247" s="5">
        <f>IF(A247="","",A247&amp;" "&amp;B247)</f>
        <v/>
      </c>
    </row>
    <row r="248">
      <c r="A248" s="6" t="n"/>
      <c r="B248" s="8" t="n"/>
      <c r="C248" s="8" t="n"/>
      <c r="D248" s="5">
        <f>IF(C248="","",IFERROR(INDEX('_lister'!$B$2:$B$62,MATCH(C248,'_lister'!$A$2:$A$62,0)),""))</f>
        <v/>
      </c>
      <c r="E248" s="8" t="n"/>
      <c r="F248" s="6" t="n"/>
      <c r="G248" s="8" t="n"/>
      <c r="H248" s="5">
        <f>IF(A248="","",A248&amp;" "&amp;B248)</f>
        <v/>
      </c>
    </row>
    <row r="249">
      <c r="A249" s="6" t="n"/>
      <c r="B249" s="8" t="n"/>
      <c r="C249" s="8" t="n"/>
      <c r="D249" s="5">
        <f>IF(C249="","",IFERROR(INDEX('_lister'!$B$2:$B$62,MATCH(C249,'_lister'!$A$2:$A$62,0)),""))</f>
        <v/>
      </c>
      <c r="E249" s="8" t="n"/>
      <c r="F249" s="6" t="n"/>
      <c r="G249" s="8" t="n"/>
      <c r="H249" s="5">
        <f>IF(A249="","",A249&amp;" "&amp;B249)</f>
        <v/>
      </c>
    </row>
    <row r="250">
      <c r="A250" s="6" t="n"/>
      <c r="B250" s="8" t="n"/>
      <c r="C250" s="8" t="n"/>
      <c r="D250" s="5">
        <f>IF(C250="","",IFERROR(INDEX('_lister'!$B$2:$B$62,MATCH(C250,'_lister'!$A$2:$A$62,0)),""))</f>
        <v/>
      </c>
      <c r="E250" s="8" t="n"/>
      <c r="F250" s="6" t="n"/>
      <c r="G250" s="8" t="n"/>
      <c r="H250" s="5">
        <f>IF(A250="","",A250&amp;" "&amp;B250)</f>
        <v/>
      </c>
    </row>
    <row r="251">
      <c r="A251" s="6" t="n"/>
      <c r="B251" s="8" t="n"/>
      <c r="C251" s="8" t="n"/>
      <c r="D251" s="5">
        <f>IF(C251="","",IFERROR(INDEX('_lister'!$B$2:$B$62,MATCH(C251,'_lister'!$A$2:$A$62,0)),""))</f>
        <v/>
      </c>
      <c r="E251" s="8" t="n"/>
      <c r="F251" s="6" t="n"/>
      <c r="G251" s="8" t="n"/>
      <c r="H251" s="5">
        <f>IF(A251="","",A251&amp;" "&amp;B251)</f>
        <v/>
      </c>
    </row>
    <row r="252">
      <c r="A252" s="6" t="n"/>
      <c r="B252" s="8" t="n"/>
      <c r="C252" s="8" t="n"/>
      <c r="D252" s="5">
        <f>IF(C252="","",IFERROR(INDEX('_lister'!$B$2:$B$62,MATCH(C252,'_lister'!$A$2:$A$62,0)),""))</f>
        <v/>
      </c>
      <c r="E252" s="8" t="n"/>
      <c r="F252" s="6" t="n"/>
      <c r="G252" s="8" t="n"/>
      <c r="H252" s="5">
        <f>IF(A252="","",A252&amp;" "&amp;B252)</f>
        <v/>
      </c>
    </row>
    <row r="253">
      <c r="A253" s="6" t="n"/>
      <c r="B253" s="8" t="n"/>
      <c r="C253" s="8" t="n"/>
      <c r="D253" s="5">
        <f>IF(C253="","",IFERROR(INDEX('_lister'!$B$2:$B$62,MATCH(C253,'_lister'!$A$2:$A$62,0)),""))</f>
        <v/>
      </c>
      <c r="E253" s="8" t="n"/>
      <c r="F253" s="6" t="n"/>
      <c r="G253" s="8" t="n"/>
      <c r="H253" s="5">
        <f>IF(A253="","",A253&amp;" "&amp;B253)</f>
        <v/>
      </c>
    </row>
    <row r="254">
      <c r="A254" s="6" t="n"/>
      <c r="B254" s="8" t="n"/>
      <c r="C254" s="8" t="n"/>
      <c r="D254" s="5">
        <f>IF(C254="","",IFERROR(INDEX('_lister'!$B$2:$B$62,MATCH(C254,'_lister'!$A$2:$A$62,0)),""))</f>
        <v/>
      </c>
      <c r="E254" s="8" t="n"/>
      <c r="F254" s="6" t="n"/>
      <c r="G254" s="8" t="n"/>
      <c r="H254" s="5">
        <f>IF(A254="","",A254&amp;" "&amp;B254)</f>
        <v/>
      </c>
    </row>
    <row r="255">
      <c r="A255" s="6" t="n"/>
      <c r="B255" s="8" t="n"/>
      <c r="C255" s="8" t="n"/>
      <c r="D255" s="5">
        <f>IF(C255="","",IFERROR(INDEX('_lister'!$B$2:$B$62,MATCH(C255,'_lister'!$A$2:$A$62,0)),""))</f>
        <v/>
      </c>
      <c r="E255" s="8" t="n"/>
      <c r="F255" s="6" t="n"/>
      <c r="G255" s="8" t="n"/>
      <c r="H255" s="5">
        <f>IF(A255="","",A255&amp;" "&amp;B255)</f>
        <v/>
      </c>
    </row>
    <row r="256">
      <c r="A256" s="6" t="n"/>
      <c r="B256" s="8" t="n"/>
      <c r="C256" s="8" t="n"/>
      <c r="D256" s="5">
        <f>IF(C256="","",IFERROR(INDEX('_lister'!$B$2:$B$62,MATCH(C256,'_lister'!$A$2:$A$62,0)),""))</f>
        <v/>
      </c>
      <c r="E256" s="8" t="n"/>
      <c r="F256" s="6" t="n"/>
      <c r="G256" s="8" t="n"/>
      <c r="H256" s="5">
        <f>IF(A256="","",A256&amp;" "&amp;B256)</f>
        <v/>
      </c>
    </row>
    <row r="257">
      <c r="A257" s="6" t="n"/>
      <c r="B257" s="8" t="n"/>
      <c r="C257" s="8" t="n"/>
      <c r="D257" s="5">
        <f>IF(C257="","",IFERROR(INDEX('_lister'!$B$2:$B$62,MATCH(C257,'_lister'!$A$2:$A$62,0)),""))</f>
        <v/>
      </c>
      <c r="E257" s="8" t="n"/>
      <c r="F257" s="6" t="n"/>
      <c r="G257" s="8" t="n"/>
      <c r="H257" s="5">
        <f>IF(A257="","",A257&amp;" "&amp;B257)</f>
        <v/>
      </c>
    </row>
    <row r="258">
      <c r="A258" s="6" t="n"/>
      <c r="B258" s="8" t="n"/>
      <c r="C258" s="8" t="n"/>
      <c r="D258" s="5">
        <f>IF(C258="","",IFERROR(INDEX('_lister'!$B$2:$B$62,MATCH(C258,'_lister'!$A$2:$A$62,0)),""))</f>
        <v/>
      </c>
      <c r="E258" s="8" t="n"/>
      <c r="F258" s="6" t="n"/>
      <c r="G258" s="8" t="n"/>
      <c r="H258" s="5">
        <f>IF(A258="","",A258&amp;" "&amp;B258)</f>
        <v/>
      </c>
    </row>
    <row r="259">
      <c r="A259" s="6" t="n"/>
      <c r="B259" s="8" t="n"/>
      <c r="C259" s="8" t="n"/>
      <c r="D259" s="5">
        <f>IF(C259="","",IFERROR(INDEX('_lister'!$B$2:$B$62,MATCH(C259,'_lister'!$A$2:$A$62,0)),""))</f>
        <v/>
      </c>
      <c r="E259" s="8" t="n"/>
      <c r="F259" s="6" t="n"/>
      <c r="G259" s="8" t="n"/>
      <c r="H259" s="5">
        <f>IF(A259="","",A259&amp;" "&amp;B259)</f>
        <v/>
      </c>
    </row>
    <row r="260">
      <c r="A260" s="6" t="n"/>
      <c r="B260" s="8" t="n"/>
      <c r="C260" s="8" t="n"/>
      <c r="D260" s="5">
        <f>IF(C260="","",IFERROR(INDEX('_lister'!$B$2:$B$62,MATCH(C260,'_lister'!$A$2:$A$62,0)),""))</f>
        <v/>
      </c>
      <c r="E260" s="8" t="n"/>
      <c r="F260" s="6" t="n"/>
      <c r="G260" s="8" t="n"/>
      <c r="H260" s="5">
        <f>IF(A260="","",A260&amp;" "&amp;B260)</f>
        <v/>
      </c>
    </row>
    <row r="261">
      <c r="A261" s="6" t="n"/>
      <c r="B261" s="8" t="n"/>
      <c r="C261" s="8" t="n"/>
      <c r="D261" s="5">
        <f>IF(C261="","",IFERROR(INDEX('_lister'!$B$2:$B$62,MATCH(C261,'_lister'!$A$2:$A$62,0)),""))</f>
        <v/>
      </c>
      <c r="E261" s="8" t="n"/>
      <c r="F261" s="6" t="n"/>
      <c r="G261" s="8" t="n"/>
      <c r="H261" s="5">
        <f>IF(A261="","",A261&amp;" "&amp;B261)</f>
        <v/>
      </c>
    </row>
    <row r="262">
      <c r="A262" s="6" t="n"/>
      <c r="B262" s="8" t="n"/>
      <c r="C262" s="8" t="n"/>
      <c r="D262" s="5">
        <f>IF(C262="","",IFERROR(INDEX('_lister'!$B$2:$B$62,MATCH(C262,'_lister'!$A$2:$A$62,0)),""))</f>
        <v/>
      </c>
      <c r="E262" s="8" t="n"/>
      <c r="F262" s="6" t="n"/>
      <c r="G262" s="8" t="n"/>
      <c r="H262" s="5">
        <f>IF(A262="","",A262&amp;" "&amp;B262)</f>
        <v/>
      </c>
    </row>
    <row r="263">
      <c r="A263" s="6" t="n"/>
      <c r="B263" s="8" t="n"/>
      <c r="C263" s="8" t="n"/>
      <c r="D263" s="5">
        <f>IF(C263="","",IFERROR(INDEX('_lister'!$B$2:$B$62,MATCH(C263,'_lister'!$A$2:$A$62,0)),""))</f>
        <v/>
      </c>
      <c r="E263" s="8" t="n"/>
      <c r="F263" s="6" t="n"/>
      <c r="G263" s="8" t="n"/>
      <c r="H263" s="5">
        <f>IF(A263="","",A263&amp;" "&amp;B263)</f>
        <v/>
      </c>
    </row>
    <row r="264">
      <c r="A264" s="6" t="n"/>
      <c r="B264" s="8" t="n"/>
      <c r="C264" s="8" t="n"/>
      <c r="D264" s="5">
        <f>IF(C264="","",IFERROR(INDEX('_lister'!$B$2:$B$62,MATCH(C264,'_lister'!$A$2:$A$62,0)),""))</f>
        <v/>
      </c>
      <c r="E264" s="8" t="n"/>
      <c r="F264" s="6" t="n"/>
      <c r="G264" s="8" t="n"/>
      <c r="H264" s="5">
        <f>IF(A264="","",A264&amp;" "&amp;B264)</f>
        <v/>
      </c>
    </row>
    <row r="265">
      <c r="A265" s="6" t="n"/>
      <c r="B265" s="8" t="n"/>
      <c r="C265" s="8" t="n"/>
      <c r="D265" s="5">
        <f>IF(C265="","",IFERROR(INDEX('_lister'!$B$2:$B$62,MATCH(C265,'_lister'!$A$2:$A$62,0)),""))</f>
        <v/>
      </c>
      <c r="E265" s="8" t="n"/>
      <c r="F265" s="6" t="n"/>
      <c r="G265" s="8" t="n"/>
      <c r="H265" s="5">
        <f>IF(A265="","",A265&amp;" "&amp;B265)</f>
        <v/>
      </c>
    </row>
    <row r="266">
      <c r="A266" s="6" t="n"/>
      <c r="B266" s="8" t="n"/>
      <c r="C266" s="8" t="n"/>
      <c r="D266" s="5">
        <f>IF(C266="","",IFERROR(INDEX('_lister'!$B$2:$B$62,MATCH(C266,'_lister'!$A$2:$A$62,0)),""))</f>
        <v/>
      </c>
      <c r="E266" s="8" t="n"/>
      <c r="F266" s="6" t="n"/>
      <c r="G266" s="8" t="n"/>
      <c r="H266" s="5">
        <f>IF(A266="","",A266&amp;" "&amp;B266)</f>
        <v/>
      </c>
    </row>
    <row r="267">
      <c r="A267" s="6" t="n"/>
      <c r="B267" s="8" t="n"/>
      <c r="C267" s="8" t="n"/>
      <c r="D267" s="5">
        <f>IF(C267="","",IFERROR(INDEX('_lister'!$B$2:$B$62,MATCH(C267,'_lister'!$A$2:$A$62,0)),""))</f>
        <v/>
      </c>
      <c r="E267" s="8" t="n"/>
      <c r="F267" s="6" t="n"/>
      <c r="G267" s="8" t="n"/>
      <c r="H267" s="5">
        <f>IF(A267="","",A267&amp;" "&amp;B267)</f>
        <v/>
      </c>
    </row>
    <row r="268">
      <c r="A268" s="6" t="n"/>
      <c r="B268" s="8" t="n"/>
      <c r="C268" s="8" t="n"/>
      <c r="D268" s="5">
        <f>IF(C268="","",IFERROR(INDEX('_lister'!$B$2:$B$62,MATCH(C268,'_lister'!$A$2:$A$62,0)),""))</f>
        <v/>
      </c>
      <c r="E268" s="8" t="n"/>
      <c r="F268" s="6" t="n"/>
      <c r="G268" s="8" t="n"/>
      <c r="H268" s="5">
        <f>IF(A268="","",A268&amp;" "&amp;B268)</f>
        <v/>
      </c>
    </row>
    <row r="269">
      <c r="A269" s="6" t="n"/>
      <c r="B269" s="8" t="n"/>
      <c r="C269" s="8" t="n"/>
      <c r="D269" s="5">
        <f>IF(C269="","",IFERROR(INDEX('_lister'!$B$2:$B$62,MATCH(C269,'_lister'!$A$2:$A$62,0)),""))</f>
        <v/>
      </c>
      <c r="E269" s="8" t="n"/>
      <c r="F269" s="6" t="n"/>
      <c r="G269" s="8" t="n"/>
      <c r="H269" s="5">
        <f>IF(A269="","",A269&amp;" "&amp;B269)</f>
        <v/>
      </c>
    </row>
    <row r="270">
      <c r="A270" s="6" t="n"/>
      <c r="B270" s="8" t="n"/>
      <c r="C270" s="8" t="n"/>
      <c r="D270" s="5">
        <f>IF(C270="","",IFERROR(INDEX('_lister'!$B$2:$B$62,MATCH(C270,'_lister'!$A$2:$A$62,0)),""))</f>
        <v/>
      </c>
      <c r="E270" s="8" t="n"/>
      <c r="F270" s="6" t="n"/>
      <c r="G270" s="8" t="n"/>
      <c r="H270" s="5">
        <f>IF(A270="","",A270&amp;" "&amp;B270)</f>
        <v/>
      </c>
    </row>
    <row r="271">
      <c r="A271" s="6" t="n"/>
      <c r="B271" s="8" t="n"/>
      <c r="C271" s="8" t="n"/>
      <c r="D271" s="5">
        <f>IF(C271="","",IFERROR(INDEX('_lister'!$B$2:$B$62,MATCH(C271,'_lister'!$A$2:$A$62,0)),""))</f>
        <v/>
      </c>
      <c r="E271" s="8" t="n"/>
      <c r="F271" s="6" t="n"/>
      <c r="G271" s="8" t="n"/>
      <c r="H271" s="5">
        <f>IF(A271="","",A271&amp;" "&amp;B271)</f>
        <v/>
      </c>
    </row>
    <row r="272">
      <c r="A272" s="6" t="n"/>
      <c r="B272" s="8" t="n"/>
      <c r="C272" s="8" t="n"/>
      <c r="D272" s="5">
        <f>IF(C272="","",IFERROR(INDEX('_lister'!$B$2:$B$62,MATCH(C272,'_lister'!$A$2:$A$62,0)),""))</f>
        <v/>
      </c>
      <c r="E272" s="8" t="n"/>
      <c r="F272" s="6" t="n"/>
      <c r="G272" s="8" t="n"/>
      <c r="H272" s="5">
        <f>IF(A272="","",A272&amp;" "&amp;B272)</f>
        <v/>
      </c>
    </row>
    <row r="273">
      <c r="A273" s="6" t="n"/>
      <c r="B273" s="8" t="n"/>
      <c r="C273" s="8" t="n"/>
      <c r="D273" s="5">
        <f>IF(C273="","",IFERROR(INDEX('_lister'!$B$2:$B$62,MATCH(C273,'_lister'!$A$2:$A$62,0)),""))</f>
        <v/>
      </c>
      <c r="E273" s="8" t="n"/>
      <c r="F273" s="6" t="n"/>
      <c r="G273" s="8" t="n"/>
      <c r="H273" s="5">
        <f>IF(A273="","",A273&amp;" "&amp;B273)</f>
        <v/>
      </c>
    </row>
    <row r="274">
      <c r="A274" s="6" t="n"/>
      <c r="B274" s="8" t="n"/>
      <c r="C274" s="8" t="n"/>
      <c r="D274" s="5">
        <f>IF(C274="","",IFERROR(INDEX('_lister'!$B$2:$B$62,MATCH(C274,'_lister'!$A$2:$A$62,0)),""))</f>
        <v/>
      </c>
      <c r="E274" s="8" t="n"/>
      <c r="F274" s="6" t="n"/>
      <c r="G274" s="8" t="n"/>
      <c r="H274" s="5">
        <f>IF(A274="","",A274&amp;" "&amp;B274)</f>
        <v/>
      </c>
    </row>
    <row r="275">
      <c r="A275" s="6" t="n"/>
      <c r="B275" s="8" t="n"/>
      <c r="C275" s="8" t="n"/>
      <c r="D275" s="5">
        <f>IF(C275="","",IFERROR(INDEX('_lister'!$B$2:$B$62,MATCH(C275,'_lister'!$A$2:$A$62,0)),""))</f>
        <v/>
      </c>
      <c r="E275" s="8" t="n"/>
      <c r="F275" s="6" t="n"/>
      <c r="G275" s="8" t="n"/>
      <c r="H275" s="5">
        <f>IF(A275="","",A275&amp;" "&amp;B275)</f>
        <v/>
      </c>
    </row>
    <row r="276">
      <c r="A276" s="6" t="n"/>
      <c r="B276" s="8" t="n"/>
      <c r="C276" s="8" t="n"/>
      <c r="D276" s="5">
        <f>IF(C276="","",IFERROR(INDEX('_lister'!$B$2:$B$62,MATCH(C276,'_lister'!$A$2:$A$62,0)),""))</f>
        <v/>
      </c>
      <c r="E276" s="8" t="n"/>
      <c r="F276" s="6" t="n"/>
      <c r="G276" s="8" t="n"/>
      <c r="H276" s="5">
        <f>IF(A276="","",A276&amp;" "&amp;B276)</f>
        <v/>
      </c>
    </row>
    <row r="277">
      <c r="A277" s="6" t="n"/>
      <c r="B277" s="8" t="n"/>
      <c r="C277" s="8" t="n"/>
      <c r="D277" s="5">
        <f>IF(C277="","",IFERROR(INDEX('_lister'!$B$2:$B$62,MATCH(C277,'_lister'!$A$2:$A$62,0)),""))</f>
        <v/>
      </c>
      <c r="E277" s="8" t="n"/>
      <c r="F277" s="6" t="n"/>
      <c r="G277" s="8" t="n"/>
      <c r="H277" s="5">
        <f>IF(A277="","",A277&amp;" "&amp;B277)</f>
        <v/>
      </c>
    </row>
    <row r="278">
      <c r="A278" s="6" t="n"/>
      <c r="B278" s="8" t="n"/>
      <c r="C278" s="8" t="n"/>
      <c r="D278" s="5">
        <f>IF(C278="","",IFERROR(INDEX('_lister'!$B$2:$B$62,MATCH(C278,'_lister'!$A$2:$A$62,0)),""))</f>
        <v/>
      </c>
      <c r="E278" s="8" t="n"/>
      <c r="F278" s="6" t="n"/>
      <c r="G278" s="8" t="n"/>
      <c r="H278" s="5">
        <f>IF(A278="","",A278&amp;" "&amp;B278)</f>
        <v/>
      </c>
    </row>
    <row r="279">
      <c r="A279" s="6" t="n"/>
      <c r="B279" s="8" t="n"/>
      <c r="C279" s="8" t="n"/>
      <c r="D279" s="5">
        <f>IF(C279="","",IFERROR(INDEX('_lister'!$B$2:$B$62,MATCH(C279,'_lister'!$A$2:$A$62,0)),""))</f>
        <v/>
      </c>
      <c r="E279" s="8" t="n"/>
      <c r="F279" s="6" t="n"/>
      <c r="G279" s="8" t="n"/>
      <c r="H279" s="5">
        <f>IF(A279="","",A279&amp;" "&amp;B279)</f>
        <v/>
      </c>
    </row>
    <row r="280">
      <c r="A280" s="6" t="n"/>
      <c r="B280" s="8" t="n"/>
      <c r="C280" s="8" t="n"/>
      <c r="D280" s="5">
        <f>IF(C280="","",IFERROR(INDEX('_lister'!$B$2:$B$62,MATCH(C280,'_lister'!$A$2:$A$62,0)),""))</f>
        <v/>
      </c>
      <c r="E280" s="8" t="n"/>
      <c r="F280" s="6" t="n"/>
      <c r="G280" s="8" t="n"/>
      <c r="H280" s="5">
        <f>IF(A280="","",A280&amp;" "&amp;B280)</f>
        <v/>
      </c>
    </row>
    <row r="281">
      <c r="A281" s="6" t="n"/>
      <c r="B281" s="8" t="n"/>
      <c r="C281" s="8" t="n"/>
      <c r="D281" s="5">
        <f>IF(C281="","",IFERROR(INDEX('_lister'!$B$2:$B$62,MATCH(C281,'_lister'!$A$2:$A$62,0)),""))</f>
        <v/>
      </c>
      <c r="E281" s="8" t="n"/>
      <c r="F281" s="6" t="n"/>
      <c r="G281" s="8" t="n"/>
      <c r="H281" s="5">
        <f>IF(A281="","",A281&amp;" "&amp;B281)</f>
        <v/>
      </c>
    </row>
    <row r="282">
      <c r="A282" s="6" t="n"/>
      <c r="B282" s="8" t="n"/>
      <c r="C282" s="8" t="n"/>
      <c r="D282" s="5">
        <f>IF(C282="","",IFERROR(INDEX('_lister'!$B$2:$B$62,MATCH(C282,'_lister'!$A$2:$A$62,0)),""))</f>
        <v/>
      </c>
      <c r="E282" s="8" t="n"/>
      <c r="F282" s="6" t="n"/>
      <c r="G282" s="8" t="n"/>
      <c r="H282" s="5">
        <f>IF(A282="","",A282&amp;" "&amp;B282)</f>
        <v/>
      </c>
    </row>
    <row r="283">
      <c r="A283" s="6" t="n"/>
      <c r="B283" s="8" t="n"/>
      <c r="C283" s="8" t="n"/>
      <c r="D283" s="5">
        <f>IF(C283="","",IFERROR(INDEX('_lister'!$B$2:$B$62,MATCH(C283,'_lister'!$A$2:$A$62,0)),""))</f>
        <v/>
      </c>
      <c r="E283" s="8" t="n"/>
      <c r="F283" s="6" t="n"/>
      <c r="G283" s="8" t="n"/>
      <c r="H283" s="5">
        <f>IF(A283="","",A283&amp;" "&amp;B283)</f>
        <v/>
      </c>
    </row>
    <row r="284">
      <c r="A284" s="6" t="n"/>
      <c r="B284" s="8" t="n"/>
      <c r="C284" s="8" t="n"/>
      <c r="D284" s="5">
        <f>IF(C284="","",IFERROR(INDEX('_lister'!$B$2:$B$62,MATCH(C284,'_lister'!$A$2:$A$62,0)),""))</f>
        <v/>
      </c>
      <c r="E284" s="8" t="n"/>
      <c r="F284" s="6" t="n"/>
      <c r="G284" s="8" t="n"/>
      <c r="H284" s="5">
        <f>IF(A284="","",A284&amp;" "&amp;B284)</f>
        <v/>
      </c>
    </row>
    <row r="285">
      <c r="A285" s="6" t="n"/>
      <c r="B285" s="8" t="n"/>
      <c r="C285" s="8" t="n"/>
      <c r="D285" s="5">
        <f>IF(C285="","",IFERROR(INDEX('_lister'!$B$2:$B$62,MATCH(C285,'_lister'!$A$2:$A$62,0)),""))</f>
        <v/>
      </c>
      <c r="E285" s="8" t="n"/>
      <c r="F285" s="6" t="n"/>
      <c r="G285" s="8" t="n"/>
      <c r="H285" s="5">
        <f>IF(A285="","",A285&amp;" "&amp;B285)</f>
        <v/>
      </c>
    </row>
    <row r="286">
      <c r="A286" s="6" t="n"/>
      <c r="B286" s="8" t="n"/>
      <c r="C286" s="8" t="n"/>
      <c r="D286" s="5">
        <f>IF(C286="","",IFERROR(INDEX('_lister'!$B$2:$B$62,MATCH(C286,'_lister'!$A$2:$A$62,0)),""))</f>
        <v/>
      </c>
      <c r="E286" s="8" t="n"/>
      <c r="F286" s="6" t="n"/>
      <c r="G286" s="8" t="n"/>
      <c r="H286" s="5">
        <f>IF(A286="","",A286&amp;" "&amp;B286)</f>
        <v/>
      </c>
    </row>
    <row r="287">
      <c r="A287" s="6" t="n"/>
      <c r="B287" s="8" t="n"/>
      <c r="C287" s="8" t="n"/>
      <c r="D287" s="5">
        <f>IF(C287="","",IFERROR(INDEX('_lister'!$B$2:$B$62,MATCH(C287,'_lister'!$A$2:$A$62,0)),""))</f>
        <v/>
      </c>
      <c r="E287" s="8" t="n"/>
      <c r="F287" s="6" t="n"/>
      <c r="G287" s="8" t="n"/>
      <c r="H287" s="5">
        <f>IF(A287="","",A287&amp;" "&amp;B287)</f>
        <v/>
      </c>
    </row>
    <row r="288">
      <c r="A288" s="6" t="n"/>
      <c r="B288" s="8" t="n"/>
      <c r="C288" s="8" t="n"/>
      <c r="D288" s="5">
        <f>IF(C288="","",IFERROR(INDEX('_lister'!$B$2:$B$62,MATCH(C288,'_lister'!$A$2:$A$62,0)),""))</f>
        <v/>
      </c>
      <c r="E288" s="8" t="n"/>
      <c r="F288" s="6" t="n"/>
      <c r="G288" s="8" t="n"/>
      <c r="H288" s="5">
        <f>IF(A288="","",A288&amp;" "&amp;B288)</f>
        <v/>
      </c>
    </row>
    <row r="289">
      <c r="A289" s="6" t="n"/>
      <c r="B289" s="8" t="n"/>
      <c r="C289" s="8" t="n"/>
      <c r="D289" s="5">
        <f>IF(C289="","",IFERROR(INDEX('_lister'!$B$2:$B$62,MATCH(C289,'_lister'!$A$2:$A$62,0)),""))</f>
        <v/>
      </c>
      <c r="E289" s="8" t="n"/>
      <c r="F289" s="6" t="n"/>
      <c r="G289" s="8" t="n"/>
      <c r="H289" s="5">
        <f>IF(A289="","",A289&amp;" "&amp;B289)</f>
        <v/>
      </c>
    </row>
    <row r="290">
      <c r="A290" s="6" t="n"/>
      <c r="B290" s="8" t="n"/>
      <c r="C290" s="8" t="n"/>
      <c r="D290" s="5">
        <f>IF(C290="","",IFERROR(INDEX('_lister'!$B$2:$B$62,MATCH(C290,'_lister'!$A$2:$A$62,0)),""))</f>
        <v/>
      </c>
      <c r="E290" s="8" t="n"/>
      <c r="F290" s="6" t="n"/>
      <c r="G290" s="8" t="n"/>
      <c r="H290" s="5">
        <f>IF(A290="","",A290&amp;" "&amp;B290)</f>
        <v/>
      </c>
    </row>
    <row r="291">
      <c r="A291" s="6" t="n"/>
      <c r="B291" s="8" t="n"/>
      <c r="C291" s="8" t="n"/>
      <c r="D291" s="5">
        <f>IF(C291="","",IFERROR(INDEX('_lister'!$B$2:$B$62,MATCH(C291,'_lister'!$A$2:$A$62,0)),""))</f>
        <v/>
      </c>
      <c r="E291" s="8" t="n"/>
      <c r="F291" s="6" t="n"/>
      <c r="G291" s="8" t="n"/>
      <c r="H291" s="5">
        <f>IF(A291="","",A291&amp;" "&amp;B291)</f>
        <v/>
      </c>
    </row>
    <row r="292">
      <c r="A292" s="6" t="n"/>
      <c r="B292" s="8" t="n"/>
      <c r="C292" s="8" t="n"/>
      <c r="D292" s="5">
        <f>IF(C292="","",IFERROR(INDEX('_lister'!$B$2:$B$62,MATCH(C292,'_lister'!$A$2:$A$62,0)),""))</f>
        <v/>
      </c>
      <c r="E292" s="8" t="n"/>
      <c r="F292" s="6" t="n"/>
      <c r="G292" s="8" t="n"/>
      <c r="H292" s="5">
        <f>IF(A292="","",A292&amp;" "&amp;B292)</f>
        <v/>
      </c>
    </row>
    <row r="293">
      <c r="A293" s="6" t="n"/>
      <c r="B293" s="8" t="n"/>
      <c r="C293" s="8" t="n"/>
      <c r="D293" s="5">
        <f>IF(C293="","",IFERROR(INDEX('_lister'!$B$2:$B$62,MATCH(C293,'_lister'!$A$2:$A$62,0)),""))</f>
        <v/>
      </c>
      <c r="E293" s="8" t="n"/>
      <c r="F293" s="6" t="n"/>
      <c r="G293" s="8" t="n"/>
      <c r="H293" s="5">
        <f>IF(A293="","",A293&amp;" "&amp;B293)</f>
        <v/>
      </c>
    </row>
    <row r="294">
      <c r="A294" s="6" t="n"/>
      <c r="B294" s="8" t="n"/>
      <c r="C294" s="8" t="n"/>
      <c r="D294" s="5">
        <f>IF(C294="","",IFERROR(INDEX('_lister'!$B$2:$B$62,MATCH(C294,'_lister'!$A$2:$A$62,0)),""))</f>
        <v/>
      </c>
      <c r="E294" s="8" t="n"/>
      <c r="F294" s="6" t="n"/>
      <c r="G294" s="8" t="n"/>
      <c r="H294" s="5">
        <f>IF(A294="","",A294&amp;" "&amp;B294)</f>
        <v/>
      </c>
    </row>
    <row r="295">
      <c r="A295" s="6" t="n"/>
      <c r="B295" s="8" t="n"/>
      <c r="C295" s="8" t="n"/>
      <c r="D295" s="5">
        <f>IF(C295="","",IFERROR(INDEX('_lister'!$B$2:$B$62,MATCH(C295,'_lister'!$A$2:$A$62,0)),""))</f>
        <v/>
      </c>
      <c r="E295" s="8" t="n"/>
      <c r="F295" s="6" t="n"/>
      <c r="G295" s="8" t="n"/>
      <c r="H295" s="5">
        <f>IF(A295="","",A295&amp;" "&amp;B295)</f>
        <v/>
      </c>
    </row>
    <row r="296">
      <c r="A296" s="6" t="n"/>
      <c r="B296" s="8" t="n"/>
      <c r="C296" s="8" t="n"/>
      <c r="D296" s="5">
        <f>IF(C296="","",IFERROR(INDEX('_lister'!$B$2:$B$62,MATCH(C296,'_lister'!$A$2:$A$62,0)),""))</f>
        <v/>
      </c>
      <c r="E296" s="8" t="n"/>
      <c r="F296" s="6" t="n"/>
      <c r="G296" s="8" t="n"/>
      <c r="H296" s="5">
        <f>IF(A296="","",A296&amp;" "&amp;B296)</f>
        <v/>
      </c>
    </row>
    <row r="297">
      <c r="A297" s="6" t="n"/>
      <c r="B297" s="8" t="n"/>
      <c r="C297" s="8" t="n"/>
      <c r="D297" s="5">
        <f>IF(C297="","",IFERROR(INDEX('_lister'!$B$2:$B$62,MATCH(C297,'_lister'!$A$2:$A$62,0)),""))</f>
        <v/>
      </c>
      <c r="E297" s="8" t="n"/>
      <c r="F297" s="6" t="n"/>
      <c r="G297" s="8" t="n"/>
      <c r="H297" s="5">
        <f>IF(A297="","",A297&amp;" "&amp;B297)</f>
        <v/>
      </c>
    </row>
    <row r="298">
      <c r="A298" s="6" t="n"/>
      <c r="B298" s="8" t="n"/>
      <c r="C298" s="8" t="n"/>
      <c r="D298" s="5">
        <f>IF(C298="","",IFERROR(INDEX('_lister'!$B$2:$B$62,MATCH(C298,'_lister'!$A$2:$A$62,0)),""))</f>
        <v/>
      </c>
      <c r="E298" s="8" t="n"/>
      <c r="F298" s="6" t="n"/>
      <c r="G298" s="8" t="n"/>
      <c r="H298" s="5">
        <f>IF(A298="","",A298&amp;" "&amp;B298)</f>
        <v/>
      </c>
    </row>
    <row r="299">
      <c r="A299" s="6" t="n"/>
      <c r="B299" s="8" t="n"/>
      <c r="C299" s="8" t="n"/>
      <c r="D299" s="5">
        <f>IF(C299="","",IFERROR(INDEX('_lister'!$B$2:$B$62,MATCH(C299,'_lister'!$A$2:$A$62,0)),""))</f>
        <v/>
      </c>
      <c r="E299" s="8" t="n"/>
      <c r="F299" s="6" t="n"/>
      <c r="G299" s="8" t="n"/>
      <c r="H299" s="5">
        <f>IF(A299="","",A299&amp;" "&amp;B299)</f>
        <v/>
      </c>
    </row>
    <row r="300">
      <c r="A300" s="6" t="n"/>
      <c r="B300" s="8" t="n"/>
      <c r="C300" s="8" t="n"/>
      <c r="D300" s="5">
        <f>IF(C300="","",IFERROR(INDEX('_lister'!$B$2:$B$62,MATCH(C300,'_lister'!$A$2:$A$62,0)),""))</f>
        <v/>
      </c>
      <c r="E300" s="8" t="n"/>
      <c r="F300" s="6" t="n"/>
      <c r="G300" s="8" t="n"/>
      <c r="H300" s="5">
        <f>IF(A300="","",A300&amp;" "&amp;B300)</f>
        <v/>
      </c>
    </row>
    <row r="301">
      <c r="A301" s="6" t="n"/>
      <c r="B301" s="8" t="n"/>
      <c r="C301" s="8" t="n"/>
      <c r="D301" s="5">
        <f>IF(C301="","",IFERROR(INDEX('_lister'!$B$2:$B$62,MATCH(C301,'_lister'!$A$2:$A$62,0)),""))</f>
        <v/>
      </c>
      <c r="E301" s="8" t="n"/>
      <c r="F301" s="6" t="n"/>
      <c r="G301" s="8" t="n"/>
      <c r="H301" s="5">
        <f>IF(A301="","",A301&amp;" "&amp;B301)</f>
        <v/>
      </c>
    </row>
    <row r="302">
      <c r="A302" s="6" t="n"/>
      <c r="B302" s="8" t="n"/>
      <c r="C302" s="8" t="n"/>
      <c r="D302" s="5">
        <f>IF(C302="","",IFERROR(INDEX('_lister'!$B$2:$B$62,MATCH(C302,'_lister'!$A$2:$A$62,0)),""))</f>
        <v/>
      </c>
      <c r="E302" s="8" t="n"/>
      <c r="F302" s="6" t="n"/>
      <c r="G302" s="8" t="n"/>
      <c r="H302" s="5">
        <f>IF(A302="","",A302&amp;" "&amp;B302)</f>
        <v/>
      </c>
    </row>
  </sheetData>
  <sheetProtection selectLockedCells="0" selectUnlockedCells="0" sheet="1" objects="0" insertRows="1" insertHyperlinks="1" autoFilter="1" scenarios="0" formatColumns="1" deleteColumns="1" insertColumns="1" pivotTables="1" deleteRows="1" formatCells="1" formatRows="1" sort="1"/>
  <mergeCells count="1">
    <mergeCell ref="A2:H2"/>
  </mergeCells>
  <conditionalFormatting sqref="A3:H302">
    <cfRule type="expression" priority="1" dxfId="0" stopIfTrue="0">
      <formula>$D3="Støttes ikke"</formula>
    </cfRule>
  </conditionalFormatting>
  <dataValidations count="6">
    <dataValidation sqref="A3:A302" showDropDown="0" showInputMessage="0" showErrorMessage="1" allowBlank="1" errorTitle="Formells regnskapsmal" error="Kontonummeret skal ha 4 til 6 sifre. Start med de fire sifrene til kontoen den hører til." type="custom">
      <formula1>AND(LEN(A3)&gt;=4,LEN(A3)&lt;=6,ISNUMBER(--A3))</formula1>
    </dataValidation>
    <dataValidation sqref="B3:B302" showDropDown="0" showInputMessage="0" showErrorMessage="1" allowBlank="1" type="textLength" operator="lessThanOrEqual">
      <formula1>100</formula1>
    </dataValidation>
    <dataValidation sqref="C3:C302" showDropDown="0" showInputMessage="0" showErrorMessage="1" allowBlank="1" errorTitle="Formells regnskapsmal" error="Velg regnskapspost fra listen." type="list">
      <formula1>'_lister'!$A$2:$A$62</formula1>
    </dataValidation>
    <dataValidation sqref="E3:E302" showDropDown="0" showInputMessage="0" showErrorMessage="1" allowBlank="1" type="textLength" operator="lessThanOrEqual">
      <formula1>255</formula1>
    </dataValidation>
    <dataValidation sqref="F3:F302" showDropDown="0" showInputMessage="0" showErrorMessage="1" allowBlank="1" errorTitle="Formells regnskapsmal" error="Kontonummeret i banken har 11 sifre." type="custom">
      <formula1>AND(LEN(F3)=11,ISNUMBER(--F3))</formula1>
    </dataValidation>
    <dataValidation sqref="G3:G302" showDropDown="0" showInputMessage="0" showErrorMessage="1" allowBlank="1" errorTitle="Formells regnskapsmal" error="Velg Ja eller Nei." type="list">
      <formula1>'_lister'!$F$2:$F$3</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1"/>
  <sheetViews>
    <sheetView workbookViewId="0">
      <pane ySplit="3" topLeftCell="A4" activePane="bottomLeft" state="frozen"/>
      <selection pane="bottomLeft" activeCell="A1" sqref="A1"/>
    </sheetView>
  </sheetViews>
  <sheetFormatPr baseColWidth="8" defaultRowHeight="15"/>
  <cols>
    <col width="44" customWidth="1" min="1" max="1"/>
    <col width="44" customWidth="1" min="2" max="2"/>
    <col width="18" customWidth="1" min="3" max="3"/>
    <col width="40" customWidth="1" min="4" max="4"/>
  </cols>
  <sheetData>
    <row r="1">
      <c r="A1" s="13" t="inlineStr">
        <is>
          <t>Saldo 1. januar 2027</t>
        </is>
      </c>
    </row>
    <row r="2">
      <c r="A2" s="10" t="inlineStr">
        <is>
          <t>Konto</t>
        </is>
      </c>
      <c r="B2" s="10" t="inlineStr">
        <is>
          <t>Kontonavn</t>
        </is>
      </c>
      <c r="C2" s="10" t="inlineStr">
        <is>
          <t>Beløp 1.1.2027</t>
        </is>
      </c>
      <c r="D2" s="10" t="inlineStr">
        <is>
          <t>Merknad</t>
        </is>
      </c>
    </row>
    <row r="3" ht="30" customHeight="1">
      <c r="A3" s="11" t="inlineStr">
        <is>
          <t>Skriv saldoene fra fjorårets årsregnskap. Eiendeler, egenkapital og gjeld skrives som positive tall. Udekket tap føres på 2080.</t>
        </is>
      </c>
    </row>
    <row r="4">
      <c r="A4" s="8" t="n"/>
      <c r="B4" s="5">
        <f>IF(A4="","",IFERROR(INDEX('Kontoplan'!$B$3:$B$302,MATCH(A4,'Kontoplan'!$H$3:$H$302,0)),""))</f>
        <v/>
      </c>
      <c r="C4" s="14" t="n"/>
      <c r="D4" s="8" t="n"/>
    </row>
    <row r="5">
      <c r="A5" s="8" t="n"/>
      <c r="B5" s="5">
        <f>IF(A5="","",IFERROR(INDEX('Kontoplan'!$B$3:$B$302,MATCH(A5,'Kontoplan'!$H$3:$H$302,0)),""))</f>
        <v/>
      </c>
      <c r="C5" s="14" t="n"/>
      <c r="D5" s="8" t="n"/>
    </row>
    <row r="6">
      <c r="A6" s="8" t="n"/>
      <c r="B6" s="5">
        <f>IF(A6="","",IFERROR(INDEX('Kontoplan'!$B$3:$B$302,MATCH(A6,'Kontoplan'!$H$3:$H$302,0)),""))</f>
        <v/>
      </c>
      <c r="C6" s="14" t="n"/>
      <c r="D6" s="8" t="n"/>
    </row>
    <row r="7">
      <c r="A7" s="8" t="n"/>
      <c r="B7" s="5">
        <f>IF(A7="","",IFERROR(INDEX('Kontoplan'!$B$3:$B$302,MATCH(A7,'Kontoplan'!$H$3:$H$302,0)),""))</f>
        <v/>
      </c>
      <c r="C7" s="14" t="n"/>
      <c r="D7" s="8" t="n"/>
    </row>
    <row r="8">
      <c r="A8" s="8" t="n"/>
      <c r="B8" s="5">
        <f>IF(A8="","",IFERROR(INDEX('Kontoplan'!$B$3:$B$302,MATCH(A8,'Kontoplan'!$H$3:$H$302,0)),""))</f>
        <v/>
      </c>
      <c r="C8" s="14" t="n"/>
      <c r="D8" s="8" t="n"/>
    </row>
    <row r="9">
      <c r="A9" s="8" t="n"/>
      <c r="B9" s="5">
        <f>IF(A9="","",IFERROR(INDEX('Kontoplan'!$B$3:$B$302,MATCH(A9,'Kontoplan'!$H$3:$H$302,0)),""))</f>
        <v/>
      </c>
      <c r="C9" s="14" t="n"/>
      <c r="D9" s="8" t="n"/>
    </row>
    <row r="10">
      <c r="A10" s="8" t="n"/>
      <c r="B10" s="5">
        <f>IF(A10="","",IFERROR(INDEX('Kontoplan'!$B$3:$B$302,MATCH(A10,'Kontoplan'!$H$3:$H$302,0)),""))</f>
        <v/>
      </c>
      <c r="C10" s="14" t="n"/>
      <c r="D10" s="8" t="n"/>
    </row>
    <row r="11">
      <c r="A11" s="8" t="n"/>
      <c r="B11" s="5">
        <f>IF(A11="","",IFERROR(INDEX('Kontoplan'!$B$3:$B$302,MATCH(A11,'Kontoplan'!$H$3:$H$302,0)),""))</f>
        <v/>
      </c>
      <c r="C11" s="14" t="n"/>
      <c r="D11" s="8" t="n"/>
    </row>
    <row r="12">
      <c r="A12" s="8" t="n"/>
      <c r="B12" s="5">
        <f>IF(A12="","",IFERROR(INDEX('Kontoplan'!$B$3:$B$302,MATCH(A12,'Kontoplan'!$H$3:$H$302,0)),""))</f>
        <v/>
      </c>
      <c r="C12" s="14" t="n"/>
      <c r="D12" s="8" t="n"/>
    </row>
    <row r="13">
      <c r="A13" s="8" t="n"/>
      <c r="B13" s="5">
        <f>IF(A13="","",IFERROR(INDEX('Kontoplan'!$B$3:$B$302,MATCH(A13,'Kontoplan'!$H$3:$H$302,0)),""))</f>
        <v/>
      </c>
      <c r="C13" s="14" t="n"/>
      <c r="D13" s="8" t="n"/>
    </row>
    <row r="14">
      <c r="A14" s="8" t="n"/>
      <c r="B14" s="5">
        <f>IF(A14="","",IFERROR(INDEX('Kontoplan'!$B$3:$B$302,MATCH(A14,'Kontoplan'!$H$3:$H$302,0)),""))</f>
        <v/>
      </c>
      <c r="C14" s="14" t="n"/>
      <c r="D14" s="8" t="n"/>
    </row>
    <row r="15">
      <c r="A15" s="8" t="n"/>
      <c r="B15" s="5">
        <f>IF(A15="","",IFERROR(INDEX('Kontoplan'!$B$3:$B$302,MATCH(A15,'Kontoplan'!$H$3:$H$302,0)),""))</f>
        <v/>
      </c>
      <c r="C15" s="14" t="n"/>
      <c r="D15" s="8" t="n"/>
    </row>
    <row r="16">
      <c r="A16" s="8" t="n"/>
      <c r="B16" s="5">
        <f>IF(A16="","",IFERROR(INDEX('Kontoplan'!$B$3:$B$302,MATCH(A16,'Kontoplan'!$H$3:$H$302,0)),""))</f>
        <v/>
      </c>
      <c r="C16" s="14" t="n"/>
      <c r="D16" s="8" t="n"/>
    </row>
    <row r="17">
      <c r="A17" s="8" t="n"/>
      <c r="B17" s="5">
        <f>IF(A17="","",IFERROR(INDEX('Kontoplan'!$B$3:$B$302,MATCH(A17,'Kontoplan'!$H$3:$H$302,0)),""))</f>
        <v/>
      </c>
      <c r="C17" s="14" t="n"/>
      <c r="D17" s="8" t="n"/>
    </row>
    <row r="18">
      <c r="A18" s="8" t="n"/>
      <c r="B18" s="5">
        <f>IF(A18="","",IFERROR(INDEX('Kontoplan'!$B$3:$B$302,MATCH(A18,'Kontoplan'!$H$3:$H$302,0)),""))</f>
        <v/>
      </c>
      <c r="C18" s="14" t="n"/>
      <c r="D18" s="8" t="n"/>
    </row>
    <row r="19">
      <c r="A19" s="8" t="n"/>
      <c r="B19" s="5">
        <f>IF(A19="","",IFERROR(INDEX('Kontoplan'!$B$3:$B$302,MATCH(A19,'Kontoplan'!$H$3:$H$302,0)),""))</f>
        <v/>
      </c>
      <c r="C19" s="14" t="n"/>
      <c r="D19" s="8" t="n"/>
    </row>
    <row r="20">
      <c r="A20" s="8" t="n"/>
      <c r="B20" s="5">
        <f>IF(A20="","",IFERROR(INDEX('Kontoplan'!$B$3:$B$302,MATCH(A20,'Kontoplan'!$H$3:$H$302,0)),""))</f>
        <v/>
      </c>
      <c r="C20" s="14" t="n"/>
      <c r="D20" s="8" t="n"/>
    </row>
    <row r="21">
      <c r="A21" s="8" t="n"/>
      <c r="B21" s="5">
        <f>IF(A21="","",IFERROR(INDEX('Kontoplan'!$B$3:$B$302,MATCH(A21,'Kontoplan'!$H$3:$H$302,0)),""))</f>
        <v/>
      </c>
      <c r="C21" s="14" t="n"/>
      <c r="D21" s="8" t="n"/>
    </row>
    <row r="22">
      <c r="A22" s="8" t="n"/>
      <c r="B22" s="5">
        <f>IF(A22="","",IFERROR(INDEX('Kontoplan'!$B$3:$B$302,MATCH(A22,'Kontoplan'!$H$3:$H$302,0)),""))</f>
        <v/>
      </c>
      <c r="C22" s="14" t="n"/>
      <c r="D22" s="8" t="n"/>
    </row>
    <row r="23">
      <c r="A23" s="8" t="n"/>
      <c r="B23" s="5">
        <f>IF(A23="","",IFERROR(INDEX('Kontoplan'!$B$3:$B$302,MATCH(A23,'Kontoplan'!$H$3:$H$302,0)),""))</f>
        <v/>
      </c>
      <c r="C23" s="14" t="n"/>
      <c r="D23" s="8" t="n"/>
    </row>
    <row r="24">
      <c r="A24" s="8" t="n"/>
      <c r="B24" s="5">
        <f>IF(A24="","",IFERROR(INDEX('Kontoplan'!$B$3:$B$302,MATCH(A24,'Kontoplan'!$H$3:$H$302,0)),""))</f>
        <v/>
      </c>
      <c r="C24" s="14" t="n"/>
      <c r="D24" s="8" t="n"/>
    </row>
    <row r="25">
      <c r="A25" s="8" t="n"/>
      <c r="B25" s="5">
        <f>IF(A25="","",IFERROR(INDEX('Kontoplan'!$B$3:$B$302,MATCH(A25,'Kontoplan'!$H$3:$H$302,0)),""))</f>
        <v/>
      </c>
      <c r="C25" s="14" t="n"/>
      <c r="D25" s="8" t="n"/>
    </row>
    <row r="26">
      <c r="A26" s="8" t="n"/>
      <c r="B26" s="5">
        <f>IF(A26="","",IFERROR(INDEX('Kontoplan'!$B$3:$B$302,MATCH(A26,'Kontoplan'!$H$3:$H$302,0)),""))</f>
        <v/>
      </c>
      <c r="C26" s="14" t="n"/>
      <c r="D26" s="8" t="n"/>
    </row>
    <row r="27">
      <c r="A27" s="8" t="n"/>
      <c r="B27" s="5">
        <f>IF(A27="","",IFERROR(INDEX('Kontoplan'!$B$3:$B$302,MATCH(A27,'Kontoplan'!$H$3:$H$302,0)),""))</f>
        <v/>
      </c>
      <c r="C27" s="14" t="n"/>
      <c r="D27" s="8" t="n"/>
    </row>
    <row r="28">
      <c r="A28" s="8" t="n"/>
      <c r="B28" s="5">
        <f>IF(A28="","",IFERROR(INDEX('Kontoplan'!$B$3:$B$302,MATCH(A28,'Kontoplan'!$H$3:$H$302,0)),""))</f>
        <v/>
      </c>
      <c r="C28" s="14" t="n"/>
      <c r="D28" s="8" t="n"/>
    </row>
    <row r="29">
      <c r="A29" s="8" t="n"/>
      <c r="B29" s="5">
        <f>IF(A29="","",IFERROR(INDEX('Kontoplan'!$B$3:$B$302,MATCH(A29,'Kontoplan'!$H$3:$H$302,0)),""))</f>
        <v/>
      </c>
      <c r="C29" s="14" t="n"/>
      <c r="D29" s="8" t="n"/>
    </row>
    <row r="30">
      <c r="A30" s="8" t="n"/>
      <c r="B30" s="5">
        <f>IF(A30="","",IFERROR(INDEX('Kontoplan'!$B$3:$B$302,MATCH(A30,'Kontoplan'!$H$3:$H$302,0)),""))</f>
        <v/>
      </c>
      <c r="C30" s="14" t="n"/>
      <c r="D30" s="8" t="n"/>
    </row>
    <row r="31">
      <c r="A31" s="8" t="n"/>
      <c r="B31" s="5">
        <f>IF(A31="","",IFERROR(INDEX('Kontoplan'!$B$3:$B$302,MATCH(A31,'Kontoplan'!$H$3:$H$302,0)),""))</f>
        <v/>
      </c>
      <c r="C31" s="14" t="n"/>
      <c r="D31" s="8" t="n"/>
    </row>
    <row r="32">
      <c r="A32" s="8" t="n"/>
      <c r="B32" s="5">
        <f>IF(A32="","",IFERROR(INDEX('Kontoplan'!$B$3:$B$302,MATCH(A32,'Kontoplan'!$H$3:$H$302,0)),""))</f>
        <v/>
      </c>
      <c r="C32" s="14" t="n"/>
      <c r="D32" s="8" t="n"/>
    </row>
    <row r="33">
      <c r="A33" s="8" t="n"/>
      <c r="B33" s="5">
        <f>IF(A33="","",IFERROR(INDEX('Kontoplan'!$B$3:$B$302,MATCH(A33,'Kontoplan'!$H$3:$H$302,0)),""))</f>
        <v/>
      </c>
      <c r="C33" s="14" t="n"/>
      <c r="D33" s="8" t="n"/>
    </row>
    <row r="34">
      <c r="A34" s="8" t="n"/>
      <c r="B34" s="5">
        <f>IF(A34="","",IFERROR(INDEX('Kontoplan'!$B$3:$B$302,MATCH(A34,'Kontoplan'!$H$3:$H$302,0)),""))</f>
        <v/>
      </c>
      <c r="C34" s="14" t="n"/>
      <c r="D34" s="8" t="n"/>
    </row>
    <row r="35">
      <c r="A35" s="8" t="n"/>
      <c r="B35" s="5">
        <f>IF(A35="","",IFERROR(INDEX('Kontoplan'!$B$3:$B$302,MATCH(A35,'Kontoplan'!$H$3:$H$302,0)),""))</f>
        <v/>
      </c>
      <c r="C35" s="14" t="n"/>
      <c r="D35" s="8" t="n"/>
    </row>
    <row r="36">
      <c r="A36" s="8" t="n"/>
      <c r="B36" s="5">
        <f>IF(A36="","",IFERROR(INDEX('Kontoplan'!$B$3:$B$302,MATCH(A36,'Kontoplan'!$H$3:$H$302,0)),""))</f>
        <v/>
      </c>
      <c r="C36" s="14" t="n"/>
      <c r="D36" s="8" t="n"/>
    </row>
    <row r="37">
      <c r="A37" s="8" t="n"/>
      <c r="B37" s="5">
        <f>IF(A37="","",IFERROR(INDEX('Kontoplan'!$B$3:$B$302,MATCH(A37,'Kontoplan'!$H$3:$H$302,0)),""))</f>
        <v/>
      </c>
      <c r="C37" s="14" t="n"/>
      <c r="D37" s="8" t="n"/>
    </row>
    <row r="38">
      <c r="A38" s="8" t="n"/>
      <c r="B38" s="5">
        <f>IF(A38="","",IFERROR(INDEX('Kontoplan'!$B$3:$B$302,MATCH(A38,'Kontoplan'!$H$3:$H$302,0)),""))</f>
        <v/>
      </c>
      <c r="C38" s="14" t="n"/>
      <c r="D38" s="8" t="n"/>
    </row>
    <row r="39">
      <c r="A39" s="8" t="n"/>
      <c r="B39" s="5">
        <f>IF(A39="","",IFERROR(INDEX('Kontoplan'!$B$3:$B$302,MATCH(A39,'Kontoplan'!$H$3:$H$302,0)),""))</f>
        <v/>
      </c>
      <c r="C39" s="14" t="n"/>
      <c r="D39" s="8" t="n"/>
    </row>
    <row r="40">
      <c r="A40" s="8" t="n"/>
      <c r="B40" s="5">
        <f>IF(A40="","",IFERROR(INDEX('Kontoplan'!$B$3:$B$302,MATCH(A40,'Kontoplan'!$H$3:$H$302,0)),""))</f>
        <v/>
      </c>
      <c r="C40" s="14" t="n"/>
      <c r="D40" s="8" t="n"/>
    </row>
    <row r="41">
      <c r="A41" s="8" t="n"/>
      <c r="B41" s="5">
        <f>IF(A41="","",IFERROR(INDEX('Kontoplan'!$B$3:$B$302,MATCH(A41,'Kontoplan'!$H$3:$H$302,0)),""))</f>
        <v/>
      </c>
      <c r="C41" s="14" t="n"/>
      <c r="D41" s="8" t="n"/>
    </row>
    <row r="42">
      <c r="A42" s="8" t="n"/>
      <c r="B42" s="5">
        <f>IF(A42="","",IFERROR(INDEX('Kontoplan'!$B$3:$B$302,MATCH(A42,'Kontoplan'!$H$3:$H$302,0)),""))</f>
        <v/>
      </c>
      <c r="C42" s="14" t="n"/>
      <c r="D42" s="8" t="n"/>
    </row>
    <row r="43">
      <c r="A43" s="8" t="n"/>
      <c r="B43" s="5">
        <f>IF(A43="","",IFERROR(INDEX('Kontoplan'!$B$3:$B$302,MATCH(A43,'Kontoplan'!$H$3:$H$302,0)),""))</f>
        <v/>
      </c>
      <c r="C43" s="14" t="n"/>
      <c r="D43" s="8" t="n"/>
    </row>
    <row r="44">
      <c r="A44" s="8" t="n"/>
      <c r="B44" s="5">
        <f>IF(A44="","",IFERROR(INDEX('Kontoplan'!$B$3:$B$302,MATCH(A44,'Kontoplan'!$H$3:$H$302,0)),""))</f>
        <v/>
      </c>
      <c r="C44" s="14" t="n"/>
      <c r="D44" s="8" t="n"/>
    </row>
    <row r="45">
      <c r="A45" s="8" t="n"/>
      <c r="B45" s="5">
        <f>IF(A45="","",IFERROR(INDEX('Kontoplan'!$B$3:$B$302,MATCH(A45,'Kontoplan'!$H$3:$H$302,0)),""))</f>
        <v/>
      </c>
      <c r="C45" s="14" t="n"/>
      <c r="D45" s="8" t="n"/>
    </row>
    <row r="46">
      <c r="A46" s="8" t="n"/>
      <c r="B46" s="5">
        <f>IF(A46="","",IFERROR(INDEX('Kontoplan'!$B$3:$B$302,MATCH(A46,'Kontoplan'!$H$3:$H$302,0)),""))</f>
        <v/>
      </c>
      <c r="C46" s="14" t="n"/>
      <c r="D46" s="8" t="n"/>
    </row>
    <row r="47">
      <c r="A47" s="8" t="n"/>
      <c r="B47" s="5">
        <f>IF(A47="","",IFERROR(INDEX('Kontoplan'!$B$3:$B$302,MATCH(A47,'Kontoplan'!$H$3:$H$302,0)),""))</f>
        <v/>
      </c>
      <c r="C47" s="14" t="n"/>
      <c r="D47" s="8" t="n"/>
    </row>
    <row r="48">
      <c r="A48" s="8" t="n"/>
      <c r="B48" s="5">
        <f>IF(A48="","",IFERROR(INDEX('Kontoplan'!$B$3:$B$302,MATCH(A48,'Kontoplan'!$H$3:$H$302,0)),""))</f>
        <v/>
      </c>
      <c r="C48" s="14" t="n"/>
      <c r="D48" s="8" t="n"/>
    </row>
    <row r="49">
      <c r="A49" s="8" t="n"/>
      <c r="B49" s="5">
        <f>IF(A49="","",IFERROR(INDEX('Kontoplan'!$B$3:$B$302,MATCH(A49,'Kontoplan'!$H$3:$H$302,0)),""))</f>
        <v/>
      </c>
      <c r="C49" s="14" t="n"/>
      <c r="D49" s="8" t="n"/>
    </row>
    <row r="50">
      <c r="A50" s="8" t="n"/>
      <c r="B50" s="5">
        <f>IF(A50="","",IFERROR(INDEX('Kontoplan'!$B$3:$B$302,MATCH(A50,'Kontoplan'!$H$3:$H$302,0)),""))</f>
        <v/>
      </c>
      <c r="C50" s="14" t="n"/>
      <c r="D50" s="8" t="n"/>
    </row>
    <row r="51">
      <c r="A51" s="8" t="n"/>
      <c r="B51" s="5">
        <f>IF(A51="","",IFERROR(INDEX('Kontoplan'!$B$3:$B$302,MATCH(A51,'Kontoplan'!$H$3:$H$302,0)),""))</f>
        <v/>
      </c>
      <c r="C51" s="14" t="n"/>
      <c r="D51" s="8" t="n"/>
    </row>
    <row r="52">
      <c r="A52" s="8" t="n"/>
      <c r="B52" s="5">
        <f>IF(A52="","",IFERROR(INDEX('Kontoplan'!$B$3:$B$302,MATCH(A52,'Kontoplan'!$H$3:$H$302,0)),""))</f>
        <v/>
      </c>
      <c r="C52" s="14" t="n"/>
      <c r="D52" s="8" t="n"/>
    </row>
    <row r="53">
      <c r="A53" s="8" t="n"/>
      <c r="B53" s="5">
        <f>IF(A53="","",IFERROR(INDEX('Kontoplan'!$B$3:$B$302,MATCH(A53,'Kontoplan'!$H$3:$H$302,0)),""))</f>
        <v/>
      </c>
      <c r="C53" s="14" t="n"/>
      <c r="D53" s="8" t="n"/>
    </row>
    <row r="54">
      <c r="A54" s="8" t="n"/>
      <c r="B54" s="5">
        <f>IF(A54="","",IFERROR(INDEX('Kontoplan'!$B$3:$B$302,MATCH(A54,'Kontoplan'!$H$3:$H$302,0)),""))</f>
        <v/>
      </c>
      <c r="C54" s="14" t="n"/>
      <c r="D54" s="8" t="n"/>
    </row>
    <row r="55">
      <c r="A55" s="8" t="n"/>
      <c r="B55" s="5">
        <f>IF(A55="","",IFERROR(INDEX('Kontoplan'!$B$3:$B$302,MATCH(A55,'Kontoplan'!$H$3:$H$302,0)),""))</f>
        <v/>
      </c>
      <c r="C55" s="14" t="n"/>
      <c r="D55" s="8" t="n"/>
    </row>
    <row r="56">
      <c r="A56" s="8" t="n"/>
      <c r="B56" s="5">
        <f>IF(A56="","",IFERROR(INDEX('Kontoplan'!$B$3:$B$302,MATCH(A56,'Kontoplan'!$H$3:$H$302,0)),""))</f>
        <v/>
      </c>
      <c r="C56" s="14" t="n"/>
      <c r="D56" s="8" t="n"/>
    </row>
    <row r="57">
      <c r="A57" s="8" t="n"/>
      <c r="B57" s="5">
        <f>IF(A57="","",IFERROR(INDEX('Kontoplan'!$B$3:$B$302,MATCH(A57,'Kontoplan'!$H$3:$H$302,0)),""))</f>
        <v/>
      </c>
      <c r="C57" s="14" t="n"/>
      <c r="D57" s="8" t="n"/>
    </row>
    <row r="58">
      <c r="A58" s="8" t="n"/>
      <c r="B58" s="5">
        <f>IF(A58="","",IFERROR(INDEX('Kontoplan'!$B$3:$B$302,MATCH(A58,'Kontoplan'!$H$3:$H$302,0)),""))</f>
        <v/>
      </c>
      <c r="C58" s="14" t="n"/>
      <c r="D58" s="8" t="n"/>
    </row>
    <row r="59">
      <c r="A59" s="8" t="n"/>
      <c r="B59" s="5">
        <f>IF(A59="","",IFERROR(INDEX('Kontoplan'!$B$3:$B$302,MATCH(A59,'Kontoplan'!$H$3:$H$302,0)),""))</f>
        <v/>
      </c>
      <c r="C59" s="14" t="n"/>
      <c r="D59" s="8" t="n"/>
    </row>
    <row r="60">
      <c r="A60" s="8" t="n"/>
      <c r="B60" s="5">
        <f>IF(A60="","",IFERROR(INDEX('Kontoplan'!$B$3:$B$302,MATCH(A60,'Kontoplan'!$H$3:$H$302,0)),""))</f>
        <v/>
      </c>
      <c r="C60" s="14" t="n"/>
      <c r="D60" s="8" t="n"/>
    </row>
    <row r="61">
      <c r="A61" s="8" t="n"/>
      <c r="B61" s="5">
        <f>IF(A61="","",IFERROR(INDEX('Kontoplan'!$B$3:$B$302,MATCH(A61,'Kontoplan'!$H$3:$H$302,0)),""))</f>
        <v/>
      </c>
      <c r="C61" s="14" t="n"/>
      <c r="D61" s="8" t="n"/>
    </row>
    <row r="62">
      <c r="A62" s="8" t="n"/>
      <c r="B62" s="5">
        <f>IF(A62="","",IFERROR(INDEX('Kontoplan'!$B$3:$B$302,MATCH(A62,'Kontoplan'!$H$3:$H$302,0)),""))</f>
        <v/>
      </c>
      <c r="C62" s="14" t="n"/>
      <c r="D62" s="8" t="n"/>
    </row>
    <row r="63">
      <c r="A63" s="8" t="n"/>
      <c r="B63" s="5">
        <f>IF(A63="","",IFERROR(INDEX('Kontoplan'!$B$3:$B$302,MATCH(A63,'Kontoplan'!$H$3:$H$302,0)),""))</f>
        <v/>
      </c>
      <c r="C63" s="14" t="n"/>
      <c r="D63" s="8" t="n"/>
    </row>
    <row r="64">
      <c r="A64" s="8" t="n"/>
      <c r="B64" s="5">
        <f>IF(A64="","",IFERROR(INDEX('Kontoplan'!$B$3:$B$302,MATCH(A64,'Kontoplan'!$H$3:$H$302,0)),""))</f>
        <v/>
      </c>
      <c r="C64" s="14" t="n"/>
      <c r="D64" s="8" t="n"/>
    </row>
    <row r="65">
      <c r="A65" s="8" t="n"/>
      <c r="B65" s="5">
        <f>IF(A65="","",IFERROR(INDEX('Kontoplan'!$B$3:$B$302,MATCH(A65,'Kontoplan'!$H$3:$H$302,0)),""))</f>
        <v/>
      </c>
      <c r="C65" s="14" t="n"/>
      <c r="D65" s="8" t="n"/>
    </row>
    <row r="66">
      <c r="A66" s="8" t="n"/>
      <c r="B66" s="5">
        <f>IF(A66="","",IFERROR(INDEX('Kontoplan'!$B$3:$B$302,MATCH(A66,'Kontoplan'!$H$3:$H$302,0)),""))</f>
        <v/>
      </c>
      <c r="C66" s="14" t="n"/>
      <c r="D66" s="8" t="n"/>
    </row>
    <row r="67">
      <c r="A67" s="8" t="n"/>
      <c r="B67" s="5">
        <f>IF(A67="","",IFERROR(INDEX('Kontoplan'!$B$3:$B$302,MATCH(A67,'Kontoplan'!$H$3:$H$302,0)),""))</f>
        <v/>
      </c>
      <c r="C67" s="14" t="n"/>
      <c r="D67" s="8" t="n"/>
    </row>
    <row r="68">
      <c r="A68" s="8" t="n"/>
      <c r="B68" s="5">
        <f>IF(A68="","",IFERROR(INDEX('Kontoplan'!$B$3:$B$302,MATCH(A68,'Kontoplan'!$H$3:$H$302,0)),""))</f>
        <v/>
      </c>
      <c r="C68" s="14" t="n"/>
      <c r="D68" s="8" t="n"/>
    </row>
    <row r="69">
      <c r="A69" s="8" t="n"/>
      <c r="B69" s="5">
        <f>IF(A69="","",IFERROR(INDEX('Kontoplan'!$B$3:$B$302,MATCH(A69,'Kontoplan'!$H$3:$H$302,0)),""))</f>
        <v/>
      </c>
      <c r="C69" s="14" t="n"/>
      <c r="D69" s="8" t="n"/>
    </row>
    <row r="70">
      <c r="A70" s="8" t="n"/>
      <c r="B70" s="5">
        <f>IF(A70="","",IFERROR(INDEX('Kontoplan'!$B$3:$B$302,MATCH(A70,'Kontoplan'!$H$3:$H$302,0)),""))</f>
        <v/>
      </c>
      <c r="C70" s="14" t="n"/>
      <c r="D70" s="8" t="n"/>
    </row>
    <row r="71">
      <c r="A71" s="8" t="n"/>
      <c r="B71" s="5">
        <f>IF(A71="","",IFERROR(INDEX('Kontoplan'!$B$3:$B$302,MATCH(A71,'Kontoplan'!$H$3:$H$302,0)),""))</f>
        <v/>
      </c>
      <c r="C71" s="14" t="n"/>
      <c r="D71" s="8" t="n"/>
    </row>
    <row r="72">
      <c r="A72" s="8" t="n"/>
      <c r="B72" s="5">
        <f>IF(A72="","",IFERROR(INDEX('Kontoplan'!$B$3:$B$302,MATCH(A72,'Kontoplan'!$H$3:$H$302,0)),""))</f>
        <v/>
      </c>
      <c r="C72" s="14" t="n"/>
      <c r="D72" s="8" t="n"/>
    </row>
    <row r="73">
      <c r="A73" s="8" t="n"/>
      <c r="B73" s="5">
        <f>IF(A73="","",IFERROR(INDEX('Kontoplan'!$B$3:$B$302,MATCH(A73,'Kontoplan'!$H$3:$H$302,0)),""))</f>
        <v/>
      </c>
      <c r="C73" s="14" t="n"/>
      <c r="D73" s="8" t="n"/>
    </row>
    <row r="74">
      <c r="A74" s="8" t="n"/>
      <c r="B74" s="5">
        <f>IF(A74="","",IFERROR(INDEX('Kontoplan'!$B$3:$B$302,MATCH(A74,'Kontoplan'!$H$3:$H$302,0)),""))</f>
        <v/>
      </c>
      <c r="C74" s="14" t="n"/>
      <c r="D74" s="8" t="n"/>
    </row>
    <row r="75">
      <c r="A75" s="8" t="n"/>
      <c r="B75" s="5">
        <f>IF(A75="","",IFERROR(INDEX('Kontoplan'!$B$3:$B$302,MATCH(A75,'Kontoplan'!$H$3:$H$302,0)),""))</f>
        <v/>
      </c>
      <c r="C75" s="14" t="n"/>
      <c r="D75" s="8" t="n"/>
    </row>
    <row r="76">
      <c r="A76" s="8" t="n"/>
      <c r="B76" s="5">
        <f>IF(A76="","",IFERROR(INDEX('Kontoplan'!$B$3:$B$302,MATCH(A76,'Kontoplan'!$H$3:$H$302,0)),""))</f>
        <v/>
      </c>
      <c r="C76" s="14" t="n"/>
      <c r="D76" s="8" t="n"/>
    </row>
    <row r="77">
      <c r="A77" s="8" t="n"/>
      <c r="B77" s="5">
        <f>IF(A77="","",IFERROR(INDEX('Kontoplan'!$B$3:$B$302,MATCH(A77,'Kontoplan'!$H$3:$H$302,0)),""))</f>
        <v/>
      </c>
      <c r="C77" s="14" t="n"/>
      <c r="D77" s="8" t="n"/>
    </row>
    <row r="78">
      <c r="A78" s="8" t="n"/>
      <c r="B78" s="5">
        <f>IF(A78="","",IFERROR(INDEX('Kontoplan'!$B$3:$B$302,MATCH(A78,'Kontoplan'!$H$3:$H$302,0)),""))</f>
        <v/>
      </c>
      <c r="C78" s="14" t="n"/>
      <c r="D78" s="8" t="n"/>
    </row>
    <row r="79">
      <c r="A79" s="8" t="n"/>
      <c r="B79" s="5">
        <f>IF(A79="","",IFERROR(INDEX('Kontoplan'!$B$3:$B$302,MATCH(A79,'Kontoplan'!$H$3:$H$302,0)),""))</f>
        <v/>
      </c>
      <c r="C79" s="14" t="n"/>
      <c r="D79" s="8" t="n"/>
    </row>
    <row r="80">
      <c r="A80" s="8" t="n"/>
      <c r="B80" s="5">
        <f>IF(A80="","",IFERROR(INDEX('Kontoplan'!$B$3:$B$302,MATCH(A80,'Kontoplan'!$H$3:$H$302,0)),""))</f>
        <v/>
      </c>
      <c r="C80" s="14" t="n"/>
      <c r="D80" s="8" t="n"/>
    </row>
    <row r="81">
      <c r="A81" s="8" t="n"/>
      <c r="B81" s="5">
        <f>IF(A81="","",IFERROR(INDEX('Kontoplan'!$B$3:$B$302,MATCH(A81,'Kontoplan'!$H$3:$H$302,0)),""))</f>
        <v/>
      </c>
      <c r="C81" s="14" t="n"/>
      <c r="D81" s="8" t="n"/>
    </row>
    <row r="82">
      <c r="A82" s="8" t="n"/>
      <c r="B82" s="5">
        <f>IF(A82="","",IFERROR(INDEX('Kontoplan'!$B$3:$B$302,MATCH(A82,'Kontoplan'!$H$3:$H$302,0)),""))</f>
        <v/>
      </c>
      <c r="C82" s="14" t="n"/>
      <c r="D82" s="8" t="n"/>
    </row>
    <row r="83">
      <c r="A83" s="8" t="n"/>
      <c r="B83" s="5">
        <f>IF(A83="","",IFERROR(INDEX('Kontoplan'!$B$3:$B$302,MATCH(A83,'Kontoplan'!$H$3:$H$302,0)),""))</f>
        <v/>
      </c>
      <c r="C83" s="14" t="n"/>
      <c r="D83" s="8" t="n"/>
    </row>
    <row r="84">
      <c r="A84" s="8" t="n"/>
      <c r="B84" s="5">
        <f>IF(A84="","",IFERROR(INDEX('Kontoplan'!$B$3:$B$302,MATCH(A84,'Kontoplan'!$H$3:$H$302,0)),""))</f>
        <v/>
      </c>
      <c r="C84" s="14" t="n"/>
      <c r="D84" s="8" t="n"/>
    </row>
    <row r="85">
      <c r="A85" s="8" t="n"/>
      <c r="B85" s="5">
        <f>IF(A85="","",IFERROR(INDEX('Kontoplan'!$B$3:$B$302,MATCH(A85,'Kontoplan'!$H$3:$H$302,0)),""))</f>
        <v/>
      </c>
      <c r="C85" s="14" t="n"/>
      <c r="D85" s="8" t="n"/>
    </row>
    <row r="86">
      <c r="A86" s="8" t="n"/>
      <c r="B86" s="5">
        <f>IF(A86="","",IFERROR(INDEX('Kontoplan'!$B$3:$B$302,MATCH(A86,'Kontoplan'!$H$3:$H$302,0)),""))</f>
        <v/>
      </c>
      <c r="C86" s="14" t="n"/>
      <c r="D86" s="8" t="n"/>
    </row>
    <row r="87">
      <c r="A87" s="8" t="n"/>
      <c r="B87" s="5">
        <f>IF(A87="","",IFERROR(INDEX('Kontoplan'!$B$3:$B$302,MATCH(A87,'Kontoplan'!$H$3:$H$302,0)),""))</f>
        <v/>
      </c>
      <c r="C87" s="14" t="n"/>
      <c r="D87" s="8" t="n"/>
    </row>
    <row r="88">
      <c r="A88" s="8" t="n"/>
      <c r="B88" s="5">
        <f>IF(A88="","",IFERROR(INDEX('Kontoplan'!$B$3:$B$302,MATCH(A88,'Kontoplan'!$H$3:$H$302,0)),""))</f>
        <v/>
      </c>
      <c r="C88" s="14" t="n"/>
      <c r="D88" s="8" t="n"/>
    </row>
    <row r="89">
      <c r="A89" s="8" t="n"/>
      <c r="B89" s="5">
        <f>IF(A89="","",IFERROR(INDEX('Kontoplan'!$B$3:$B$302,MATCH(A89,'Kontoplan'!$H$3:$H$302,0)),""))</f>
        <v/>
      </c>
      <c r="C89" s="14" t="n"/>
      <c r="D89" s="8" t="n"/>
    </row>
    <row r="90">
      <c r="A90" s="8" t="n"/>
      <c r="B90" s="5">
        <f>IF(A90="","",IFERROR(INDEX('Kontoplan'!$B$3:$B$302,MATCH(A90,'Kontoplan'!$H$3:$H$302,0)),""))</f>
        <v/>
      </c>
      <c r="C90" s="14" t="n"/>
      <c r="D90" s="8" t="n"/>
    </row>
    <row r="91">
      <c r="A91" s="8" t="n"/>
      <c r="B91" s="5">
        <f>IF(A91="","",IFERROR(INDEX('Kontoplan'!$B$3:$B$302,MATCH(A91,'Kontoplan'!$H$3:$H$302,0)),""))</f>
        <v/>
      </c>
      <c r="C91" s="14" t="n"/>
      <c r="D91" s="8" t="n"/>
    </row>
    <row r="92">
      <c r="A92" s="8" t="n"/>
      <c r="B92" s="5">
        <f>IF(A92="","",IFERROR(INDEX('Kontoplan'!$B$3:$B$302,MATCH(A92,'Kontoplan'!$H$3:$H$302,0)),""))</f>
        <v/>
      </c>
      <c r="C92" s="14" t="n"/>
      <c r="D92" s="8" t="n"/>
    </row>
    <row r="93">
      <c r="A93" s="8" t="n"/>
      <c r="B93" s="5">
        <f>IF(A93="","",IFERROR(INDEX('Kontoplan'!$B$3:$B$302,MATCH(A93,'Kontoplan'!$H$3:$H$302,0)),""))</f>
        <v/>
      </c>
      <c r="C93" s="14" t="n"/>
      <c r="D93" s="8" t="n"/>
    </row>
    <row r="94">
      <c r="A94" s="8" t="n"/>
      <c r="B94" s="5">
        <f>IF(A94="","",IFERROR(INDEX('Kontoplan'!$B$3:$B$302,MATCH(A94,'Kontoplan'!$H$3:$H$302,0)),""))</f>
        <v/>
      </c>
      <c r="C94" s="14" t="n"/>
      <c r="D94" s="8" t="n"/>
    </row>
    <row r="95">
      <c r="A95" s="8" t="n"/>
      <c r="B95" s="5">
        <f>IF(A95="","",IFERROR(INDEX('Kontoplan'!$B$3:$B$302,MATCH(A95,'Kontoplan'!$H$3:$H$302,0)),""))</f>
        <v/>
      </c>
      <c r="C95" s="14" t="n"/>
      <c r="D95" s="8" t="n"/>
    </row>
    <row r="96">
      <c r="A96" s="8" t="n"/>
      <c r="B96" s="5">
        <f>IF(A96="","",IFERROR(INDEX('Kontoplan'!$B$3:$B$302,MATCH(A96,'Kontoplan'!$H$3:$H$302,0)),""))</f>
        <v/>
      </c>
      <c r="C96" s="14" t="n"/>
      <c r="D96" s="8" t="n"/>
    </row>
    <row r="97">
      <c r="A97" s="8" t="n"/>
      <c r="B97" s="5">
        <f>IF(A97="","",IFERROR(INDEX('Kontoplan'!$B$3:$B$302,MATCH(A97,'Kontoplan'!$H$3:$H$302,0)),""))</f>
        <v/>
      </c>
      <c r="C97" s="14" t="n"/>
      <c r="D97" s="8" t="n"/>
    </row>
    <row r="98">
      <c r="A98" s="8" t="n"/>
      <c r="B98" s="5">
        <f>IF(A98="","",IFERROR(INDEX('Kontoplan'!$B$3:$B$302,MATCH(A98,'Kontoplan'!$H$3:$H$302,0)),""))</f>
        <v/>
      </c>
      <c r="C98" s="14" t="n"/>
      <c r="D98" s="8" t="n"/>
    </row>
    <row r="99">
      <c r="A99" s="8" t="n"/>
      <c r="B99" s="5">
        <f>IF(A99="","",IFERROR(INDEX('Kontoplan'!$B$3:$B$302,MATCH(A99,'Kontoplan'!$H$3:$H$302,0)),""))</f>
        <v/>
      </c>
      <c r="C99" s="14" t="n"/>
      <c r="D99" s="8" t="n"/>
    </row>
    <row r="100">
      <c r="A100" s="8" t="n"/>
      <c r="B100" s="5">
        <f>IF(A100="","",IFERROR(INDEX('Kontoplan'!$B$3:$B$302,MATCH(A100,'Kontoplan'!$H$3:$H$302,0)),""))</f>
        <v/>
      </c>
      <c r="C100" s="14" t="n"/>
      <c r="D100" s="8" t="n"/>
    </row>
    <row r="101">
      <c r="A101" s="8" t="n"/>
      <c r="B101" s="5">
        <f>IF(A101="","",IFERROR(INDEX('Kontoplan'!$B$3:$B$302,MATCH(A101,'Kontoplan'!$H$3:$H$302,0)),""))</f>
        <v/>
      </c>
      <c r="C101" s="14" t="n"/>
      <c r="D101" s="8" t="n"/>
    </row>
    <row r="102">
      <c r="A102" s="8" t="n"/>
      <c r="B102" s="5">
        <f>IF(A102="","",IFERROR(INDEX('Kontoplan'!$B$3:$B$302,MATCH(A102,'Kontoplan'!$H$3:$H$302,0)),""))</f>
        <v/>
      </c>
      <c r="C102" s="14" t="n"/>
      <c r="D102" s="8" t="n"/>
    </row>
    <row r="103">
      <c r="A103" s="8" t="n"/>
      <c r="B103" s="5">
        <f>IF(A103="","",IFERROR(INDEX('Kontoplan'!$B$3:$B$302,MATCH(A103,'Kontoplan'!$H$3:$H$302,0)),""))</f>
        <v/>
      </c>
      <c r="C103" s="14" t="n"/>
      <c r="D103" s="8" t="n"/>
    </row>
    <row r="105">
      <c r="A105" s="15" t="inlineStr">
        <is>
          <t>Sum eiendeler</t>
        </is>
      </c>
      <c r="C105" s="16">
        <f>SUMPRODUCT((LEFT($A$4:$A$103,1)="1")*$C$4:$C$103)</f>
        <v/>
      </c>
    </row>
    <row r="106">
      <c r="A106" s="15" t="inlineStr">
        <is>
          <t>Sum egenkapital og gjeld</t>
        </is>
      </c>
      <c r="C106" s="16">
        <f>SUMPRODUCT((LEFT($A$4:$A$103,1)="2")*(LEFT($A$4:$A$103,4)&lt;&gt;"2080")*$C$4:$C$103)-SUMPRODUCT((LEFT($A$4:$A$103,4)="2080")*$C$4:$C$103)</f>
        <v/>
      </c>
    </row>
    <row r="107">
      <c r="A107" s="15" t="inlineStr">
        <is>
          <t>Differanse (skal være 0)</t>
        </is>
      </c>
      <c r="C107" s="16">
        <f>C105-C106</f>
        <v/>
      </c>
    </row>
    <row r="109">
      <c r="A109" s="15" t="inlineStr">
        <is>
          <t>Kilde for tallene</t>
        </is>
      </c>
      <c r="B109" s="8" t="n"/>
    </row>
    <row r="110">
      <c r="A110" s="13" t="inlineStr">
        <is>
          <t>Fjorårets resultat (for sammenligning i årsregnskapet)</t>
        </is>
      </c>
    </row>
    <row r="111">
      <c r="A111" s="10" t="inlineStr">
        <is>
          <t>Konto</t>
        </is>
      </c>
      <c r="B111" s="10" t="inlineStr">
        <is>
          <t>Kontonavn</t>
        </is>
      </c>
      <c r="C111" s="10" t="inlineStr">
        <is>
          <t>Beløp i 2026</t>
        </is>
      </c>
    </row>
    <row r="112">
      <c r="A112" s="8" t="n"/>
      <c r="B112" s="5">
        <f>IF(A112="","",IFERROR(INDEX('Kontoplan'!$B$3:$B$302,MATCH(A112,'Kontoplan'!$H$3:$H$302,0)),""))</f>
        <v/>
      </c>
      <c r="C112" s="14" t="n"/>
    </row>
    <row r="113">
      <c r="A113" s="8" t="n"/>
      <c r="B113" s="5">
        <f>IF(A113="","",IFERROR(INDEX('Kontoplan'!$B$3:$B$302,MATCH(A113,'Kontoplan'!$H$3:$H$302,0)),""))</f>
        <v/>
      </c>
      <c r="C113" s="14" t="n"/>
    </row>
    <row r="114">
      <c r="A114" s="8" t="n"/>
      <c r="B114" s="5">
        <f>IF(A114="","",IFERROR(INDEX('Kontoplan'!$B$3:$B$302,MATCH(A114,'Kontoplan'!$H$3:$H$302,0)),""))</f>
        <v/>
      </c>
      <c r="C114" s="14" t="n"/>
    </row>
    <row r="115">
      <c r="A115" s="8" t="n"/>
      <c r="B115" s="5">
        <f>IF(A115="","",IFERROR(INDEX('Kontoplan'!$B$3:$B$302,MATCH(A115,'Kontoplan'!$H$3:$H$302,0)),""))</f>
        <v/>
      </c>
      <c r="C115" s="14" t="n"/>
    </row>
    <row r="116">
      <c r="A116" s="8" t="n"/>
      <c r="B116" s="5">
        <f>IF(A116="","",IFERROR(INDEX('Kontoplan'!$B$3:$B$302,MATCH(A116,'Kontoplan'!$H$3:$H$302,0)),""))</f>
        <v/>
      </c>
      <c r="C116" s="14" t="n"/>
    </row>
    <row r="117">
      <c r="A117" s="8" t="n"/>
      <c r="B117" s="5">
        <f>IF(A117="","",IFERROR(INDEX('Kontoplan'!$B$3:$B$302,MATCH(A117,'Kontoplan'!$H$3:$H$302,0)),""))</f>
        <v/>
      </c>
      <c r="C117" s="14" t="n"/>
    </row>
    <row r="118">
      <c r="A118" s="8" t="n"/>
      <c r="B118" s="5">
        <f>IF(A118="","",IFERROR(INDEX('Kontoplan'!$B$3:$B$302,MATCH(A118,'Kontoplan'!$H$3:$H$302,0)),""))</f>
        <v/>
      </c>
      <c r="C118" s="14" t="n"/>
    </row>
    <row r="119">
      <c r="A119" s="8" t="n"/>
      <c r="B119" s="5">
        <f>IF(A119="","",IFERROR(INDEX('Kontoplan'!$B$3:$B$302,MATCH(A119,'Kontoplan'!$H$3:$H$302,0)),""))</f>
        <v/>
      </c>
      <c r="C119" s="14" t="n"/>
    </row>
    <row r="120">
      <c r="A120" s="8" t="n"/>
      <c r="B120" s="5">
        <f>IF(A120="","",IFERROR(INDEX('Kontoplan'!$B$3:$B$302,MATCH(A120,'Kontoplan'!$H$3:$H$302,0)),""))</f>
        <v/>
      </c>
      <c r="C120" s="14" t="n"/>
    </row>
    <row r="121">
      <c r="A121" s="8" t="n"/>
      <c r="B121" s="5">
        <f>IF(A121="","",IFERROR(INDEX('Kontoplan'!$B$3:$B$302,MATCH(A121,'Kontoplan'!$H$3:$H$302,0)),""))</f>
        <v/>
      </c>
      <c r="C121" s="14" t="n"/>
    </row>
    <row r="122">
      <c r="A122" s="8" t="n"/>
      <c r="B122" s="5">
        <f>IF(A122="","",IFERROR(INDEX('Kontoplan'!$B$3:$B$302,MATCH(A122,'Kontoplan'!$H$3:$H$302,0)),""))</f>
        <v/>
      </c>
      <c r="C122" s="14" t="n"/>
    </row>
    <row r="123">
      <c r="A123" s="8" t="n"/>
      <c r="B123" s="5">
        <f>IF(A123="","",IFERROR(INDEX('Kontoplan'!$B$3:$B$302,MATCH(A123,'Kontoplan'!$H$3:$H$302,0)),""))</f>
        <v/>
      </c>
      <c r="C123" s="14" t="n"/>
    </row>
    <row r="124">
      <c r="A124" s="8" t="n"/>
      <c r="B124" s="5">
        <f>IF(A124="","",IFERROR(INDEX('Kontoplan'!$B$3:$B$302,MATCH(A124,'Kontoplan'!$H$3:$H$302,0)),""))</f>
        <v/>
      </c>
      <c r="C124" s="14" t="n"/>
    </row>
    <row r="125">
      <c r="A125" s="8" t="n"/>
      <c r="B125" s="5">
        <f>IF(A125="","",IFERROR(INDEX('Kontoplan'!$B$3:$B$302,MATCH(A125,'Kontoplan'!$H$3:$H$302,0)),""))</f>
        <v/>
      </c>
      <c r="C125" s="14" t="n"/>
    </row>
    <row r="126">
      <c r="A126" s="8" t="n"/>
      <c r="B126" s="5">
        <f>IF(A126="","",IFERROR(INDEX('Kontoplan'!$B$3:$B$302,MATCH(A126,'Kontoplan'!$H$3:$H$302,0)),""))</f>
        <v/>
      </c>
      <c r="C126" s="14" t="n"/>
    </row>
    <row r="127">
      <c r="A127" s="8" t="n"/>
      <c r="B127" s="5">
        <f>IF(A127="","",IFERROR(INDEX('Kontoplan'!$B$3:$B$302,MATCH(A127,'Kontoplan'!$H$3:$H$302,0)),""))</f>
        <v/>
      </c>
      <c r="C127" s="14" t="n"/>
    </row>
    <row r="128">
      <c r="A128" s="8" t="n"/>
      <c r="B128" s="5">
        <f>IF(A128="","",IFERROR(INDEX('Kontoplan'!$B$3:$B$302,MATCH(A128,'Kontoplan'!$H$3:$H$302,0)),""))</f>
        <v/>
      </c>
      <c r="C128" s="14" t="n"/>
    </row>
    <row r="129">
      <c r="A129" s="8" t="n"/>
      <c r="B129" s="5">
        <f>IF(A129="","",IFERROR(INDEX('Kontoplan'!$B$3:$B$302,MATCH(A129,'Kontoplan'!$H$3:$H$302,0)),""))</f>
        <v/>
      </c>
      <c r="C129" s="14" t="n"/>
    </row>
    <row r="130">
      <c r="A130" s="8" t="n"/>
      <c r="B130" s="5">
        <f>IF(A130="","",IFERROR(INDEX('Kontoplan'!$B$3:$B$302,MATCH(A130,'Kontoplan'!$H$3:$H$302,0)),""))</f>
        <v/>
      </c>
      <c r="C130" s="14" t="n"/>
    </row>
    <row r="131">
      <c r="A131" s="8" t="n"/>
      <c r="B131" s="5">
        <f>IF(A131="","",IFERROR(INDEX('Kontoplan'!$B$3:$B$302,MATCH(A131,'Kontoplan'!$H$3:$H$302,0)),""))</f>
        <v/>
      </c>
      <c r="C131" s="14" t="n"/>
    </row>
    <row r="132">
      <c r="A132" s="8" t="n"/>
      <c r="B132" s="5">
        <f>IF(A132="","",IFERROR(INDEX('Kontoplan'!$B$3:$B$302,MATCH(A132,'Kontoplan'!$H$3:$H$302,0)),""))</f>
        <v/>
      </c>
      <c r="C132" s="14" t="n"/>
    </row>
    <row r="133">
      <c r="A133" s="8" t="n"/>
      <c r="B133" s="5">
        <f>IF(A133="","",IFERROR(INDEX('Kontoplan'!$B$3:$B$302,MATCH(A133,'Kontoplan'!$H$3:$H$302,0)),""))</f>
        <v/>
      </c>
      <c r="C133" s="14" t="n"/>
    </row>
    <row r="134">
      <c r="A134" s="8" t="n"/>
      <c r="B134" s="5">
        <f>IF(A134="","",IFERROR(INDEX('Kontoplan'!$B$3:$B$302,MATCH(A134,'Kontoplan'!$H$3:$H$302,0)),""))</f>
        <v/>
      </c>
      <c r="C134" s="14" t="n"/>
    </row>
    <row r="135">
      <c r="A135" s="8" t="n"/>
      <c r="B135" s="5">
        <f>IF(A135="","",IFERROR(INDEX('Kontoplan'!$B$3:$B$302,MATCH(A135,'Kontoplan'!$H$3:$H$302,0)),""))</f>
        <v/>
      </c>
      <c r="C135" s="14" t="n"/>
    </row>
    <row r="136">
      <c r="A136" s="8" t="n"/>
      <c r="B136" s="5">
        <f>IF(A136="","",IFERROR(INDEX('Kontoplan'!$B$3:$B$302,MATCH(A136,'Kontoplan'!$H$3:$H$302,0)),""))</f>
        <v/>
      </c>
      <c r="C136" s="14" t="n"/>
    </row>
    <row r="137">
      <c r="A137" s="8" t="n"/>
      <c r="B137" s="5">
        <f>IF(A137="","",IFERROR(INDEX('Kontoplan'!$B$3:$B$302,MATCH(A137,'Kontoplan'!$H$3:$H$302,0)),""))</f>
        <v/>
      </c>
      <c r="C137" s="14" t="n"/>
    </row>
    <row r="138">
      <c r="A138" s="8" t="n"/>
      <c r="B138" s="5">
        <f>IF(A138="","",IFERROR(INDEX('Kontoplan'!$B$3:$B$302,MATCH(A138,'Kontoplan'!$H$3:$H$302,0)),""))</f>
        <v/>
      </c>
      <c r="C138" s="14" t="n"/>
    </row>
    <row r="139">
      <c r="A139" s="8" t="n"/>
      <c r="B139" s="5">
        <f>IF(A139="","",IFERROR(INDEX('Kontoplan'!$B$3:$B$302,MATCH(A139,'Kontoplan'!$H$3:$H$302,0)),""))</f>
        <v/>
      </c>
      <c r="C139" s="14" t="n"/>
    </row>
    <row r="140">
      <c r="A140" s="8" t="n"/>
      <c r="B140" s="5">
        <f>IF(A140="","",IFERROR(INDEX('Kontoplan'!$B$3:$B$302,MATCH(A140,'Kontoplan'!$H$3:$H$302,0)),""))</f>
        <v/>
      </c>
      <c r="C140" s="14" t="n"/>
    </row>
    <row r="141">
      <c r="A141" s="8" t="n"/>
      <c r="B141" s="5">
        <f>IF(A141="","",IFERROR(INDEX('Kontoplan'!$B$3:$B$302,MATCH(A141,'Kontoplan'!$H$3:$H$302,0)),""))</f>
        <v/>
      </c>
      <c r="C141" s="14" t="n"/>
    </row>
    <row r="142">
      <c r="A142" s="8" t="n"/>
      <c r="B142" s="5">
        <f>IF(A142="","",IFERROR(INDEX('Kontoplan'!$B$3:$B$302,MATCH(A142,'Kontoplan'!$H$3:$H$302,0)),""))</f>
        <v/>
      </c>
      <c r="C142" s="14" t="n"/>
    </row>
    <row r="143">
      <c r="A143" s="8" t="n"/>
      <c r="B143" s="5">
        <f>IF(A143="","",IFERROR(INDEX('Kontoplan'!$B$3:$B$302,MATCH(A143,'Kontoplan'!$H$3:$H$302,0)),""))</f>
        <v/>
      </c>
      <c r="C143" s="14" t="n"/>
    </row>
    <row r="144">
      <c r="A144" s="8" t="n"/>
      <c r="B144" s="5">
        <f>IF(A144="","",IFERROR(INDEX('Kontoplan'!$B$3:$B$302,MATCH(A144,'Kontoplan'!$H$3:$H$302,0)),""))</f>
        <v/>
      </c>
      <c r="C144" s="14" t="n"/>
    </row>
    <row r="145">
      <c r="A145" s="8" t="n"/>
      <c r="B145" s="5">
        <f>IF(A145="","",IFERROR(INDEX('Kontoplan'!$B$3:$B$302,MATCH(A145,'Kontoplan'!$H$3:$H$302,0)),""))</f>
        <v/>
      </c>
      <c r="C145" s="14" t="n"/>
    </row>
    <row r="146">
      <c r="A146" s="8" t="n"/>
      <c r="B146" s="5">
        <f>IF(A146="","",IFERROR(INDEX('Kontoplan'!$B$3:$B$302,MATCH(A146,'Kontoplan'!$H$3:$H$302,0)),""))</f>
        <v/>
      </c>
      <c r="C146" s="14" t="n"/>
    </row>
    <row r="147">
      <c r="A147" s="8" t="n"/>
      <c r="B147" s="5">
        <f>IF(A147="","",IFERROR(INDEX('Kontoplan'!$B$3:$B$302,MATCH(A147,'Kontoplan'!$H$3:$H$302,0)),""))</f>
        <v/>
      </c>
      <c r="C147" s="14" t="n"/>
    </row>
    <row r="148">
      <c r="A148" s="8" t="n"/>
      <c r="B148" s="5">
        <f>IF(A148="","",IFERROR(INDEX('Kontoplan'!$B$3:$B$302,MATCH(A148,'Kontoplan'!$H$3:$H$302,0)),""))</f>
        <v/>
      </c>
      <c r="C148" s="14" t="n"/>
    </row>
    <row r="149">
      <c r="A149" s="8" t="n"/>
      <c r="B149" s="5">
        <f>IF(A149="","",IFERROR(INDEX('Kontoplan'!$B$3:$B$302,MATCH(A149,'Kontoplan'!$H$3:$H$302,0)),""))</f>
        <v/>
      </c>
      <c r="C149" s="14" t="n"/>
    </row>
    <row r="150">
      <c r="A150" s="8" t="n"/>
      <c r="B150" s="5">
        <f>IF(A150="","",IFERROR(INDEX('Kontoplan'!$B$3:$B$302,MATCH(A150,'Kontoplan'!$H$3:$H$302,0)),""))</f>
        <v/>
      </c>
      <c r="C150" s="14" t="n"/>
    </row>
    <row r="151">
      <c r="A151" s="8" t="n"/>
      <c r="B151" s="5">
        <f>IF(A151="","",IFERROR(INDEX('Kontoplan'!$B$3:$B$302,MATCH(A151,'Kontoplan'!$H$3:$H$302,0)),""))</f>
        <v/>
      </c>
      <c r="C151" s="14" t="n"/>
    </row>
    <row r="152">
      <c r="A152" s="8" t="n"/>
      <c r="B152" s="5">
        <f>IF(A152="","",IFERROR(INDEX('Kontoplan'!$B$3:$B$302,MATCH(A152,'Kontoplan'!$H$3:$H$302,0)),""))</f>
        <v/>
      </c>
      <c r="C152" s="14" t="n"/>
    </row>
    <row r="153">
      <c r="A153" s="8" t="n"/>
      <c r="B153" s="5">
        <f>IF(A153="","",IFERROR(INDEX('Kontoplan'!$B$3:$B$302,MATCH(A153,'Kontoplan'!$H$3:$H$302,0)),""))</f>
        <v/>
      </c>
      <c r="C153" s="14" t="n"/>
    </row>
    <row r="154">
      <c r="A154" s="8" t="n"/>
      <c r="B154" s="5">
        <f>IF(A154="","",IFERROR(INDEX('Kontoplan'!$B$3:$B$302,MATCH(A154,'Kontoplan'!$H$3:$H$302,0)),""))</f>
        <v/>
      </c>
      <c r="C154" s="14" t="n"/>
    </row>
    <row r="155">
      <c r="A155" s="8" t="n"/>
      <c r="B155" s="5">
        <f>IF(A155="","",IFERROR(INDEX('Kontoplan'!$B$3:$B$302,MATCH(A155,'Kontoplan'!$H$3:$H$302,0)),""))</f>
        <v/>
      </c>
      <c r="C155" s="14" t="n"/>
    </row>
    <row r="156">
      <c r="A156" s="8" t="n"/>
      <c r="B156" s="5">
        <f>IF(A156="","",IFERROR(INDEX('Kontoplan'!$B$3:$B$302,MATCH(A156,'Kontoplan'!$H$3:$H$302,0)),""))</f>
        <v/>
      </c>
      <c r="C156" s="14" t="n"/>
    </row>
    <row r="157">
      <c r="A157" s="8" t="n"/>
      <c r="B157" s="5">
        <f>IF(A157="","",IFERROR(INDEX('Kontoplan'!$B$3:$B$302,MATCH(A157,'Kontoplan'!$H$3:$H$302,0)),""))</f>
        <v/>
      </c>
      <c r="C157" s="14" t="n"/>
    </row>
    <row r="158">
      <c r="A158" s="8" t="n"/>
      <c r="B158" s="5">
        <f>IF(A158="","",IFERROR(INDEX('Kontoplan'!$B$3:$B$302,MATCH(A158,'Kontoplan'!$H$3:$H$302,0)),""))</f>
        <v/>
      </c>
      <c r="C158" s="14" t="n"/>
    </row>
    <row r="159">
      <c r="A159" s="8" t="n"/>
      <c r="B159" s="5">
        <f>IF(A159="","",IFERROR(INDEX('Kontoplan'!$B$3:$B$302,MATCH(A159,'Kontoplan'!$H$3:$H$302,0)),""))</f>
        <v/>
      </c>
      <c r="C159" s="14" t="n"/>
    </row>
    <row r="160">
      <c r="A160" s="8" t="n"/>
      <c r="B160" s="5">
        <f>IF(A160="","",IFERROR(INDEX('Kontoplan'!$B$3:$B$302,MATCH(A160,'Kontoplan'!$H$3:$H$302,0)),""))</f>
        <v/>
      </c>
      <c r="C160" s="14" t="n"/>
    </row>
    <row r="161">
      <c r="A161" s="8" t="n"/>
      <c r="B161" s="5">
        <f>IF(A161="","",IFERROR(INDEX('Kontoplan'!$B$3:$B$302,MATCH(A161,'Kontoplan'!$H$3:$H$302,0)),""))</f>
        <v/>
      </c>
      <c r="C161" s="1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conditionalFormatting sqref="C107">
    <cfRule type="expression" priority="1" dxfId="0" stopIfTrue="0">
      <formula>ROUND(C107,2)&lt;&gt;0</formula>
    </cfRule>
  </conditionalFormatting>
  <dataValidations count="5">
    <dataValidation sqref="A4:A103" showDropDown="0" showInputMessage="0" showErrorMessage="1" allowBlank="1" errorTitle="Formells regnskapsmal" error="Velg en konto fra «Kontoplan»." type="list">
      <formula1>'Kontoplan'!$H$3:$H$302</formula1>
    </dataValidation>
    <dataValidation sqref="C4:C103" showDropDown="0" showInputMessage="0" showErrorMessage="1" allowBlank="1" errorTitle="Formells regnskapsmal" error="Skriv beløpet som et positivt tall." type="decimal" operator="greaterThanOrEqual">
      <formula1>0</formula1>
    </dataValidation>
    <dataValidation sqref="B109" showDropDown="0" showInputMessage="0" showErrorMessage="1" allowBlank="1" errorTitle="Formells regnskapsmal" error="Velg fra listen." type="list">
      <formula1>'_lister'!$K$2:$K$5</formula1>
    </dataValidation>
    <dataValidation sqref="A112:A161" showDropDown="0" showInputMessage="0" showErrorMessage="1" allowBlank="1" errorTitle="Formells regnskapsmal" error="Velg en resultatkonto (3000–8999) fra «Kontoplan»." type="list">
      <formula1>'_lister'!$N$2:$N$151</formula1>
    </dataValidation>
    <dataValidation sqref="C112:C161" showDropDown="0" showInputMessage="0" showErrorMessage="1" allowBlank="1" errorTitle="Formells regnskapsmal" error="Skriv beløpet som et positivt tall." type="decimal" operator="greaterThanOrEqual">
      <formula1>0</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002"/>
  <sheetViews>
    <sheetView workbookViewId="0">
      <pane ySplit="2" topLeftCell="A3" activePane="bottomLeft" state="frozen"/>
      <selection pane="bottomLeft" activeCell="A1" sqref="A1"/>
    </sheetView>
  </sheetViews>
  <sheetFormatPr baseColWidth="8" defaultRowHeight="15"/>
  <cols>
    <col width="9" customWidth="1" min="1" max="1"/>
    <col width="12" customWidth="1" min="2" max="2"/>
    <col width="36" customWidth="1" min="3" max="3"/>
    <col width="34" customWidth="1" min="4" max="4"/>
    <col width="34" customWidth="1" min="5" max="5"/>
    <col width="14" customWidth="1" min="6" max="6"/>
    <col width="14" customWidth="1" min="7" max="7"/>
    <col width="24" customWidth="1" min="8" max="8"/>
    <col width="22" customWidth="1" min="9" max="9"/>
    <col width="30" customWidth="1" min="10" max="10"/>
    <col width="8" customWidth="1" min="11" max="11"/>
    <col width="26" customWidth="1" min="12" max="12"/>
  </cols>
  <sheetData>
    <row r="1">
      <c r="A1" s="10" t="inlineStr">
        <is>
          <t>Bilagsnr.</t>
        </is>
      </c>
      <c r="B1" s="10" t="inlineStr">
        <is>
          <t>Dato</t>
        </is>
      </c>
      <c r="C1" s="10" t="inlineStr">
        <is>
          <t>Tekst</t>
        </is>
      </c>
      <c r="D1" s="10" t="inlineStr">
        <is>
          <t>Konto</t>
        </is>
      </c>
      <c r="E1" s="10" t="inlineStr">
        <is>
          <t>Motkonto</t>
        </is>
      </c>
      <c r="F1" s="10" t="inlineStr">
        <is>
          <t>Inn</t>
        </is>
      </c>
      <c r="G1" s="10" t="inlineStr">
        <is>
          <t>Ut</t>
        </is>
      </c>
      <c r="H1" s="10" t="inlineStr">
        <is>
          <t>Motpart (org.nr. eller navn)</t>
        </is>
      </c>
      <c r="I1" s="10" t="inlineStr">
        <is>
          <t>Bilag (filnavn)</t>
        </is>
      </c>
      <c r="J1" s="10" t="inlineStr">
        <is>
          <t>Merknad</t>
        </is>
      </c>
      <c r="K1" s="10" t="inlineStr">
        <is>
          <t>Måned</t>
        </is>
      </c>
      <c r="L1" s="10" t="inlineStr">
        <is>
          <t>Kontroll</t>
        </is>
      </c>
    </row>
    <row r="2" ht="30" customHeight="1">
      <c r="A2" s="11" t="inlineStr">
        <is>
          <t>Én rad per postering. Bruk samme bilagsnummer på flere rader hvis ett bilag skal deles, for eksempel et aksjesalg. «Inn» betyr penger inn på motkontoen (vanligvis banken). «Ut» betyr penger ut.</t>
        </is>
      </c>
    </row>
    <row r="3">
      <c r="A3" s="17" t="n"/>
      <c r="B3" s="9" t="n"/>
      <c r="C3" s="8" t="n"/>
      <c r="D3" s="8" t="n"/>
      <c r="E3" s="8" t="n"/>
      <c r="F3" s="14" t="n"/>
      <c r="G3" s="14" t="n"/>
      <c r="H3" s="8" t="n"/>
      <c r="I3" s="8" t="n"/>
      <c r="J3" s="8" t="n"/>
      <c r="K3" s="18">
        <f>IF(B3="","",IFERROR(MONTH(B3),""))</f>
        <v/>
      </c>
      <c r="L3" s="5">
        <f>IF(COUNTA(A3:J3)=0,"",IF(E3="","Mangler motkonto",IF((F3="")=(G3=""),"Fyll ut enten Inn eller Ut",IF(OR(IFERROR(INDEX('Kontoplan'!$D$3:$D$302,MATCH(D3,'Kontoplan'!$H$3:$H$302,0))="Støttes ikke",FALSE),IFERROR(INDEX('Kontoplan'!$D$3:$D$302,MATCH(E3,'Kontoplan'!$H$3:$H$302,0))="Støttes ikke",FALSE)),"Kontoen støttes ikke",IF(IFERROR(AND(A3&gt;1,COUNTIF($A$3:$A$2002,A3-1)=0),FALSE),"Nummeret hopper over",IF(OR(NOT(ISNUMBER(B3)),B3&lt;DATE(2027,1,1),B3&gt;DATE(2027,12,31)),"Datoen er ikke i 2027",""))))))</f>
        <v/>
      </c>
    </row>
    <row r="4">
      <c r="A4" s="17" t="n"/>
      <c r="B4" s="9" t="n"/>
      <c r="C4" s="8" t="n"/>
      <c r="D4" s="8" t="n"/>
      <c r="E4" s="8" t="n"/>
      <c r="F4" s="14" t="n"/>
      <c r="G4" s="14" t="n"/>
      <c r="H4" s="8" t="n"/>
      <c r="I4" s="8" t="n"/>
      <c r="J4" s="8" t="n"/>
      <c r="K4" s="18">
        <f>IF(B4="","",IFERROR(MONTH(B4),""))</f>
        <v/>
      </c>
      <c r="L4" s="5">
        <f>IF(COUNTA(A4:J4)=0,"",IF(E4="","Mangler motkonto",IF((F4="")=(G4=""),"Fyll ut enten Inn eller Ut",IF(OR(IFERROR(INDEX('Kontoplan'!$D$3:$D$302,MATCH(D4,'Kontoplan'!$H$3:$H$302,0))="Støttes ikke",FALSE),IFERROR(INDEX('Kontoplan'!$D$3:$D$302,MATCH(E4,'Kontoplan'!$H$3:$H$302,0))="Støttes ikke",FALSE)),"Kontoen støttes ikke",IF(IFERROR(AND(A4&gt;1,COUNTIF($A$3:$A$2002,A4-1)=0),FALSE),"Nummeret hopper over",IF(OR(NOT(ISNUMBER(B4)),B4&lt;DATE(2027,1,1),B4&gt;DATE(2027,12,31)),"Datoen er ikke i 2027",""))))))</f>
        <v/>
      </c>
    </row>
    <row r="5">
      <c r="A5" s="17" t="n"/>
      <c r="B5" s="9" t="n"/>
      <c r="C5" s="8" t="n"/>
      <c r="D5" s="8" t="n"/>
      <c r="E5" s="8" t="n"/>
      <c r="F5" s="14" t="n"/>
      <c r="G5" s="14" t="n"/>
      <c r="H5" s="8" t="n"/>
      <c r="I5" s="8" t="n"/>
      <c r="J5" s="8" t="n"/>
      <c r="K5" s="18">
        <f>IF(B5="","",IFERROR(MONTH(B5),""))</f>
        <v/>
      </c>
      <c r="L5" s="5">
        <f>IF(COUNTA(A5:J5)=0,"",IF(E5="","Mangler motkonto",IF((F5="")=(G5=""),"Fyll ut enten Inn eller Ut",IF(OR(IFERROR(INDEX('Kontoplan'!$D$3:$D$302,MATCH(D5,'Kontoplan'!$H$3:$H$302,0))="Støttes ikke",FALSE),IFERROR(INDEX('Kontoplan'!$D$3:$D$302,MATCH(E5,'Kontoplan'!$H$3:$H$302,0))="Støttes ikke",FALSE)),"Kontoen støttes ikke",IF(IFERROR(AND(A5&gt;1,COUNTIF($A$3:$A$2002,A5-1)=0),FALSE),"Nummeret hopper over",IF(OR(NOT(ISNUMBER(B5)),B5&lt;DATE(2027,1,1),B5&gt;DATE(2027,12,31)),"Datoen er ikke i 2027",""))))))</f>
        <v/>
      </c>
    </row>
    <row r="6">
      <c r="A6" s="17" t="n"/>
      <c r="B6" s="9" t="n"/>
      <c r="C6" s="8" t="n"/>
      <c r="D6" s="8" t="n"/>
      <c r="E6" s="8" t="n"/>
      <c r="F6" s="14" t="n"/>
      <c r="G6" s="14" t="n"/>
      <c r="H6" s="8" t="n"/>
      <c r="I6" s="8" t="n"/>
      <c r="J6" s="8" t="n"/>
      <c r="K6" s="18">
        <f>IF(B6="","",IFERROR(MONTH(B6),""))</f>
        <v/>
      </c>
      <c r="L6" s="5">
        <f>IF(COUNTA(A6:J6)=0,"",IF(E6="","Mangler motkonto",IF((F6="")=(G6=""),"Fyll ut enten Inn eller Ut",IF(OR(IFERROR(INDEX('Kontoplan'!$D$3:$D$302,MATCH(D6,'Kontoplan'!$H$3:$H$302,0))="Støttes ikke",FALSE),IFERROR(INDEX('Kontoplan'!$D$3:$D$302,MATCH(E6,'Kontoplan'!$H$3:$H$302,0))="Støttes ikke",FALSE)),"Kontoen støttes ikke",IF(IFERROR(AND(A6&gt;1,COUNTIF($A$3:$A$2002,A6-1)=0),FALSE),"Nummeret hopper over",IF(OR(NOT(ISNUMBER(B6)),B6&lt;DATE(2027,1,1),B6&gt;DATE(2027,12,31)),"Datoen er ikke i 2027",""))))))</f>
        <v/>
      </c>
    </row>
    <row r="7">
      <c r="A7" s="17" t="n"/>
      <c r="B7" s="9" t="n"/>
      <c r="C7" s="8" t="n"/>
      <c r="D7" s="8" t="n"/>
      <c r="E7" s="8" t="n"/>
      <c r="F7" s="14" t="n"/>
      <c r="G7" s="14" t="n"/>
      <c r="H7" s="8" t="n"/>
      <c r="I7" s="8" t="n"/>
      <c r="J7" s="8" t="n"/>
      <c r="K7" s="18">
        <f>IF(B7="","",IFERROR(MONTH(B7),""))</f>
        <v/>
      </c>
      <c r="L7" s="5">
        <f>IF(COUNTA(A7:J7)=0,"",IF(E7="","Mangler motkonto",IF((F7="")=(G7=""),"Fyll ut enten Inn eller Ut",IF(OR(IFERROR(INDEX('Kontoplan'!$D$3:$D$302,MATCH(D7,'Kontoplan'!$H$3:$H$302,0))="Støttes ikke",FALSE),IFERROR(INDEX('Kontoplan'!$D$3:$D$302,MATCH(E7,'Kontoplan'!$H$3:$H$302,0))="Støttes ikke",FALSE)),"Kontoen støttes ikke",IF(IFERROR(AND(A7&gt;1,COUNTIF($A$3:$A$2002,A7-1)=0),FALSE),"Nummeret hopper over",IF(OR(NOT(ISNUMBER(B7)),B7&lt;DATE(2027,1,1),B7&gt;DATE(2027,12,31)),"Datoen er ikke i 2027",""))))))</f>
        <v/>
      </c>
    </row>
    <row r="8">
      <c r="A8" s="17" t="n"/>
      <c r="B8" s="9" t="n"/>
      <c r="C8" s="8" t="n"/>
      <c r="D8" s="8" t="n"/>
      <c r="E8" s="8" t="n"/>
      <c r="F8" s="14" t="n"/>
      <c r="G8" s="14" t="n"/>
      <c r="H8" s="8" t="n"/>
      <c r="I8" s="8" t="n"/>
      <c r="J8" s="8" t="n"/>
      <c r="K8" s="18">
        <f>IF(B8="","",IFERROR(MONTH(B8),""))</f>
        <v/>
      </c>
      <c r="L8" s="5">
        <f>IF(COUNTA(A8:J8)=0,"",IF(E8="","Mangler motkonto",IF((F8="")=(G8=""),"Fyll ut enten Inn eller Ut",IF(OR(IFERROR(INDEX('Kontoplan'!$D$3:$D$302,MATCH(D8,'Kontoplan'!$H$3:$H$302,0))="Støttes ikke",FALSE),IFERROR(INDEX('Kontoplan'!$D$3:$D$302,MATCH(E8,'Kontoplan'!$H$3:$H$302,0))="Støttes ikke",FALSE)),"Kontoen støttes ikke",IF(IFERROR(AND(A8&gt;1,COUNTIF($A$3:$A$2002,A8-1)=0),FALSE),"Nummeret hopper over",IF(OR(NOT(ISNUMBER(B8)),B8&lt;DATE(2027,1,1),B8&gt;DATE(2027,12,31)),"Datoen er ikke i 2027",""))))))</f>
        <v/>
      </c>
    </row>
    <row r="9">
      <c r="A9" s="17" t="n"/>
      <c r="B9" s="9" t="n"/>
      <c r="C9" s="8" t="n"/>
      <c r="D9" s="8" t="n"/>
      <c r="E9" s="8" t="n"/>
      <c r="F9" s="14" t="n"/>
      <c r="G9" s="14" t="n"/>
      <c r="H9" s="8" t="n"/>
      <c r="I9" s="8" t="n"/>
      <c r="J9" s="8" t="n"/>
      <c r="K9" s="18">
        <f>IF(B9="","",IFERROR(MONTH(B9),""))</f>
        <v/>
      </c>
      <c r="L9" s="5">
        <f>IF(COUNTA(A9:J9)=0,"",IF(E9="","Mangler motkonto",IF((F9="")=(G9=""),"Fyll ut enten Inn eller Ut",IF(OR(IFERROR(INDEX('Kontoplan'!$D$3:$D$302,MATCH(D9,'Kontoplan'!$H$3:$H$302,0))="Støttes ikke",FALSE),IFERROR(INDEX('Kontoplan'!$D$3:$D$302,MATCH(E9,'Kontoplan'!$H$3:$H$302,0))="Støttes ikke",FALSE)),"Kontoen støttes ikke",IF(IFERROR(AND(A9&gt;1,COUNTIF($A$3:$A$2002,A9-1)=0),FALSE),"Nummeret hopper over",IF(OR(NOT(ISNUMBER(B9)),B9&lt;DATE(2027,1,1),B9&gt;DATE(2027,12,31)),"Datoen er ikke i 2027",""))))))</f>
        <v/>
      </c>
    </row>
    <row r="10">
      <c r="A10" s="17" t="n"/>
      <c r="B10" s="9" t="n"/>
      <c r="C10" s="8" t="n"/>
      <c r="D10" s="8" t="n"/>
      <c r="E10" s="8" t="n"/>
      <c r="F10" s="14" t="n"/>
      <c r="G10" s="14" t="n"/>
      <c r="H10" s="8" t="n"/>
      <c r="I10" s="8" t="n"/>
      <c r="J10" s="8" t="n"/>
      <c r="K10" s="18">
        <f>IF(B10="","",IFERROR(MONTH(B10),""))</f>
        <v/>
      </c>
      <c r="L10" s="5">
        <f>IF(COUNTA(A10:J10)=0,"",IF(E10="","Mangler motkonto",IF((F10="")=(G10=""),"Fyll ut enten Inn eller Ut",IF(OR(IFERROR(INDEX('Kontoplan'!$D$3:$D$302,MATCH(D10,'Kontoplan'!$H$3:$H$302,0))="Støttes ikke",FALSE),IFERROR(INDEX('Kontoplan'!$D$3:$D$302,MATCH(E10,'Kontoplan'!$H$3:$H$302,0))="Støttes ikke",FALSE)),"Kontoen støttes ikke",IF(IFERROR(AND(A10&gt;1,COUNTIF($A$3:$A$2002,A10-1)=0),FALSE),"Nummeret hopper over",IF(OR(NOT(ISNUMBER(B10)),B10&lt;DATE(2027,1,1),B10&gt;DATE(2027,12,31)),"Datoen er ikke i 2027",""))))))</f>
        <v/>
      </c>
    </row>
    <row r="11">
      <c r="A11" s="17" t="n"/>
      <c r="B11" s="9" t="n"/>
      <c r="C11" s="8" t="n"/>
      <c r="D11" s="8" t="n"/>
      <c r="E11" s="8" t="n"/>
      <c r="F11" s="14" t="n"/>
      <c r="G11" s="14" t="n"/>
      <c r="H11" s="8" t="n"/>
      <c r="I11" s="8" t="n"/>
      <c r="J11" s="8" t="n"/>
      <c r="K11" s="18">
        <f>IF(B11="","",IFERROR(MONTH(B11),""))</f>
        <v/>
      </c>
      <c r="L11" s="5">
        <f>IF(COUNTA(A11:J11)=0,"",IF(E11="","Mangler motkonto",IF((F11="")=(G11=""),"Fyll ut enten Inn eller Ut",IF(OR(IFERROR(INDEX('Kontoplan'!$D$3:$D$302,MATCH(D11,'Kontoplan'!$H$3:$H$302,0))="Støttes ikke",FALSE),IFERROR(INDEX('Kontoplan'!$D$3:$D$302,MATCH(E11,'Kontoplan'!$H$3:$H$302,0))="Støttes ikke",FALSE)),"Kontoen støttes ikke",IF(IFERROR(AND(A11&gt;1,COUNTIF($A$3:$A$2002,A11-1)=0),FALSE),"Nummeret hopper over",IF(OR(NOT(ISNUMBER(B11)),B11&lt;DATE(2027,1,1),B11&gt;DATE(2027,12,31)),"Datoen er ikke i 2027",""))))))</f>
        <v/>
      </c>
    </row>
    <row r="12">
      <c r="A12" s="17" t="n"/>
      <c r="B12" s="9" t="n"/>
      <c r="C12" s="8" t="n"/>
      <c r="D12" s="8" t="n"/>
      <c r="E12" s="8" t="n"/>
      <c r="F12" s="14" t="n"/>
      <c r="G12" s="14" t="n"/>
      <c r="H12" s="8" t="n"/>
      <c r="I12" s="8" t="n"/>
      <c r="J12" s="8" t="n"/>
      <c r="K12" s="18">
        <f>IF(B12="","",IFERROR(MONTH(B12),""))</f>
        <v/>
      </c>
      <c r="L12" s="5">
        <f>IF(COUNTA(A12:J12)=0,"",IF(E12="","Mangler motkonto",IF((F12="")=(G12=""),"Fyll ut enten Inn eller Ut",IF(OR(IFERROR(INDEX('Kontoplan'!$D$3:$D$302,MATCH(D12,'Kontoplan'!$H$3:$H$302,0))="Støttes ikke",FALSE),IFERROR(INDEX('Kontoplan'!$D$3:$D$302,MATCH(E12,'Kontoplan'!$H$3:$H$302,0))="Støttes ikke",FALSE)),"Kontoen støttes ikke",IF(IFERROR(AND(A12&gt;1,COUNTIF($A$3:$A$2002,A12-1)=0),FALSE),"Nummeret hopper over",IF(OR(NOT(ISNUMBER(B12)),B12&lt;DATE(2027,1,1),B12&gt;DATE(2027,12,31)),"Datoen er ikke i 2027",""))))))</f>
        <v/>
      </c>
    </row>
    <row r="13">
      <c r="A13" s="17" t="n"/>
      <c r="B13" s="9" t="n"/>
      <c r="C13" s="8" t="n"/>
      <c r="D13" s="8" t="n"/>
      <c r="E13" s="8" t="n"/>
      <c r="F13" s="14" t="n"/>
      <c r="G13" s="14" t="n"/>
      <c r="H13" s="8" t="n"/>
      <c r="I13" s="8" t="n"/>
      <c r="J13" s="8" t="n"/>
      <c r="K13" s="18">
        <f>IF(B13="","",IFERROR(MONTH(B13),""))</f>
        <v/>
      </c>
      <c r="L13" s="5">
        <f>IF(COUNTA(A13:J13)=0,"",IF(E13="","Mangler motkonto",IF((F13="")=(G13=""),"Fyll ut enten Inn eller Ut",IF(OR(IFERROR(INDEX('Kontoplan'!$D$3:$D$302,MATCH(D13,'Kontoplan'!$H$3:$H$302,0))="Støttes ikke",FALSE),IFERROR(INDEX('Kontoplan'!$D$3:$D$302,MATCH(E13,'Kontoplan'!$H$3:$H$302,0))="Støttes ikke",FALSE)),"Kontoen støttes ikke",IF(IFERROR(AND(A13&gt;1,COUNTIF($A$3:$A$2002,A13-1)=0),FALSE),"Nummeret hopper over",IF(OR(NOT(ISNUMBER(B13)),B13&lt;DATE(2027,1,1),B13&gt;DATE(2027,12,31)),"Datoen er ikke i 2027",""))))))</f>
        <v/>
      </c>
    </row>
    <row r="14">
      <c r="A14" s="17" t="n"/>
      <c r="B14" s="9" t="n"/>
      <c r="C14" s="8" t="n"/>
      <c r="D14" s="8" t="n"/>
      <c r="E14" s="8" t="n"/>
      <c r="F14" s="14" t="n"/>
      <c r="G14" s="14" t="n"/>
      <c r="H14" s="8" t="n"/>
      <c r="I14" s="8" t="n"/>
      <c r="J14" s="8" t="n"/>
      <c r="K14" s="18">
        <f>IF(B14="","",IFERROR(MONTH(B14),""))</f>
        <v/>
      </c>
      <c r="L14" s="5">
        <f>IF(COUNTA(A14:J14)=0,"",IF(E14="","Mangler motkonto",IF((F14="")=(G14=""),"Fyll ut enten Inn eller Ut",IF(OR(IFERROR(INDEX('Kontoplan'!$D$3:$D$302,MATCH(D14,'Kontoplan'!$H$3:$H$302,0))="Støttes ikke",FALSE),IFERROR(INDEX('Kontoplan'!$D$3:$D$302,MATCH(E14,'Kontoplan'!$H$3:$H$302,0))="Støttes ikke",FALSE)),"Kontoen støttes ikke",IF(IFERROR(AND(A14&gt;1,COUNTIF($A$3:$A$2002,A14-1)=0),FALSE),"Nummeret hopper over",IF(OR(NOT(ISNUMBER(B14)),B14&lt;DATE(2027,1,1),B14&gt;DATE(2027,12,31)),"Datoen er ikke i 2027",""))))))</f>
        <v/>
      </c>
    </row>
    <row r="15">
      <c r="A15" s="17" t="n"/>
      <c r="B15" s="9" t="n"/>
      <c r="C15" s="8" t="n"/>
      <c r="D15" s="8" t="n"/>
      <c r="E15" s="8" t="n"/>
      <c r="F15" s="14" t="n"/>
      <c r="G15" s="14" t="n"/>
      <c r="H15" s="8" t="n"/>
      <c r="I15" s="8" t="n"/>
      <c r="J15" s="8" t="n"/>
      <c r="K15" s="18">
        <f>IF(B15="","",IFERROR(MONTH(B15),""))</f>
        <v/>
      </c>
      <c r="L15" s="5">
        <f>IF(COUNTA(A15:J15)=0,"",IF(E15="","Mangler motkonto",IF((F15="")=(G15=""),"Fyll ut enten Inn eller Ut",IF(OR(IFERROR(INDEX('Kontoplan'!$D$3:$D$302,MATCH(D15,'Kontoplan'!$H$3:$H$302,0))="Støttes ikke",FALSE),IFERROR(INDEX('Kontoplan'!$D$3:$D$302,MATCH(E15,'Kontoplan'!$H$3:$H$302,0))="Støttes ikke",FALSE)),"Kontoen støttes ikke",IF(IFERROR(AND(A15&gt;1,COUNTIF($A$3:$A$2002,A15-1)=0),FALSE),"Nummeret hopper over",IF(OR(NOT(ISNUMBER(B15)),B15&lt;DATE(2027,1,1),B15&gt;DATE(2027,12,31)),"Datoen er ikke i 2027",""))))))</f>
        <v/>
      </c>
    </row>
    <row r="16">
      <c r="A16" s="17" t="n"/>
      <c r="B16" s="9" t="n"/>
      <c r="C16" s="8" t="n"/>
      <c r="D16" s="8" t="n"/>
      <c r="E16" s="8" t="n"/>
      <c r="F16" s="14" t="n"/>
      <c r="G16" s="14" t="n"/>
      <c r="H16" s="8" t="n"/>
      <c r="I16" s="8" t="n"/>
      <c r="J16" s="8" t="n"/>
      <c r="K16" s="18">
        <f>IF(B16="","",IFERROR(MONTH(B16),""))</f>
        <v/>
      </c>
      <c r="L16" s="5">
        <f>IF(COUNTA(A16:J16)=0,"",IF(E16="","Mangler motkonto",IF((F16="")=(G16=""),"Fyll ut enten Inn eller Ut",IF(OR(IFERROR(INDEX('Kontoplan'!$D$3:$D$302,MATCH(D16,'Kontoplan'!$H$3:$H$302,0))="Støttes ikke",FALSE),IFERROR(INDEX('Kontoplan'!$D$3:$D$302,MATCH(E16,'Kontoplan'!$H$3:$H$302,0))="Støttes ikke",FALSE)),"Kontoen støttes ikke",IF(IFERROR(AND(A16&gt;1,COUNTIF($A$3:$A$2002,A16-1)=0),FALSE),"Nummeret hopper over",IF(OR(NOT(ISNUMBER(B16)),B16&lt;DATE(2027,1,1),B16&gt;DATE(2027,12,31)),"Datoen er ikke i 2027",""))))))</f>
        <v/>
      </c>
    </row>
    <row r="17">
      <c r="A17" s="17" t="n"/>
      <c r="B17" s="9" t="n"/>
      <c r="C17" s="8" t="n"/>
      <c r="D17" s="8" t="n"/>
      <c r="E17" s="8" t="n"/>
      <c r="F17" s="14" t="n"/>
      <c r="G17" s="14" t="n"/>
      <c r="H17" s="8" t="n"/>
      <c r="I17" s="8" t="n"/>
      <c r="J17" s="8" t="n"/>
      <c r="K17" s="18">
        <f>IF(B17="","",IFERROR(MONTH(B17),""))</f>
        <v/>
      </c>
      <c r="L17" s="5">
        <f>IF(COUNTA(A17:J17)=0,"",IF(E17="","Mangler motkonto",IF((F17="")=(G17=""),"Fyll ut enten Inn eller Ut",IF(OR(IFERROR(INDEX('Kontoplan'!$D$3:$D$302,MATCH(D17,'Kontoplan'!$H$3:$H$302,0))="Støttes ikke",FALSE),IFERROR(INDEX('Kontoplan'!$D$3:$D$302,MATCH(E17,'Kontoplan'!$H$3:$H$302,0))="Støttes ikke",FALSE)),"Kontoen støttes ikke",IF(IFERROR(AND(A17&gt;1,COUNTIF($A$3:$A$2002,A17-1)=0),FALSE),"Nummeret hopper over",IF(OR(NOT(ISNUMBER(B17)),B17&lt;DATE(2027,1,1),B17&gt;DATE(2027,12,31)),"Datoen er ikke i 2027",""))))))</f>
        <v/>
      </c>
    </row>
    <row r="18">
      <c r="A18" s="17" t="n"/>
      <c r="B18" s="9" t="n"/>
      <c r="C18" s="8" t="n"/>
      <c r="D18" s="8" t="n"/>
      <c r="E18" s="8" t="n"/>
      <c r="F18" s="14" t="n"/>
      <c r="G18" s="14" t="n"/>
      <c r="H18" s="8" t="n"/>
      <c r="I18" s="8" t="n"/>
      <c r="J18" s="8" t="n"/>
      <c r="K18" s="18">
        <f>IF(B18="","",IFERROR(MONTH(B18),""))</f>
        <v/>
      </c>
      <c r="L18" s="5">
        <f>IF(COUNTA(A18:J18)=0,"",IF(E18="","Mangler motkonto",IF((F18="")=(G18=""),"Fyll ut enten Inn eller Ut",IF(OR(IFERROR(INDEX('Kontoplan'!$D$3:$D$302,MATCH(D18,'Kontoplan'!$H$3:$H$302,0))="Støttes ikke",FALSE),IFERROR(INDEX('Kontoplan'!$D$3:$D$302,MATCH(E18,'Kontoplan'!$H$3:$H$302,0))="Støttes ikke",FALSE)),"Kontoen støttes ikke",IF(IFERROR(AND(A18&gt;1,COUNTIF($A$3:$A$2002,A18-1)=0),FALSE),"Nummeret hopper over",IF(OR(NOT(ISNUMBER(B18)),B18&lt;DATE(2027,1,1),B18&gt;DATE(2027,12,31)),"Datoen er ikke i 2027",""))))))</f>
        <v/>
      </c>
    </row>
    <row r="19">
      <c r="A19" s="17" t="n"/>
      <c r="B19" s="9" t="n"/>
      <c r="C19" s="8" t="n"/>
      <c r="D19" s="8" t="n"/>
      <c r="E19" s="8" t="n"/>
      <c r="F19" s="14" t="n"/>
      <c r="G19" s="14" t="n"/>
      <c r="H19" s="8" t="n"/>
      <c r="I19" s="8" t="n"/>
      <c r="J19" s="8" t="n"/>
      <c r="K19" s="18">
        <f>IF(B19="","",IFERROR(MONTH(B19),""))</f>
        <v/>
      </c>
      <c r="L19" s="5">
        <f>IF(COUNTA(A19:J19)=0,"",IF(E19="","Mangler motkonto",IF((F19="")=(G19=""),"Fyll ut enten Inn eller Ut",IF(OR(IFERROR(INDEX('Kontoplan'!$D$3:$D$302,MATCH(D19,'Kontoplan'!$H$3:$H$302,0))="Støttes ikke",FALSE),IFERROR(INDEX('Kontoplan'!$D$3:$D$302,MATCH(E19,'Kontoplan'!$H$3:$H$302,0))="Støttes ikke",FALSE)),"Kontoen støttes ikke",IF(IFERROR(AND(A19&gt;1,COUNTIF($A$3:$A$2002,A19-1)=0),FALSE),"Nummeret hopper over",IF(OR(NOT(ISNUMBER(B19)),B19&lt;DATE(2027,1,1),B19&gt;DATE(2027,12,31)),"Datoen er ikke i 2027",""))))))</f>
        <v/>
      </c>
    </row>
    <row r="20">
      <c r="A20" s="17" t="n"/>
      <c r="B20" s="9" t="n"/>
      <c r="C20" s="8" t="n"/>
      <c r="D20" s="8" t="n"/>
      <c r="E20" s="8" t="n"/>
      <c r="F20" s="14" t="n"/>
      <c r="G20" s="14" t="n"/>
      <c r="H20" s="8" t="n"/>
      <c r="I20" s="8" t="n"/>
      <c r="J20" s="8" t="n"/>
      <c r="K20" s="18">
        <f>IF(B20="","",IFERROR(MONTH(B20),""))</f>
        <v/>
      </c>
      <c r="L20" s="5">
        <f>IF(COUNTA(A20:J20)=0,"",IF(E20="","Mangler motkonto",IF((F20="")=(G20=""),"Fyll ut enten Inn eller Ut",IF(OR(IFERROR(INDEX('Kontoplan'!$D$3:$D$302,MATCH(D20,'Kontoplan'!$H$3:$H$302,0))="Støttes ikke",FALSE),IFERROR(INDEX('Kontoplan'!$D$3:$D$302,MATCH(E20,'Kontoplan'!$H$3:$H$302,0))="Støttes ikke",FALSE)),"Kontoen støttes ikke",IF(IFERROR(AND(A20&gt;1,COUNTIF($A$3:$A$2002,A20-1)=0),FALSE),"Nummeret hopper over",IF(OR(NOT(ISNUMBER(B20)),B20&lt;DATE(2027,1,1),B20&gt;DATE(2027,12,31)),"Datoen er ikke i 2027",""))))))</f>
        <v/>
      </c>
    </row>
    <row r="21">
      <c r="A21" s="17" t="n"/>
      <c r="B21" s="9" t="n"/>
      <c r="C21" s="8" t="n"/>
      <c r="D21" s="8" t="n"/>
      <c r="E21" s="8" t="n"/>
      <c r="F21" s="14" t="n"/>
      <c r="G21" s="14" t="n"/>
      <c r="H21" s="8" t="n"/>
      <c r="I21" s="8" t="n"/>
      <c r="J21" s="8" t="n"/>
      <c r="K21" s="18">
        <f>IF(B21="","",IFERROR(MONTH(B21),""))</f>
        <v/>
      </c>
      <c r="L21" s="5">
        <f>IF(COUNTA(A21:J21)=0,"",IF(E21="","Mangler motkonto",IF((F21="")=(G21=""),"Fyll ut enten Inn eller Ut",IF(OR(IFERROR(INDEX('Kontoplan'!$D$3:$D$302,MATCH(D21,'Kontoplan'!$H$3:$H$302,0))="Støttes ikke",FALSE),IFERROR(INDEX('Kontoplan'!$D$3:$D$302,MATCH(E21,'Kontoplan'!$H$3:$H$302,0))="Støttes ikke",FALSE)),"Kontoen støttes ikke",IF(IFERROR(AND(A21&gt;1,COUNTIF($A$3:$A$2002,A21-1)=0),FALSE),"Nummeret hopper over",IF(OR(NOT(ISNUMBER(B21)),B21&lt;DATE(2027,1,1),B21&gt;DATE(2027,12,31)),"Datoen er ikke i 2027",""))))))</f>
        <v/>
      </c>
    </row>
    <row r="22">
      <c r="A22" s="17" t="n"/>
      <c r="B22" s="9" t="n"/>
      <c r="C22" s="8" t="n"/>
      <c r="D22" s="8" t="n"/>
      <c r="E22" s="8" t="n"/>
      <c r="F22" s="14" t="n"/>
      <c r="G22" s="14" t="n"/>
      <c r="H22" s="8" t="n"/>
      <c r="I22" s="8" t="n"/>
      <c r="J22" s="8" t="n"/>
      <c r="K22" s="18">
        <f>IF(B22="","",IFERROR(MONTH(B22),""))</f>
        <v/>
      </c>
      <c r="L22" s="5">
        <f>IF(COUNTA(A22:J22)=0,"",IF(E22="","Mangler motkonto",IF((F22="")=(G22=""),"Fyll ut enten Inn eller Ut",IF(OR(IFERROR(INDEX('Kontoplan'!$D$3:$D$302,MATCH(D22,'Kontoplan'!$H$3:$H$302,0))="Støttes ikke",FALSE),IFERROR(INDEX('Kontoplan'!$D$3:$D$302,MATCH(E22,'Kontoplan'!$H$3:$H$302,0))="Støttes ikke",FALSE)),"Kontoen støttes ikke",IF(IFERROR(AND(A22&gt;1,COUNTIF($A$3:$A$2002,A22-1)=0),FALSE),"Nummeret hopper over",IF(OR(NOT(ISNUMBER(B22)),B22&lt;DATE(2027,1,1),B22&gt;DATE(2027,12,31)),"Datoen er ikke i 2027",""))))))</f>
        <v/>
      </c>
    </row>
    <row r="23">
      <c r="A23" s="17" t="n"/>
      <c r="B23" s="9" t="n"/>
      <c r="C23" s="8" t="n"/>
      <c r="D23" s="8" t="n"/>
      <c r="E23" s="8" t="n"/>
      <c r="F23" s="14" t="n"/>
      <c r="G23" s="14" t="n"/>
      <c r="H23" s="8" t="n"/>
      <c r="I23" s="8" t="n"/>
      <c r="J23" s="8" t="n"/>
      <c r="K23" s="18">
        <f>IF(B23="","",IFERROR(MONTH(B23),""))</f>
        <v/>
      </c>
      <c r="L23" s="5">
        <f>IF(COUNTA(A23:J23)=0,"",IF(E23="","Mangler motkonto",IF((F23="")=(G23=""),"Fyll ut enten Inn eller Ut",IF(OR(IFERROR(INDEX('Kontoplan'!$D$3:$D$302,MATCH(D23,'Kontoplan'!$H$3:$H$302,0))="Støttes ikke",FALSE),IFERROR(INDEX('Kontoplan'!$D$3:$D$302,MATCH(E23,'Kontoplan'!$H$3:$H$302,0))="Støttes ikke",FALSE)),"Kontoen støttes ikke",IF(IFERROR(AND(A23&gt;1,COUNTIF($A$3:$A$2002,A23-1)=0),FALSE),"Nummeret hopper over",IF(OR(NOT(ISNUMBER(B23)),B23&lt;DATE(2027,1,1),B23&gt;DATE(2027,12,31)),"Datoen er ikke i 2027",""))))))</f>
        <v/>
      </c>
    </row>
    <row r="24">
      <c r="A24" s="17" t="n"/>
      <c r="B24" s="9" t="n"/>
      <c r="C24" s="8" t="n"/>
      <c r="D24" s="8" t="n"/>
      <c r="E24" s="8" t="n"/>
      <c r="F24" s="14" t="n"/>
      <c r="G24" s="14" t="n"/>
      <c r="H24" s="8" t="n"/>
      <c r="I24" s="8" t="n"/>
      <c r="J24" s="8" t="n"/>
      <c r="K24" s="18">
        <f>IF(B24="","",IFERROR(MONTH(B24),""))</f>
        <v/>
      </c>
      <c r="L24" s="5">
        <f>IF(COUNTA(A24:J24)=0,"",IF(E24="","Mangler motkonto",IF((F24="")=(G24=""),"Fyll ut enten Inn eller Ut",IF(OR(IFERROR(INDEX('Kontoplan'!$D$3:$D$302,MATCH(D24,'Kontoplan'!$H$3:$H$302,0))="Støttes ikke",FALSE),IFERROR(INDEX('Kontoplan'!$D$3:$D$302,MATCH(E24,'Kontoplan'!$H$3:$H$302,0))="Støttes ikke",FALSE)),"Kontoen støttes ikke",IF(IFERROR(AND(A24&gt;1,COUNTIF($A$3:$A$2002,A24-1)=0),FALSE),"Nummeret hopper over",IF(OR(NOT(ISNUMBER(B24)),B24&lt;DATE(2027,1,1),B24&gt;DATE(2027,12,31)),"Datoen er ikke i 2027",""))))))</f>
        <v/>
      </c>
    </row>
    <row r="25">
      <c r="A25" s="17" t="n"/>
      <c r="B25" s="9" t="n"/>
      <c r="C25" s="8" t="n"/>
      <c r="D25" s="8" t="n"/>
      <c r="E25" s="8" t="n"/>
      <c r="F25" s="14" t="n"/>
      <c r="G25" s="14" t="n"/>
      <c r="H25" s="8" t="n"/>
      <c r="I25" s="8" t="n"/>
      <c r="J25" s="8" t="n"/>
      <c r="K25" s="18">
        <f>IF(B25="","",IFERROR(MONTH(B25),""))</f>
        <v/>
      </c>
      <c r="L25" s="5">
        <f>IF(COUNTA(A25:J25)=0,"",IF(E25="","Mangler motkonto",IF((F25="")=(G25=""),"Fyll ut enten Inn eller Ut",IF(OR(IFERROR(INDEX('Kontoplan'!$D$3:$D$302,MATCH(D25,'Kontoplan'!$H$3:$H$302,0))="Støttes ikke",FALSE),IFERROR(INDEX('Kontoplan'!$D$3:$D$302,MATCH(E25,'Kontoplan'!$H$3:$H$302,0))="Støttes ikke",FALSE)),"Kontoen støttes ikke",IF(IFERROR(AND(A25&gt;1,COUNTIF($A$3:$A$2002,A25-1)=0),FALSE),"Nummeret hopper over",IF(OR(NOT(ISNUMBER(B25)),B25&lt;DATE(2027,1,1),B25&gt;DATE(2027,12,31)),"Datoen er ikke i 2027",""))))))</f>
        <v/>
      </c>
    </row>
    <row r="26">
      <c r="A26" s="17" t="n"/>
      <c r="B26" s="9" t="n"/>
      <c r="C26" s="8" t="n"/>
      <c r="D26" s="8" t="n"/>
      <c r="E26" s="8" t="n"/>
      <c r="F26" s="14" t="n"/>
      <c r="G26" s="14" t="n"/>
      <c r="H26" s="8" t="n"/>
      <c r="I26" s="8" t="n"/>
      <c r="J26" s="8" t="n"/>
      <c r="K26" s="18">
        <f>IF(B26="","",IFERROR(MONTH(B26),""))</f>
        <v/>
      </c>
      <c r="L26" s="5">
        <f>IF(COUNTA(A26:J26)=0,"",IF(E26="","Mangler motkonto",IF((F26="")=(G26=""),"Fyll ut enten Inn eller Ut",IF(OR(IFERROR(INDEX('Kontoplan'!$D$3:$D$302,MATCH(D26,'Kontoplan'!$H$3:$H$302,0))="Støttes ikke",FALSE),IFERROR(INDEX('Kontoplan'!$D$3:$D$302,MATCH(E26,'Kontoplan'!$H$3:$H$302,0))="Støttes ikke",FALSE)),"Kontoen støttes ikke",IF(IFERROR(AND(A26&gt;1,COUNTIF($A$3:$A$2002,A26-1)=0),FALSE),"Nummeret hopper over",IF(OR(NOT(ISNUMBER(B26)),B26&lt;DATE(2027,1,1),B26&gt;DATE(2027,12,31)),"Datoen er ikke i 2027",""))))))</f>
        <v/>
      </c>
    </row>
    <row r="27">
      <c r="A27" s="17" t="n"/>
      <c r="B27" s="9" t="n"/>
      <c r="C27" s="8" t="n"/>
      <c r="D27" s="8" t="n"/>
      <c r="E27" s="8" t="n"/>
      <c r="F27" s="14" t="n"/>
      <c r="G27" s="14" t="n"/>
      <c r="H27" s="8" t="n"/>
      <c r="I27" s="8" t="n"/>
      <c r="J27" s="8" t="n"/>
      <c r="K27" s="18">
        <f>IF(B27="","",IFERROR(MONTH(B27),""))</f>
        <v/>
      </c>
      <c r="L27" s="5">
        <f>IF(COUNTA(A27:J27)=0,"",IF(E27="","Mangler motkonto",IF((F27="")=(G27=""),"Fyll ut enten Inn eller Ut",IF(OR(IFERROR(INDEX('Kontoplan'!$D$3:$D$302,MATCH(D27,'Kontoplan'!$H$3:$H$302,0))="Støttes ikke",FALSE),IFERROR(INDEX('Kontoplan'!$D$3:$D$302,MATCH(E27,'Kontoplan'!$H$3:$H$302,0))="Støttes ikke",FALSE)),"Kontoen støttes ikke",IF(IFERROR(AND(A27&gt;1,COUNTIF($A$3:$A$2002,A27-1)=0),FALSE),"Nummeret hopper over",IF(OR(NOT(ISNUMBER(B27)),B27&lt;DATE(2027,1,1),B27&gt;DATE(2027,12,31)),"Datoen er ikke i 2027",""))))))</f>
        <v/>
      </c>
    </row>
    <row r="28">
      <c r="A28" s="17" t="n"/>
      <c r="B28" s="9" t="n"/>
      <c r="C28" s="8" t="n"/>
      <c r="D28" s="8" t="n"/>
      <c r="E28" s="8" t="n"/>
      <c r="F28" s="14" t="n"/>
      <c r="G28" s="14" t="n"/>
      <c r="H28" s="8" t="n"/>
      <c r="I28" s="8" t="n"/>
      <c r="J28" s="8" t="n"/>
      <c r="K28" s="18">
        <f>IF(B28="","",IFERROR(MONTH(B28),""))</f>
        <v/>
      </c>
      <c r="L28" s="5">
        <f>IF(COUNTA(A28:J28)=0,"",IF(E28="","Mangler motkonto",IF((F28="")=(G28=""),"Fyll ut enten Inn eller Ut",IF(OR(IFERROR(INDEX('Kontoplan'!$D$3:$D$302,MATCH(D28,'Kontoplan'!$H$3:$H$302,0))="Støttes ikke",FALSE),IFERROR(INDEX('Kontoplan'!$D$3:$D$302,MATCH(E28,'Kontoplan'!$H$3:$H$302,0))="Støttes ikke",FALSE)),"Kontoen støttes ikke",IF(IFERROR(AND(A28&gt;1,COUNTIF($A$3:$A$2002,A28-1)=0),FALSE),"Nummeret hopper over",IF(OR(NOT(ISNUMBER(B28)),B28&lt;DATE(2027,1,1),B28&gt;DATE(2027,12,31)),"Datoen er ikke i 2027",""))))))</f>
        <v/>
      </c>
    </row>
    <row r="29">
      <c r="A29" s="17" t="n"/>
      <c r="B29" s="9" t="n"/>
      <c r="C29" s="8" t="n"/>
      <c r="D29" s="8" t="n"/>
      <c r="E29" s="8" t="n"/>
      <c r="F29" s="14" t="n"/>
      <c r="G29" s="14" t="n"/>
      <c r="H29" s="8" t="n"/>
      <c r="I29" s="8" t="n"/>
      <c r="J29" s="8" t="n"/>
      <c r="K29" s="18">
        <f>IF(B29="","",IFERROR(MONTH(B29),""))</f>
        <v/>
      </c>
      <c r="L29" s="5">
        <f>IF(COUNTA(A29:J29)=0,"",IF(E29="","Mangler motkonto",IF((F29="")=(G29=""),"Fyll ut enten Inn eller Ut",IF(OR(IFERROR(INDEX('Kontoplan'!$D$3:$D$302,MATCH(D29,'Kontoplan'!$H$3:$H$302,0))="Støttes ikke",FALSE),IFERROR(INDEX('Kontoplan'!$D$3:$D$302,MATCH(E29,'Kontoplan'!$H$3:$H$302,0))="Støttes ikke",FALSE)),"Kontoen støttes ikke",IF(IFERROR(AND(A29&gt;1,COUNTIF($A$3:$A$2002,A29-1)=0),FALSE),"Nummeret hopper over",IF(OR(NOT(ISNUMBER(B29)),B29&lt;DATE(2027,1,1),B29&gt;DATE(2027,12,31)),"Datoen er ikke i 2027",""))))))</f>
        <v/>
      </c>
    </row>
    <row r="30">
      <c r="A30" s="17" t="n"/>
      <c r="B30" s="9" t="n"/>
      <c r="C30" s="8" t="n"/>
      <c r="D30" s="8" t="n"/>
      <c r="E30" s="8" t="n"/>
      <c r="F30" s="14" t="n"/>
      <c r="G30" s="14" t="n"/>
      <c r="H30" s="8" t="n"/>
      <c r="I30" s="8" t="n"/>
      <c r="J30" s="8" t="n"/>
      <c r="K30" s="18">
        <f>IF(B30="","",IFERROR(MONTH(B30),""))</f>
        <v/>
      </c>
      <c r="L30" s="5">
        <f>IF(COUNTA(A30:J30)=0,"",IF(E30="","Mangler motkonto",IF((F30="")=(G30=""),"Fyll ut enten Inn eller Ut",IF(OR(IFERROR(INDEX('Kontoplan'!$D$3:$D$302,MATCH(D30,'Kontoplan'!$H$3:$H$302,0))="Støttes ikke",FALSE),IFERROR(INDEX('Kontoplan'!$D$3:$D$302,MATCH(E30,'Kontoplan'!$H$3:$H$302,0))="Støttes ikke",FALSE)),"Kontoen støttes ikke",IF(IFERROR(AND(A30&gt;1,COUNTIF($A$3:$A$2002,A30-1)=0),FALSE),"Nummeret hopper over",IF(OR(NOT(ISNUMBER(B30)),B30&lt;DATE(2027,1,1),B30&gt;DATE(2027,12,31)),"Datoen er ikke i 2027",""))))))</f>
        <v/>
      </c>
    </row>
    <row r="31">
      <c r="A31" s="17" t="n"/>
      <c r="B31" s="9" t="n"/>
      <c r="C31" s="8" t="n"/>
      <c r="D31" s="8" t="n"/>
      <c r="E31" s="8" t="n"/>
      <c r="F31" s="14" t="n"/>
      <c r="G31" s="14" t="n"/>
      <c r="H31" s="8" t="n"/>
      <c r="I31" s="8" t="n"/>
      <c r="J31" s="8" t="n"/>
      <c r="K31" s="18">
        <f>IF(B31="","",IFERROR(MONTH(B31),""))</f>
        <v/>
      </c>
      <c r="L31" s="5">
        <f>IF(COUNTA(A31:J31)=0,"",IF(E31="","Mangler motkonto",IF((F31="")=(G31=""),"Fyll ut enten Inn eller Ut",IF(OR(IFERROR(INDEX('Kontoplan'!$D$3:$D$302,MATCH(D31,'Kontoplan'!$H$3:$H$302,0))="Støttes ikke",FALSE),IFERROR(INDEX('Kontoplan'!$D$3:$D$302,MATCH(E31,'Kontoplan'!$H$3:$H$302,0))="Støttes ikke",FALSE)),"Kontoen støttes ikke",IF(IFERROR(AND(A31&gt;1,COUNTIF($A$3:$A$2002,A31-1)=0),FALSE),"Nummeret hopper over",IF(OR(NOT(ISNUMBER(B31)),B31&lt;DATE(2027,1,1),B31&gt;DATE(2027,12,31)),"Datoen er ikke i 2027",""))))))</f>
        <v/>
      </c>
    </row>
    <row r="32">
      <c r="A32" s="17" t="n"/>
      <c r="B32" s="9" t="n"/>
      <c r="C32" s="8" t="n"/>
      <c r="D32" s="8" t="n"/>
      <c r="E32" s="8" t="n"/>
      <c r="F32" s="14" t="n"/>
      <c r="G32" s="14" t="n"/>
      <c r="H32" s="8" t="n"/>
      <c r="I32" s="8" t="n"/>
      <c r="J32" s="8" t="n"/>
      <c r="K32" s="18">
        <f>IF(B32="","",IFERROR(MONTH(B32),""))</f>
        <v/>
      </c>
      <c r="L32" s="5">
        <f>IF(COUNTA(A32:J32)=0,"",IF(E32="","Mangler motkonto",IF((F32="")=(G32=""),"Fyll ut enten Inn eller Ut",IF(OR(IFERROR(INDEX('Kontoplan'!$D$3:$D$302,MATCH(D32,'Kontoplan'!$H$3:$H$302,0))="Støttes ikke",FALSE),IFERROR(INDEX('Kontoplan'!$D$3:$D$302,MATCH(E32,'Kontoplan'!$H$3:$H$302,0))="Støttes ikke",FALSE)),"Kontoen støttes ikke",IF(IFERROR(AND(A32&gt;1,COUNTIF($A$3:$A$2002,A32-1)=0),FALSE),"Nummeret hopper over",IF(OR(NOT(ISNUMBER(B32)),B32&lt;DATE(2027,1,1),B32&gt;DATE(2027,12,31)),"Datoen er ikke i 2027",""))))))</f>
        <v/>
      </c>
    </row>
    <row r="33">
      <c r="A33" s="17" t="n"/>
      <c r="B33" s="9" t="n"/>
      <c r="C33" s="8" t="n"/>
      <c r="D33" s="8" t="n"/>
      <c r="E33" s="8" t="n"/>
      <c r="F33" s="14" t="n"/>
      <c r="G33" s="14" t="n"/>
      <c r="H33" s="8" t="n"/>
      <c r="I33" s="8" t="n"/>
      <c r="J33" s="8" t="n"/>
      <c r="K33" s="18">
        <f>IF(B33="","",IFERROR(MONTH(B33),""))</f>
        <v/>
      </c>
      <c r="L33" s="5">
        <f>IF(COUNTA(A33:J33)=0,"",IF(E33="","Mangler motkonto",IF((F33="")=(G33=""),"Fyll ut enten Inn eller Ut",IF(OR(IFERROR(INDEX('Kontoplan'!$D$3:$D$302,MATCH(D33,'Kontoplan'!$H$3:$H$302,0))="Støttes ikke",FALSE),IFERROR(INDEX('Kontoplan'!$D$3:$D$302,MATCH(E33,'Kontoplan'!$H$3:$H$302,0))="Støttes ikke",FALSE)),"Kontoen støttes ikke",IF(IFERROR(AND(A33&gt;1,COUNTIF($A$3:$A$2002,A33-1)=0),FALSE),"Nummeret hopper over",IF(OR(NOT(ISNUMBER(B33)),B33&lt;DATE(2027,1,1),B33&gt;DATE(2027,12,31)),"Datoen er ikke i 2027",""))))))</f>
        <v/>
      </c>
    </row>
    <row r="34">
      <c r="A34" s="17" t="n"/>
      <c r="B34" s="9" t="n"/>
      <c r="C34" s="8" t="n"/>
      <c r="D34" s="8" t="n"/>
      <c r="E34" s="8" t="n"/>
      <c r="F34" s="14" t="n"/>
      <c r="G34" s="14" t="n"/>
      <c r="H34" s="8" t="n"/>
      <c r="I34" s="8" t="n"/>
      <c r="J34" s="8" t="n"/>
      <c r="K34" s="18">
        <f>IF(B34="","",IFERROR(MONTH(B34),""))</f>
        <v/>
      </c>
      <c r="L34" s="5">
        <f>IF(COUNTA(A34:J34)=0,"",IF(E34="","Mangler motkonto",IF((F34="")=(G34=""),"Fyll ut enten Inn eller Ut",IF(OR(IFERROR(INDEX('Kontoplan'!$D$3:$D$302,MATCH(D34,'Kontoplan'!$H$3:$H$302,0))="Støttes ikke",FALSE),IFERROR(INDEX('Kontoplan'!$D$3:$D$302,MATCH(E34,'Kontoplan'!$H$3:$H$302,0))="Støttes ikke",FALSE)),"Kontoen støttes ikke",IF(IFERROR(AND(A34&gt;1,COUNTIF($A$3:$A$2002,A34-1)=0),FALSE),"Nummeret hopper over",IF(OR(NOT(ISNUMBER(B34)),B34&lt;DATE(2027,1,1),B34&gt;DATE(2027,12,31)),"Datoen er ikke i 2027",""))))))</f>
        <v/>
      </c>
    </row>
    <row r="35">
      <c r="A35" s="17" t="n"/>
      <c r="B35" s="9" t="n"/>
      <c r="C35" s="8" t="n"/>
      <c r="D35" s="8" t="n"/>
      <c r="E35" s="8" t="n"/>
      <c r="F35" s="14" t="n"/>
      <c r="G35" s="14" t="n"/>
      <c r="H35" s="8" t="n"/>
      <c r="I35" s="8" t="n"/>
      <c r="J35" s="8" t="n"/>
      <c r="K35" s="18">
        <f>IF(B35="","",IFERROR(MONTH(B35),""))</f>
        <v/>
      </c>
      <c r="L35" s="5">
        <f>IF(COUNTA(A35:J35)=0,"",IF(E35="","Mangler motkonto",IF((F35="")=(G35=""),"Fyll ut enten Inn eller Ut",IF(OR(IFERROR(INDEX('Kontoplan'!$D$3:$D$302,MATCH(D35,'Kontoplan'!$H$3:$H$302,0))="Støttes ikke",FALSE),IFERROR(INDEX('Kontoplan'!$D$3:$D$302,MATCH(E35,'Kontoplan'!$H$3:$H$302,0))="Støttes ikke",FALSE)),"Kontoen støttes ikke",IF(IFERROR(AND(A35&gt;1,COUNTIF($A$3:$A$2002,A35-1)=0),FALSE),"Nummeret hopper over",IF(OR(NOT(ISNUMBER(B35)),B35&lt;DATE(2027,1,1),B35&gt;DATE(2027,12,31)),"Datoen er ikke i 2027",""))))))</f>
        <v/>
      </c>
    </row>
    <row r="36">
      <c r="A36" s="17" t="n"/>
      <c r="B36" s="9" t="n"/>
      <c r="C36" s="8" t="n"/>
      <c r="D36" s="8" t="n"/>
      <c r="E36" s="8" t="n"/>
      <c r="F36" s="14" t="n"/>
      <c r="G36" s="14" t="n"/>
      <c r="H36" s="8" t="n"/>
      <c r="I36" s="8" t="n"/>
      <c r="J36" s="8" t="n"/>
      <c r="K36" s="18">
        <f>IF(B36="","",IFERROR(MONTH(B36),""))</f>
        <v/>
      </c>
      <c r="L36" s="5">
        <f>IF(COUNTA(A36:J36)=0,"",IF(E36="","Mangler motkonto",IF((F36="")=(G36=""),"Fyll ut enten Inn eller Ut",IF(OR(IFERROR(INDEX('Kontoplan'!$D$3:$D$302,MATCH(D36,'Kontoplan'!$H$3:$H$302,0))="Støttes ikke",FALSE),IFERROR(INDEX('Kontoplan'!$D$3:$D$302,MATCH(E36,'Kontoplan'!$H$3:$H$302,0))="Støttes ikke",FALSE)),"Kontoen støttes ikke",IF(IFERROR(AND(A36&gt;1,COUNTIF($A$3:$A$2002,A36-1)=0),FALSE),"Nummeret hopper over",IF(OR(NOT(ISNUMBER(B36)),B36&lt;DATE(2027,1,1),B36&gt;DATE(2027,12,31)),"Datoen er ikke i 2027",""))))))</f>
        <v/>
      </c>
    </row>
    <row r="37">
      <c r="A37" s="17" t="n"/>
      <c r="B37" s="9" t="n"/>
      <c r="C37" s="8" t="n"/>
      <c r="D37" s="8" t="n"/>
      <c r="E37" s="8" t="n"/>
      <c r="F37" s="14" t="n"/>
      <c r="G37" s="14" t="n"/>
      <c r="H37" s="8" t="n"/>
      <c r="I37" s="8" t="n"/>
      <c r="J37" s="8" t="n"/>
      <c r="K37" s="18">
        <f>IF(B37="","",IFERROR(MONTH(B37),""))</f>
        <v/>
      </c>
      <c r="L37" s="5">
        <f>IF(COUNTA(A37:J37)=0,"",IF(E37="","Mangler motkonto",IF((F37="")=(G37=""),"Fyll ut enten Inn eller Ut",IF(OR(IFERROR(INDEX('Kontoplan'!$D$3:$D$302,MATCH(D37,'Kontoplan'!$H$3:$H$302,0))="Støttes ikke",FALSE),IFERROR(INDEX('Kontoplan'!$D$3:$D$302,MATCH(E37,'Kontoplan'!$H$3:$H$302,0))="Støttes ikke",FALSE)),"Kontoen støttes ikke",IF(IFERROR(AND(A37&gt;1,COUNTIF($A$3:$A$2002,A37-1)=0),FALSE),"Nummeret hopper over",IF(OR(NOT(ISNUMBER(B37)),B37&lt;DATE(2027,1,1),B37&gt;DATE(2027,12,31)),"Datoen er ikke i 2027",""))))))</f>
        <v/>
      </c>
    </row>
    <row r="38">
      <c r="A38" s="17" t="n"/>
      <c r="B38" s="9" t="n"/>
      <c r="C38" s="8" t="n"/>
      <c r="D38" s="8" t="n"/>
      <c r="E38" s="8" t="n"/>
      <c r="F38" s="14" t="n"/>
      <c r="G38" s="14" t="n"/>
      <c r="H38" s="8" t="n"/>
      <c r="I38" s="8" t="n"/>
      <c r="J38" s="8" t="n"/>
      <c r="K38" s="18">
        <f>IF(B38="","",IFERROR(MONTH(B38),""))</f>
        <v/>
      </c>
      <c r="L38" s="5">
        <f>IF(COUNTA(A38:J38)=0,"",IF(E38="","Mangler motkonto",IF((F38="")=(G38=""),"Fyll ut enten Inn eller Ut",IF(OR(IFERROR(INDEX('Kontoplan'!$D$3:$D$302,MATCH(D38,'Kontoplan'!$H$3:$H$302,0))="Støttes ikke",FALSE),IFERROR(INDEX('Kontoplan'!$D$3:$D$302,MATCH(E38,'Kontoplan'!$H$3:$H$302,0))="Støttes ikke",FALSE)),"Kontoen støttes ikke",IF(IFERROR(AND(A38&gt;1,COUNTIF($A$3:$A$2002,A38-1)=0),FALSE),"Nummeret hopper over",IF(OR(NOT(ISNUMBER(B38)),B38&lt;DATE(2027,1,1),B38&gt;DATE(2027,12,31)),"Datoen er ikke i 2027",""))))))</f>
        <v/>
      </c>
    </row>
    <row r="39">
      <c r="A39" s="17" t="n"/>
      <c r="B39" s="9" t="n"/>
      <c r="C39" s="8" t="n"/>
      <c r="D39" s="8" t="n"/>
      <c r="E39" s="8" t="n"/>
      <c r="F39" s="14" t="n"/>
      <c r="G39" s="14" t="n"/>
      <c r="H39" s="8" t="n"/>
      <c r="I39" s="8" t="n"/>
      <c r="J39" s="8" t="n"/>
      <c r="K39" s="18">
        <f>IF(B39="","",IFERROR(MONTH(B39),""))</f>
        <v/>
      </c>
      <c r="L39" s="5">
        <f>IF(COUNTA(A39:J39)=0,"",IF(E39="","Mangler motkonto",IF((F39="")=(G39=""),"Fyll ut enten Inn eller Ut",IF(OR(IFERROR(INDEX('Kontoplan'!$D$3:$D$302,MATCH(D39,'Kontoplan'!$H$3:$H$302,0))="Støttes ikke",FALSE),IFERROR(INDEX('Kontoplan'!$D$3:$D$302,MATCH(E39,'Kontoplan'!$H$3:$H$302,0))="Støttes ikke",FALSE)),"Kontoen støttes ikke",IF(IFERROR(AND(A39&gt;1,COUNTIF($A$3:$A$2002,A39-1)=0),FALSE),"Nummeret hopper over",IF(OR(NOT(ISNUMBER(B39)),B39&lt;DATE(2027,1,1),B39&gt;DATE(2027,12,31)),"Datoen er ikke i 2027",""))))))</f>
        <v/>
      </c>
    </row>
    <row r="40">
      <c r="A40" s="17" t="n"/>
      <c r="B40" s="9" t="n"/>
      <c r="C40" s="8" t="n"/>
      <c r="D40" s="8" t="n"/>
      <c r="E40" s="8" t="n"/>
      <c r="F40" s="14" t="n"/>
      <c r="G40" s="14" t="n"/>
      <c r="H40" s="8" t="n"/>
      <c r="I40" s="8" t="n"/>
      <c r="J40" s="8" t="n"/>
      <c r="K40" s="18">
        <f>IF(B40="","",IFERROR(MONTH(B40),""))</f>
        <v/>
      </c>
      <c r="L40" s="5">
        <f>IF(COUNTA(A40:J40)=0,"",IF(E40="","Mangler motkonto",IF((F40="")=(G40=""),"Fyll ut enten Inn eller Ut",IF(OR(IFERROR(INDEX('Kontoplan'!$D$3:$D$302,MATCH(D40,'Kontoplan'!$H$3:$H$302,0))="Støttes ikke",FALSE),IFERROR(INDEX('Kontoplan'!$D$3:$D$302,MATCH(E40,'Kontoplan'!$H$3:$H$302,0))="Støttes ikke",FALSE)),"Kontoen støttes ikke",IF(IFERROR(AND(A40&gt;1,COUNTIF($A$3:$A$2002,A40-1)=0),FALSE),"Nummeret hopper over",IF(OR(NOT(ISNUMBER(B40)),B40&lt;DATE(2027,1,1),B40&gt;DATE(2027,12,31)),"Datoen er ikke i 2027",""))))))</f>
        <v/>
      </c>
    </row>
    <row r="41">
      <c r="A41" s="17" t="n"/>
      <c r="B41" s="9" t="n"/>
      <c r="C41" s="8" t="n"/>
      <c r="D41" s="8" t="n"/>
      <c r="E41" s="8" t="n"/>
      <c r="F41" s="14" t="n"/>
      <c r="G41" s="14" t="n"/>
      <c r="H41" s="8" t="n"/>
      <c r="I41" s="8" t="n"/>
      <c r="J41" s="8" t="n"/>
      <c r="K41" s="18">
        <f>IF(B41="","",IFERROR(MONTH(B41),""))</f>
        <v/>
      </c>
      <c r="L41" s="5">
        <f>IF(COUNTA(A41:J41)=0,"",IF(E41="","Mangler motkonto",IF((F41="")=(G41=""),"Fyll ut enten Inn eller Ut",IF(OR(IFERROR(INDEX('Kontoplan'!$D$3:$D$302,MATCH(D41,'Kontoplan'!$H$3:$H$302,0))="Støttes ikke",FALSE),IFERROR(INDEX('Kontoplan'!$D$3:$D$302,MATCH(E41,'Kontoplan'!$H$3:$H$302,0))="Støttes ikke",FALSE)),"Kontoen støttes ikke",IF(IFERROR(AND(A41&gt;1,COUNTIF($A$3:$A$2002,A41-1)=0),FALSE),"Nummeret hopper over",IF(OR(NOT(ISNUMBER(B41)),B41&lt;DATE(2027,1,1),B41&gt;DATE(2027,12,31)),"Datoen er ikke i 2027",""))))))</f>
        <v/>
      </c>
    </row>
    <row r="42">
      <c r="A42" s="17" t="n"/>
      <c r="B42" s="9" t="n"/>
      <c r="C42" s="8" t="n"/>
      <c r="D42" s="8" t="n"/>
      <c r="E42" s="8" t="n"/>
      <c r="F42" s="14" t="n"/>
      <c r="G42" s="14" t="n"/>
      <c r="H42" s="8" t="n"/>
      <c r="I42" s="8" t="n"/>
      <c r="J42" s="8" t="n"/>
      <c r="K42" s="18">
        <f>IF(B42="","",IFERROR(MONTH(B42),""))</f>
        <v/>
      </c>
      <c r="L42" s="5">
        <f>IF(COUNTA(A42:J42)=0,"",IF(E42="","Mangler motkonto",IF((F42="")=(G42=""),"Fyll ut enten Inn eller Ut",IF(OR(IFERROR(INDEX('Kontoplan'!$D$3:$D$302,MATCH(D42,'Kontoplan'!$H$3:$H$302,0))="Støttes ikke",FALSE),IFERROR(INDEX('Kontoplan'!$D$3:$D$302,MATCH(E42,'Kontoplan'!$H$3:$H$302,0))="Støttes ikke",FALSE)),"Kontoen støttes ikke",IF(IFERROR(AND(A42&gt;1,COUNTIF($A$3:$A$2002,A42-1)=0),FALSE),"Nummeret hopper over",IF(OR(NOT(ISNUMBER(B42)),B42&lt;DATE(2027,1,1),B42&gt;DATE(2027,12,31)),"Datoen er ikke i 2027",""))))))</f>
        <v/>
      </c>
    </row>
    <row r="43">
      <c r="A43" s="17" t="n"/>
      <c r="B43" s="9" t="n"/>
      <c r="C43" s="8" t="n"/>
      <c r="D43" s="8" t="n"/>
      <c r="E43" s="8" t="n"/>
      <c r="F43" s="14" t="n"/>
      <c r="G43" s="14" t="n"/>
      <c r="H43" s="8" t="n"/>
      <c r="I43" s="8" t="n"/>
      <c r="J43" s="8" t="n"/>
      <c r="K43" s="18">
        <f>IF(B43="","",IFERROR(MONTH(B43),""))</f>
        <v/>
      </c>
      <c r="L43" s="5">
        <f>IF(COUNTA(A43:J43)=0,"",IF(E43="","Mangler motkonto",IF((F43="")=(G43=""),"Fyll ut enten Inn eller Ut",IF(OR(IFERROR(INDEX('Kontoplan'!$D$3:$D$302,MATCH(D43,'Kontoplan'!$H$3:$H$302,0))="Støttes ikke",FALSE),IFERROR(INDEX('Kontoplan'!$D$3:$D$302,MATCH(E43,'Kontoplan'!$H$3:$H$302,0))="Støttes ikke",FALSE)),"Kontoen støttes ikke",IF(IFERROR(AND(A43&gt;1,COUNTIF($A$3:$A$2002,A43-1)=0),FALSE),"Nummeret hopper over",IF(OR(NOT(ISNUMBER(B43)),B43&lt;DATE(2027,1,1),B43&gt;DATE(2027,12,31)),"Datoen er ikke i 2027",""))))))</f>
        <v/>
      </c>
    </row>
    <row r="44">
      <c r="A44" s="17" t="n"/>
      <c r="B44" s="9" t="n"/>
      <c r="C44" s="8" t="n"/>
      <c r="D44" s="8" t="n"/>
      <c r="E44" s="8" t="n"/>
      <c r="F44" s="14" t="n"/>
      <c r="G44" s="14" t="n"/>
      <c r="H44" s="8" t="n"/>
      <c r="I44" s="8" t="n"/>
      <c r="J44" s="8" t="n"/>
      <c r="K44" s="18">
        <f>IF(B44="","",IFERROR(MONTH(B44),""))</f>
        <v/>
      </c>
      <c r="L44" s="5">
        <f>IF(COUNTA(A44:J44)=0,"",IF(E44="","Mangler motkonto",IF((F44="")=(G44=""),"Fyll ut enten Inn eller Ut",IF(OR(IFERROR(INDEX('Kontoplan'!$D$3:$D$302,MATCH(D44,'Kontoplan'!$H$3:$H$302,0))="Støttes ikke",FALSE),IFERROR(INDEX('Kontoplan'!$D$3:$D$302,MATCH(E44,'Kontoplan'!$H$3:$H$302,0))="Støttes ikke",FALSE)),"Kontoen støttes ikke",IF(IFERROR(AND(A44&gt;1,COUNTIF($A$3:$A$2002,A44-1)=0),FALSE),"Nummeret hopper over",IF(OR(NOT(ISNUMBER(B44)),B44&lt;DATE(2027,1,1),B44&gt;DATE(2027,12,31)),"Datoen er ikke i 2027",""))))))</f>
        <v/>
      </c>
    </row>
    <row r="45">
      <c r="A45" s="17" t="n"/>
      <c r="B45" s="9" t="n"/>
      <c r="C45" s="8" t="n"/>
      <c r="D45" s="8" t="n"/>
      <c r="E45" s="8" t="n"/>
      <c r="F45" s="14" t="n"/>
      <c r="G45" s="14" t="n"/>
      <c r="H45" s="8" t="n"/>
      <c r="I45" s="8" t="n"/>
      <c r="J45" s="8" t="n"/>
      <c r="K45" s="18">
        <f>IF(B45="","",IFERROR(MONTH(B45),""))</f>
        <v/>
      </c>
      <c r="L45" s="5">
        <f>IF(COUNTA(A45:J45)=0,"",IF(E45="","Mangler motkonto",IF((F45="")=(G45=""),"Fyll ut enten Inn eller Ut",IF(OR(IFERROR(INDEX('Kontoplan'!$D$3:$D$302,MATCH(D45,'Kontoplan'!$H$3:$H$302,0))="Støttes ikke",FALSE),IFERROR(INDEX('Kontoplan'!$D$3:$D$302,MATCH(E45,'Kontoplan'!$H$3:$H$302,0))="Støttes ikke",FALSE)),"Kontoen støttes ikke",IF(IFERROR(AND(A45&gt;1,COUNTIF($A$3:$A$2002,A45-1)=0),FALSE),"Nummeret hopper over",IF(OR(NOT(ISNUMBER(B45)),B45&lt;DATE(2027,1,1),B45&gt;DATE(2027,12,31)),"Datoen er ikke i 2027",""))))))</f>
        <v/>
      </c>
    </row>
    <row r="46">
      <c r="A46" s="17" t="n"/>
      <c r="B46" s="9" t="n"/>
      <c r="C46" s="8" t="n"/>
      <c r="D46" s="8" t="n"/>
      <c r="E46" s="8" t="n"/>
      <c r="F46" s="14" t="n"/>
      <c r="G46" s="14" t="n"/>
      <c r="H46" s="8" t="n"/>
      <c r="I46" s="8" t="n"/>
      <c r="J46" s="8" t="n"/>
      <c r="K46" s="18">
        <f>IF(B46="","",IFERROR(MONTH(B46),""))</f>
        <v/>
      </c>
      <c r="L46" s="5">
        <f>IF(COUNTA(A46:J46)=0,"",IF(E46="","Mangler motkonto",IF((F46="")=(G46=""),"Fyll ut enten Inn eller Ut",IF(OR(IFERROR(INDEX('Kontoplan'!$D$3:$D$302,MATCH(D46,'Kontoplan'!$H$3:$H$302,0))="Støttes ikke",FALSE),IFERROR(INDEX('Kontoplan'!$D$3:$D$302,MATCH(E46,'Kontoplan'!$H$3:$H$302,0))="Støttes ikke",FALSE)),"Kontoen støttes ikke",IF(IFERROR(AND(A46&gt;1,COUNTIF($A$3:$A$2002,A46-1)=0),FALSE),"Nummeret hopper over",IF(OR(NOT(ISNUMBER(B46)),B46&lt;DATE(2027,1,1),B46&gt;DATE(2027,12,31)),"Datoen er ikke i 2027",""))))))</f>
        <v/>
      </c>
    </row>
    <row r="47">
      <c r="A47" s="17" t="n"/>
      <c r="B47" s="9" t="n"/>
      <c r="C47" s="8" t="n"/>
      <c r="D47" s="8" t="n"/>
      <c r="E47" s="8" t="n"/>
      <c r="F47" s="14" t="n"/>
      <c r="G47" s="14" t="n"/>
      <c r="H47" s="8" t="n"/>
      <c r="I47" s="8" t="n"/>
      <c r="J47" s="8" t="n"/>
      <c r="K47" s="18">
        <f>IF(B47="","",IFERROR(MONTH(B47),""))</f>
        <v/>
      </c>
      <c r="L47" s="5">
        <f>IF(COUNTA(A47:J47)=0,"",IF(E47="","Mangler motkonto",IF((F47="")=(G47=""),"Fyll ut enten Inn eller Ut",IF(OR(IFERROR(INDEX('Kontoplan'!$D$3:$D$302,MATCH(D47,'Kontoplan'!$H$3:$H$302,0))="Støttes ikke",FALSE),IFERROR(INDEX('Kontoplan'!$D$3:$D$302,MATCH(E47,'Kontoplan'!$H$3:$H$302,0))="Støttes ikke",FALSE)),"Kontoen støttes ikke",IF(IFERROR(AND(A47&gt;1,COUNTIF($A$3:$A$2002,A47-1)=0),FALSE),"Nummeret hopper over",IF(OR(NOT(ISNUMBER(B47)),B47&lt;DATE(2027,1,1),B47&gt;DATE(2027,12,31)),"Datoen er ikke i 2027",""))))))</f>
        <v/>
      </c>
    </row>
    <row r="48">
      <c r="A48" s="17" t="n"/>
      <c r="B48" s="9" t="n"/>
      <c r="C48" s="8" t="n"/>
      <c r="D48" s="8" t="n"/>
      <c r="E48" s="8" t="n"/>
      <c r="F48" s="14" t="n"/>
      <c r="G48" s="14" t="n"/>
      <c r="H48" s="8" t="n"/>
      <c r="I48" s="8" t="n"/>
      <c r="J48" s="8" t="n"/>
      <c r="K48" s="18">
        <f>IF(B48="","",IFERROR(MONTH(B48),""))</f>
        <v/>
      </c>
      <c r="L48" s="5">
        <f>IF(COUNTA(A48:J48)=0,"",IF(E48="","Mangler motkonto",IF((F48="")=(G48=""),"Fyll ut enten Inn eller Ut",IF(OR(IFERROR(INDEX('Kontoplan'!$D$3:$D$302,MATCH(D48,'Kontoplan'!$H$3:$H$302,0))="Støttes ikke",FALSE),IFERROR(INDEX('Kontoplan'!$D$3:$D$302,MATCH(E48,'Kontoplan'!$H$3:$H$302,0))="Støttes ikke",FALSE)),"Kontoen støttes ikke",IF(IFERROR(AND(A48&gt;1,COUNTIF($A$3:$A$2002,A48-1)=0),FALSE),"Nummeret hopper over",IF(OR(NOT(ISNUMBER(B48)),B48&lt;DATE(2027,1,1),B48&gt;DATE(2027,12,31)),"Datoen er ikke i 2027",""))))))</f>
        <v/>
      </c>
    </row>
    <row r="49">
      <c r="A49" s="17" t="n"/>
      <c r="B49" s="9" t="n"/>
      <c r="C49" s="8" t="n"/>
      <c r="D49" s="8" t="n"/>
      <c r="E49" s="8" t="n"/>
      <c r="F49" s="14" t="n"/>
      <c r="G49" s="14" t="n"/>
      <c r="H49" s="8" t="n"/>
      <c r="I49" s="8" t="n"/>
      <c r="J49" s="8" t="n"/>
      <c r="K49" s="18">
        <f>IF(B49="","",IFERROR(MONTH(B49),""))</f>
        <v/>
      </c>
      <c r="L49" s="5">
        <f>IF(COUNTA(A49:J49)=0,"",IF(E49="","Mangler motkonto",IF((F49="")=(G49=""),"Fyll ut enten Inn eller Ut",IF(OR(IFERROR(INDEX('Kontoplan'!$D$3:$D$302,MATCH(D49,'Kontoplan'!$H$3:$H$302,0))="Støttes ikke",FALSE),IFERROR(INDEX('Kontoplan'!$D$3:$D$302,MATCH(E49,'Kontoplan'!$H$3:$H$302,0))="Støttes ikke",FALSE)),"Kontoen støttes ikke",IF(IFERROR(AND(A49&gt;1,COUNTIF($A$3:$A$2002,A49-1)=0),FALSE),"Nummeret hopper over",IF(OR(NOT(ISNUMBER(B49)),B49&lt;DATE(2027,1,1),B49&gt;DATE(2027,12,31)),"Datoen er ikke i 2027",""))))))</f>
        <v/>
      </c>
    </row>
    <row r="50">
      <c r="A50" s="17" t="n"/>
      <c r="B50" s="9" t="n"/>
      <c r="C50" s="8" t="n"/>
      <c r="D50" s="8" t="n"/>
      <c r="E50" s="8" t="n"/>
      <c r="F50" s="14" t="n"/>
      <c r="G50" s="14" t="n"/>
      <c r="H50" s="8" t="n"/>
      <c r="I50" s="8" t="n"/>
      <c r="J50" s="8" t="n"/>
      <c r="K50" s="18">
        <f>IF(B50="","",IFERROR(MONTH(B50),""))</f>
        <v/>
      </c>
      <c r="L50" s="5">
        <f>IF(COUNTA(A50:J50)=0,"",IF(E50="","Mangler motkonto",IF((F50="")=(G50=""),"Fyll ut enten Inn eller Ut",IF(OR(IFERROR(INDEX('Kontoplan'!$D$3:$D$302,MATCH(D50,'Kontoplan'!$H$3:$H$302,0))="Støttes ikke",FALSE),IFERROR(INDEX('Kontoplan'!$D$3:$D$302,MATCH(E50,'Kontoplan'!$H$3:$H$302,0))="Støttes ikke",FALSE)),"Kontoen støttes ikke",IF(IFERROR(AND(A50&gt;1,COUNTIF($A$3:$A$2002,A50-1)=0),FALSE),"Nummeret hopper over",IF(OR(NOT(ISNUMBER(B50)),B50&lt;DATE(2027,1,1),B50&gt;DATE(2027,12,31)),"Datoen er ikke i 2027",""))))))</f>
        <v/>
      </c>
    </row>
    <row r="51">
      <c r="A51" s="17" t="n"/>
      <c r="B51" s="9" t="n"/>
      <c r="C51" s="8" t="n"/>
      <c r="D51" s="8" t="n"/>
      <c r="E51" s="8" t="n"/>
      <c r="F51" s="14" t="n"/>
      <c r="G51" s="14" t="n"/>
      <c r="H51" s="8" t="n"/>
      <c r="I51" s="8" t="n"/>
      <c r="J51" s="8" t="n"/>
      <c r="K51" s="18">
        <f>IF(B51="","",IFERROR(MONTH(B51),""))</f>
        <v/>
      </c>
      <c r="L51" s="5">
        <f>IF(COUNTA(A51:J51)=0,"",IF(E51="","Mangler motkonto",IF((F51="")=(G51=""),"Fyll ut enten Inn eller Ut",IF(OR(IFERROR(INDEX('Kontoplan'!$D$3:$D$302,MATCH(D51,'Kontoplan'!$H$3:$H$302,0))="Støttes ikke",FALSE),IFERROR(INDEX('Kontoplan'!$D$3:$D$302,MATCH(E51,'Kontoplan'!$H$3:$H$302,0))="Støttes ikke",FALSE)),"Kontoen støttes ikke",IF(IFERROR(AND(A51&gt;1,COUNTIF($A$3:$A$2002,A51-1)=0),FALSE),"Nummeret hopper over",IF(OR(NOT(ISNUMBER(B51)),B51&lt;DATE(2027,1,1),B51&gt;DATE(2027,12,31)),"Datoen er ikke i 2027",""))))))</f>
        <v/>
      </c>
    </row>
    <row r="52">
      <c r="A52" s="17" t="n"/>
      <c r="B52" s="9" t="n"/>
      <c r="C52" s="8" t="n"/>
      <c r="D52" s="8" t="n"/>
      <c r="E52" s="8" t="n"/>
      <c r="F52" s="14" t="n"/>
      <c r="G52" s="14" t="n"/>
      <c r="H52" s="8" t="n"/>
      <c r="I52" s="8" t="n"/>
      <c r="J52" s="8" t="n"/>
      <c r="K52" s="18">
        <f>IF(B52="","",IFERROR(MONTH(B52),""))</f>
        <v/>
      </c>
      <c r="L52" s="5">
        <f>IF(COUNTA(A52:J52)=0,"",IF(E52="","Mangler motkonto",IF((F52="")=(G52=""),"Fyll ut enten Inn eller Ut",IF(OR(IFERROR(INDEX('Kontoplan'!$D$3:$D$302,MATCH(D52,'Kontoplan'!$H$3:$H$302,0))="Støttes ikke",FALSE),IFERROR(INDEX('Kontoplan'!$D$3:$D$302,MATCH(E52,'Kontoplan'!$H$3:$H$302,0))="Støttes ikke",FALSE)),"Kontoen støttes ikke",IF(IFERROR(AND(A52&gt;1,COUNTIF($A$3:$A$2002,A52-1)=0),FALSE),"Nummeret hopper over",IF(OR(NOT(ISNUMBER(B52)),B52&lt;DATE(2027,1,1),B52&gt;DATE(2027,12,31)),"Datoen er ikke i 2027",""))))))</f>
        <v/>
      </c>
    </row>
    <row r="53">
      <c r="A53" s="17" t="n"/>
      <c r="B53" s="9" t="n"/>
      <c r="C53" s="8" t="n"/>
      <c r="D53" s="8" t="n"/>
      <c r="E53" s="8" t="n"/>
      <c r="F53" s="14" t="n"/>
      <c r="G53" s="14" t="n"/>
      <c r="H53" s="8" t="n"/>
      <c r="I53" s="8" t="n"/>
      <c r="J53" s="8" t="n"/>
      <c r="K53" s="18">
        <f>IF(B53="","",IFERROR(MONTH(B53),""))</f>
        <v/>
      </c>
      <c r="L53" s="5">
        <f>IF(COUNTA(A53:J53)=0,"",IF(E53="","Mangler motkonto",IF((F53="")=(G53=""),"Fyll ut enten Inn eller Ut",IF(OR(IFERROR(INDEX('Kontoplan'!$D$3:$D$302,MATCH(D53,'Kontoplan'!$H$3:$H$302,0))="Støttes ikke",FALSE),IFERROR(INDEX('Kontoplan'!$D$3:$D$302,MATCH(E53,'Kontoplan'!$H$3:$H$302,0))="Støttes ikke",FALSE)),"Kontoen støttes ikke",IF(IFERROR(AND(A53&gt;1,COUNTIF($A$3:$A$2002,A53-1)=0),FALSE),"Nummeret hopper over",IF(OR(NOT(ISNUMBER(B53)),B53&lt;DATE(2027,1,1),B53&gt;DATE(2027,12,31)),"Datoen er ikke i 2027",""))))))</f>
        <v/>
      </c>
    </row>
    <row r="54">
      <c r="A54" s="17" t="n"/>
      <c r="B54" s="9" t="n"/>
      <c r="C54" s="8" t="n"/>
      <c r="D54" s="8" t="n"/>
      <c r="E54" s="8" t="n"/>
      <c r="F54" s="14" t="n"/>
      <c r="G54" s="14" t="n"/>
      <c r="H54" s="8" t="n"/>
      <c r="I54" s="8" t="n"/>
      <c r="J54" s="8" t="n"/>
      <c r="K54" s="18">
        <f>IF(B54="","",IFERROR(MONTH(B54),""))</f>
        <v/>
      </c>
      <c r="L54" s="5">
        <f>IF(COUNTA(A54:J54)=0,"",IF(E54="","Mangler motkonto",IF((F54="")=(G54=""),"Fyll ut enten Inn eller Ut",IF(OR(IFERROR(INDEX('Kontoplan'!$D$3:$D$302,MATCH(D54,'Kontoplan'!$H$3:$H$302,0))="Støttes ikke",FALSE),IFERROR(INDEX('Kontoplan'!$D$3:$D$302,MATCH(E54,'Kontoplan'!$H$3:$H$302,0))="Støttes ikke",FALSE)),"Kontoen støttes ikke",IF(IFERROR(AND(A54&gt;1,COUNTIF($A$3:$A$2002,A54-1)=0),FALSE),"Nummeret hopper over",IF(OR(NOT(ISNUMBER(B54)),B54&lt;DATE(2027,1,1),B54&gt;DATE(2027,12,31)),"Datoen er ikke i 2027",""))))))</f>
        <v/>
      </c>
    </row>
    <row r="55">
      <c r="A55" s="17" t="n"/>
      <c r="B55" s="9" t="n"/>
      <c r="C55" s="8" t="n"/>
      <c r="D55" s="8" t="n"/>
      <c r="E55" s="8" t="n"/>
      <c r="F55" s="14" t="n"/>
      <c r="G55" s="14" t="n"/>
      <c r="H55" s="8" t="n"/>
      <c r="I55" s="8" t="n"/>
      <c r="J55" s="8" t="n"/>
      <c r="K55" s="18">
        <f>IF(B55="","",IFERROR(MONTH(B55),""))</f>
        <v/>
      </c>
      <c r="L55" s="5">
        <f>IF(COUNTA(A55:J55)=0,"",IF(E55="","Mangler motkonto",IF((F55="")=(G55=""),"Fyll ut enten Inn eller Ut",IF(OR(IFERROR(INDEX('Kontoplan'!$D$3:$D$302,MATCH(D55,'Kontoplan'!$H$3:$H$302,0))="Støttes ikke",FALSE),IFERROR(INDEX('Kontoplan'!$D$3:$D$302,MATCH(E55,'Kontoplan'!$H$3:$H$302,0))="Støttes ikke",FALSE)),"Kontoen støttes ikke",IF(IFERROR(AND(A55&gt;1,COUNTIF($A$3:$A$2002,A55-1)=0),FALSE),"Nummeret hopper over",IF(OR(NOT(ISNUMBER(B55)),B55&lt;DATE(2027,1,1),B55&gt;DATE(2027,12,31)),"Datoen er ikke i 2027",""))))))</f>
        <v/>
      </c>
    </row>
    <row r="56">
      <c r="A56" s="17" t="n"/>
      <c r="B56" s="9" t="n"/>
      <c r="C56" s="8" t="n"/>
      <c r="D56" s="8" t="n"/>
      <c r="E56" s="8" t="n"/>
      <c r="F56" s="14" t="n"/>
      <c r="G56" s="14" t="n"/>
      <c r="H56" s="8" t="n"/>
      <c r="I56" s="8" t="n"/>
      <c r="J56" s="8" t="n"/>
      <c r="K56" s="18">
        <f>IF(B56="","",IFERROR(MONTH(B56),""))</f>
        <v/>
      </c>
      <c r="L56" s="5">
        <f>IF(COUNTA(A56:J56)=0,"",IF(E56="","Mangler motkonto",IF((F56="")=(G56=""),"Fyll ut enten Inn eller Ut",IF(OR(IFERROR(INDEX('Kontoplan'!$D$3:$D$302,MATCH(D56,'Kontoplan'!$H$3:$H$302,0))="Støttes ikke",FALSE),IFERROR(INDEX('Kontoplan'!$D$3:$D$302,MATCH(E56,'Kontoplan'!$H$3:$H$302,0))="Støttes ikke",FALSE)),"Kontoen støttes ikke",IF(IFERROR(AND(A56&gt;1,COUNTIF($A$3:$A$2002,A56-1)=0),FALSE),"Nummeret hopper over",IF(OR(NOT(ISNUMBER(B56)),B56&lt;DATE(2027,1,1),B56&gt;DATE(2027,12,31)),"Datoen er ikke i 2027",""))))))</f>
        <v/>
      </c>
    </row>
    <row r="57">
      <c r="A57" s="17" t="n"/>
      <c r="B57" s="9" t="n"/>
      <c r="C57" s="8" t="n"/>
      <c r="D57" s="8" t="n"/>
      <c r="E57" s="8" t="n"/>
      <c r="F57" s="14" t="n"/>
      <c r="G57" s="14" t="n"/>
      <c r="H57" s="8" t="n"/>
      <c r="I57" s="8" t="n"/>
      <c r="J57" s="8" t="n"/>
      <c r="K57" s="18">
        <f>IF(B57="","",IFERROR(MONTH(B57),""))</f>
        <v/>
      </c>
      <c r="L57" s="5">
        <f>IF(COUNTA(A57:J57)=0,"",IF(E57="","Mangler motkonto",IF((F57="")=(G57=""),"Fyll ut enten Inn eller Ut",IF(OR(IFERROR(INDEX('Kontoplan'!$D$3:$D$302,MATCH(D57,'Kontoplan'!$H$3:$H$302,0))="Støttes ikke",FALSE),IFERROR(INDEX('Kontoplan'!$D$3:$D$302,MATCH(E57,'Kontoplan'!$H$3:$H$302,0))="Støttes ikke",FALSE)),"Kontoen støttes ikke",IF(IFERROR(AND(A57&gt;1,COUNTIF($A$3:$A$2002,A57-1)=0),FALSE),"Nummeret hopper over",IF(OR(NOT(ISNUMBER(B57)),B57&lt;DATE(2027,1,1),B57&gt;DATE(2027,12,31)),"Datoen er ikke i 2027",""))))))</f>
        <v/>
      </c>
    </row>
    <row r="58">
      <c r="A58" s="17" t="n"/>
      <c r="B58" s="9" t="n"/>
      <c r="C58" s="8" t="n"/>
      <c r="D58" s="8" t="n"/>
      <c r="E58" s="8" t="n"/>
      <c r="F58" s="14" t="n"/>
      <c r="G58" s="14" t="n"/>
      <c r="H58" s="8" t="n"/>
      <c r="I58" s="8" t="n"/>
      <c r="J58" s="8" t="n"/>
      <c r="K58" s="18">
        <f>IF(B58="","",IFERROR(MONTH(B58),""))</f>
        <v/>
      </c>
      <c r="L58" s="5">
        <f>IF(COUNTA(A58:J58)=0,"",IF(E58="","Mangler motkonto",IF((F58="")=(G58=""),"Fyll ut enten Inn eller Ut",IF(OR(IFERROR(INDEX('Kontoplan'!$D$3:$D$302,MATCH(D58,'Kontoplan'!$H$3:$H$302,0))="Støttes ikke",FALSE),IFERROR(INDEX('Kontoplan'!$D$3:$D$302,MATCH(E58,'Kontoplan'!$H$3:$H$302,0))="Støttes ikke",FALSE)),"Kontoen støttes ikke",IF(IFERROR(AND(A58&gt;1,COUNTIF($A$3:$A$2002,A58-1)=0),FALSE),"Nummeret hopper over",IF(OR(NOT(ISNUMBER(B58)),B58&lt;DATE(2027,1,1),B58&gt;DATE(2027,12,31)),"Datoen er ikke i 2027",""))))))</f>
        <v/>
      </c>
    </row>
    <row r="59">
      <c r="A59" s="17" t="n"/>
      <c r="B59" s="9" t="n"/>
      <c r="C59" s="8" t="n"/>
      <c r="D59" s="8" t="n"/>
      <c r="E59" s="8" t="n"/>
      <c r="F59" s="14" t="n"/>
      <c r="G59" s="14" t="n"/>
      <c r="H59" s="8" t="n"/>
      <c r="I59" s="8" t="n"/>
      <c r="J59" s="8" t="n"/>
      <c r="K59" s="18">
        <f>IF(B59="","",IFERROR(MONTH(B59),""))</f>
        <v/>
      </c>
      <c r="L59" s="5">
        <f>IF(COUNTA(A59:J59)=0,"",IF(E59="","Mangler motkonto",IF((F59="")=(G59=""),"Fyll ut enten Inn eller Ut",IF(OR(IFERROR(INDEX('Kontoplan'!$D$3:$D$302,MATCH(D59,'Kontoplan'!$H$3:$H$302,0))="Støttes ikke",FALSE),IFERROR(INDEX('Kontoplan'!$D$3:$D$302,MATCH(E59,'Kontoplan'!$H$3:$H$302,0))="Støttes ikke",FALSE)),"Kontoen støttes ikke",IF(IFERROR(AND(A59&gt;1,COUNTIF($A$3:$A$2002,A59-1)=0),FALSE),"Nummeret hopper over",IF(OR(NOT(ISNUMBER(B59)),B59&lt;DATE(2027,1,1),B59&gt;DATE(2027,12,31)),"Datoen er ikke i 2027",""))))))</f>
        <v/>
      </c>
    </row>
    <row r="60">
      <c r="A60" s="17" t="n"/>
      <c r="B60" s="9" t="n"/>
      <c r="C60" s="8" t="n"/>
      <c r="D60" s="8" t="n"/>
      <c r="E60" s="8" t="n"/>
      <c r="F60" s="14" t="n"/>
      <c r="G60" s="14" t="n"/>
      <c r="H60" s="8" t="n"/>
      <c r="I60" s="8" t="n"/>
      <c r="J60" s="8" t="n"/>
      <c r="K60" s="18">
        <f>IF(B60="","",IFERROR(MONTH(B60),""))</f>
        <v/>
      </c>
      <c r="L60" s="5">
        <f>IF(COUNTA(A60:J60)=0,"",IF(E60="","Mangler motkonto",IF((F60="")=(G60=""),"Fyll ut enten Inn eller Ut",IF(OR(IFERROR(INDEX('Kontoplan'!$D$3:$D$302,MATCH(D60,'Kontoplan'!$H$3:$H$302,0))="Støttes ikke",FALSE),IFERROR(INDEX('Kontoplan'!$D$3:$D$302,MATCH(E60,'Kontoplan'!$H$3:$H$302,0))="Støttes ikke",FALSE)),"Kontoen støttes ikke",IF(IFERROR(AND(A60&gt;1,COUNTIF($A$3:$A$2002,A60-1)=0),FALSE),"Nummeret hopper over",IF(OR(NOT(ISNUMBER(B60)),B60&lt;DATE(2027,1,1),B60&gt;DATE(2027,12,31)),"Datoen er ikke i 2027",""))))))</f>
        <v/>
      </c>
    </row>
    <row r="61">
      <c r="A61" s="17" t="n"/>
      <c r="B61" s="9" t="n"/>
      <c r="C61" s="8" t="n"/>
      <c r="D61" s="8" t="n"/>
      <c r="E61" s="8" t="n"/>
      <c r="F61" s="14" t="n"/>
      <c r="G61" s="14" t="n"/>
      <c r="H61" s="8" t="n"/>
      <c r="I61" s="8" t="n"/>
      <c r="J61" s="8" t="n"/>
      <c r="K61" s="18">
        <f>IF(B61="","",IFERROR(MONTH(B61),""))</f>
        <v/>
      </c>
      <c r="L61" s="5">
        <f>IF(COUNTA(A61:J61)=0,"",IF(E61="","Mangler motkonto",IF((F61="")=(G61=""),"Fyll ut enten Inn eller Ut",IF(OR(IFERROR(INDEX('Kontoplan'!$D$3:$D$302,MATCH(D61,'Kontoplan'!$H$3:$H$302,0))="Støttes ikke",FALSE),IFERROR(INDEX('Kontoplan'!$D$3:$D$302,MATCH(E61,'Kontoplan'!$H$3:$H$302,0))="Støttes ikke",FALSE)),"Kontoen støttes ikke",IF(IFERROR(AND(A61&gt;1,COUNTIF($A$3:$A$2002,A61-1)=0),FALSE),"Nummeret hopper over",IF(OR(NOT(ISNUMBER(B61)),B61&lt;DATE(2027,1,1),B61&gt;DATE(2027,12,31)),"Datoen er ikke i 2027",""))))))</f>
        <v/>
      </c>
    </row>
    <row r="62">
      <c r="A62" s="17" t="n"/>
      <c r="B62" s="9" t="n"/>
      <c r="C62" s="8" t="n"/>
      <c r="D62" s="8" t="n"/>
      <c r="E62" s="8" t="n"/>
      <c r="F62" s="14" t="n"/>
      <c r="G62" s="14" t="n"/>
      <c r="H62" s="8" t="n"/>
      <c r="I62" s="8" t="n"/>
      <c r="J62" s="8" t="n"/>
      <c r="K62" s="18">
        <f>IF(B62="","",IFERROR(MONTH(B62),""))</f>
        <v/>
      </c>
      <c r="L62" s="5">
        <f>IF(COUNTA(A62:J62)=0,"",IF(E62="","Mangler motkonto",IF((F62="")=(G62=""),"Fyll ut enten Inn eller Ut",IF(OR(IFERROR(INDEX('Kontoplan'!$D$3:$D$302,MATCH(D62,'Kontoplan'!$H$3:$H$302,0))="Støttes ikke",FALSE),IFERROR(INDEX('Kontoplan'!$D$3:$D$302,MATCH(E62,'Kontoplan'!$H$3:$H$302,0))="Støttes ikke",FALSE)),"Kontoen støttes ikke",IF(IFERROR(AND(A62&gt;1,COUNTIF($A$3:$A$2002,A62-1)=0),FALSE),"Nummeret hopper over",IF(OR(NOT(ISNUMBER(B62)),B62&lt;DATE(2027,1,1),B62&gt;DATE(2027,12,31)),"Datoen er ikke i 2027",""))))))</f>
        <v/>
      </c>
    </row>
    <row r="63">
      <c r="A63" s="17" t="n"/>
      <c r="B63" s="9" t="n"/>
      <c r="C63" s="8" t="n"/>
      <c r="D63" s="8" t="n"/>
      <c r="E63" s="8" t="n"/>
      <c r="F63" s="14" t="n"/>
      <c r="G63" s="14" t="n"/>
      <c r="H63" s="8" t="n"/>
      <c r="I63" s="8" t="n"/>
      <c r="J63" s="8" t="n"/>
      <c r="K63" s="18">
        <f>IF(B63="","",IFERROR(MONTH(B63),""))</f>
        <v/>
      </c>
      <c r="L63" s="5">
        <f>IF(COUNTA(A63:J63)=0,"",IF(E63="","Mangler motkonto",IF((F63="")=(G63=""),"Fyll ut enten Inn eller Ut",IF(OR(IFERROR(INDEX('Kontoplan'!$D$3:$D$302,MATCH(D63,'Kontoplan'!$H$3:$H$302,0))="Støttes ikke",FALSE),IFERROR(INDEX('Kontoplan'!$D$3:$D$302,MATCH(E63,'Kontoplan'!$H$3:$H$302,0))="Støttes ikke",FALSE)),"Kontoen støttes ikke",IF(IFERROR(AND(A63&gt;1,COUNTIF($A$3:$A$2002,A63-1)=0),FALSE),"Nummeret hopper over",IF(OR(NOT(ISNUMBER(B63)),B63&lt;DATE(2027,1,1),B63&gt;DATE(2027,12,31)),"Datoen er ikke i 2027",""))))))</f>
        <v/>
      </c>
    </row>
    <row r="64">
      <c r="A64" s="17" t="n"/>
      <c r="B64" s="9" t="n"/>
      <c r="C64" s="8" t="n"/>
      <c r="D64" s="8" t="n"/>
      <c r="E64" s="8" t="n"/>
      <c r="F64" s="14" t="n"/>
      <c r="G64" s="14" t="n"/>
      <c r="H64" s="8" t="n"/>
      <c r="I64" s="8" t="n"/>
      <c r="J64" s="8" t="n"/>
      <c r="K64" s="18">
        <f>IF(B64="","",IFERROR(MONTH(B64),""))</f>
        <v/>
      </c>
      <c r="L64" s="5">
        <f>IF(COUNTA(A64:J64)=0,"",IF(E64="","Mangler motkonto",IF((F64="")=(G64=""),"Fyll ut enten Inn eller Ut",IF(OR(IFERROR(INDEX('Kontoplan'!$D$3:$D$302,MATCH(D64,'Kontoplan'!$H$3:$H$302,0))="Støttes ikke",FALSE),IFERROR(INDEX('Kontoplan'!$D$3:$D$302,MATCH(E64,'Kontoplan'!$H$3:$H$302,0))="Støttes ikke",FALSE)),"Kontoen støttes ikke",IF(IFERROR(AND(A64&gt;1,COUNTIF($A$3:$A$2002,A64-1)=0),FALSE),"Nummeret hopper over",IF(OR(NOT(ISNUMBER(B64)),B64&lt;DATE(2027,1,1),B64&gt;DATE(2027,12,31)),"Datoen er ikke i 2027",""))))))</f>
        <v/>
      </c>
    </row>
    <row r="65">
      <c r="A65" s="17" t="n"/>
      <c r="B65" s="9" t="n"/>
      <c r="C65" s="8" t="n"/>
      <c r="D65" s="8" t="n"/>
      <c r="E65" s="8" t="n"/>
      <c r="F65" s="14" t="n"/>
      <c r="G65" s="14" t="n"/>
      <c r="H65" s="8" t="n"/>
      <c r="I65" s="8" t="n"/>
      <c r="J65" s="8" t="n"/>
      <c r="K65" s="18">
        <f>IF(B65="","",IFERROR(MONTH(B65),""))</f>
        <v/>
      </c>
      <c r="L65" s="5">
        <f>IF(COUNTA(A65:J65)=0,"",IF(E65="","Mangler motkonto",IF((F65="")=(G65=""),"Fyll ut enten Inn eller Ut",IF(OR(IFERROR(INDEX('Kontoplan'!$D$3:$D$302,MATCH(D65,'Kontoplan'!$H$3:$H$302,0))="Støttes ikke",FALSE),IFERROR(INDEX('Kontoplan'!$D$3:$D$302,MATCH(E65,'Kontoplan'!$H$3:$H$302,0))="Støttes ikke",FALSE)),"Kontoen støttes ikke",IF(IFERROR(AND(A65&gt;1,COUNTIF($A$3:$A$2002,A65-1)=0),FALSE),"Nummeret hopper over",IF(OR(NOT(ISNUMBER(B65)),B65&lt;DATE(2027,1,1),B65&gt;DATE(2027,12,31)),"Datoen er ikke i 2027",""))))))</f>
        <v/>
      </c>
    </row>
    <row r="66">
      <c r="A66" s="17" t="n"/>
      <c r="B66" s="9" t="n"/>
      <c r="C66" s="8" t="n"/>
      <c r="D66" s="8" t="n"/>
      <c r="E66" s="8" t="n"/>
      <c r="F66" s="14" t="n"/>
      <c r="G66" s="14" t="n"/>
      <c r="H66" s="8" t="n"/>
      <c r="I66" s="8" t="n"/>
      <c r="J66" s="8" t="n"/>
      <c r="K66" s="18">
        <f>IF(B66="","",IFERROR(MONTH(B66),""))</f>
        <v/>
      </c>
      <c r="L66" s="5">
        <f>IF(COUNTA(A66:J66)=0,"",IF(E66="","Mangler motkonto",IF((F66="")=(G66=""),"Fyll ut enten Inn eller Ut",IF(OR(IFERROR(INDEX('Kontoplan'!$D$3:$D$302,MATCH(D66,'Kontoplan'!$H$3:$H$302,0))="Støttes ikke",FALSE),IFERROR(INDEX('Kontoplan'!$D$3:$D$302,MATCH(E66,'Kontoplan'!$H$3:$H$302,0))="Støttes ikke",FALSE)),"Kontoen støttes ikke",IF(IFERROR(AND(A66&gt;1,COUNTIF($A$3:$A$2002,A66-1)=0),FALSE),"Nummeret hopper over",IF(OR(NOT(ISNUMBER(B66)),B66&lt;DATE(2027,1,1),B66&gt;DATE(2027,12,31)),"Datoen er ikke i 2027",""))))))</f>
        <v/>
      </c>
    </row>
    <row r="67">
      <c r="A67" s="17" t="n"/>
      <c r="B67" s="9" t="n"/>
      <c r="C67" s="8" t="n"/>
      <c r="D67" s="8" t="n"/>
      <c r="E67" s="8" t="n"/>
      <c r="F67" s="14" t="n"/>
      <c r="G67" s="14" t="n"/>
      <c r="H67" s="8" t="n"/>
      <c r="I67" s="8" t="n"/>
      <c r="J67" s="8" t="n"/>
      <c r="K67" s="18">
        <f>IF(B67="","",IFERROR(MONTH(B67),""))</f>
        <v/>
      </c>
      <c r="L67" s="5">
        <f>IF(COUNTA(A67:J67)=0,"",IF(E67="","Mangler motkonto",IF((F67="")=(G67=""),"Fyll ut enten Inn eller Ut",IF(OR(IFERROR(INDEX('Kontoplan'!$D$3:$D$302,MATCH(D67,'Kontoplan'!$H$3:$H$302,0))="Støttes ikke",FALSE),IFERROR(INDEX('Kontoplan'!$D$3:$D$302,MATCH(E67,'Kontoplan'!$H$3:$H$302,0))="Støttes ikke",FALSE)),"Kontoen støttes ikke",IF(IFERROR(AND(A67&gt;1,COUNTIF($A$3:$A$2002,A67-1)=0),FALSE),"Nummeret hopper over",IF(OR(NOT(ISNUMBER(B67)),B67&lt;DATE(2027,1,1),B67&gt;DATE(2027,12,31)),"Datoen er ikke i 2027",""))))))</f>
        <v/>
      </c>
    </row>
    <row r="68">
      <c r="A68" s="17" t="n"/>
      <c r="B68" s="9" t="n"/>
      <c r="C68" s="8" t="n"/>
      <c r="D68" s="8" t="n"/>
      <c r="E68" s="8" t="n"/>
      <c r="F68" s="14" t="n"/>
      <c r="G68" s="14" t="n"/>
      <c r="H68" s="8" t="n"/>
      <c r="I68" s="8" t="n"/>
      <c r="J68" s="8" t="n"/>
      <c r="K68" s="18">
        <f>IF(B68="","",IFERROR(MONTH(B68),""))</f>
        <v/>
      </c>
      <c r="L68" s="5">
        <f>IF(COUNTA(A68:J68)=0,"",IF(E68="","Mangler motkonto",IF((F68="")=(G68=""),"Fyll ut enten Inn eller Ut",IF(OR(IFERROR(INDEX('Kontoplan'!$D$3:$D$302,MATCH(D68,'Kontoplan'!$H$3:$H$302,0))="Støttes ikke",FALSE),IFERROR(INDEX('Kontoplan'!$D$3:$D$302,MATCH(E68,'Kontoplan'!$H$3:$H$302,0))="Støttes ikke",FALSE)),"Kontoen støttes ikke",IF(IFERROR(AND(A68&gt;1,COUNTIF($A$3:$A$2002,A68-1)=0),FALSE),"Nummeret hopper over",IF(OR(NOT(ISNUMBER(B68)),B68&lt;DATE(2027,1,1),B68&gt;DATE(2027,12,31)),"Datoen er ikke i 2027",""))))))</f>
        <v/>
      </c>
    </row>
    <row r="69">
      <c r="A69" s="17" t="n"/>
      <c r="B69" s="9" t="n"/>
      <c r="C69" s="8" t="n"/>
      <c r="D69" s="8" t="n"/>
      <c r="E69" s="8" t="n"/>
      <c r="F69" s="14" t="n"/>
      <c r="G69" s="14" t="n"/>
      <c r="H69" s="8" t="n"/>
      <c r="I69" s="8" t="n"/>
      <c r="J69" s="8" t="n"/>
      <c r="K69" s="18">
        <f>IF(B69="","",IFERROR(MONTH(B69),""))</f>
        <v/>
      </c>
      <c r="L69" s="5">
        <f>IF(COUNTA(A69:J69)=0,"",IF(E69="","Mangler motkonto",IF((F69="")=(G69=""),"Fyll ut enten Inn eller Ut",IF(OR(IFERROR(INDEX('Kontoplan'!$D$3:$D$302,MATCH(D69,'Kontoplan'!$H$3:$H$302,0))="Støttes ikke",FALSE),IFERROR(INDEX('Kontoplan'!$D$3:$D$302,MATCH(E69,'Kontoplan'!$H$3:$H$302,0))="Støttes ikke",FALSE)),"Kontoen støttes ikke",IF(IFERROR(AND(A69&gt;1,COUNTIF($A$3:$A$2002,A69-1)=0),FALSE),"Nummeret hopper over",IF(OR(NOT(ISNUMBER(B69)),B69&lt;DATE(2027,1,1),B69&gt;DATE(2027,12,31)),"Datoen er ikke i 2027",""))))))</f>
        <v/>
      </c>
    </row>
    <row r="70">
      <c r="A70" s="17" t="n"/>
      <c r="B70" s="9" t="n"/>
      <c r="C70" s="8" t="n"/>
      <c r="D70" s="8" t="n"/>
      <c r="E70" s="8" t="n"/>
      <c r="F70" s="14" t="n"/>
      <c r="G70" s="14" t="n"/>
      <c r="H70" s="8" t="n"/>
      <c r="I70" s="8" t="n"/>
      <c r="J70" s="8" t="n"/>
      <c r="K70" s="18">
        <f>IF(B70="","",IFERROR(MONTH(B70),""))</f>
        <v/>
      </c>
      <c r="L70" s="5">
        <f>IF(COUNTA(A70:J70)=0,"",IF(E70="","Mangler motkonto",IF((F70="")=(G70=""),"Fyll ut enten Inn eller Ut",IF(OR(IFERROR(INDEX('Kontoplan'!$D$3:$D$302,MATCH(D70,'Kontoplan'!$H$3:$H$302,0))="Støttes ikke",FALSE),IFERROR(INDEX('Kontoplan'!$D$3:$D$302,MATCH(E70,'Kontoplan'!$H$3:$H$302,0))="Støttes ikke",FALSE)),"Kontoen støttes ikke",IF(IFERROR(AND(A70&gt;1,COUNTIF($A$3:$A$2002,A70-1)=0),FALSE),"Nummeret hopper over",IF(OR(NOT(ISNUMBER(B70)),B70&lt;DATE(2027,1,1),B70&gt;DATE(2027,12,31)),"Datoen er ikke i 2027",""))))))</f>
        <v/>
      </c>
    </row>
    <row r="71">
      <c r="A71" s="17" t="n"/>
      <c r="B71" s="9" t="n"/>
      <c r="C71" s="8" t="n"/>
      <c r="D71" s="8" t="n"/>
      <c r="E71" s="8" t="n"/>
      <c r="F71" s="14" t="n"/>
      <c r="G71" s="14" t="n"/>
      <c r="H71" s="8" t="n"/>
      <c r="I71" s="8" t="n"/>
      <c r="J71" s="8" t="n"/>
      <c r="K71" s="18">
        <f>IF(B71="","",IFERROR(MONTH(B71),""))</f>
        <v/>
      </c>
      <c r="L71" s="5">
        <f>IF(COUNTA(A71:J71)=0,"",IF(E71="","Mangler motkonto",IF((F71="")=(G71=""),"Fyll ut enten Inn eller Ut",IF(OR(IFERROR(INDEX('Kontoplan'!$D$3:$D$302,MATCH(D71,'Kontoplan'!$H$3:$H$302,0))="Støttes ikke",FALSE),IFERROR(INDEX('Kontoplan'!$D$3:$D$302,MATCH(E71,'Kontoplan'!$H$3:$H$302,0))="Støttes ikke",FALSE)),"Kontoen støttes ikke",IF(IFERROR(AND(A71&gt;1,COUNTIF($A$3:$A$2002,A71-1)=0),FALSE),"Nummeret hopper over",IF(OR(NOT(ISNUMBER(B71)),B71&lt;DATE(2027,1,1),B71&gt;DATE(2027,12,31)),"Datoen er ikke i 2027",""))))))</f>
        <v/>
      </c>
    </row>
    <row r="72">
      <c r="A72" s="17" t="n"/>
      <c r="B72" s="9" t="n"/>
      <c r="C72" s="8" t="n"/>
      <c r="D72" s="8" t="n"/>
      <c r="E72" s="8" t="n"/>
      <c r="F72" s="14" t="n"/>
      <c r="G72" s="14" t="n"/>
      <c r="H72" s="8" t="n"/>
      <c r="I72" s="8" t="n"/>
      <c r="J72" s="8" t="n"/>
      <c r="K72" s="18">
        <f>IF(B72="","",IFERROR(MONTH(B72),""))</f>
        <v/>
      </c>
      <c r="L72" s="5">
        <f>IF(COUNTA(A72:J72)=0,"",IF(E72="","Mangler motkonto",IF((F72="")=(G72=""),"Fyll ut enten Inn eller Ut",IF(OR(IFERROR(INDEX('Kontoplan'!$D$3:$D$302,MATCH(D72,'Kontoplan'!$H$3:$H$302,0))="Støttes ikke",FALSE),IFERROR(INDEX('Kontoplan'!$D$3:$D$302,MATCH(E72,'Kontoplan'!$H$3:$H$302,0))="Støttes ikke",FALSE)),"Kontoen støttes ikke",IF(IFERROR(AND(A72&gt;1,COUNTIF($A$3:$A$2002,A72-1)=0),FALSE),"Nummeret hopper over",IF(OR(NOT(ISNUMBER(B72)),B72&lt;DATE(2027,1,1),B72&gt;DATE(2027,12,31)),"Datoen er ikke i 2027",""))))))</f>
        <v/>
      </c>
    </row>
    <row r="73">
      <c r="A73" s="17" t="n"/>
      <c r="B73" s="9" t="n"/>
      <c r="C73" s="8" t="n"/>
      <c r="D73" s="8" t="n"/>
      <c r="E73" s="8" t="n"/>
      <c r="F73" s="14" t="n"/>
      <c r="G73" s="14" t="n"/>
      <c r="H73" s="8" t="n"/>
      <c r="I73" s="8" t="n"/>
      <c r="J73" s="8" t="n"/>
      <c r="K73" s="18">
        <f>IF(B73="","",IFERROR(MONTH(B73),""))</f>
        <v/>
      </c>
      <c r="L73" s="5">
        <f>IF(COUNTA(A73:J73)=0,"",IF(E73="","Mangler motkonto",IF((F73="")=(G73=""),"Fyll ut enten Inn eller Ut",IF(OR(IFERROR(INDEX('Kontoplan'!$D$3:$D$302,MATCH(D73,'Kontoplan'!$H$3:$H$302,0))="Støttes ikke",FALSE),IFERROR(INDEX('Kontoplan'!$D$3:$D$302,MATCH(E73,'Kontoplan'!$H$3:$H$302,0))="Støttes ikke",FALSE)),"Kontoen støttes ikke",IF(IFERROR(AND(A73&gt;1,COUNTIF($A$3:$A$2002,A73-1)=0),FALSE),"Nummeret hopper over",IF(OR(NOT(ISNUMBER(B73)),B73&lt;DATE(2027,1,1),B73&gt;DATE(2027,12,31)),"Datoen er ikke i 2027",""))))))</f>
        <v/>
      </c>
    </row>
    <row r="74">
      <c r="A74" s="17" t="n"/>
      <c r="B74" s="9" t="n"/>
      <c r="C74" s="8" t="n"/>
      <c r="D74" s="8" t="n"/>
      <c r="E74" s="8" t="n"/>
      <c r="F74" s="14" t="n"/>
      <c r="G74" s="14" t="n"/>
      <c r="H74" s="8" t="n"/>
      <c r="I74" s="8" t="n"/>
      <c r="J74" s="8" t="n"/>
      <c r="K74" s="18">
        <f>IF(B74="","",IFERROR(MONTH(B74),""))</f>
        <v/>
      </c>
      <c r="L74" s="5">
        <f>IF(COUNTA(A74:J74)=0,"",IF(E74="","Mangler motkonto",IF((F74="")=(G74=""),"Fyll ut enten Inn eller Ut",IF(OR(IFERROR(INDEX('Kontoplan'!$D$3:$D$302,MATCH(D74,'Kontoplan'!$H$3:$H$302,0))="Støttes ikke",FALSE),IFERROR(INDEX('Kontoplan'!$D$3:$D$302,MATCH(E74,'Kontoplan'!$H$3:$H$302,0))="Støttes ikke",FALSE)),"Kontoen støttes ikke",IF(IFERROR(AND(A74&gt;1,COUNTIF($A$3:$A$2002,A74-1)=0),FALSE),"Nummeret hopper over",IF(OR(NOT(ISNUMBER(B74)),B74&lt;DATE(2027,1,1),B74&gt;DATE(2027,12,31)),"Datoen er ikke i 2027",""))))))</f>
        <v/>
      </c>
    </row>
    <row r="75">
      <c r="A75" s="17" t="n"/>
      <c r="B75" s="9" t="n"/>
      <c r="C75" s="8" t="n"/>
      <c r="D75" s="8" t="n"/>
      <c r="E75" s="8" t="n"/>
      <c r="F75" s="14" t="n"/>
      <c r="G75" s="14" t="n"/>
      <c r="H75" s="8" t="n"/>
      <c r="I75" s="8" t="n"/>
      <c r="J75" s="8" t="n"/>
      <c r="K75" s="18">
        <f>IF(B75="","",IFERROR(MONTH(B75),""))</f>
        <v/>
      </c>
      <c r="L75" s="5">
        <f>IF(COUNTA(A75:J75)=0,"",IF(E75="","Mangler motkonto",IF((F75="")=(G75=""),"Fyll ut enten Inn eller Ut",IF(OR(IFERROR(INDEX('Kontoplan'!$D$3:$D$302,MATCH(D75,'Kontoplan'!$H$3:$H$302,0))="Støttes ikke",FALSE),IFERROR(INDEX('Kontoplan'!$D$3:$D$302,MATCH(E75,'Kontoplan'!$H$3:$H$302,0))="Støttes ikke",FALSE)),"Kontoen støttes ikke",IF(IFERROR(AND(A75&gt;1,COUNTIF($A$3:$A$2002,A75-1)=0),FALSE),"Nummeret hopper over",IF(OR(NOT(ISNUMBER(B75)),B75&lt;DATE(2027,1,1),B75&gt;DATE(2027,12,31)),"Datoen er ikke i 2027",""))))))</f>
        <v/>
      </c>
    </row>
    <row r="76">
      <c r="A76" s="17" t="n"/>
      <c r="B76" s="9" t="n"/>
      <c r="C76" s="8" t="n"/>
      <c r="D76" s="8" t="n"/>
      <c r="E76" s="8" t="n"/>
      <c r="F76" s="14" t="n"/>
      <c r="G76" s="14" t="n"/>
      <c r="H76" s="8" t="n"/>
      <c r="I76" s="8" t="n"/>
      <c r="J76" s="8" t="n"/>
      <c r="K76" s="18">
        <f>IF(B76="","",IFERROR(MONTH(B76),""))</f>
        <v/>
      </c>
      <c r="L76" s="5">
        <f>IF(COUNTA(A76:J76)=0,"",IF(E76="","Mangler motkonto",IF((F76="")=(G76=""),"Fyll ut enten Inn eller Ut",IF(OR(IFERROR(INDEX('Kontoplan'!$D$3:$D$302,MATCH(D76,'Kontoplan'!$H$3:$H$302,0))="Støttes ikke",FALSE),IFERROR(INDEX('Kontoplan'!$D$3:$D$302,MATCH(E76,'Kontoplan'!$H$3:$H$302,0))="Støttes ikke",FALSE)),"Kontoen støttes ikke",IF(IFERROR(AND(A76&gt;1,COUNTIF($A$3:$A$2002,A76-1)=0),FALSE),"Nummeret hopper over",IF(OR(NOT(ISNUMBER(B76)),B76&lt;DATE(2027,1,1),B76&gt;DATE(2027,12,31)),"Datoen er ikke i 2027",""))))))</f>
        <v/>
      </c>
    </row>
    <row r="77">
      <c r="A77" s="17" t="n"/>
      <c r="B77" s="9" t="n"/>
      <c r="C77" s="8" t="n"/>
      <c r="D77" s="8" t="n"/>
      <c r="E77" s="8" t="n"/>
      <c r="F77" s="14" t="n"/>
      <c r="G77" s="14" t="n"/>
      <c r="H77" s="8" t="n"/>
      <c r="I77" s="8" t="n"/>
      <c r="J77" s="8" t="n"/>
      <c r="K77" s="18">
        <f>IF(B77="","",IFERROR(MONTH(B77),""))</f>
        <v/>
      </c>
      <c r="L77" s="5">
        <f>IF(COUNTA(A77:J77)=0,"",IF(E77="","Mangler motkonto",IF((F77="")=(G77=""),"Fyll ut enten Inn eller Ut",IF(OR(IFERROR(INDEX('Kontoplan'!$D$3:$D$302,MATCH(D77,'Kontoplan'!$H$3:$H$302,0))="Støttes ikke",FALSE),IFERROR(INDEX('Kontoplan'!$D$3:$D$302,MATCH(E77,'Kontoplan'!$H$3:$H$302,0))="Støttes ikke",FALSE)),"Kontoen støttes ikke",IF(IFERROR(AND(A77&gt;1,COUNTIF($A$3:$A$2002,A77-1)=0),FALSE),"Nummeret hopper over",IF(OR(NOT(ISNUMBER(B77)),B77&lt;DATE(2027,1,1),B77&gt;DATE(2027,12,31)),"Datoen er ikke i 2027",""))))))</f>
        <v/>
      </c>
    </row>
    <row r="78">
      <c r="A78" s="17" t="n"/>
      <c r="B78" s="9" t="n"/>
      <c r="C78" s="8" t="n"/>
      <c r="D78" s="8" t="n"/>
      <c r="E78" s="8" t="n"/>
      <c r="F78" s="14" t="n"/>
      <c r="G78" s="14" t="n"/>
      <c r="H78" s="8" t="n"/>
      <c r="I78" s="8" t="n"/>
      <c r="J78" s="8" t="n"/>
      <c r="K78" s="18">
        <f>IF(B78="","",IFERROR(MONTH(B78),""))</f>
        <v/>
      </c>
      <c r="L78" s="5">
        <f>IF(COUNTA(A78:J78)=0,"",IF(E78="","Mangler motkonto",IF((F78="")=(G78=""),"Fyll ut enten Inn eller Ut",IF(OR(IFERROR(INDEX('Kontoplan'!$D$3:$D$302,MATCH(D78,'Kontoplan'!$H$3:$H$302,0))="Støttes ikke",FALSE),IFERROR(INDEX('Kontoplan'!$D$3:$D$302,MATCH(E78,'Kontoplan'!$H$3:$H$302,0))="Støttes ikke",FALSE)),"Kontoen støttes ikke",IF(IFERROR(AND(A78&gt;1,COUNTIF($A$3:$A$2002,A78-1)=0),FALSE),"Nummeret hopper over",IF(OR(NOT(ISNUMBER(B78)),B78&lt;DATE(2027,1,1),B78&gt;DATE(2027,12,31)),"Datoen er ikke i 2027",""))))))</f>
        <v/>
      </c>
    </row>
    <row r="79">
      <c r="A79" s="17" t="n"/>
      <c r="B79" s="9" t="n"/>
      <c r="C79" s="8" t="n"/>
      <c r="D79" s="8" t="n"/>
      <c r="E79" s="8" t="n"/>
      <c r="F79" s="14" t="n"/>
      <c r="G79" s="14" t="n"/>
      <c r="H79" s="8" t="n"/>
      <c r="I79" s="8" t="n"/>
      <c r="J79" s="8" t="n"/>
      <c r="K79" s="18">
        <f>IF(B79="","",IFERROR(MONTH(B79),""))</f>
        <v/>
      </c>
      <c r="L79" s="5">
        <f>IF(COUNTA(A79:J79)=0,"",IF(E79="","Mangler motkonto",IF((F79="")=(G79=""),"Fyll ut enten Inn eller Ut",IF(OR(IFERROR(INDEX('Kontoplan'!$D$3:$D$302,MATCH(D79,'Kontoplan'!$H$3:$H$302,0))="Støttes ikke",FALSE),IFERROR(INDEX('Kontoplan'!$D$3:$D$302,MATCH(E79,'Kontoplan'!$H$3:$H$302,0))="Støttes ikke",FALSE)),"Kontoen støttes ikke",IF(IFERROR(AND(A79&gt;1,COUNTIF($A$3:$A$2002,A79-1)=0),FALSE),"Nummeret hopper over",IF(OR(NOT(ISNUMBER(B79)),B79&lt;DATE(2027,1,1),B79&gt;DATE(2027,12,31)),"Datoen er ikke i 2027",""))))))</f>
        <v/>
      </c>
    </row>
    <row r="80">
      <c r="A80" s="17" t="n"/>
      <c r="B80" s="9" t="n"/>
      <c r="C80" s="8" t="n"/>
      <c r="D80" s="8" t="n"/>
      <c r="E80" s="8" t="n"/>
      <c r="F80" s="14" t="n"/>
      <c r="G80" s="14" t="n"/>
      <c r="H80" s="8" t="n"/>
      <c r="I80" s="8" t="n"/>
      <c r="J80" s="8" t="n"/>
      <c r="K80" s="18">
        <f>IF(B80="","",IFERROR(MONTH(B80),""))</f>
        <v/>
      </c>
      <c r="L80" s="5">
        <f>IF(COUNTA(A80:J80)=0,"",IF(E80="","Mangler motkonto",IF((F80="")=(G80=""),"Fyll ut enten Inn eller Ut",IF(OR(IFERROR(INDEX('Kontoplan'!$D$3:$D$302,MATCH(D80,'Kontoplan'!$H$3:$H$302,0))="Støttes ikke",FALSE),IFERROR(INDEX('Kontoplan'!$D$3:$D$302,MATCH(E80,'Kontoplan'!$H$3:$H$302,0))="Støttes ikke",FALSE)),"Kontoen støttes ikke",IF(IFERROR(AND(A80&gt;1,COUNTIF($A$3:$A$2002,A80-1)=0),FALSE),"Nummeret hopper over",IF(OR(NOT(ISNUMBER(B80)),B80&lt;DATE(2027,1,1),B80&gt;DATE(2027,12,31)),"Datoen er ikke i 2027",""))))))</f>
        <v/>
      </c>
    </row>
    <row r="81">
      <c r="A81" s="17" t="n"/>
      <c r="B81" s="9" t="n"/>
      <c r="C81" s="8" t="n"/>
      <c r="D81" s="8" t="n"/>
      <c r="E81" s="8" t="n"/>
      <c r="F81" s="14" t="n"/>
      <c r="G81" s="14" t="n"/>
      <c r="H81" s="8" t="n"/>
      <c r="I81" s="8" t="n"/>
      <c r="J81" s="8" t="n"/>
      <c r="K81" s="18">
        <f>IF(B81="","",IFERROR(MONTH(B81),""))</f>
        <v/>
      </c>
      <c r="L81" s="5">
        <f>IF(COUNTA(A81:J81)=0,"",IF(E81="","Mangler motkonto",IF((F81="")=(G81=""),"Fyll ut enten Inn eller Ut",IF(OR(IFERROR(INDEX('Kontoplan'!$D$3:$D$302,MATCH(D81,'Kontoplan'!$H$3:$H$302,0))="Støttes ikke",FALSE),IFERROR(INDEX('Kontoplan'!$D$3:$D$302,MATCH(E81,'Kontoplan'!$H$3:$H$302,0))="Støttes ikke",FALSE)),"Kontoen støttes ikke",IF(IFERROR(AND(A81&gt;1,COUNTIF($A$3:$A$2002,A81-1)=0),FALSE),"Nummeret hopper over",IF(OR(NOT(ISNUMBER(B81)),B81&lt;DATE(2027,1,1),B81&gt;DATE(2027,12,31)),"Datoen er ikke i 2027",""))))))</f>
        <v/>
      </c>
    </row>
    <row r="82">
      <c r="A82" s="17" t="n"/>
      <c r="B82" s="9" t="n"/>
      <c r="C82" s="8" t="n"/>
      <c r="D82" s="8" t="n"/>
      <c r="E82" s="8" t="n"/>
      <c r="F82" s="14" t="n"/>
      <c r="G82" s="14" t="n"/>
      <c r="H82" s="8" t="n"/>
      <c r="I82" s="8" t="n"/>
      <c r="J82" s="8" t="n"/>
      <c r="K82" s="18">
        <f>IF(B82="","",IFERROR(MONTH(B82),""))</f>
        <v/>
      </c>
      <c r="L82" s="5">
        <f>IF(COUNTA(A82:J82)=0,"",IF(E82="","Mangler motkonto",IF((F82="")=(G82=""),"Fyll ut enten Inn eller Ut",IF(OR(IFERROR(INDEX('Kontoplan'!$D$3:$D$302,MATCH(D82,'Kontoplan'!$H$3:$H$302,0))="Støttes ikke",FALSE),IFERROR(INDEX('Kontoplan'!$D$3:$D$302,MATCH(E82,'Kontoplan'!$H$3:$H$302,0))="Støttes ikke",FALSE)),"Kontoen støttes ikke",IF(IFERROR(AND(A82&gt;1,COUNTIF($A$3:$A$2002,A82-1)=0),FALSE),"Nummeret hopper over",IF(OR(NOT(ISNUMBER(B82)),B82&lt;DATE(2027,1,1),B82&gt;DATE(2027,12,31)),"Datoen er ikke i 2027",""))))))</f>
        <v/>
      </c>
    </row>
    <row r="83">
      <c r="A83" s="17" t="n"/>
      <c r="B83" s="9" t="n"/>
      <c r="C83" s="8" t="n"/>
      <c r="D83" s="8" t="n"/>
      <c r="E83" s="8" t="n"/>
      <c r="F83" s="14" t="n"/>
      <c r="G83" s="14" t="n"/>
      <c r="H83" s="8" t="n"/>
      <c r="I83" s="8" t="n"/>
      <c r="J83" s="8" t="n"/>
      <c r="K83" s="18">
        <f>IF(B83="","",IFERROR(MONTH(B83),""))</f>
        <v/>
      </c>
      <c r="L83" s="5">
        <f>IF(COUNTA(A83:J83)=0,"",IF(E83="","Mangler motkonto",IF((F83="")=(G83=""),"Fyll ut enten Inn eller Ut",IF(OR(IFERROR(INDEX('Kontoplan'!$D$3:$D$302,MATCH(D83,'Kontoplan'!$H$3:$H$302,0))="Støttes ikke",FALSE),IFERROR(INDEX('Kontoplan'!$D$3:$D$302,MATCH(E83,'Kontoplan'!$H$3:$H$302,0))="Støttes ikke",FALSE)),"Kontoen støttes ikke",IF(IFERROR(AND(A83&gt;1,COUNTIF($A$3:$A$2002,A83-1)=0),FALSE),"Nummeret hopper over",IF(OR(NOT(ISNUMBER(B83)),B83&lt;DATE(2027,1,1),B83&gt;DATE(2027,12,31)),"Datoen er ikke i 2027",""))))))</f>
        <v/>
      </c>
    </row>
    <row r="84">
      <c r="A84" s="17" t="n"/>
      <c r="B84" s="9" t="n"/>
      <c r="C84" s="8" t="n"/>
      <c r="D84" s="8" t="n"/>
      <c r="E84" s="8" t="n"/>
      <c r="F84" s="14" t="n"/>
      <c r="G84" s="14" t="n"/>
      <c r="H84" s="8" t="n"/>
      <c r="I84" s="8" t="n"/>
      <c r="J84" s="8" t="n"/>
      <c r="K84" s="18">
        <f>IF(B84="","",IFERROR(MONTH(B84),""))</f>
        <v/>
      </c>
      <c r="L84" s="5">
        <f>IF(COUNTA(A84:J84)=0,"",IF(E84="","Mangler motkonto",IF((F84="")=(G84=""),"Fyll ut enten Inn eller Ut",IF(OR(IFERROR(INDEX('Kontoplan'!$D$3:$D$302,MATCH(D84,'Kontoplan'!$H$3:$H$302,0))="Støttes ikke",FALSE),IFERROR(INDEX('Kontoplan'!$D$3:$D$302,MATCH(E84,'Kontoplan'!$H$3:$H$302,0))="Støttes ikke",FALSE)),"Kontoen støttes ikke",IF(IFERROR(AND(A84&gt;1,COUNTIF($A$3:$A$2002,A84-1)=0),FALSE),"Nummeret hopper over",IF(OR(NOT(ISNUMBER(B84)),B84&lt;DATE(2027,1,1),B84&gt;DATE(2027,12,31)),"Datoen er ikke i 2027",""))))))</f>
        <v/>
      </c>
    </row>
    <row r="85">
      <c r="A85" s="17" t="n"/>
      <c r="B85" s="9" t="n"/>
      <c r="C85" s="8" t="n"/>
      <c r="D85" s="8" t="n"/>
      <c r="E85" s="8" t="n"/>
      <c r="F85" s="14" t="n"/>
      <c r="G85" s="14" t="n"/>
      <c r="H85" s="8" t="n"/>
      <c r="I85" s="8" t="n"/>
      <c r="J85" s="8" t="n"/>
      <c r="K85" s="18">
        <f>IF(B85="","",IFERROR(MONTH(B85),""))</f>
        <v/>
      </c>
      <c r="L85" s="5">
        <f>IF(COUNTA(A85:J85)=0,"",IF(E85="","Mangler motkonto",IF((F85="")=(G85=""),"Fyll ut enten Inn eller Ut",IF(OR(IFERROR(INDEX('Kontoplan'!$D$3:$D$302,MATCH(D85,'Kontoplan'!$H$3:$H$302,0))="Støttes ikke",FALSE),IFERROR(INDEX('Kontoplan'!$D$3:$D$302,MATCH(E85,'Kontoplan'!$H$3:$H$302,0))="Støttes ikke",FALSE)),"Kontoen støttes ikke",IF(IFERROR(AND(A85&gt;1,COUNTIF($A$3:$A$2002,A85-1)=0),FALSE),"Nummeret hopper over",IF(OR(NOT(ISNUMBER(B85)),B85&lt;DATE(2027,1,1),B85&gt;DATE(2027,12,31)),"Datoen er ikke i 2027",""))))))</f>
        <v/>
      </c>
    </row>
    <row r="86">
      <c r="A86" s="17" t="n"/>
      <c r="B86" s="9" t="n"/>
      <c r="C86" s="8" t="n"/>
      <c r="D86" s="8" t="n"/>
      <c r="E86" s="8" t="n"/>
      <c r="F86" s="14" t="n"/>
      <c r="G86" s="14" t="n"/>
      <c r="H86" s="8" t="n"/>
      <c r="I86" s="8" t="n"/>
      <c r="J86" s="8" t="n"/>
      <c r="K86" s="18">
        <f>IF(B86="","",IFERROR(MONTH(B86),""))</f>
        <v/>
      </c>
      <c r="L86" s="5">
        <f>IF(COUNTA(A86:J86)=0,"",IF(E86="","Mangler motkonto",IF((F86="")=(G86=""),"Fyll ut enten Inn eller Ut",IF(OR(IFERROR(INDEX('Kontoplan'!$D$3:$D$302,MATCH(D86,'Kontoplan'!$H$3:$H$302,0))="Støttes ikke",FALSE),IFERROR(INDEX('Kontoplan'!$D$3:$D$302,MATCH(E86,'Kontoplan'!$H$3:$H$302,0))="Støttes ikke",FALSE)),"Kontoen støttes ikke",IF(IFERROR(AND(A86&gt;1,COUNTIF($A$3:$A$2002,A86-1)=0),FALSE),"Nummeret hopper over",IF(OR(NOT(ISNUMBER(B86)),B86&lt;DATE(2027,1,1),B86&gt;DATE(2027,12,31)),"Datoen er ikke i 2027",""))))))</f>
        <v/>
      </c>
    </row>
    <row r="87">
      <c r="A87" s="17" t="n"/>
      <c r="B87" s="9" t="n"/>
      <c r="C87" s="8" t="n"/>
      <c r="D87" s="8" t="n"/>
      <c r="E87" s="8" t="n"/>
      <c r="F87" s="14" t="n"/>
      <c r="G87" s="14" t="n"/>
      <c r="H87" s="8" t="n"/>
      <c r="I87" s="8" t="n"/>
      <c r="J87" s="8" t="n"/>
      <c r="K87" s="18">
        <f>IF(B87="","",IFERROR(MONTH(B87),""))</f>
        <v/>
      </c>
      <c r="L87" s="5">
        <f>IF(COUNTA(A87:J87)=0,"",IF(E87="","Mangler motkonto",IF((F87="")=(G87=""),"Fyll ut enten Inn eller Ut",IF(OR(IFERROR(INDEX('Kontoplan'!$D$3:$D$302,MATCH(D87,'Kontoplan'!$H$3:$H$302,0))="Støttes ikke",FALSE),IFERROR(INDEX('Kontoplan'!$D$3:$D$302,MATCH(E87,'Kontoplan'!$H$3:$H$302,0))="Støttes ikke",FALSE)),"Kontoen støttes ikke",IF(IFERROR(AND(A87&gt;1,COUNTIF($A$3:$A$2002,A87-1)=0),FALSE),"Nummeret hopper over",IF(OR(NOT(ISNUMBER(B87)),B87&lt;DATE(2027,1,1),B87&gt;DATE(2027,12,31)),"Datoen er ikke i 2027",""))))))</f>
        <v/>
      </c>
    </row>
    <row r="88">
      <c r="A88" s="17" t="n"/>
      <c r="B88" s="9" t="n"/>
      <c r="C88" s="8" t="n"/>
      <c r="D88" s="8" t="n"/>
      <c r="E88" s="8" t="n"/>
      <c r="F88" s="14" t="n"/>
      <c r="G88" s="14" t="n"/>
      <c r="H88" s="8" t="n"/>
      <c r="I88" s="8" t="n"/>
      <c r="J88" s="8" t="n"/>
      <c r="K88" s="18">
        <f>IF(B88="","",IFERROR(MONTH(B88),""))</f>
        <v/>
      </c>
      <c r="L88" s="5">
        <f>IF(COUNTA(A88:J88)=0,"",IF(E88="","Mangler motkonto",IF((F88="")=(G88=""),"Fyll ut enten Inn eller Ut",IF(OR(IFERROR(INDEX('Kontoplan'!$D$3:$D$302,MATCH(D88,'Kontoplan'!$H$3:$H$302,0))="Støttes ikke",FALSE),IFERROR(INDEX('Kontoplan'!$D$3:$D$302,MATCH(E88,'Kontoplan'!$H$3:$H$302,0))="Støttes ikke",FALSE)),"Kontoen støttes ikke",IF(IFERROR(AND(A88&gt;1,COUNTIF($A$3:$A$2002,A88-1)=0),FALSE),"Nummeret hopper over",IF(OR(NOT(ISNUMBER(B88)),B88&lt;DATE(2027,1,1),B88&gt;DATE(2027,12,31)),"Datoen er ikke i 2027",""))))))</f>
        <v/>
      </c>
    </row>
    <row r="89">
      <c r="A89" s="17" t="n"/>
      <c r="B89" s="9" t="n"/>
      <c r="C89" s="8" t="n"/>
      <c r="D89" s="8" t="n"/>
      <c r="E89" s="8" t="n"/>
      <c r="F89" s="14" t="n"/>
      <c r="G89" s="14" t="n"/>
      <c r="H89" s="8" t="n"/>
      <c r="I89" s="8" t="n"/>
      <c r="J89" s="8" t="n"/>
      <c r="K89" s="18">
        <f>IF(B89="","",IFERROR(MONTH(B89),""))</f>
        <v/>
      </c>
      <c r="L89" s="5">
        <f>IF(COUNTA(A89:J89)=0,"",IF(E89="","Mangler motkonto",IF((F89="")=(G89=""),"Fyll ut enten Inn eller Ut",IF(OR(IFERROR(INDEX('Kontoplan'!$D$3:$D$302,MATCH(D89,'Kontoplan'!$H$3:$H$302,0))="Støttes ikke",FALSE),IFERROR(INDEX('Kontoplan'!$D$3:$D$302,MATCH(E89,'Kontoplan'!$H$3:$H$302,0))="Støttes ikke",FALSE)),"Kontoen støttes ikke",IF(IFERROR(AND(A89&gt;1,COUNTIF($A$3:$A$2002,A89-1)=0),FALSE),"Nummeret hopper over",IF(OR(NOT(ISNUMBER(B89)),B89&lt;DATE(2027,1,1),B89&gt;DATE(2027,12,31)),"Datoen er ikke i 2027",""))))))</f>
        <v/>
      </c>
    </row>
    <row r="90">
      <c r="A90" s="17" t="n"/>
      <c r="B90" s="9" t="n"/>
      <c r="C90" s="8" t="n"/>
      <c r="D90" s="8" t="n"/>
      <c r="E90" s="8" t="n"/>
      <c r="F90" s="14" t="n"/>
      <c r="G90" s="14" t="n"/>
      <c r="H90" s="8" t="n"/>
      <c r="I90" s="8" t="n"/>
      <c r="J90" s="8" t="n"/>
      <c r="K90" s="18">
        <f>IF(B90="","",IFERROR(MONTH(B90),""))</f>
        <v/>
      </c>
      <c r="L90" s="5">
        <f>IF(COUNTA(A90:J90)=0,"",IF(E90="","Mangler motkonto",IF((F90="")=(G90=""),"Fyll ut enten Inn eller Ut",IF(OR(IFERROR(INDEX('Kontoplan'!$D$3:$D$302,MATCH(D90,'Kontoplan'!$H$3:$H$302,0))="Støttes ikke",FALSE),IFERROR(INDEX('Kontoplan'!$D$3:$D$302,MATCH(E90,'Kontoplan'!$H$3:$H$302,0))="Støttes ikke",FALSE)),"Kontoen støttes ikke",IF(IFERROR(AND(A90&gt;1,COUNTIF($A$3:$A$2002,A90-1)=0),FALSE),"Nummeret hopper over",IF(OR(NOT(ISNUMBER(B90)),B90&lt;DATE(2027,1,1),B90&gt;DATE(2027,12,31)),"Datoen er ikke i 2027",""))))))</f>
        <v/>
      </c>
    </row>
    <row r="91">
      <c r="A91" s="17" t="n"/>
      <c r="B91" s="9" t="n"/>
      <c r="C91" s="8" t="n"/>
      <c r="D91" s="8" t="n"/>
      <c r="E91" s="8" t="n"/>
      <c r="F91" s="14" t="n"/>
      <c r="G91" s="14" t="n"/>
      <c r="H91" s="8" t="n"/>
      <c r="I91" s="8" t="n"/>
      <c r="J91" s="8" t="n"/>
      <c r="K91" s="18">
        <f>IF(B91="","",IFERROR(MONTH(B91),""))</f>
        <v/>
      </c>
      <c r="L91" s="5">
        <f>IF(COUNTA(A91:J91)=0,"",IF(E91="","Mangler motkonto",IF((F91="")=(G91=""),"Fyll ut enten Inn eller Ut",IF(OR(IFERROR(INDEX('Kontoplan'!$D$3:$D$302,MATCH(D91,'Kontoplan'!$H$3:$H$302,0))="Støttes ikke",FALSE),IFERROR(INDEX('Kontoplan'!$D$3:$D$302,MATCH(E91,'Kontoplan'!$H$3:$H$302,0))="Støttes ikke",FALSE)),"Kontoen støttes ikke",IF(IFERROR(AND(A91&gt;1,COUNTIF($A$3:$A$2002,A91-1)=0),FALSE),"Nummeret hopper over",IF(OR(NOT(ISNUMBER(B91)),B91&lt;DATE(2027,1,1),B91&gt;DATE(2027,12,31)),"Datoen er ikke i 2027",""))))))</f>
        <v/>
      </c>
    </row>
    <row r="92">
      <c r="A92" s="17" t="n"/>
      <c r="B92" s="9" t="n"/>
      <c r="C92" s="8" t="n"/>
      <c r="D92" s="8" t="n"/>
      <c r="E92" s="8" t="n"/>
      <c r="F92" s="14" t="n"/>
      <c r="G92" s="14" t="n"/>
      <c r="H92" s="8" t="n"/>
      <c r="I92" s="8" t="n"/>
      <c r="J92" s="8" t="n"/>
      <c r="K92" s="18">
        <f>IF(B92="","",IFERROR(MONTH(B92),""))</f>
        <v/>
      </c>
      <c r="L92" s="5">
        <f>IF(COUNTA(A92:J92)=0,"",IF(E92="","Mangler motkonto",IF((F92="")=(G92=""),"Fyll ut enten Inn eller Ut",IF(OR(IFERROR(INDEX('Kontoplan'!$D$3:$D$302,MATCH(D92,'Kontoplan'!$H$3:$H$302,0))="Støttes ikke",FALSE),IFERROR(INDEX('Kontoplan'!$D$3:$D$302,MATCH(E92,'Kontoplan'!$H$3:$H$302,0))="Støttes ikke",FALSE)),"Kontoen støttes ikke",IF(IFERROR(AND(A92&gt;1,COUNTIF($A$3:$A$2002,A92-1)=0),FALSE),"Nummeret hopper over",IF(OR(NOT(ISNUMBER(B92)),B92&lt;DATE(2027,1,1),B92&gt;DATE(2027,12,31)),"Datoen er ikke i 2027",""))))))</f>
        <v/>
      </c>
    </row>
    <row r="93">
      <c r="A93" s="17" t="n"/>
      <c r="B93" s="9" t="n"/>
      <c r="C93" s="8" t="n"/>
      <c r="D93" s="8" t="n"/>
      <c r="E93" s="8" t="n"/>
      <c r="F93" s="14" t="n"/>
      <c r="G93" s="14" t="n"/>
      <c r="H93" s="8" t="n"/>
      <c r="I93" s="8" t="n"/>
      <c r="J93" s="8" t="n"/>
      <c r="K93" s="18">
        <f>IF(B93="","",IFERROR(MONTH(B93),""))</f>
        <v/>
      </c>
      <c r="L93" s="5">
        <f>IF(COUNTA(A93:J93)=0,"",IF(E93="","Mangler motkonto",IF((F93="")=(G93=""),"Fyll ut enten Inn eller Ut",IF(OR(IFERROR(INDEX('Kontoplan'!$D$3:$D$302,MATCH(D93,'Kontoplan'!$H$3:$H$302,0))="Støttes ikke",FALSE),IFERROR(INDEX('Kontoplan'!$D$3:$D$302,MATCH(E93,'Kontoplan'!$H$3:$H$302,0))="Støttes ikke",FALSE)),"Kontoen støttes ikke",IF(IFERROR(AND(A93&gt;1,COUNTIF($A$3:$A$2002,A93-1)=0),FALSE),"Nummeret hopper over",IF(OR(NOT(ISNUMBER(B93)),B93&lt;DATE(2027,1,1),B93&gt;DATE(2027,12,31)),"Datoen er ikke i 2027",""))))))</f>
        <v/>
      </c>
    </row>
    <row r="94">
      <c r="A94" s="17" t="n"/>
      <c r="B94" s="9" t="n"/>
      <c r="C94" s="8" t="n"/>
      <c r="D94" s="8" t="n"/>
      <c r="E94" s="8" t="n"/>
      <c r="F94" s="14" t="n"/>
      <c r="G94" s="14" t="n"/>
      <c r="H94" s="8" t="n"/>
      <c r="I94" s="8" t="n"/>
      <c r="J94" s="8" t="n"/>
      <c r="K94" s="18">
        <f>IF(B94="","",IFERROR(MONTH(B94),""))</f>
        <v/>
      </c>
      <c r="L94" s="5">
        <f>IF(COUNTA(A94:J94)=0,"",IF(E94="","Mangler motkonto",IF((F94="")=(G94=""),"Fyll ut enten Inn eller Ut",IF(OR(IFERROR(INDEX('Kontoplan'!$D$3:$D$302,MATCH(D94,'Kontoplan'!$H$3:$H$302,0))="Støttes ikke",FALSE),IFERROR(INDEX('Kontoplan'!$D$3:$D$302,MATCH(E94,'Kontoplan'!$H$3:$H$302,0))="Støttes ikke",FALSE)),"Kontoen støttes ikke",IF(IFERROR(AND(A94&gt;1,COUNTIF($A$3:$A$2002,A94-1)=0),FALSE),"Nummeret hopper over",IF(OR(NOT(ISNUMBER(B94)),B94&lt;DATE(2027,1,1),B94&gt;DATE(2027,12,31)),"Datoen er ikke i 2027",""))))))</f>
        <v/>
      </c>
    </row>
    <row r="95">
      <c r="A95" s="17" t="n"/>
      <c r="B95" s="9" t="n"/>
      <c r="C95" s="8" t="n"/>
      <c r="D95" s="8" t="n"/>
      <c r="E95" s="8" t="n"/>
      <c r="F95" s="14" t="n"/>
      <c r="G95" s="14" t="n"/>
      <c r="H95" s="8" t="n"/>
      <c r="I95" s="8" t="n"/>
      <c r="J95" s="8" t="n"/>
      <c r="K95" s="18">
        <f>IF(B95="","",IFERROR(MONTH(B95),""))</f>
        <v/>
      </c>
      <c r="L95" s="5">
        <f>IF(COUNTA(A95:J95)=0,"",IF(E95="","Mangler motkonto",IF((F95="")=(G95=""),"Fyll ut enten Inn eller Ut",IF(OR(IFERROR(INDEX('Kontoplan'!$D$3:$D$302,MATCH(D95,'Kontoplan'!$H$3:$H$302,0))="Støttes ikke",FALSE),IFERROR(INDEX('Kontoplan'!$D$3:$D$302,MATCH(E95,'Kontoplan'!$H$3:$H$302,0))="Støttes ikke",FALSE)),"Kontoen støttes ikke",IF(IFERROR(AND(A95&gt;1,COUNTIF($A$3:$A$2002,A95-1)=0),FALSE),"Nummeret hopper over",IF(OR(NOT(ISNUMBER(B95)),B95&lt;DATE(2027,1,1),B95&gt;DATE(2027,12,31)),"Datoen er ikke i 2027",""))))))</f>
        <v/>
      </c>
    </row>
    <row r="96">
      <c r="A96" s="17" t="n"/>
      <c r="B96" s="9" t="n"/>
      <c r="C96" s="8" t="n"/>
      <c r="D96" s="8" t="n"/>
      <c r="E96" s="8" t="n"/>
      <c r="F96" s="14" t="n"/>
      <c r="G96" s="14" t="n"/>
      <c r="H96" s="8" t="n"/>
      <c r="I96" s="8" t="n"/>
      <c r="J96" s="8" t="n"/>
      <c r="K96" s="18">
        <f>IF(B96="","",IFERROR(MONTH(B96),""))</f>
        <v/>
      </c>
      <c r="L96" s="5">
        <f>IF(COUNTA(A96:J96)=0,"",IF(E96="","Mangler motkonto",IF((F96="")=(G96=""),"Fyll ut enten Inn eller Ut",IF(OR(IFERROR(INDEX('Kontoplan'!$D$3:$D$302,MATCH(D96,'Kontoplan'!$H$3:$H$302,0))="Støttes ikke",FALSE),IFERROR(INDEX('Kontoplan'!$D$3:$D$302,MATCH(E96,'Kontoplan'!$H$3:$H$302,0))="Støttes ikke",FALSE)),"Kontoen støttes ikke",IF(IFERROR(AND(A96&gt;1,COUNTIF($A$3:$A$2002,A96-1)=0),FALSE),"Nummeret hopper over",IF(OR(NOT(ISNUMBER(B96)),B96&lt;DATE(2027,1,1),B96&gt;DATE(2027,12,31)),"Datoen er ikke i 2027",""))))))</f>
        <v/>
      </c>
    </row>
    <row r="97">
      <c r="A97" s="17" t="n"/>
      <c r="B97" s="9" t="n"/>
      <c r="C97" s="8" t="n"/>
      <c r="D97" s="8" t="n"/>
      <c r="E97" s="8" t="n"/>
      <c r="F97" s="14" t="n"/>
      <c r="G97" s="14" t="n"/>
      <c r="H97" s="8" t="n"/>
      <c r="I97" s="8" t="n"/>
      <c r="J97" s="8" t="n"/>
      <c r="K97" s="18">
        <f>IF(B97="","",IFERROR(MONTH(B97),""))</f>
        <v/>
      </c>
      <c r="L97" s="5">
        <f>IF(COUNTA(A97:J97)=0,"",IF(E97="","Mangler motkonto",IF((F97="")=(G97=""),"Fyll ut enten Inn eller Ut",IF(OR(IFERROR(INDEX('Kontoplan'!$D$3:$D$302,MATCH(D97,'Kontoplan'!$H$3:$H$302,0))="Støttes ikke",FALSE),IFERROR(INDEX('Kontoplan'!$D$3:$D$302,MATCH(E97,'Kontoplan'!$H$3:$H$302,0))="Støttes ikke",FALSE)),"Kontoen støttes ikke",IF(IFERROR(AND(A97&gt;1,COUNTIF($A$3:$A$2002,A97-1)=0),FALSE),"Nummeret hopper over",IF(OR(NOT(ISNUMBER(B97)),B97&lt;DATE(2027,1,1),B97&gt;DATE(2027,12,31)),"Datoen er ikke i 2027",""))))))</f>
        <v/>
      </c>
    </row>
    <row r="98">
      <c r="A98" s="17" t="n"/>
      <c r="B98" s="9" t="n"/>
      <c r="C98" s="8" t="n"/>
      <c r="D98" s="8" t="n"/>
      <c r="E98" s="8" t="n"/>
      <c r="F98" s="14" t="n"/>
      <c r="G98" s="14" t="n"/>
      <c r="H98" s="8" t="n"/>
      <c r="I98" s="8" t="n"/>
      <c r="J98" s="8" t="n"/>
      <c r="K98" s="18">
        <f>IF(B98="","",IFERROR(MONTH(B98),""))</f>
        <v/>
      </c>
      <c r="L98" s="5">
        <f>IF(COUNTA(A98:J98)=0,"",IF(E98="","Mangler motkonto",IF((F98="")=(G98=""),"Fyll ut enten Inn eller Ut",IF(OR(IFERROR(INDEX('Kontoplan'!$D$3:$D$302,MATCH(D98,'Kontoplan'!$H$3:$H$302,0))="Støttes ikke",FALSE),IFERROR(INDEX('Kontoplan'!$D$3:$D$302,MATCH(E98,'Kontoplan'!$H$3:$H$302,0))="Støttes ikke",FALSE)),"Kontoen støttes ikke",IF(IFERROR(AND(A98&gt;1,COUNTIF($A$3:$A$2002,A98-1)=0),FALSE),"Nummeret hopper over",IF(OR(NOT(ISNUMBER(B98)),B98&lt;DATE(2027,1,1),B98&gt;DATE(2027,12,31)),"Datoen er ikke i 2027",""))))))</f>
        <v/>
      </c>
    </row>
    <row r="99">
      <c r="A99" s="17" t="n"/>
      <c r="B99" s="9" t="n"/>
      <c r="C99" s="8" t="n"/>
      <c r="D99" s="8" t="n"/>
      <c r="E99" s="8" t="n"/>
      <c r="F99" s="14" t="n"/>
      <c r="G99" s="14" t="n"/>
      <c r="H99" s="8" t="n"/>
      <c r="I99" s="8" t="n"/>
      <c r="J99" s="8" t="n"/>
      <c r="K99" s="18">
        <f>IF(B99="","",IFERROR(MONTH(B99),""))</f>
        <v/>
      </c>
      <c r="L99" s="5">
        <f>IF(COUNTA(A99:J99)=0,"",IF(E99="","Mangler motkonto",IF((F99="")=(G99=""),"Fyll ut enten Inn eller Ut",IF(OR(IFERROR(INDEX('Kontoplan'!$D$3:$D$302,MATCH(D99,'Kontoplan'!$H$3:$H$302,0))="Støttes ikke",FALSE),IFERROR(INDEX('Kontoplan'!$D$3:$D$302,MATCH(E99,'Kontoplan'!$H$3:$H$302,0))="Støttes ikke",FALSE)),"Kontoen støttes ikke",IF(IFERROR(AND(A99&gt;1,COUNTIF($A$3:$A$2002,A99-1)=0),FALSE),"Nummeret hopper over",IF(OR(NOT(ISNUMBER(B99)),B99&lt;DATE(2027,1,1),B99&gt;DATE(2027,12,31)),"Datoen er ikke i 2027",""))))))</f>
        <v/>
      </c>
    </row>
    <row r="100">
      <c r="A100" s="17" t="n"/>
      <c r="B100" s="9" t="n"/>
      <c r="C100" s="8" t="n"/>
      <c r="D100" s="8" t="n"/>
      <c r="E100" s="8" t="n"/>
      <c r="F100" s="14" t="n"/>
      <c r="G100" s="14" t="n"/>
      <c r="H100" s="8" t="n"/>
      <c r="I100" s="8" t="n"/>
      <c r="J100" s="8" t="n"/>
      <c r="K100" s="18">
        <f>IF(B100="","",IFERROR(MONTH(B100),""))</f>
        <v/>
      </c>
      <c r="L100" s="5">
        <f>IF(COUNTA(A100:J100)=0,"",IF(E100="","Mangler motkonto",IF((F100="")=(G100=""),"Fyll ut enten Inn eller Ut",IF(OR(IFERROR(INDEX('Kontoplan'!$D$3:$D$302,MATCH(D100,'Kontoplan'!$H$3:$H$302,0))="Støttes ikke",FALSE),IFERROR(INDEX('Kontoplan'!$D$3:$D$302,MATCH(E100,'Kontoplan'!$H$3:$H$302,0))="Støttes ikke",FALSE)),"Kontoen støttes ikke",IF(IFERROR(AND(A100&gt;1,COUNTIF($A$3:$A$2002,A100-1)=0),FALSE),"Nummeret hopper over",IF(OR(NOT(ISNUMBER(B100)),B100&lt;DATE(2027,1,1),B100&gt;DATE(2027,12,31)),"Datoen er ikke i 2027",""))))))</f>
        <v/>
      </c>
    </row>
    <row r="101">
      <c r="A101" s="17" t="n"/>
      <c r="B101" s="9" t="n"/>
      <c r="C101" s="8" t="n"/>
      <c r="D101" s="8" t="n"/>
      <c r="E101" s="8" t="n"/>
      <c r="F101" s="14" t="n"/>
      <c r="G101" s="14" t="n"/>
      <c r="H101" s="8" t="n"/>
      <c r="I101" s="8" t="n"/>
      <c r="J101" s="8" t="n"/>
      <c r="K101" s="18">
        <f>IF(B101="","",IFERROR(MONTH(B101),""))</f>
        <v/>
      </c>
      <c r="L101" s="5">
        <f>IF(COUNTA(A101:J101)=0,"",IF(E101="","Mangler motkonto",IF((F101="")=(G101=""),"Fyll ut enten Inn eller Ut",IF(OR(IFERROR(INDEX('Kontoplan'!$D$3:$D$302,MATCH(D101,'Kontoplan'!$H$3:$H$302,0))="Støttes ikke",FALSE),IFERROR(INDEX('Kontoplan'!$D$3:$D$302,MATCH(E101,'Kontoplan'!$H$3:$H$302,0))="Støttes ikke",FALSE)),"Kontoen støttes ikke",IF(IFERROR(AND(A101&gt;1,COUNTIF($A$3:$A$2002,A101-1)=0),FALSE),"Nummeret hopper over",IF(OR(NOT(ISNUMBER(B101)),B101&lt;DATE(2027,1,1),B101&gt;DATE(2027,12,31)),"Datoen er ikke i 2027",""))))))</f>
        <v/>
      </c>
    </row>
    <row r="102">
      <c r="A102" s="17" t="n"/>
      <c r="B102" s="9" t="n"/>
      <c r="C102" s="8" t="n"/>
      <c r="D102" s="8" t="n"/>
      <c r="E102" s="8" t="n"/>
      <c r="F102" s="14" t="n"/>
      <c r="G102" s="14" t="n"/>
      <c r="H102" s="8" t="n"/>
      <c r="I102" s="8" t="n"/>
      <c r="J102" s="8" t="n"/>
      <c r="K102" s="18">
        <f>IF(B102="","",IFERROR(MONTH(B102),""))</f>
        <v/>
      </c>
      <c r="L102" s="5">
        <f>IF(COUNTA(A102:J102)=0,"",IF(E102="","Mangler motkonto",IF((F102="")=(G102=""),"Fyll ut enten Inn eller Ut",IF(OR(IFERROR(INDEX('Kontoplan'!$D$3:$D$302,MATCH(D102,'Kontoplan'!$H$3:$H$302,0))="Støttes ikke",FALSE),IFERROR(INDEX('Kontoplan'!$D$3:$D$302,MATCH(E102,'Kontoplan'!$H$3:$H$302,0))="Støttes ikke",FALSE)),"Kontoen støttes ikke",IF(IFERROR(AND(A102&gt;1,COUNTIF($A$3:$A$2002,A102-1)=0),FALSE),"Nummeret hopper over",IF(OR(NOT(ISNUMBER(B102)),B102&lt;DATE(2027,1,1),B102&gt;DATE(2027,12,31)),"Datoen er ikke i 2027",""))))))</f>
        <v/>
      </c>
    </row>
    <row r="103">
      <c r="A103" s="17" t="n"/>
      <c r="B103" s="9" t="n"/>
      <c r="C103" s="8" t="n"/>
      <c r="D103" s="8" t="n"/>
      <c r="E103" s="8" t="n"/>
      <c r="F103" s="14" t="n"/>
      <c r="G103" s="14" t="n"/>
      <c r="H103" s="8" t="n"/>
      <c r="I103" s="8" t="n"/>
      <c r="J103" s="8" t="n"/>
      <c r="K103" s="18">
        <f>IF(B103="","",IFERROR(MONTH(B103),""))</f>
        <v/>
      </c>
      <c r="L103" s="5">
        <f>IF(COUNTA(A103:J103)=0,"",IF(E103="","Mangler motkonto",IF((F103="")=(G103=""),"Fyll ut enten Inn eller Ut",IF(OR(IFERROR(INDEX('Kontoplan'!$D$3:$D$302,MATCH(D103,'Kontoplan'!$H$3:$H$302,0))="Støttes ikke",FALSE),IFERROR(INDEX('Kontoplan'!$D$3:$D$302,MATCH(E103,'Kontoplan'!$H$3:$H$302,0))="Støttes ikke",FALSE)),"Kontoen støttes ikke",IF(IFERROR(AND(A103&gt;1,COUNTIF($A$3:$A$2002,A103-1)=0),FALSE),"Nummeret hopper over",IF(OR(NOT(ISNUMBER(B103)),B103&lt;DATE(2027,1,1),B103&gt;DATE(2027,12,31)),"Datoen er ikke i 2027",""))))))</f>
        <v/>
      </c>
    </row>
    <row r="104">
      <c r="A104" s="17" t="n"/>
      <c r="B104" s="9" t="n"/>
      <c r="C104" s="8" t="n"/>
      <c r="D104" s="8" t="n"/>
      <c r="E104" s="8" t="n"/>
      <c r="F104" s="14" t="n"/>
      <c r="G104" s="14" t="n"/>
      <c r="H104" s="8" t="n"/>
      <c r="I104" s="8" t="n"/>
      <c r="J104" s="8" t="n"/>
      <c r="K104" s="18">
        <f>IF(B104="","",IFERROR(MONTH(B104),""))</f>
        <v/>
      </c>
      <c r="L104" s="5">
        <f>IF(COUNTA(A104:J104)=0,"",IF(E104="","Mangler motkonto",IF((F104="")=(G104=""),"Fyll ut enten Inn eller Ut",IF(OR(IFERROR(INDEX('Kontoplan'!$D$3:$D$302,MATCH(D104,'Kontoplan'!$H$3:$H$302,0))="Støttes ikke",FALSE),IFERROR(INDEX('Kontoplan'!$D$3:$D$302,MATCH(E104,'Kontoplan'!$H$3:$H$302,0))="Støttes ikke",FALSE)),"Kontoen støttes ikke",IF(IFERROR(AND(A104&gt;1,COUNTIF($A$3:$A$2002,A104-1)=0),FALSE),"Nummeret hopper over",IF(OR(NOT(ISNUMBER(B104)),B104&lt;DATE(2027,1,1),B104&gt;DATE(2027,12,31)),"Datoen er ikke i 2027",""))))))</f>
        <v/>
      </c>
    </row>
    <row r="105">
      <c r="A105" s="17" t="n"/>
      <c r="B105" s="9" t="n"/>
      <c r="C105" s="8" t="n"/>
      <c r="D105" s="8" t="n"/>
      <c r="E105" s="8" t="n"/>
      <c r="F105" s="14" t="n"/>
      <c r="G105" s="14" t="n"/>
      <c r="H105" s="8" t="n"/>
      <c r="I105" s="8" t="n"/>
      <c r="J105" s="8" t="n"/>
      <c r="K105" s="18">
        <f>IF(B105="","",IFERROR(MONTH(B105),""))</f>
        <v/>
      </c>
      <c r="L105" s="5">
        <f>IF(COUNTA(A105:J105)=0,"",IF(E105="","Mangler motkonto",IF((F105="")=(G105=""),"Fyll ut enten Inn eller Ut",IF(OR(IFERROR(INDEX('Kontoplan'!$D$3:$D$302,MATCH(D105,'Kontoplan'!$H$3:$H$302,0))="Støttes ikke",FALSE),IFERROR(INDEX('Kontoplan'!$D$3:$D$302,MATCH(E105,'Kontoplan'!$H$3:$H$302,0))="Støttes ikke",FALSE)),"Kontoen støttes ikke",IF(IFERROR(AND(A105&gt;1,COUNTIF($A$3:$A$2002,A105-1)=0),FALSE),"Nummeret hopper over",IF(OR(NOT(ISNUMBER(B105)),B105&lt;DATE(2027,1,1),B105&gt;DATE(2027,12,31)),"Datoen er ikke i 2027",""))))))</f>
        <v/>
      </c>
    </row>
    <row r="106">
      <c r="A106" s="17" t="n"/>
      <c r="B106" s="9" t="n"/>
      <c r="C106" s="8" t="n"/>
      <c r="D106" s="8" t="n"/>
      <c r="E106" s="8" t="n"/>
      <c r="F106" s="14" t="n"/>
      <c r="G106" s="14" t="n"/>
      <c r="H106" s="8" t="n"/>
      <c r="I106" s="8" t="n"/>
      <c r="J106" s="8" t="n"/>
      <c r="K106" s="18">
        <f>IF(B106="","",IFERROR(MONTH(B106),""))</f>
        <v/>
      </c>
      <c r="L106" s="5">
        <f>IF(COUNTA(A106:J106)=0,"",IF(E106="","Mangler motkonto",IF((F106="")=(G106=""),"Fyll ut enten Inn eller Ut",IF(OR(IFERROR(INDEX('Kontoplan'!$D$3:$D$302,MATCH(D106,'Kontoplan'!$H$3:$H$302,0))="Støttes ikke",FALSE),IFERROR(INDEX('Kontoplan'!$D$3:$D$302,MATCH(E106,'Kontoplan'!$H$3:$H$302,0))="Støttes ikke",FALSE)),"Kontoen støttes ikke",IF(IFERROR(AND(A106&gt;1,COUNTIF($A$3:$A$2002,A106-1)=0),FALSE),"Nummeret hopper over",IF(OR(NOT(ISNUMBER(B106)),B106&lt;DATE(2027,1,1),B106&gt;DATE(2027,12,31)),"Datoen er ikke i 2027",""))))))</f>
        <v/>
      </c>
    </row>
    <row r="107">
      <c r="A107" s="17" t="n"/>
      <c r="B107" s="9" t="n"/>
      <c r="C107" s="8" t="n"/>
      <c r="D107" s="8" t="n"/>
      <c r="E107" s="8" t="n"/>
      <c r="F107" s="14" t="n"/>
      <c r="G107" s="14" t="n"/>
      <c r="H107" s="8" t="n"/>
      <c r="I107" s="8" t="n"/>
      <c r="J107" s="8" t="n"/>
      <c r="K107" s="18">
        <f>IF(B107="","",IFERROR(MONTH(B107),""))</f>
        <v/>
      </c>
      <c r="L107" s="5">
        <f>IF(COUNTA(A107:J107)=0,"",IF(E107="","Mangler motkonto",IF((F107="")=(G107=""),"Fyll ut enten Inn eller Ut",IF(OR(IFERROR(INDEX('Kontoplan'!$D$3:$D$302,MATCH(D107,'Kontoplan'!$H$3:$H$302,0))="Støttes ikke",FALSE),IFERROR(INDEX('Kontoplan'!$D$3:$D$302,MATCH(E107,'Kontoplan'!$H$3:$H$302,0))="Støttes ikke",FALSE)),"Kontoen støttes ikke",IF(IFERROR(AND(A107&gt;1,COUNTIF($A$3:$A$2002,A107-1)=0),FALSE),"Nummeret hopper over",IF(OR(NOT(ISNUMBER(B107)),B107&lt;DATE(2027,1,1),B107&gt;DATE(2027,12,31)),"Datoen er ikke i 2027",""))))))</f>
        <v/>
      </c>
    </row>
    <row r="108">
      <c r="A108" s="17" t="n"/>
      <c r="B108" s="9" t="n"/>
      <c r="C108" s="8" t="n"/>
      <c r="D108" s="8" t="n"/>
      <c r="E108" s="8" t="n"/>
      <c r="F108" s="14" t="n"/>
      <c r="G108" s="14" t="n"/>
      <c r="H108" s="8" t="n"/>
      <c r="I108" s="8" t="n"/>
      <c r="J108" s="8" t="n"/>
      <c r="K108" s="18">
        <f>IF(B108="","",IFERROR(MONTH(B108),""))</f>
        <v/>
      </c>
      <c r="L108" s="5">
        <f>IF(COUNTA(A108:J108)=0,"",IF(E108="","Mangler motkonto",IF((F108="")=(G108=""),"Fyll ut enten Inn eller Ut",IF(OR(IFERROR(INDEX('Kontoplan'!$D$3:$D$302,MATCH(D108,'Kontoplan'!$H$3:$H$302,0))="Støttes ikke",FALSE),IFERROR(INDEX('Kontoplan'!$D$3:$D$302,MATCH(E108,'Kontoplan'!$H$3:$H$302,0))="Støttes ikke",FALSE)),"Kontoen støttes ikke",IF(IFERROR(AND(A108&gt;1,COUNTIF($A$3:$A$2002,A108-1)=0),FALSE),"Nummeret hopper over",IF(OR(NOT(ISNUMBER(B108)),B108&lt;DATE(2027,1,1),B108&gt;DATE(2027,12,31)),"Datoen er ikke i 2027",""))))))</f>
        <v/>
      </c>
    </row>
    <row r="109">
      <c r="A109" s="17" t="n"/>
      <c r="B109" s="9" t="n"/>
      <c r="C109" s="8" t="n"/>
      <c r="D109" s="8" t="n"/>
      <c r="E109" s="8" t="n"/>
      <c r="F109" s="14" t="n"/>
      <c r="G109" s="14" t="n"/>
      <c r="H109" s="8" t="n"/>
      <c r="I109" s="8" t="n"/>
      <c r="J109" s="8" t="n"/>
      <c r="K109" s="18">
        <f>IF(B109="","",IFERROR(MONTH(B109),""))</f>
        <v/>
      </c>
      <c r="L109" s="5">
        <f>IF(COUNTA(A109:J109)=0,"",IF(E109="","Mangler motkonto",IF((F109="")=(G109=""),"Fyll ut enten Inn eller Ut",IF(OR(IFERROR(INDEX('Kontoplan'!$D$3:$D$302,MATCH(D109,'Kontoplan'!$H$3:$H$302,0))="Støttes ikke",FALSE),IFERROR(INDEX('Kontoplan'!$D$3:$D$302,MATCH(E109,'Kontoplan'!$H$3:$H$302,0))="Støttes ikke",FALSE)),"Kontoen støttes ikke",IF(IFERROR(AND(A109&gt;1,COUNTIF($A$3:$A$2002,A109-1)=0),FALSE),"Nummeret hopper over",IF(OR(NOT(ISNUMBER(B109)),B109&lt;DATE(2027,1,1),B109&gt;DATE(2027,12,31)),"Datoen er ikke i 2027",""))))))</f>
        <v/>
      </c>
    </row>
    <row r="110">
      <c r="A110" s="17" t="n"/>
      <c r="B110" s="9" t="n"/>
      <c r="C110" s="8" t="n"/>
      <c r="D110" s="8" t="n"/>
      <c r="E110" s="8" t="n"/>
      <c r="F110" s="14" t="n"/>
      <c r="G110" s="14" t="n"/>
      <c r="H110" s="8" t="n"/>
      <c r="I110" s="8" t="n"/>
      <c r="J110" s="8" t="n"/>
      <c r="K110" s="18">
        <f>IF(B110="","",IFERROR(MONTH(B110),""))</f>
        <v/>
      </c>
      <c r="L110" s="5">
        <f>IF(COUNTA(A110:J110)=0,"",IF(E110="","Mangler motkonto",IF((F110="")=(G110=""),"Fyll ut enten Inn eller Ut",IF(OR(IFERROR(INDEX('Kontoplan'!$D$3:$D$302,MATCH(D110,'Kontoplan'!$H$3:$H$302,0))="Støttes ikke",FALSE),IFERROR(INDEX('Kontoplan'!$D$3:$D$302,MATCH(E110,'Kontoplan'!$H$3:$H$302,0))="Støttes ikke",FALSE)),"Kontoen støttes ikke",IF(IFERROR(AND(A110&gt;1,COUNTIF($A$3:$A$2002,A110-1)=0),FALSE),"Nummeret hopper over",IF(OR(NOT(ISNUMBER(B110)),B110&lt;DATE(2027,1,1),B110&gt;DATE(2027,12,31)),"Datoen er ikke i 2027",""))))))</f>
        <v/>
      </c>
    </row>
    <row r="111">
      <c r="A111" s="17" t="n"/>
      <c r="B111" s="9" t="n"/>
      <c r="C111" s="8" t="n"/>
      <c r="D111" s="8" t="n"/>
      <c r="E111" s="8" t="n"/>
      <c r="F111" s="14" t="n"/>
      <c r="G111" s="14" t="n"/>
      <c r="H111" s="8" t="n"/>
      <c r="I111" s="8" t="n"/>
      <c r="J111" s="8" t="n"/>
      <c r="K111" s="18">
        <f>IF(B111="","",IFERROR(MONTH(B111),""))</f>
        <v/>
      </c>
      <c r="L111" s="5">
        <f>IF(COUNTA(A111:J111)=0,"",IF(E111="","Mangler motkonto",IF((F111="")=(G111=""),"Fyll ut enten Inn eller Ut",IF(OR(IFERROR(INDEX('Kontoplan'!$D$3:$D$302,MATCH(D111,'Kontoplan'!$H$3:$H$302,0))="Støttes ikke",FALSE),IFERROR(INDEX('Kontoplan'!$D$3:$D$302,MATCH(E111,'Kontoplan'!$H$3:$H$302,0))="Støttes ikke",FALSE)),"Kontoen støttes ikke",IF(IFERROR(AND(A111&gt;1,COUNTIF($A$3:$A$2002,A111-1)=0),FALSE),"Nummeret hopper over",IF(OR(NOT(ISNUMBER(B111)),B111&lt;DATE(2027,1,1),B111&gt;DATE(2027,12,31)),"Datoen er ikke i 2027",""))))))</f>
        <v/>
      </c>
    </row>
    <row r="112">
      <c r="A112" s="17" t="n"/>
      <c r="B112" s="9" t="n"/>
      <c r="C112" s="8" t="n"/>
      <c r="D112" s="8" t="n"/>
      <c r="E112" s="8" t="n"/>
      <c r="F112" s="14" t="n"/>
      <c r="G112" s="14" t="n"/>
      <c r="H112" s="8" t="n"/>
      <c r="I112" s="8" t="n"/>
      <c r="J112" s="8" t="n"/>
      <c r="K112" s="18">
        <f>IF(B112="","",IFERROR(MONTH(B112),""))</f>
        <v/>
      </c>
      <c r="L112" s="5">
        <f>IF(COUNTA(A112:J112)=0,"",IF(E112="","Mangler motkonto",IF((F112="")=(G112=""),"Fyll ut enten Inn eller Ut",IF(OR(IFERROR(INDEX('Kontoplan'!$D$3:$D$302,MATCH(D112,'Kontoplan'!$H$3:$H$302,0))="Støttes ikke",FALSE),IFERROR(INDEX('Kontoplan'!$D$3:$D$302,MATCH(E112,'Kontoplan'!$H$3:$H$302,0))="Støttes ikke",FALSE)),"Kontoen støttes ikke",IF(IFERROR(AND(A112&gt;1,COUNTIF($A$3:$A$2002,A112-1)=0),FALSE),"Nummeret hopper over",IF(OR(NOT(ISNUMBER(B112)),B112&lt;DATE(2027,1,1),B112&gt;DATE(2027,12,31)),"Datoen er ikke i 2027",""))))))</f>
        <v/>
      </c>
    </row>
    <row r="113">
      <c r="A113" s="17" t="n"/>
      <c r="B113" s="9" t="n"/>
      <c r="C113" s="8" t="n"/>
      <c r="D113" s="8" t="n"/>
      <c r="E113" s="8" t="n"/>
      <c r="F113" s="14" t="n"/>
      <c r="G113" s="14" t="n"/>
      <c r="H113" s="8" t="n"/>
      <c r="I113" s="8" t="n"/>
      <c r="J113" s="8" t="n"/>
      <c r="K113" s="18">
        <f>IF(B113="","",IFERROR(MONTH(B113),""))</f>
        <v/>
      </c>
      <c r="L113" s="5">
        <f>IF(COUNTA(A113:J113)=0,"",IF(E113="","Mangler motkonto",IF((F113="")=(G113=""),"Fyll ut enten Inn eller Ut",IF(OR(IFERROR(INDEX('Kontoplan'!$D$3:$D$302,MATCH(D113,'Kontoplan'!$H$3:$H$302,0))="Støttes ikke",FALSE),IFERROR(INDEX('Kontoplan'!$D$3:$D$302,MATCH(E113,'Kontoplan'!$H$3:$H$302,0))="Støttes ikke",FALSE)),"Kontoen støttes ikke",IF(IFERROR(AND(A113&gt;1,COUNTIF($A$3:$A$2002,A113-1)=0),FALSE),"Nummeret hopper over",IF(OR(NOT(ISNUMBER(B113)),B113&lt;DATE(2027,1,1),B113&gt;DATE(2027,12,31)),"Datoen er ikke i 2027",""))))))</f>
        <v/>
      </c>
    </row>
    <row r="114">
      <c r="A114" s="17" t="n"/>
      <c r="B114" s="9" t="n"/>
      <c r="C114" s="8" t="n"/>
      <c r="D114" s="8" t="n"/>
      <c r="E114" s="8" t="n"/>
      <c r="F114" s="14" t="n"/>
      <c r="G114" s="14" t="n"/>
      <c r="H114" s="8" t="n"/>
      <c r="I114" s="8" t="n"/>
      <c r="J114" s="8" t="n"/>
      <c r="K114" s="18">
        <f>IF(B114="","",IFERROR(MONTH(B114),""))</f>
        <v/>
      </c>
      <c r="L114" s="5">
        <f>IF(COUNTA(A114:J114)=0,"",IF(E114="","Mangler motkonto",IF((F114="")=(G114=""),"Fyll ut enten Inn eller Ut",IF(OR(IFERROR(INDEX('Kontoplan'!$D$3:$D$302,MATCH(D114,'Kontoplan'!$H$3:$H$302,0))="Støttes ikke",FALSE),IFERROR(INDEX('Kontoplan'!$D$3:$D$302,MATCH(E114,'Kontoplan'!$H$3:$H$302,0))="Støttes ikke",FALSE)),"Kontoen støttes ikke",IF(IFERROR(AND(A114&gt;1,COUNTIF($A$3:$A$2002,A114-1)=0),FALSE),"Nummeret hopper over",IF(OR(NOT(ISNUMBER(B114)),B114&lt;DATE(2027,1,1),B114&gt;DATE(2027,12,31)),"Datoen er ikke i 2027",""))))))</f>
        <v/>
      </c>
    </row>
    <row r="115">
      <c r="A115" s="17" t="n"/>
      <c r="B115" s="9" t="n"/>
      <c r="C115" s="8" t="n"/>
      <c r="D115" s="8" t="n"/>
      <c r="E115" s="8" t="n"/>
      <c r="F115" s="14" t="n"/>
      <c r="G115" s="14" t="n"/>
      <c r="H115" s="8" t="n"/>
      <c r="I115" s="8" t="n"/>
      <c r="J115" s="8" t="n"/>
      <c r="K115" s="18">
        <f>IF(B115="","",IFERROR(MONTH(B115),""))</f>
        <v/>
      </c>
      <c r="L115" s="5">
        <f>IF(COUNTA(A115:J115)=0,"",IF(E115="","Mangler motkonto",IF((F115="")=(G115=""),"Fyll ut enten Inn eller Ut",IF(OR(IFERROR(INDEX('Kontoplan'!$D$3:$D$302,MATCH(D115,'Kontoplan'!$H$3:$H$302,0))="Støttes ikke",FALSE),IFERROR(INDEX('Kontoplan'!$D$3:$D$302,MATCH(E115,'Kontoplan'!$H$3:$H$302,0))="Støttes ikke",FALSE)),"Kontoen støttes ikke",IF(IFERROR(AND(A115&gt;1,COUNTIF($A$3:$A$2002,A115-1)=0),FALSE),"Nummeret hopper over",IF(OR(NOT(ISNUMBER(B115)),B115&lt;DATE(2027,1,1),B115&gt;DATE(2027,12,31)),"Datoen er ikke i 2027",""))))))</f>
        <v/>
      </c>
    </row>
    <row r="116">
      <c r="A116" s="17" t="n"/>
      <c r="B116" s="9" t="n"/>
      <c r="C116" s="8" t="n"/>
      <c r="D116" s="8" t="n"/>
      <c r="E116" s="8" t="n"/>
      <c r="F116" s="14" t="n"/>
      <c r="G116" s="14" t="n"/>
      <c r="H116" s="8" t="n"/>
      <c r="I116" s="8" t="n"/>
      <c r="J116" s="8" t="n"/>
      <c r="K116" s="18">
        <f>IF(B116="","",IFERROR(MONTH(B116),""))</f>
        <v/>
      </c>
      <c r="L116" s="5">
        <f>IF(COUNTA(A116:J116)=0,"",IF(E116="","Mangler motkonto",IF((F116="")=(G116=""),"Fyll ut enten Inn eller Ut",IF(OR(IFERROR(INDEX('Kontoplan'!$D$3:$D$302,MATCH(D116,'Kontoplan'!$H$3:$H$302,0))="Støttes ikke",FALSE),IFERROR(INDEX('Kontoplan'!$D$3:$D$302,MATCH(E116,'Kontoplan'!$H$3:$H$302,0))="Støttes ikke",FALSE)),"Kontoen støttes ikke",IF(IFERROR(AND(A116&gt;1,COUNTIF($A$3:$A$2002,A116-1)=0),FALSE),"Nummeret hopper over",IF(OR(NOT(ISNUMBER(B116)),B116&lt;DATE(2027,1,1),B116&gt;DATE(2027,12,31)),"Datoen er ikke i 2027",""))))))</f>
        <v/>
      </c>
    </row>
    <row r="117">
      <c r="A117" s="17" t="n"/>
      <c r="B117" s="9" t="n"/>
      <c r="C117" s="8" t="n"/>
      <c r="D117" s="8" t="n"/>
      <c r="E117" s="8" t="n"/>
      <c r="F117" s="14" t="n"/>
      <c r="G117" s="14" t="n"/>
      <c r="H117" s="8" t="n"/>
      <c r="I117" s="8" t="n"/>
      <c r="J117" s="8" t="n"/>
      <c r="K117" s="18">
        <f>IF(B117="","",IFERROR(MONTH(B117),""))</f>
        <v/>
      </c>
      <c r="L117" s="5">
        <f>IF(COUNTA(A117:J117)=0,"",IF(E117="","Mangler motkonto",IF((F117="")=(G117=""),"Fyll ut enten Inn eller Ut",IF(OR(IFERROR(INDEX('Kontoplan'!$D$3:$D$302,MATCH(D117,'Kontoplan'!$H$3:$H$302,0))="Støttes ikke",FALSE),IFERROR(INDEX('Kontoplan'!$D$3:$D$302,MATCH(E117,'Kontoplan'!$H$3:$H$302,0))="Støttes ikke",FALSE)),"Kontoen støttes ikke",IF(IFERROR(AND(A117&gt;1,COUNTIF($A$3:$A$2002,A117-1)=0),FALSE),"Nummeret hopper over",IF(OR(NOT(ISNUMBER(B117)),B117&lt;DATE(2027,1,1),B117&gt;DATE(2027,12,31)),"Datoen er ikke i 2027",""))))))</f>
        <v/>
      </c>
    </row>
    <row r="118">
      <c r="A118" s="17" t="n"/>
      <c r="B118" s="9" t="n"/>
      <c r="C118" s="8" t="n"/>
      <c r="D118" s="8" t="n"/>
      <c r="E118" s="8" t="n"/>
      <c r="F118" s="14" t="n"/>
      <c r="G118" s="14" t="n"/>
      <c r="H118" s="8" t="n"/>
      <c r="I118" s="8" t="n"/>
      <c r="J118" s="8" t="n"/>
      <c r="K118" s="18">
        <f>IF(B118="","",IFERROR(MONTH(B118),""))</f>
        <v/>
      </c>
      <c r="L118" s="5">
        <f>IF(COUNTA(A118:J118)=0,"",IF(E118="","Mangler motkonto",IF((F118="")=(G118=""),"Fyll ut enten Inn eller Ut",IF(OR(IFERROR(INDEX('Kontoplan'!$D$3:$D$302,MATCH(D118,'Kontoplan'!$H$3:$H$302,0))="Støttes ikke",FALSE),IFERROR(INDEX('Kontoplan'!$D$3:$D$302,MATCH(E118,'Kontoplan'!$H$3:$H$302,0))="Støttes ikke",FALSE)),"Kontoen støttes ikke",IF(IFERROR(AND(A118&gt;1,COUNTIF($A$3:$A$2002,A118-1)=0),FALSE),"Nummeret hopper over",IF(OR(NOT(ISNUMBER(B118)),B118&lt;DATE(2027,1,1),B118&gt;DATE(2027,12,31)),"Datoen er ikke i 2027",""))))))</f>
        <v/>
      </c>
    </row>
    <row r="119">
      <c r="A119" s="17" t="n"/>
      <c r="B119" s="9" t="n"/>
      <c r="C119" s="8" t="n"/>
      <c r="D119" s="8" t="n"/>
      <c r="E119" s="8" t="n"/>
      <c r="F119" s="14" t="n"/>
      <c r="G119" s="14" t="n"/>
      <c r="H119" s="8" t="n"/>
      <c r="I119" s="8" t="n"/>
      <c r="J119" s="8" t="n"/>
      <c r="K119" s="18">
        <f>IF(B119="","",IFERROR(MONTH(B119),""))</f>
        <v/>
      </c>
      <c r="L119" s="5">
        <f>IF(COUNTA(A119:J119)=0,"",IF(E119="","Mangler motkonto",IF((F119="")=(G119=""),"Fyll ut enten Inn eller Ut",IF(OR(IFERROR(INDEX('Kontoplan'!$D$3:$D$302,MATCH(D119,'Kontoplan'!$H$3:$H$302,0))="Støttes ikke",FALSE),IFERROR(INDEX('Kontoplan'!$D$3:$D$302,MATCH(E119,'Kontoplan'!$H$3:$H$302,0))="Støttes ikke",FALSE)),"Kontoen støttes ikke",IF(IFERROR(AND(A119&gt;1,COUNTIF($A$3:$A$2002,A119-1)=0),FALSE),"Nummeret hopper over",IF(OR(NOT(ISNUMBER(B119)),B119&lt;DATE(2027,1,1),B119&gt;DATE(2027,12,31)),"Datoen er ikke i 2027",""))))))</f>
        <v/>
      </c>
    </row>
    <row r="120">
      <c r="A120" s="17" t="n"/>
      <c r="B120" s="9" t="n"/>
      <c r="C120" s="8" t="n"/>
      <c r="D120" s="8" t="n"/>
      <c r="E120" s="8" t="n"/>
      <c r="F120" s="14" t="n"/>
      <c r="G120" s="14" t="n"/>
      <c r="H120" s="8" t="n"/>
      <c r="I120" s="8" t="n"/>
      <c r="J120" s="8" t="n"/>
      <c r="K120" s="18">
        <f>IF(B120="","",IFERROR(MONTH(B120),""))</f>
        <v/>
      </c>
      <c r="L120" s="5">
        <f>IF(COUNTA(A120:J120)=0,"",IF(E120="","Mangler motkonto",IF((F120="")=(G120=""),"Fyll ut enten Inn eller Ut",IF(OR(IFERROR(INDEX('Kontoplan'!$D$3:$D$302,MATCH(D120,'Kontoplan'!$H$3:$H$302,0))="Støttes ikke",FALSE),IFERROR(INDEX('Kontoplan'!$D$3:$D$302,MATCH(E120,'Kontoplan'!$H$3:$H$302,0))="Støttes ikke",FALSE)),"Kontoen støttes ikke",IF(IFERROR(AND(A120&gt;1,COUNTIF($A$3:$A$2002,A120-1)=0),FALSE),"Nummeret hopper over",IF(OR(NOT(ISNUMBER(B120)),B120&lt;DATE(2027,1,1),B120&gt;DATE(2027,12,31)),"Datoen er ikke i 2027",""))))))</f>
        <v/>
      </c>
    </row>
    <row r="121">
      <c r="A121" s="17" t="n"/>
      <c r="B121" s="9" t="n"/>
      <c r="C121" s="8" t="n"/>
      <c r="D121" s="8" t="n"/>
      <c r="E121" s="8" t="n"/>
      <c r="F121" s="14" t="n"/>
      <c r="G121" s="14" t="n"/>
      <c r="H121" s="8" t="n"/>
      <c r="I121" s="8" t="n"/>
      <c r="J121" s="8" t="n"/>
      <c r="K121" s="18">
        <f>IF(B121="","",IFERROR(MONTH(B121),""))</f>
        <v/>
      </c>
      <c r="L121" s="5">
        <f>IF(COUNTA(A121:J121)=0,"",IF(E121="","Mangler motkonto",IF((F121="")=(G121=""),"Fyll ut enten Inn eller Ut",IF(OR(IFERROR(INDEX('Kontoplan'!$D$3:$D$302,MATCH(D121,'Kontoplan'!$H$3:$H$302,0))="Støttes ikke",FALSE),IFERROR(INDEX('Kontoplan'!$D$3:$D$302,MATCH(E121,'Kontoplan'!$H$3:$H$302,0))="Støttes ikke",FALSE)),"Kontoen støttes ikke",IF(IFERROR(AND(A121&gt;1,COUNTIF($A$3:$A$2002,A121-1)=0),FALSE),"Nummeret hopper over",IF(OR(NOT(ISNUMBER(B121)),B121&lt;DATE(2027,1,1),B121&gt;DATE(2027,12,31)),"Datoen er ikke i 2027",""))))))</f>
        <v/>
      </c>
    </row>
    <row r="122">
      <c r="A122" s="17" t="n"/>
      <c r="B122" s="9" t="n"/>
      <c r="C122" s="8" t="n"/>
      <c r="D122" s="8" t="n"/>
      <c r="E122" s="8" t="n"/>
      <c r="F122" s="14" t="n"/>
      <c r="G122" s="14" t="n"/>
      <c r="H122" s="8" t="n"/>
      <c r="I122" s="8" t="n"/>
      <c r="J122" s="8" t="n"/>
      <c r="K122" s="18">
        <f>IF(B122="","",IFERROR(MONTH(B122),""))</f>
        <v/>
      </c>
      <c r="L122" s="5">
        <f>IF(COUNTA(A122:J122)=0,"",IF(E122="","Mangler motkonto",IF((F122="")=(G122=""),"Fyll ut enten Inn eller Ut",IF(OR(IFERROR(INDEX('Kontoplan'!$D$3:$D$302,MATCH(D122,'Kontoplan'!$H$3:$H$302,0))="Støttes ikke",FALSE),IFERROR(INDEX('Kontoplan'!$D$3:$D$302,MATCH(E122,'Kontoplan'!$H$3:$H$302,0))="Støttes ikke",FALSE)),"Kontoen støttes ikke",IF(IFERROR(AND(A122&gt;1,COUNTIF($A$3:$A$2002,A122-1)=0),FALSE),"Nummeret hopper over",IF(OR(NOT(ISNUMBER(B122)),B122&lt;DATE(2027,1,1),B122&gt;DATE(2027,12,31)),"Datoen er ikke i 2027",""))))))</f>
        <v/>
      </c>
    </row>
    <row r="123">
      <c r="A123" s="17" t="n"/>
      <c r="B123" s="9" t="n"/>
      <c r="C123" s="8" t="n"/>
      <c r="D123" s="8" t="n"/>
      <c r="E123" s="8" t="n"/>
      <c r="F123" s="14" t="n"/>
      <c r="G123" s="14" t="n"/>
      <c r="H123" s="8" t="n"/>
      <c r="I123" s="8" t="n"/>
      <c r="J123" s="8" t="n"/>
      <c r="K123" s="18">
        <f>IF(B123="","",IFERROR(MONTH(B123),""))</f>
        <v/>
      </c>
      <c r="L123" s="5">
        <f>IF(COUNTA(A123:J123)=0,"",IF(E123="","Mangler motkonto",IF((F123="")=(G123=""),"Fyll ut enten Inn eller Ut",IF(OR(IFERROR(INDEX('Kontoplan'!$D$3:$D$302,MATCH(D123,'Kontoplan'!$H$3:$H$302,0))="Støttes ikke",FALSE),IFERROR(INDEX('Kontoplan'!$D$3:$D$302,MATCH(E123,'Kontoplan'!$H$3:$H$302,0))="Støttes ikke",FALSE)),"Kontoen støttes ikke",IF(IFERROR(AND(A123&gt;1,COUNTIF($A$3:$A$2002,A123-1)=0),FALSE),"Nummeret hopper over",IF(OR(NOT(ISNUMBER(B123)),B123&lt;DATE(2027,1,1),B123&gt;DATE(2027,12,31)),"Datoen er ikke i 2027",""))))))</f>
        <v/>
      </c>
    </row>
    <row r="124">
      <c r="A124" s="17" t="n"/>
      <c r="B124" s="9" t="n"/>
      <c r="C124" s="8" t="n"/>
      <c r="D124" s="8" t="n"/>
      <c r="E124" s="8" t="n"/>
      <c r="F124" s="14" t="n"/>
      <c r="G124" s="14" t="n"/>
      <c r="H124" s="8" t="n"/>
      <c r="I124" s="8" t="n"/>
      <c r="J124" s="8" t="n"/>
      <c r="K124" s="18">
        <f>IF(B124="","",IFERROR(MONTH(B124),""))</f>
        <v/>
      </c>
      <c r="L124" s="5">
        <f>IF(COUNTA(A124:J124)=0,"",IF(E124="","Mangler motkonto",IF((F124="")=(G124=""),"Fyll ut enten Inn eller Ut",IF(OR(IFERROR(INDEX('Kontoplan'!$D$3:$D$302,MATCH(D124,'Kontoplan'!$H$3:$H$302,0))="Støttes ikke",FALSE),IFERROR(INDEX('Kontoplan'!$D$3:$D$302,MATCH(E124,'Kontoplan'!$H$3:$H$302,0))="Støttes ikke",FALSE)),"Kontoen støttes ikke",IF(IFERROR(AND(A124&gt;1,COUNTIF($A$3:$A$2002,A124-1)=0),FALSE),"Nummeret hopper over",IF(OR(NOT(ISNUMBER(B124)),B124&lt;DATE(2027,1,1),B124&gt;DATE(2027,12,31)),"Datoen er ikke i 2027",""))))))</f>
        <v/>
      </c>
    </row>
    <row r="125">
      <c r="A125" s="17" t="n"/>
      <c r="B125" s="9" t="n"/>
      <c r="C125" s="8" t="n"/>
      <c r="D125" s="8" t="n"/>
      <c r="E125" s="8" t="n"/>
      <c r="F125" s="14" t="n"/>
      <c r="G125" s="14" t="n"/>
      <c r="H125" s="8" t="n"/>
      <c r="I125" s="8" t="n"/>
      <c r="J125" s="8" t="n"/>
      <c r="K125" s="18">
        <f>IF(B125="","",IFERROR(MONTH(B125),""))</f>
        <v/>
      </c>
      <c r="L125" s="5">
        <f>IF(COUNTA(A125:J125)=0,"",IF(E125="","Mangler motkonto",IF((F125="")=(G125=""),"Fyll ut enten Inn eller Ut",IF(OR(IFERROR(INDEX('Kontoplan'!$D$3:$D$302,MATCH(D125,'Kontoplan'!$H$3:$H$302,0))="Støttes ikke",FALSE),IFERROR(INDEX('Kontoplan'!$D$3:$D$302,MATCH(E125,'Kontoplan'!$H$3:$H$302,0))="Støttes ikke",FALSE)),"Kontoen støttes ikke",IF(IFERROR(AND(A125&gt;1,COUNTIF($A$3:$A$2002,A125-1)=0),FALSE),"Nummeret hopper over",IF(OR(NOT(ISNUMBER(B125)),B125&lt;DATE(2027,1,1),B125&gt;DATE(2027,12,31)),"Datoen er ikke i 2027",""))))))</f>
        <v/>
      </c>
    </row>
    <row r="126">
      <c r="A126" s="17" t="n"/>
      <c r="B126" s="9" t="n"/>
      <c r="C126" s="8" t="n"/>
      <c r="D126" s="8" t="n"/>
      <c r="E126" s="8" t="n"/>
      <c r="F126" s="14" t="n"/>
      <c r="G126" s="14" t="n"/>
      <c r="H126" s="8" t="n"/>
      <c r="I126" s="8" t="n"/>
      <c r="J126" s="8" t="n"/>
      <c r="K126" s="18">
        <f>IF(B126="","",IFERROR(MONTH(B126),""))</f>
        <v/>
      </c>
      <c r="L126" s="5">
        <f>IF(COUNTA(A126:J126)=0,"",IF(E126="","Mangler motkonto",IF((F126="")=(G126=""),"Fyll ut enten Inn eller Ut",IF(OR(IFERROR(INDEX('Kontoplan'!$D$3:$D$302,MATCH(D126,'Kontoplan'!$H$3:$H$302,0))="Støttes ikke",FALSE),IFERROR(INDEX('Kontoplan'!$D$3:$D$302,MATCH(E126,'Kontoplan'!$H$3:$H$302,0))="Støttes ikke",FALSE)),"Kontoen støttes ikke",IF(IFERROR(AND(A126&gt;1,COUNTIF($A$3:$A$2002,A126-1)=0),FALSE),"Nummeret hopper over",IF(OR(NOT(ISNUMBER(B126)),B126&lt;DATE(2027,1,1),B126&gt;DATE(2027,12,31)),"Datoen er ikke i 2027",""))))))</f>
        <v/>
      </c>
    </row>
    <row r="127">
      <c r="A127" s="17" t="n"/>
      <c r="B127" s="9" t="n"/>
      <c r="C127" s="8" t="n"/>
      <c r="D127" s="8" t="n"/>
      <c r="E127" s="8" t="n"/>
      <c r="F127" s="14" t="n"/>
      <c r="G127" s="14" t="n"/>
      <c r="H127" s="8" t="n"/>
      <c r="I127" s="8" t="n"/>
      <c r="J127" s="8" t="n"/>
      <c r="K127" s="18">
        <f>IF(B127="","",IFERROR(MONTH(B127),""))</f>
        <v/>
      </c>
      <c r="L127" s="5">
        <f>IF(COUNTA(A127:J127)=0,"",IF(E127="","Mangler motkonto",IF((F127="")=(G127=""),"Fyll ut enten Inn eller Ut",IF(OR(IFERROR(INDEX('Kontoplan'!$D$3:$D$302,MATCH(D127,'Kontoplan'!$H$3:$H$302,0))="Støttes ikke",FALSE),IFERROR(INDEX('Kontoplan'!$D$3:$D$302,MATCH(E127,'Kontoplan'!$H$3:$H$302,0))="Støttes ikke",FALSE)),"Kontoen støttes ikke",IF(IFERROR(AND(A127&gt;1,COUNTIF($A$3:$A$2002,A127-1)=0),FALSE),"Nummeret hopper over",IF(OR(NOT(ISNUMBER(B127)),B127&lt;DATE(2027,1,1),B127&gt;DATE(2027,12,31)),"Datoen er ikke i 2027",""))))))</f>
        <v/>
      </c>
    </row>
    <row r="128">
      <c r="A128" s="17" t="n"/>
      <c r="B128" s="9" t="n"/>
      <c r="C128" s="8" t="n"/>
      <c r="D128" s="8" t="n"/>
      <c r="E128" s="8" t="n"/>
      <c r="F128" s="14" t="n"/>
      <c r="G128" s="14" t="n"/>
      <c r="H128" s="8" t="n"/>
      <c r="I128" s="8" t="n"/>
      <c r="J128" s="8" t="n"/>
      <c r="K128" s="18">
        <f>IF(B128="","",IFERROR(MONTH(B128),""))</f>
        <v/>
      </c>
      <c r="L128" s="5">
        <f>IF(COUNTA(A128:J128)=0,"",IF(E128="","Mangler motkonto",IF((F128="")=(G128=""),"Fyll ut enten Inn eller Ut",IF(OR(IFERROR(INDEX('Kontoplan'!$D$3:$D$302,MATCH(D128,'Kontoplan'!$H$3:$H$302,0))="Støttes ikke",FALSE),IFERROR(INDEX('Kontoplan'!$D$3:$D$302,MATCH(E128,'Kontoplan'!$H$3:$H$302,0))="Støttes ikke",FALSE)),"Kontoen støttes ikke",IF(IFERROR(AND(A128&gt;1,COUNTIF($A$3:$A$2002,A128-1)=0),FALSE),"Nummeret hopper over",IF(OR(NOT(ISNUMBER(B128)),B128&lt;DATE(2027,1,1),B128&gt;DATE(2027,12,31)),"Datoen er ikke i 2027",""))))))</f>
        <v/>
      </c>
    </row>
    <row r="129">
      <c r="A129" s="17" t="n"/>
      <c r="B129" s="9" t="n"/>
      <c r="C129" s="8" t="n"/>
      <c r="D129" s="8" t="n"/>
      <c r="E129" s="8" t="n"/>
      <c r="F129" s="14" t="n"/>
      <c r="G129" s="14" t="n"/>
      <c r="H129" s="8" t="n"/>
      <c r="I129" s="8" t="n"/>
      <c r="J129" s="8" t="n"/>
      <c r="K129" s="18">
        <f>IF(B129="","",IFERROR(MONTH(B129),""))</f>
        <v/>
      </c>
      <c r="L129" s="5">
        <f>IF(COUNTA(A129:J129)=0,"",IF(E129="","Mangler motkonto",IF((F129="")=(G129=""),"Fyll ut enten Inn eller Ut",IF(OR(IFERROR(INDEX('Kontoplan'!$D$3:$D$302,MATCH(D129,'Kontoplan'!$H$3:$H$302,0))="Støttes ikke",FALSE),IFERROR(INDEX('Kontoplan'!$D$3:$D$302,MATCH(E129,'Kontoplan'!$H$3:$H$302,0))="Støttes ikke",FALSE)),"Kontoen støttes ikke",IF(IFERROR(AND(A129&gt;1,COUNTIF($A$3:$A$2002,A129-1)=0),FALSE),"Nummeret hopper over",IF(OR(NOT(ISNUMBER(B129)),B129&lt;DATE(2027,1,1),B129&gt;DATE(2027,12,31)),"Datoen er ikke i 2027",""))))))</f>
        <v/>
      </c>
    </row>
    <row r="130">
      <c r="A130" s="17" t="n"/>
      <c r="B130" s="9" t="n"/>
      <c r="C130" s="8" t="n"/>
      <c r="D130" s="8" t="n"/>
      <c r="E130" s="8" t="n"/>
      <c r="F130" s="14" t="n"/>
      <c r="G130" s="14" t="n"/>
      <c r="H130" s="8" t="n"/>
      <c r="I130" s="8" t="n"/>
      <c r="J130" s="8" t="n"/>
      <c r="K130" s="18">
        <f>IF(B130="","",IFERROR(MONTH(B130),""))</f>
        <v/>
      </c>
      <c r="L130" s="5">
        <f>IF(COUNTA(A130:J130)=0,"",IF(E130="","Mangler motkonto",IF((F130="")=(G130=""),"Fyll ut enten Inn eller Ut",IF(OR(IFERROR(INDEX('Kontoplan'!$D$3:$D$302,MATCH(D130,'Kontoplan'!$H$3:$H$302,0))="Støttes ikke",FALSE),IFERROR(INDEX('Kontoplan'!$D$3:$D$302,MATCH(E130,'Kontoplan'!$H$3:$H$302,0))="Støttes ikke",FALSE)),"Kontoen støttes ikke",IF(IFERROR(AND(A130&gt;1,COUNTIF($A$3:$A$2002,A130-1)=0),FALSE),"Nummeret hopper over",IF(OR(NOT(ISNUMBER(B130)),B130&lt;DATE(2027,1,1),B130&gt;DATE(2027,12,31)),"Datoen er ikke i 2027",""))))))</f>
        <v/>
      </c>
    </row>
    <row r="131">
      <c r="A131" s="17" t="n"/>
      <c r="B131" s="9" t="n"/>
      <c r="C131" s="8" t="n"/>
      <c r="D131" s="8" t="n"/>
      <c r="E131" s="8" t="n"/>
      <c r="F131" s="14" t="n"/>
      <c r="G131" s="14" t="n"/>
      <c r="H131" s="8" t="n"/>
      <c r="I131" s="8" t="n"/>
      <c r="J131" s="8" t="n"/>
      <c r="K131" s="18">
        <f>IF(B131="","",IFERROR(MONTH(B131),""))</f>
        <v/>
      </c>
      <c r="L131" s="5">
        <f>IF(COUNTA(A131:J131)=0,"",IF(E131="","Mangler motkonto",IF((F131="")=(G131=""),"Fyll ut enten Inn eller Ut",IF(OR(IFERROR(INDEX('Kontoplan'!$D$3:$D$302,MATCH(D131,'Kontoplan'!$H$3:$H$302,0))="Støttes ikke",FALSE),IFERROR(INDEX('Kontoplan'!$D$3:$D$302,MATCH(E131,'Kontoplan'!$H$3:$H$302,0))="Støttes ikke",FALSE)),"Kontoen støttes ikke",IF(IFERROR(AND(A131&gt;1,COUNTIF($A$3:$A$2002,A131-1)=0),FALSE),"Nummeret hopper over",IF(OR(NOT(ISNUMBER(B131)),B131&lt;DATE(2027,1,1),B131&gt;DATE(2027,12,31)),"Datoen er ikke i 2027",""))))))</f>
        <v/>
      </c>
    </row>
    <row r="132">
      <c r="A132" s="17" t="n"/>
      <c r="B132" s="9" t="n"/>
      <c r="C132" s="8" t="n"/>
      <c r="D132" s="8" t="n"/>
      <c r="E132" s="8" t="n"/>
      <c r="F132" s="14" t="n"/>
      <c r="G132" s="14" t="n"/>
      <c r="H132" s="8" t="n"/>
      <c r="I132" s="8" t="n"/>
      <c r="J132" s="8" t="n"/>
      <c r="K132" s="18">
        <f>IF(B132="","",IFERROR(MONTH(B132),""))</f>
        <v/>
      </c>
      <c r="L132" s="5">
        <f>IF(COUNTA(A132:J132)=0,"",IF(E132="","Mangler motkonto",IF((F132="")=(G132=""),"Fyll ut enten Inn eller Ut",IF(OR(IFERROR(INDEX('Kontoplan'!$D$3:$D$302,MATCH(D132,'Kontoplan'!$H$3:$H$302,0))="Støttes ikke",FALSE),IFERROR(INDEX('Kontoplan'!$D$3:$D$302,MATCH(E132,'Kontoplan'!$H$3:$H$302,0))="Støttes ikke",FALSE)),"Kontoen støttes ikke",IF(IFERROR(AND(A132&gt;1,COUNTIF($A$3:$A$2002,A132-1)=0),FALSE),"Nummeret hopper over",IF(OR(NOT(ISNUMBER(B132)),B132&lt;DATE(2027,1,1),B132&gt;DATE(2027,12,31)),"Datoen er ikke i 2027",""))))))</f>
        <v/>
      </c>
    </row>
    <row r="133">
      <c r="A133" s="17" t="n"/>
      <c r="B133" s="9" t="n"/>
      <c r="C133" s="8" t="n"/>
      <c r="D133" s="8" t="n"/>
      <c r="E133" s="8" t="n"/>
      <c r="F133" s="14" t="n"/>
      <c r="G133" s="14" t="n"/>
      <c r="H133" s="8" t="n"/>
      <c r="I133" s="8" t="n"/>
      <c r="J133" s="8" t="n"/>
      <c r="K133" s="18">
        <f>IF(B133="","",IFERROR(MONTH(B133),""))</f>
        <v/>
      </c>
      <c r="L133" s="5">
        <f>IF(COUNTA(A133:J133)=0,"",IF(E133="","Mangler motkonto",IF((F133="")=(G133=""),"Fyll ut enten Inn eller Ut",IF(OR(IFERROR(INDEX('Kontoplan'!$D$3:$D$302,MATCH(D133,'Kontoplan'!$H$3:$H$302,0))="Støttes ikke",FALSE),IFERROR(INDEX('Kontoplan'!$D$3:$D$302,MATCH(E133,'Kontoplan'!$H$3:$H$302,0))="Støttes ikke",FALSE)),"Kontoen støttes ikke",IF(IFERROR(AND(A133&gt;1,COUNTIF($A$3:$A$2002,A133-1)=0),FALSE),"Nummeret hopper over",IF(OR(NOT(ISNUMBER(B133)),B133&lt;DATE(2027,1,1),B133&gt;DATE(2027,12,31)),"Datoen er ikke i 2027",""))))))</f>
        <v/>
      </c>
    </row>
    <row r="134">
      <c r="A134" s="17" t="n"/>
      <c r="B134" s="9" t="n"/>
      <c r="C134" s="8" t="n"/>
      <c r="D134" s="8" t="n"/>
      <c r="E134" s="8" t="n"/>
      <c r="F134" s="14" t="n"/>
      <c r="G134" s="14" t="n"/>
      <c r="H134" s="8" t="n"/>
      <c r="I134" s="8" t="n"/>
      <c r="J134" s="8" t="n"/>
      <c r="K134" s="18">
        <f>IF(B134="","",IFERROR(MONTH(B134),""))</f>
        <v/>
      </c>
      <c r="L134" s="5">
        <f>IF(COUNTA(A134:J134)=0,"",IF(E134="","Mangler motkonto",IF((F134="")=(G134=""),"Fyll ut enten Inn eller Ut",IF(OR(IFERROR(INDEX('Kontoplan'!$D$3:$D$302,MATCH(D134,'Kontoplan'!$H$3:$H$302,0))="Støttes ikke",FALSE),IFERROR(INDEX('Kontoplan'!$D$3:$D$302,MATCH(E134,'Kontoplan'!$H$3:$H$302,0))="Støttes ikke",FALSE)),"Kontoen støttes ikke",IF(IFERROR(AND(A134&gt;1,COUNTIF($A$3:$A$2002,A134-1)=0),FALSE),"Nummeret hopper over",IF(OR(NOT(ISNUMBER(B134)),B134&lt;DATE(2027,1,1),B134&gt;DATE(2027,12,31)),"Datoen er ikke i 2027",""))))))</f>
        <v/>
      </c>
    </row>
    <row r="135">
      <c r="A135" s="17" t="n"/>
      <c r="B135" s="9" t="n"/>
      <c r="C135" s="8" t="n"/>
      <c r="D135" s="8" t="n"/>
      <c r="E135" s="8" t="n"/>
      <c r="F135" s="14" t="n"/>
      <c r="G135" s="14" t="n"/>
      <c r="H135" s="8" t="n"/>
      <c r="I135" s="8" t="n"/>
      <c r="J135" s="8" t="n"/>
      <c r="K135" s="18">
        <f>IF(B135="","",IFERROR(MONTH(B135),""))</f>
        <v/>
      </c>
      <c r="L135" s="5">
        <f>IF(COUNTA(A135:J135)=0,"",IF(E135="","Mangler motkonto",IF((F135="")=(G135=""),"Fyll ut enten Inn eller Ut",IF(OR(IFERROR(INDEX('Kontoplan'!$D$3:$D$302,MATCH(D135,'Kontoplan'!$H$3:$H$302,0))="Støttes ikke",FALSE),IFERROR(INDEX('Kontoplan'!$D$3:$D$302,MATCH(E135,'Kontoplan'!$H$3:$H$302,0))="Støttes ikke",FALSE)),"Kontoen støttes ikke",IF(IFERROR(AND(A135&gt;1,COUNTIF($A$3:$A$2002,A135-1)=0),FALSE),"Nummeret hopper over",IF(OR(NOT(ISNUMBER(B135)),B135&lt;DATE(2027,1,1),B135&gt;DATE(2027,12,31)),"Datoen er ikke i 2027",""))))))</f>
        <v/>
      </c>
    </row>
    <row r="136">
      <c r="A136" s="17" t="n"/>
      <c r="B136" s="9" t="n"/>
      <c r="C136" s="8" t="n"/>
      <c r="D136" s="8" t="n"/>
      <c r="E136" s="8" t="n"/>
      <c r="F136" s="14" t="n"/>
      <c r="G136" s="14" t="n"/>
      <c r="H136" s="8" t="n"/>
      <c r="I136" s="8" t="n"/>
      <c r="J136" s="8" t="n"/>
      <c r="K136" s="18">
        <f>IF(B136="","",IFERROR(MONTH(B136),""))</f>
        <v/>
      </c>
      <c r="L136" s="5">
        <f>IF(COUNTA(A136:J136)=0,"",IF(E136="","Mangler motkonto",IF((F136="")=(G136=""),"Fyll ut enten Inn eller Ut",IF(OR(IFERROR(INDEX('Kontoplan'!$D$3:$D$302,MATCH(D136,'Kontoplan'!$H$3:$H$302,0))="Støttes ikke",FALSE),IFERROR(INDEX('Kontoplan'!$D$3:$D$302,MATCH(E136,'Kontoplan'!$H$3:$H$302,0))="Støttes ikke",FALSE)),"Kontoen støttes ikke",IF(IFERROR(AND(A136&gt;1,COUNTIF($A$3:$A$2002,A136-1)=0),FALSE),"Nummeret hopper over",IF(OR(NOT(ISNUMBER(B136)),B136&lt;DATE(2027,1,1),B136&gt;DATE(2027,12,31)),"Datoen er ikke i 2027",""))))))</f>
        <v/>
      </c>
    </row>
    <row r="137">
      <c r="A137" s="17" t="n"/>
      <c r="B137" s="9" t="n"/>
      <c r="C137" s="8" t="n"/>
      <c r="D137" s="8" t="n"/>
      <c r="E137" s="8" t="n"/>
      <c r="F137" s="14" t="n"/>
      <c r="G137" s="14" t="n"/>
      <c r="H137" s="8" t="n"/>
      <c r="I137" s="8" t="n"/>
      <c r="J137" s="8" t="n"/>
      <c r="K137" s="18">
        <f>IF(B137="","",IFERROR(MONTH(B137),""))</f>
        <v/>
      </c>
      <c r="L137" s="5">
        <f>IF(COUNTA(A137:J137)=0,"",IF(E137="","Mangler motkonto",IF((F137="")=(G137=""),"Fyll ut enten Inn eller Ut",IF(OR(IFERROR(INDEX('Kontoplan'!$D$3:$D$302,MATCH(D137,'Kontoplan'!$H$3:$H$302,0))="Støttes ikke",FALSE),IFERROR(INDEX('Kontoplan'!$D$3:$D$302,MATCH(E137,'Kontoplan'!$H$3:$H$302,0))="Støttes ikke",FALSE)),"Kontoen støttes ikke",IF(IFERROR(AND(A137&gt;1,COUNTIF($A$3:$A$2002,A137-1)=0),FALSE),"Nummeret hopper over",IF(OR(NOT(ISNUMBER(B137)),B137&lt;DATE(2027,1,1),B137&gt;DATE(2027,12,31)),"Datoen er ikke i 2027",""))))))</f>
        <v/>
      </c>
    </row>
    <row r="138">
      <c r="A138" s="17" t="n"/>
      <c r="B138" s="9" t="n"/>
      <c r="C138" s="8" t="n"/>
      <c r="D138" s="8" t="n"/>
      <c r="E138" s="8" t="n"/>
      <c r="F138" s="14" t="n"/>
      <c r="G138" s="14" t="n"/>
      <c r="H138" s="8" t="n"/>
      <c r="I138" s="8" t="n"/>
      <c r="J138" s="8" t="n"/>
      <c r="K138" s="18">
        <f>IF(B138="","",IFERROR(MONTH(B138),""))</f>
        <v/>
      </c>
      <c r="L138" s="5">
        <f>IF(COUNTA(A138:J138)=0,"",IF(E138="","Mangler motkonto",IF((F138="")=(G138=""),"Fyll ut enten Inn eller Ut",IF(OR(IFERROR(INDEX('Kontoplan'!$D$3:$D$302,MATCH(D138,'Kontoplan'!$H$3:$H$302,0))="Støttes ikke",FALSE),IFERROR(INDEX('Kontoplan'!$D$3:$D$302,MATCH(E138,'Kontoplan'!$H$3:$H$302,0))="Støttes ikke",FALSE)),"Kontoen støttes ikke",IF(IFERROR(AND(A138&gt;1,COUNTIF($A$3:$A$2002,A138-1)=0),FALSE),"Nummeret hopper over",IF(OR(NOT(ISNUMBER(B138)),B138&lt;DATE(2027,1,1),B138&gt;DATE(2027,12,31)),"Datoen er ikke i 2027",""))))))</f>
        <v/>
      </c>
    </row>
    <row r="139">
      <c r="A139" s="17" t="n"/>
      <c r="B139" s="9" t="n"/>
      <c r="C139" s="8" t="n"/>
      <c r="D139" s="8" t="n"/>
      <c r="E139" s="8" t="n"/>
      <c r="F139" s="14" t="n"/>
      <c r="G139" s="14" t="n"/>
      <c r="H139" s="8" t="n"/>
      <c r="I139" s="8" t="n"/>
      <c r="J139" s="8" t="n"/>
      <c r="K139" s="18">
        <f>IF(B139="","",IFERROR(MONTH(B139),""))</f>
        <v/>
      </c>
      <c r="L139" s="5">
        <f>IF(COUNTA(A139:J139)=0,"",IF(E139="","Mangler motkonto",IF((F139="")=(G139=""),"Fyll ut enten Inn eller Ut",IF(OR(IFERROR(INDEX('Kontoplan'!$D$3:$D$302,MATCH(D139,'Kontoplan'!$H$3:$H$302,0))="Støttes ikke",FALSE),IFERROR(INDEX('Kontoplan'!$D$3:$D$302,MATCH(E139,'Kontoplan'!$H$3:$H$302,0))="Støttes ikke",FALSE)),"Kontoen støttes ikke",IF(IFERROR(AND(A139&gt;1,COUNTIF($A$3:$A$2002,A139-1)=0),FALSE),"Nummeret hopper over",IF(OR(NOT(ISNUMBER(B139)),B139&lt;DATE(2027,1,1),B139&gt;DATE(2027,12,31)),"Datoen er ikke i 2027",""))))))</f>
        <v/>
      </c>
    </row>
    <row r="140">
      <c r="A140" s="17" t="n"/>
      <c r="B140" s="9" t="n"/>
      <c r="C140" s="8" t="n"/>
      <c r="D140" s="8" t="n"/>
      <c r="E140" s="8" t="n"/>
      <c r="F140" s="14" t="n"/>
      <c r="G140" s="14" t="n"/>
      <c r="H140" s="8" t="n"/>
      <c r="I140" s="8" t="n"/>
      <c r="J140" s="8" t="n"/>
      <c r="K140" s="18">
        <f>IF(B140="","",IFERROR(MONTH(B140),""))</f>
        <v/>
      </c>
      <c r="L140" s="5">
        <f>IF(COUNTA(A140:J140)=0,"",IF(E140="","Mangler motkonto",IF((F140="")=(G140=""),"Fyll ut enten Inn eller Ut",IF(OR(IFERROR(INDEX('Kontoplan'!$D$3:$D$302,MATCH(D140,'Kontoplan'!$H$3:$H$302,0))="Støttes ikke",FALSE),IFERROR(INDEX('Kontoplan'!$D$3:$D$302,MATCH(E140,'Kontoplan'!$H$3:$H$302,0))="Støttes ikke",FALSE)),"Kontoen støttes ikke",IF(IFERROR(AND(A140&gt;1,COUNTIF($A$3:$A$2002,A140-1)=0),FALSE),"Nummeret hopper over",IF(OR(NOT(ISNUMBER(B140)),B140&lt;DATE(2027,1,1),B140&gt;DATE(2027,12,31)),"Datoen er ikke i 2027",""))))))</f>
        <v/>
      </c>
    </row>
    <row r="141">
      <c r="A141" s="17" t="n"/>
      <c r="B141" s="9" t="n"/>
      <c r="C141" s="8" t="n"/>
      <c r="D141" s="8" t="n"/>
      <c r="E141" s="8" t="n"/>
      <c r="F141" s="14" t="n"/>
      <c r="G141" s="14" t="n"/>
      <c r="H141" s="8" t="n"/>
      <c r="I141" s="8" t="n"/>
      <c r="J141" s="8" t="n"/>
      <c r="K141" s="18">
        <f>IF(B141="","",IFERROR(MONTH(B141),""))</f>
        <v/>
      </c>
      <c r="L141" s="5">
        <f>IF(COUNTA(A141:J141)=0,"",IF(E141="","Mangler motkonto",IF((F141="")=(G141=""),"Fyll ut enten Inn eller Ut",IF(OR(IFERROR(INDEX('Kontoplan'!$D$3:$D$302,MATCH(D141,'Kontoplan'!$H$3:$H$302,0))="Støttes ikke",FALSE),IFERROR(INDEX('Kontoplan'!$D$3:$D$302,MATCH(E141,'Kontoplan'!$H$3:$H$302,0))="Støttes ikke",FALSE)),"Kontoen støttes ikke",IF(IFERROR(AND(A141&gt;1,COUNTIF($A$3:$A$2002,A141-1)=0),FALSE),"Nummeret hopper over",IF(OR(NOT(ISNUMBER(B141)),B141&lt;DATE(2027,1,1),B141&gt;DATE(2027,12,31)),"Datoen er ikke i 2027",""))))))</f>
        <v/>
      </c>
    </row>
    <row r="142">
      <c r="A142" s="17" t="n"/>
      <c r="B142" s="9" t="n"/>
      <c r="C142" s="8" t="n"/>
      <c r="D142" s="8" t="n"/>
      <c r="E142" s="8" t="n"/>
      <c r="F142" s="14" t="n"/>
      <c r="G142" s="14" t="n"/>
      <c r="H142" s="8" t="n"/>
      <c r="I142" s="8" t="n"/>
      <c r="J142" s="8" t="n"/>
      <c r="K142" s="18">
        <f>IF(B142="","",IFERROR(MONTH(B142),""))</f>
        <v/>
      </c>
      <c r="L142" s="5">
        <f>IF(COUNTA(A142:J142)=0,"",IF(E142="","Mangler motkonto",IF((F142="")=(G142=""),"Fyll ut enten Inn eller Ut",IF(OR(IFERROR(INDEX('Kontoplan'!$D$3:$D$302,MATCH(D142,'Kontoplan'!$H$3:$H$302,0))="Støttes ikke",FALSE),IFERROR(INDEX('Kontoplan'!$D$3:$D$302,MATCH(E142,'Kontoplan'!$H$3:$H$302,0))="Støttes ikke",FALSE)),"Kontoen støttes ikke",IF(IFERROR(AND(A142&gt;1,COUNTIF($A$3:$A$2002,A142-1)=0),FALSE),"Nummeret hopper over",IF(OR(NOT(ISNUMBER(B142)),B142&lt;DATE(2027,1,1),B142&gt;DATE(2027,12,31)),"Datoen er ikke i 2027",""))))))</f>
        <v/>
      </c>
    </row>
    <row r="143">
      <c r="A143" s="17" t="n"/>
      <c r="B143" s="9" t="n"/>
      <c r="C143" s="8" t="n"/>
      <c r="D143" s="8" t="n"/>
      <c r="E143" s="8" t="n"/>
      <c r="F143" s="14" t="n"/>
      <c r="G143" s="14" t="n"/>
      <c r="H143" s="8" t="n"/>
      <c r="I143" s="8" t="n"/>
      <c r="J143" s="8" t="n"/>
      <c r="K143" s="18">
        <f>IF(B143="","",IFERROR(MONTH(B143),""))</f>
        <v/>
      </c>
      <c r="L143" s="5">
        <f>IF(COUNTA(A143:J143)=0,"",IF(E143="","Mangler motkonto",IF((F143="")=(G143=""),"Fyll ut enten Inn eller Ut",IF(OR(IFERROR(INDEX('Kontoplan'!$D$3:$D$302,MATCH(D143,'Kontoplan'!$H$3:$H$302,0))="Støttes ikke",FALSE),IFERROR(INDEX('Kontoplan'!$D$3:$D$302,MATCH(E143,'Kontoplan'!$H$3:$H$302,0))="Støttes ikke",FALSE)),"Kontoen støttes ikke",IF(IFERROR(AND(A143&gt;1,COUNTIF($A$3:$A$2002,A143-1)=0),FALSE),"Nummeret hopper over",IF(OR(NOT(ISNUMBER(B143)),B143&lt;DATE(2027,1,1),B143&gt;DATE(2027,12,31)),"Datoen er ikke i 2027",""))))))</f>
        <v/>
      </c>
    </row>
    <row r="144">
      <c r="A144" s="17" t="n"/>
      <c r="B144" s="9" t="n"/>
      <c r="C144" s="8" t="n"/>
      <c r="D144" s="8" t="n"/>
      <c r="E144" s="8" t="n"/>
      <c r="F144" s="14" t="n"/>
      <c r="G144" s="14" t="n"/>
      <c r="H144" s="8" t="n"/>
      <c r="I144" s="8" t="n"/>
      <c r="J144" s="8" t="n"/>
      <c r="K144" s="18">
        <f>IF(B144="","",IFERROR(MONTH(B144),""))</f>
        <v/>
      </c>
      <c r="L144" s="5">
        <f>IF(COUNTA(A144:J144)=0,"",IF(E144="","Mangler motkonto",IF((F144="")=(G144=""),"Fyll ut enten Inn eller Ut",IF(OR(IFERROR(INDEX('Kontoplan'!$D$3:$D$302,MATCH(D144,'Kontoplan'!$H$3:$H$302,0))="Støttes ikke",FALSE),IFERROR(INDEX('Kontoplan'!$D$3:$D$302,MATCH(E144,'Kontoplan'!$H$3:$H$302,0))="Støttes ikke",FALSE)),"Kontoen støttes ikke",IF(IFERROR(AND(A144&gt;1,COUNTIF($A$3:$A$2002,A144-1)=0),FALSE),"Nummeret hopper over",IF(OR(NOT(ISNUMBER(B144)),B144&lt;DATE(2027,1,1),B144&gt;DATE(2027,12,31)),"Datoen er ikke i 2027",""))))))</f>
        <v/>
      </c>
    </row>
    <row r="145">
      <c r="A145" s="17" t="n"/>
      <c r="B145" s="9" t="n"/>
      <c r="C145" s="8" t="n"/>
      <c r="D145" s="8" t="n"/>
      <c r="E145" s="8" t="n"/>
      <c r="F145" s="14" t="n"/>
      <c r="G145" s="14" t="n"/>
      <c r="H145" s="8" t="n"/>
      <c r="I145" s="8" t="n"/>
      <c r="J145" s="8" t="n"/>
      <c r="K145" s="18">
        <f>IF(B145="","",IFERROR(MONTH(B145),""))</f>
        <v/>
      </c>
      <c r="L145" s="5">
        <f>IF(COUNTA(A145:J145)=0,"",IF(E145="","Mangler motkonto",IF((F145="")=(G145=""),"Fyll ut enten Inn eller Ut",IF(OR(IFERROR(INDEX('Kontoplan'!$D$3:$D$302,MATCH(D145,'Kontoplan'!$H$3:$H$302,0))="Støttes ikke",FALSE),IFERROR(INDEX('Kontoplan'!$D$3:$D$302,MATCH(E145,'Kontoplan'!$H$3:$H$302,0))="Støttes ikke",FALSE)),"Kontoen støttes ikke",IF(IFERROR(AND(A145&gt;1,COUNTIF($A$3:$A$2002,A145-1)=0),FALSE),"Nummeret hopper over",IF(OR(NOT(ISNUMBER(B145)),B145&lt;DATE(2027,1,1),B145&gt;DATE(2027,12,31)),"Datoen er ikke i 2027",""))))))</f>
        <v/>
      </c>
    </row>
    <row r="146">
      <c r="A146" s="17" t="n"/>
      <c r="B146" s="9" t="n"/>
      <c r="C146" s="8" t="n"/>
      <c r="D146" s="8" t="n"/>
      <c r="E146" s="8" t="n"/>
      <c r="F146" s="14" t="n"/>
      <c r="G146" s="14" t="n"/>
      <c r="H146" s="8" t="n"/>
      <c r="I146" s="8" t="n"/>
      <c r="J146" s="8" t="n"/>
      <c r="K146" s="18">
        <f>IF(B146="","",IFERROR(MONTH(B146),""))</f>
        <v/>
      </c>
      <c r="L146" s="5">
        <f>IF(COUNTA(A146:J146)=0,"",IF(E146="","Mangler motkonto",IF((F146="")=(G146=""),"Fyll ut enten Inn eller Ut",IF(OR(IFERROR(INDEX('Kontoplan'!$D$3:$D$302,MATCH(D146,'Kontoplan'!$H$3:$H$302,0))="Støttes ikke",FALSE),IFERROR(INDEX('Kontoplan'!$D$3:$D$302,MATCH(E146,'Kontoplan'!$H$3:$H$302,0))="Støttes ikke",FALSE)),"Kontoen støttes ikke",IF(IFERROR(AND(A146&gt;1,COUNTIF($A$3:$A$2002,A146-1)=0),FALSE),"Nummeret hopper over",IF(OR(NOT(ISNUMBER(B146)),B146&lt;DATE(2027,1,1),B146&gt;DATE(2027,12,31)),"Datoen er ikke i 2027",""))))))</f>
        <v/>
      </c>
    </row>
    <row r="147">
      <c r="A147" s="17" t="n"/>
      <c r="B147" s="9" t="n"/>
      <c r="C147" s="8" t="n"/>
      <c r="D147" s="8" t="n"/>
      <c r="E147" s="8" t="n"/>
      <c r="F147" s="14" t="n"/>
      <c r="G147" s="14" t="n"/>
      <c r="H147" s="8" t="n"/>
      <c r="I147" s="8" t="n"/>
      <c r="J147" s="8" t="n"/>
      <c r="K147" s="18">
        <f>IF(B147="","",IFERROR(MONTH(B147),""))</f>
        <v/>
      </c>
      <c r="L147" s="5">
        <f>IF(COUNTA(A147:J147)=0,"",IF(E147="","Mangler motkonto",IF((F147="")=(G147=""),"Fyll ut enten Inn eller Ut",IF(OR(IFERROR(INDEX('Kontoplan'!$D$3:$D$302,MATCH(D147,'Kontoplan'!$H$3:$H$302,0))="Støttes ikke",FALSE),IFERROR(INDEX('Kontoplan'!$D$3:$D$302,MATCH(E147,'Kontoplan'!$H$3:$H$302,0))="Støttes ikke",FALSE)),"Kontoen støttes ikke",IF(IFERROR(AND(A147&gt;1,COUNTIF($A$3:$A$2002,A147-1)=0),FALSE),"Nummeret hopper over",IF(OR(NOT(ISNUMBER(B147)),B147&lt;DATE(2027,1,1),B147&gt;DATE(2027,12,31)),"Datoen er ikke i 2027",""))))))</f>
        <v/>
      </c>
    </row>
    <row r="148">
      <c r="A148" s="17" t="n"/>
      <c r="B148" s="9" t="n"/>
      <c r="C148" s="8" t="n"/>
      <c r="D148" s="8" t="n"/>
      <c r="E148" s="8" t="n"/>
      <c r="F148" s="14" t="n"/>
      <c r="G148" s="14" t="n"/>
      <c r="H148" s="8" t="n"/>
      <c r="I148" s="8" t="n"/>
      <c r="J148" s="8" t="n"/>
      <c r="K148" s="18">
        <f>IF(B148="","",IFERROR(MONTH(B148),""))</f>
        <v/>
      </c>
      <c r="L148" s="5">
        <f>IF(COUNTA(A148:J148)=0,"",IF(E148="","Mangler motkonto",IF((F148="")=(G148=""),"Fyll ut enten Inn eller Ut",IF(OR(IFERROR(INDEX('Kontoplan'!$D$3:$D$302,MATCH(D148,'Kontoplan'!$H$3:$H$302,0))="Støttes ikke",FALSE),IFERROR(INDEX('Kontoplan'!$D$3:$D$302,MATCH(E148,'Kontoplan'!$H$3:$H$302,0))="Støttes ikke",FALSE)),"Kontoen støttes ikke",IF(IFERROR(AND(A148&gt;1,COUNTIF($A$3:$A$2002,A148-1)=0),FALSE),"Nummeret hopper over",IF(OR(NOT(ISNUMBER(B148)),B148&lt;DATE(2027,1,1),B148&gt;DATE(2027,12,31)),"Datoen er ikke i 2027",""))))))</f>
        <v/>
      </c>
    </row>
    <row r="149">
      <c r="A149" s="17" t="n"/>
      <c r="B149" s="9" t="n"/>
      <c r="C149" s="8" t="n"/>
      <c r="D149" s="8" t="n"/>
      <c r="E149" s="8" t="n"/>
      <c r="F149" s="14" t="n"/>
      <c r="G149" s="14" t="n"/>
      <c r="H149" s="8" t="n"/>
      <c r="I149" s="8" t="n"/>
      <c r="J149" s="8" t="n"/>
      <c r="K149" s="18">
        <f>IF(B149="","",IFERROR(MONTH(B149),""))</f>
        <v/>
      </c>
      <c r="L149" s="5">
        <f>IF(COUNTA(A149:J149)=0,"",IF(E149="","Mangler motkonto",IF((F149="")=(G149=""),"Fyll ut enten Inn eller Ut",IF(OR(IFERROR(INDEX('Kontoplan'!$D$3:$D$302,MATCH(D149,'Kontoplan'!$H$3:$H$302,0))="Støttes ikke",FALSE),IFERROR(INDEX('Kontoplan'!$D$3:$D$302,MATCH(E149,'Kontoplan'!$H$3:$H$302,0))="Støttes ikke",FALSE)),"Kontoen støttes ikke",IF(IFERROR(AND(A149&gt;1,COUNTIF($A$3:$A$2002,A149-1)=0),FALSE),"Nummeret hopper over",IF(OR(NOT(ISNUMBER(B149)),B149&lt;DATE(2027,1,1),B149&gt;DATE(2027,12,31)),"Datoen er ikke i 2027",""))))))</f>
        <v/>
      </c>
    </row>
    <row r="150">
      <c r="A150" s="17" t="n"/>
      <c r="B150" s="9" t="n"/>
      <c r="C150" s="8" t="n"/>
      <c r="D150" s="8" t="n"/>
      <c r="E150" s="8" t="n"/>
      <c r="F150" s="14" t="n"/>
      <c r="G150" s="14" t="n"/>
      <c r="H150" s="8" t="n"/>
      <c r="I150" s="8" t="n"/>
      <c r="J150" s="8" t="n"/>
      <c r="K150" s="18">
        <f>IF(B150="","",IFERROR(MONTH(B150),""))</f>
        <v/>
      </c>
      <c r="L150" s="5">
        <f>IF(COUNTA(A150:J150)=0,"",IF(E150="","Mangler motkonto",IF((F150="")=(G150=""),"Fyll ut enten Inn eller Ut",IF(OR(IFERROR(INDEX('Kontoplan'!$D$3:$D$302,MATCH(D150,'Kontoplan'!$H$3:$H$302,0))="Støttes ikke",FALSE),IFERROR(INDEX('Kontoplan'!$D$3:$D$302,MATCH(E150,'Kontoplan'!$H$3:$H$302,0))="Støttes ikke",FALSE)),"Kontoen støttes ikke",IF(IFERROR(AND(A150&gt;1,COUNTIF($A$3:$A$2002,A150-1)=0),FALSE),"Nummeret hopper over",IF(OR(NOT(ISNUMBER(B150)),B150&lt;DATE(2027,1,1),B150&gt;DATE(2027,12,31)),"Datoen er ikke i 2027",""))))))</f>
        <v/>
      </c>
    </row>
    <row r="151">
      <c r="A151" s="17" t="n"/>
      <c r="B151" s="9" t="n"/>
      <c r="C151" s="8" t="n"/>
      <c r="D151" s="8" t="n"/>
      <c r="E151" s="8" t="n"/>
      <c r="F151" s="14" t="n"/>
      <c r="G151" s="14" t="n"/>
      <c r="H151" s="8" t="n"/>
      <c r="I151" s="8" t="n"/>
      <c r="J151" s="8" t="n"/>
      <c r="K151" s="18">
        <f>IF(B151="","",IFERROR(MONTH(B151),""))</f>
        <v/>
      </c>
      <c r="L151" s="5">
        <f>IF(COUNTA(A151:J151)=0,"",IF(E151="","Mangler motkonto",IF((F151="")=(G151=""),"Fyll ut enten Inn eller Ut",IF(OR(IFERROR(INDEX('Kontoplan'!$D$3:$D$302,MATCH(D151,'Kontoplan'!$H$3:$H$302,0))="Støttes ikke",FALSE),IFERROR(INDEX('Kontoplan'!$D$3:$D$302,MATCH(E151,'Kontoplan'!$H$3:$H$302,0))="Støttes ikke",FALSE)),"Kontoen støttes ikke",IF(IFERROR(AND(A151&gt;1,COUNTIF($A$3:$A$2002,A151-1)=0),FALSE),"Nummeret hopper over",IF(OR(NOT(ISNUMBER(B151)),B151&lt;DATE(2027,1,1),B151&gt;DATE(2027,12,31)),"Datoen er ikke i 2027",""))))))</f>
        <v/>
      </c>
    </row>
    <row r="152">
      <c r="A152" s="17" t="n"/>
      <c r="B152" s="9" t="n"/>
      <c r="C152" s="8" t="n"/>
      <c r="D152" s="8" t="n"/>
      <c r="E152" s="8" t="n"/>
      <c r="F152" s="14" t="n"/>
      <c r="G152" s="14" t="n"/>
      <c r="H152" s="8" t="n"/>
      <c r="I152" s="8" t="n"/>
      <c r="J152" s="8" t="n"/>
      <c r="K152" s="18">
        <f>IF(B152="","",IFERROR(MONTH(B152),""))</f>
        <v/>
      </c>
      <c r="L152" s="5">
        <f>IF(COUNTA(A152:J152)=0,"",IF(E152="","Mangler motkonto",IF((F152="")=(G152=""),"Fyll ut enten Inn eller Ut",IF(OR(IFERROR(INDEX('Kontoplan'!$D$3:$D$302,MATCH(D152,'Kontoplan'!$H$3:$H$302,0))="Støttes ikke",FALSE),IFERROR(INDEX('Kontoplan'!$D$3:$D$302,MATCH(E152,'Kontoplan'!$H$3:$H$302,0))="Støttes ikke",FALSE)),"Kontoen støttes ikke",IF(IFERROR(AND(A152&gt;1,COUNTIF($A$3:$A$2002,A152-1)=0),FALSE),"Nummeret hopper over",IF(OR(NOT(ISNUMBER(B152)),B152&lt;DATE(2027,1,1),B152&gt;DATE(2027,12,31)),"Datoen er ikke i 2027",""))))))</f>
        <v/>
      </c>
    </row>
    <row r="153">
      <c r="A153" s="17" t="n"/>
      <c r="B153" s="9" t="n"/>
      <c r="C153" s="8" t="n"/>
      <c r="D153" s="8" t="n"/>
      <c r="E153" s="8" t="n"/>
      <c r="F153" s="14" t="n"/>
      <c r="G153" s="14" t="n"/>
      <c r="H153" s="8" t="n"/>
      <c r="I153" s="8" t="n"/>
      <c r="J153" s="8" t="n"/>
      <c r="K153" s="18">
        <f>IF(B153="","",IFERROR(MONTH(B153),""))</f>
        <v/>
      </c>
      <c r="L153" s="5">
        <f>IF(COUNTA(A153:J153)=0,"",IF(E153="","Mangler motkonto",IF((F153="")=(G153=""),"Fyll ut enten Inn eller Ut",IF(OR(IFERROR(INDEX('Kontoplan'!$D$3:$D$302,MATCH(D153,'Kontoplan'!$H$3:$H$302,0))="Støttes ikke",FALSE),IFERROR(INDEX('Kontoplan'!$D$3:$D$302,MATCH(E153,'Kontoplan'!$H$3:$H$302,0))="Støttes ikke",FALSE)),"Kontoen støttes ikke",IF(IFERROR(AND(A153&gt;1,COUNTIF($A$3:$A$2002,A153-1)=0),FALSE),"Nummeret hopper over",IF(OR(NOT(ISNUMBER(B153)),B153&lt;DATE(2027,1,1),B153&gt;DATE(2027,12,31)),"Datoen er ikke i 2027",""))))))</f>
        <v/>
      </c>
    </row>
    <row r="154">
      <c r="A154" s="17" t="n"/>
      <c r="B154" s="9" t="n"/>
      <c r="C154" s="8" t="n"/>
      <c r="D154" s="8" t="n"/>
      <c r="E154" s="8" t="n"/>
      <c r="F154" s="14" t="n"/>
      <c r="G154" s="14" t="n"/>
      <c r="H154" s="8" t="n"/>
      <c r="I154" s="8" t="n"/>
      <c r="J154" s="8" t="n"/>
      <c r="K154" s="18">
        <f>IF(B154="","",IFERROR(MONTH(B154),""))</f>
        <v/>
      </c>
      <c r="L154" s="5">
        <f>IF(COUNTA(A154:J154)=0,"",IF(E154="","Mangler motkonto",IF((F154="")=(G154=""),"Fyll ut enten Inn eller Ut",IF(OR(IFERROR(INDEX('Kontoplan'!$D$3:$D$302,MATCH(D154,'Kontoplan'!$H$3:$H$302,0))="Støttes ikke",FALSE),IFERROR(INDEX('Kontoplan'!$D$3:$D$302,MATCH(E154,'Kontoplan'!$H$3:$H$302,0))="Støttes ikke",FALSE)),"Kontoen støttes ikke",IF(IFERROR(AND(A154&gt;1,COUNTIF($A$3:$A$2002,A154-1)=0),FALSE),"Nummeret hopper over",IF(OR(NOT(ISNUMBER(B154)),B154&lt;DATE(2027,1,1),B154&gt;DATE(2027,12,31)),"Datoen er ikke i 2027",""))))))</f>
        <v/>
      </c>
    </row>
    <row r="155">
      <c r="A155" s="17" t="n"/>
      <c r="B155" s="9" t="n"/>
      <c r="C155" s="8" t="n"/>
      <c r="D155" s="8" t="n"/>
      <c r="E155" s="8" t="n"/>
      <c r="F155" s="14" t="n"/>
      <c r="G155" s="14" t="n"/>
      <c r="H155" s="8" t="n"/>
      <c r="I155" s="8" t="n"/>
      <c r="J155" s="8" t="n"/>
      <c r="K155" s="18">
        <f>IF(B155="","",IFERROR(MONTH(B155),""))</f>
        <v/>
      </c>
      <c r="L155" s="5">
        <f>IF(COUNTA(A155:J155)=0,"",IF(E155="","Mangler motkonto",IF((F155="")=(G155=""),"Fyll ut enten Inn eller Ut",IF(OR(IFERROR(INDEX('Kontoplan'!$D$3:$D$302,MATCH(D155,'Kontoplan'!$H$3:$H$302,0))="Støttes ikke",FALSE),IFERROR(INDEX('Kontoplan'!$D$3:$D$302,MATCH(E155,'Kontoplan'!$H$3:$H$302,0))="Støttes ikke",FALSE)),"Kontoen støttes ikke",IF(IFERROR(AND(A155&gt;1,COUNTIF($A$3:$A$2002,A155-1)=0),FALSE),"Nummeret hopper over",IF(OR(NOT(ISNUMBER(B155)),B155&lt;DATE(2027,1,1),B155&gt;DATE(2027,12,31)),"Datoen er ikke i 2027",""))))))</f>
        <v/>
      </c>
    </row>
    <row r="156">
      <c r="A156" s="17" t="n"/>
      <c r="B156" s="9" t="n"/>
      <c r="C156" s="8" t="n"/>
      <c r="D156" s="8" t="n"/>
      <c r="E156" s="8" t="n"/>
      <c r="F156" s="14" t="n"/>
      <c r="G156" s="14" t="n"/>
      <c r="H156" s="8" t="n"/>
      <c r="I156" s="8" t="n"/>
      <c r="J156" s="8" t="n"/>
      <c r="K156" s="18">
        <f>IF(B156="","",IFERROR(MONTH(B156),""))</f>
        <v/>
      </c>
      <c r="L156" s="5">
        <f>IF(COUNTA(A156:J156)=0,"",IF(E156="","Mangler motkonto",IF((F156="")=(G156=""),"Fyll ut enten Inn eller Ut",IF(OR(IFERROR(INDEX('Kontoplan'!$D$3:$D$302,MATCH(D156,'Kontoplan'!$H$3:$H$302,0))="Støttes ikke",FALSE),IFERROR(INDEX('Kontoplan'!$D$3:$D$302,MATCH(E156,'Kontoplan'!$H$3:$H$302,0))="Støttes ikke",FALSE)),"Kontoen støttes ikke",IF(IFERROR(AND(A156&gt;1,COUNTIF($A$3:$A$2002,A156-1)=0),FALSE),"Nummeret hopper over",IF(OR(NOT(ISNUMBER(B156)),B156&lt;DATE(2027,1,1),B156&gt;DATE(2027,12,31)),"Datoen er ikke i 2027",""))))))</f>
        <v/>
      </c>
    </row>
    <row r="157">
      <c r="A157" s="17" t="n"/>
      <c r="B157" s="9" t="n"/>
      <c r="C157" s="8" t="n"/>
      <c r="D157" s="8" t="n"/>
      <c r="E157" s="8" t="n"/>
      <c r="F157" s="14" t="n"/>
      <c r="G157" s="14" t="n"/>
      <c r="H157" s="8" t="n"/>
      <c r="I157" s="8" t="n"/>
      <c r="J157" s="8" t="n"/>
      <c r="K157" s="18">
        <f>IF(B157="","",IFERROR(MONTH(B157),""))</f>
        <v/>
      </c>
      <c r="L157" s="5">
        <f>IF(COUNTA(A157:J157)=0,"",IF(E157="","Mangler motkonto",IF((F157="")=(G157=""),"Fyll ut enten Inn eller Ut",IF(OR(IFERROR(INDEX('Kontoplan'!$D$3:$D$302,MATCH(D157,'Kontoplan'!$H$3:$H$302,0))="Støttes ikke",FALSE),IFERROR(INDEX('Kontoplan'!$D$3:$D$302,MATCH(E157,'Kontoplan'!$H$3:$H$302,0))="Støttes ikke",FALSE)),"Kontoen støttes ikke",IF(IFERROR(AND(A157&gt;1,COUNTIF($A$3:$A$2002,A157-1)=0),FALSE),"Nummeret hopper over",IF(OR(NOT(ISNUMBER(B157)),B157&lt;DATE(2027,1,1),B157&gt;DATE(2027,12,31)),"Datoen er ikke i 2027",""))))))</f>
        <v/>
      </c>
    </row>
    <row r="158">
      <c r="A158" s="17" t="n"/>
      <c r="B158" s="9" t="n"/>
      <c r="C158" s="8" t="n"/>
      <c r="D158" s="8" t="n"/>
      <c r="E158" s="8" t="n"/>
      <c r="F158" s="14" t="n"/>
      <c r="G158" s="14" t="n"/>
      <c r="H158" s="8" t="n"/>
      <c r="I158" s="8" t="n"/>
      <c r="J158" s="8" t="n"/>
      <c r="K158" s="18">
        <f>IF(B158="","",IFERROR(MONTH(B158),""))</f>
        <v/>
      </c>
      <c r="L158" s="5">
        <f>IF(COUNTA(A158:J158)=0,"",IF(E158="","Mangler motkonto",IF((F158="")=(G158=""),"Fyll ut enten Inn eller Ut",IF(OR(IFERROR(INDEX('Kontoplan'!$D$3:$D$302,MATCH(D158,'Kontoplan'!$H$3:$H$302,0))="Støttes ikke",FALSE),IFERROR(INDEX('Kontoplan'!$D$3:$D$302,MATCH(E158,'Kontoplan'!$H$3:$H$302,0))="Støttes ikke",FALSE)),"Kontoen støttes ikke",IF(IFERROR(AND(A158&gt;1,COUNTIF($A$3:$A$2002,A158-1)=0),FALSE),"Nummeret hopper over",IF(OR(NOT(ISNUMBER(B158)),B158&lt;DATE(2027,1,1),B158&gt;DATE(2027,12,31)),"Datoen er ikke i 2027",""))))))</f>
        <v/>
      </c>
    </row>
    <row r="159">
      <c r="A159" s="17" t="n"/>
      <c r="B159" s="9" t="n"/>
      <c r="C159" s="8" t="n"/>
      <c r="D159" s="8" t="n"/>
      <c r="E159" s="8" t="n"/>
      <c r="F159" s="14" t="n"/>
      <c r="G159" s="14" t="n"/>
      <c r="H159" s="8" t="n"/>
      <c r="I159" s="8" t="n"/>
      <c r="J159" s="8" t="n"/>
      <c r="K159" s="18">
        <f>IF(B159="","",IFERROR(MONTH(B159),""))</f>
        <v/>
      </c>
      <c r="L159" s="5">
        <f>IF(COUNTA(A159:J159)=0,"",IF(E159="","Mangler motkonto",IF((F159="")=(G159=""),"Fyll ut enten Inn eller Ut",IF(OR(IFERROR(INDEX('Kontoplan'!$D$3:$D$302,MATCH(D159,'Kontoplan'!$H$3:$H$302,0))="Støttes ikke",FALSE),IFERROR(INDEX('Kontoplan'!$D$3:$D$302,MATCH(E159,'Kontoplan'!$H$3:$H$302,0))="Støttes ikke",FALSE)),"Kontoen støttes ikke",IF(IFERROR(AND(A159&gt;1,COUNTIF($A$3:$A$2002,A159-1)=0),FALSE),"Nummeret hopper over",IF(OR(NOT(ISNUMBER(B159)),B159&lt;DATE(2027,1,1),B159&gt;DATE(2027,12,31)),"Datoen er ikke i 2027",""))))))</f>
        <v/>
      </c>
    </row>
    <row r="160">
      <c r="A160" s="17" t="n"/>
      <c r="B160" s="9" t="n"/>
      <c r="C160" s="8" t="n"/>
      <c r="D160" s="8" t="n"/>
      <c r="E160" s="8" t="n"/>
      <c r="F160" s="14" t="n"/>
      <c r="G160" s="14" t="n"/>
      <c r="H160" s="8" t="n"/>
      <c r="I160" s="8" t="n"/>
      <c r="J160" s="8" t="n"/>
      <c r="K160" s="18">
        <f>IF(B160="","",IFERROR(MONTH(B160),""))</f>
        <v/>
      </c>
      <c r="L160" s="5">
        <f>IF(COUNTA(A160:J160)=0,"",IF(E160="","Mangler motkonto",IF((F160="")=(G160=""),"Fyll ut enten Inn eller Ut",IF(OR(IFERROR(INDEX('Kontoplan'!$D$3:$D$302,MATCH(D160,'Kontoplan'!$H$3:$H$302,0))="Støttes ikke",FALSE),IFERROR(INDEX('Kontoplan'!$D$3:$D$302,MATCH(E160,'Kontoplan'!$H$3:$H$302,0))="Støttes ikke",FALSE)),"Kontoen støttes ikke",IF(IFERROR(AND(A160&gt;1,COUNTIF($A$3:$A$2002,A160-1)=0),FALSE),"Nummeret hopper over",IF(OR(NOT(ISNUMBER(B160)),B160&lt;DATE(2027,1,1),B160&gt;DATE(2027,12,31)),"Datoen er ikke i 2027",""))))))</f>
        <v/>
      </c>
    </row>
    <row r="161">
      <c r="A161" s="17" t="n"/>
      <c r="B161" s="9" t="n"/>
      <c r="C161" s="8" t="n"/>
      <c r="D161" s="8" t="n"/>
      <c r="E161" s="8" t="n"/>
      <c r="F161" s="14" t="n"/>
      <c r="G161" s="14" t="n"/>
      <c r="H161" s="8" t="n"/>
      <c r="I161" s="8" t="n"/>
      <c r="J161" s="8" t="n"/>
      <c r="K161" s="18">
        <f>IF(B161="","",IFERROR(MONTH(B161),""))</f>
        <v/>
      </c>
      <c r="L161" s="5">
        <f>IF(COUNTA(A161:J161)=0,"",IF(E161="","Mangler motkonto",IF((F161="")=(G161=""),"Fyll ut enten Inn eller Ut",IF(OR(IFERROR(INDEX('Kontoplan'!$D$3:$D$302,MATCH(D161,'Kontoplan'!$H$3:$H$302,0))="Støttes ikke",FALSE),IFERROR(INDEX('Kontoplan'!$D$3:$D$302,MATCH(E161,'Kontoplan'!$H$3:$H$302,0))="Støttes ikke",FALSE)),"Kontoen støttes ikke",IF(IFERROR(AND(A161&gt;1,COUNTIF($A$3:$A$2002,A161-1)=0),FALSE),"Nummeret hopper over",IF(OR(NOT(ISNUMBER(B161)),B161&lt;DATE(2027,1,1),B161&gt;DATE(2027,12,31)),"Datoen er ikke i 2027",""))))))</f>
        <v/>
      </c>
    </row>
    <row r="162">
      <c r="A162" s="17" t="n"/>
      <c r="B162" s="9" t="n"/>
      <c r="C162" s="8" t="n"/>
      <c r="D162" s="8" t="n"/>
      <c r="E162" s="8" t="n"/>
      <c r="F162" s="14" t="n"/>
      <c r="G162" s="14" t="n"/>
      <c r="H162" s="8" t="n"/>
      <c r="I162" s="8" t="n"/>
      <c r="J162" s="8" t="n"/>
      <c r="K162" s="18">
        <f>IF(B162="","",IFERROR(MONTH(B162),""))</f>
        <v/>
      </c>
      <c r="L162" s="5">
        <f>IF(COUNTA(A162:J162)=0,"",IF(E162="","Mangler motkonto",IF((F162="")=(G162=""),"Fyll ut enten Inn eller Ut",IF(OR(IFERROR(INDEX('Kontoplan'!$D$3:$D$302,MATCH(D162,'Kontoplan'!$H$3:$H$302,0))="Støttes ikke",FALSE),IFERROR(INDEX('Kontoplan'!$D$3:$D$302,MATCH(E162,'Kontoplan'!$H$3:$H$302,0))="Støttes ikke",FALSE)),"Kontoen støttes ikke",IF(IFERROR(AND(A162&gt;1,COUNTIF($A$3:$A$2002,A162-1)=0),FALSE),"Nummeret hopper over",IF(OR(NOT(ISNUMBER(B162)),B162&lt;DATE(2027,1,1),B162&gt;DATE(2027,12,31)),"Datoen er ikke i 2027",""))))))</f>
        <v/>
      </c>
    </row>
    <row r="163">
      <c r="A163" s="17" t="n"/>
      <c r="B163" s="9" t="n"/>
      <c r="C163" s="8" t="n"/>
      <c r="D163" s="8" t="n"/>
      <c r="E163" s="8" t="n"/>
      <c r="F163" s="14" t="n"/>
      <c r="G163" s="14" t="n"/>
      <c r="H163" s="8" t="n"/>
      <c r="I163" s="8" t="n"/>
      <c r="J163" s="8" t="n"/>
      <c r="K163" s="18">
        <f>IF(B163="","",IFERROR(MONTH(B163),""))</f>
        <v/>
      </c>
      <c r="L163" s="5">
        <f>IF(COUNTA(A163:J163)=0,"",IF(E163="","Mangler motkonto",IF((F163="")=(G163=""),"Fyll ut enten Inn eller Ut",IF(OR(IFERROR(INDEX('Kontoplan'!$D$3:$D$302,MATCH(D163,'Kontoplan'!$H$3:$H$302,0))="Støttes ikke",FALSE),IFERROR(INDEX('Kontoplan'!$D$3:$D$302,MATCH(E163,'Kontoplan'!$H$3:$H$302,0))="Støttes ikke",FALSE)),"Kontoen støttes ikke",IF(IFERROR(AND(A163&gt;1,COUNTIF($A$3:$A$2002,A163-1)=0),FALSE),"Nummeret hopper over",IF(OR(NOT(ISNUMBER(B163)),B163&lt;DATE(2027,1,1),B163&gt;DATE(2027,12,31)),"Datoen er ikke i 2027",""))))))</f>
        <v/>
      </c>
    </row>
    <row r="164">
      <c r="A164" s="17" t="n"/>
      <c r="B164" s="9" t="n"/>
      <c r="C164" s="8" t="n"/>
      <c r="D164" s="8" t="n"/>
      <c r="E164" s="8" t="n"/>
      <c r="F164" s="14" t="n"/>
      <c r="G164" s="14" t="n"/>
      <c r="H164" s="8" t="n"/>
      <c r="I164" s="8" t="n"/>
      <c r="J164" s="8" t="n"/>
      <c r="K164" s="18">
        <f>IF(B164="","",IFERROR(MONTH(B164),""))</f>
        <v/>
      </c>
      <c r="L164" s="5">
        <f>IF(COUNTA(A164:J164)=0,"",IF(E164="","Mangler motkonto",IF((F164="")=(G164=""),"Fyll ut enten Inn eller Ut",IF(OR(IFERROR(INDEX('Kontoplan'!$D$3:$D$302,MATCH(D164,'Kontoplan'!$H$3:$H$302,0))="Støttes ikke",FALSE),IFERROR(INDEX('Kontoplan'!$D$3:$D$302,MATCH(E164,'Kontoplan'!$H$3:$H$302,0))="Støttes ikke",FALSE)),"Kontoen støttes ikke",IF(IFERROR(AND(A164&gt;1,COUNTIF($A$3:$A$2002,A164-1)=0),FALSE),"Nummeret hopper over",IF(OR(NOT(ISNUMBER(B164)),B164&lt;DATE(2027,1,1),B164&gt;DATE(2027,12,31)),"Datoen er ikke i 2027",""))))))</f>
        <v/>
      </c>
    </row>
    <row r="165">
      <c r="A165" s="17" t="n"/>
      <c r="B165" s="9" t="n"/>
      <c r="C165" s="8" t="n"/>
      <c r="D165" s="8" t="n"/>
      <c r="E165" s="8" t="n"/>
      <c r="F165" s="14" t="n"/>
      <c r="G165" s="14" t="n"/>
      <c r="H165" s="8" t="n"/>
      <c r="I165" s="8" t="n"/>
      <c r="J165" s="8" t="n"/>
      <c r="K165" s="18">
        <f>IF(B165="","",IFERROR(MONTH(B165),""))</f>
        <v/>
      </c>
      <c r="L165" s="5">
        <f>IF(COUNTA(A165:J165)=0,"",IF(E165="","Mangler motkonto",IF((F165="")=(G165=""),"Fyll ut enten Inn eller Ut",IF(OR(IFERROR(INDEX('Kontoplan'!$D$3:$D$302,MATCH(D165,'Kontoplan'!$H$3:$H$302,0))="Støttes ikke",FALSE),IFERROR(INDEX('Kontoplan'!$D$3:$D$302,MATCH(E165,'Kontoplan'!$H$3:$H$302,0))="Støttes ikke",FALSE)),"Kontoen støttes ikke",IF(IFERROR(AND(A165&gt;1,COUNTIF($A$3:$A$2002,A165-1)=0),FALSE),"Nummeret hopper over",IF(OR(NOT(ISNUMBER(B165)),B165&lt;DATE(2027,1,1),B165&gt;DATE(2027,12,31)),"Datoen er ikke i 2027",""))))))</f>
        <v/>
      </c>
    </row>
    <row r="166">
      <c r="A166" s="17" t="n"/>
      <c r="B166" s="9" t="n"/>
      <c r="C166" s="8" t="n"/>
      <c r="D166" s="8" t="n"/>
      <c r="E166" s="8" t="n"/>
      <c r="F166" s="14" t="n"/>
      <c r="G166" s="14" t="n"/>
      <c r="H166" s="8" t="n"/>
      <c r="I166" s="8" t="n"/>
      <c r="J166" s="8" t="n"/>
      <c r="K166" s="18">
        <f>IF(B166="","",IFERROR(MONTH(B166),""))</f>
        <v/>
      </c>
      <c r="L166" s="5">
        <f>IF(COUNTA(A166:J166)=0,"",IF(E166="","Mangler motkonto",IF((F166="")=(G166=""),"Fyll ut enten Inn eller Ut",IF(OR(IFERROR(INDEX('Kontoplan'!$D$3:$D$302,MATCH(D166,'Kontoplan'!$H$3:$H$302,0))="Støttes ikke",FALSE),IFERROR(INDEX('Kontoplan'!$D$3:$D$302,MATCH(E166,'Kontoplan'!$H$3:$H$302,0))="Støttes ikke",FALSE)),"Kontoen støttes ikke",IF(IFERROR(AND(A166&gt;1,COUNTIF($A$3:$A$2002,A166-1)=0),FALSE),"Nummeret hopper over",IF(OR(NOT(ISNUMBER(B166)),B166&lt;DATE(2027,1,1),B166&gt;DATE(2027,12,31)),"Datoen er ikke i 2027",""))))))</f>
        <v/>
      </c>
    </row>
    <row r="167">
      <c r="A167" s="17" t="n"/>
      <c r="B167" s="9" t="n"/>
      <c r="C167" s="8" t="n"/>
      <c r="D167" s="8" t="n"/>
      <c r="E167" s="8" t="n"/>
      <c r="F167" s="14" t="n"/>
      <c r="G167" s="14" t="n"/>
      <c r="H167" s="8" t="n"/>
      <c r="I167" s="8" t="n"/>
      <c r="J167" s="8" t="n"/>
      <c r="K167" s="18">
        <f>IF(B167="","",IFERROR(MONTH(B167),""))</f>
        <v/>
      </c>
      <c r="L167" s="5">
        <f>IF(COUNTA(A167:J167)=0,"",IF(E167="","Mangler motkonto",IF((F167="")=(G167=""),"Fyll ut enten Inn eller Ut",IF(OR(IFERROR(INDEX('Kontoplan'!$D$3:$D$302,MATCH(D167,'Kontoplan'!$H$3:$H$302,0))="Støttes ikke",FALSE),IFERROR(INDEX('Kontoplan'!$D$3:$D$302,MATCH(E167,'Kontoplan'!$H$3:$H$302,0))="Støttes ikke",FALSE)),"Kontoen støttes ikke",IF(IFERROR(AND(A167&gt;1,COUNTIF($A$3:$A$2002,A167-1)=0),FALSE),"Nummeret hopper over",IF(OR(NOT(ISNUMBER(B167)),B167&lt;DATE(2027,1,1),B167&gt;DATE(2027,12,31)),"Datoen er ikke i 2027",""))))))</f>
        <v/>
      </c>
    </row>
    <row r="168">
      <c r="A168" s="17" t="n"/>
      <c r="B168" s="9" t="n"/>
      <c r="C168" s="8" t="n"/>
      <c r="D168" s="8" t="n"/>
      <c r="E168" s="8" t="n"/>
      <c r="F168" s="14" t="n"/>
      <c r="G168" s="14" t="n"/>
      <c r="H168" s="8" t="n"/>
      <c r="I168" s="8" t="n"/>
      <c r="J168" s="8" t="n"/>
      <c r="K168" s="18">
        <f>IF(B168="","",IFERROR(MONTH(B168),""))</f>
        <v/>
      </c>
      <c r="L168" s="5">
        <f>IF(COUNTA(A168:J168)=0,"",IF(E168="","Mangler motkonto",IF((F168="")=(G168=""),"Fyll ut enten Inn eller Ut",IF(OR(IFERROR(INDEX('Kontoplan'!$D$3:$D$302,MATCH(D168,'Kontoplan'!$H$3:$H$302,0))="Støttes ikke",FALSE),IFERROR(INDEX('Kontoplan'!$D$3:$D$302,MATCH(E168,'Kontoplan'!$H$3:$H$302,0))="Støttes ikke",FALSE)),"Kontoen støttes ikke",IF(IFERROR(AND(A168&gt;1,COUNTIF($A$3:$A$2002,A168-1)=0),FALSE),"Nummeret hopper over",IF(OR(NOT(ISNUMBER(B168)),B168&lt;DATE(2027,1,1),B168&gt;DATE(2027,12,31)),"Datoen er ikke i 2027",""))))))</f>
        <v/>
      </c>
    </row>
    <row r="169">
      <c r="A169" s="17" t="n"/>
      <c r="B169" s="9" t="n"/>
      <c r="C169" s="8" t="n"/>
      <c r="D169" s="8" t="n"/>
      <c r="E169" s="8" t="n"/>
      <c r="F169" s="14" t="n"/>
      <c r="G169" s="14" t="n"/>
      <c r="H169" s="8" t="n"/>
      <c r="I169" s="8" t="n"/>
      <c r="J169" s="8" t="n"/>
      <c r="K169" s="18">
        <f>IF(B169="","",IFERROR(MONTH(B169),""))</f>
        <v/>
      </c>
      <c r="L169" s="5">
        <f>IF(COUNTA(A169:J169)=0,"",IF(E169="","Mangler motkonto",IF((F169="")=(G169=""),"Fyll ut enten Inn eller Ut",IF(OR(IFERROR(INDEX('Kontoplan'!$D$3:$D$302,MATCH(D169,'Kontoplan'!$H$3:$H$302,0))="Støttes ikke",FALSE),IFERROR(INDEX('Kontoplan'!$D$3:$D$302,MATCH(E169,'Kontoplan'!$H$3:$H$302,0))="Støttes ikke",FALSE)),"Kontoen støttes ikke",IF(IFERROR(AND(A169&gt;1,COUNTIF($A$3:$A$2002,A169-1)=0),FALSE),"Nummeret hopper over",IF(OR(NOT(ISNUMBER(B169)),B169&lt;DATE(2027,1,1),B169&gt;DATE(2027,12,31)),"Datoen er ikke i 2027",""))))))</f>
        <v/>
      </c>
    </row>
    <row r="170">
      <c r="A170" s="17" t="n"/>
      <c r="B170" s="9" t="n"/>
      <c r="C170" s="8" t="n"/>
      <c r="D170" s="8" t="n"/>
      <c r="E170" s="8" t="n"/>
      <c r="F170" s="14" t="n"/>
      <c r="G170" s="14" t="n"/>
      <c r="H170" s="8" t="n"/>
      <c r="I170" s="8" t="n"/>
      <c r="J170" s="8" t="n"/>
      <c r="K170" s="18">
        <f>IF(B170="","",IFERROR(MONTH(B170),""))</f>
        <v/>
      </c>
      <c r="L170" s="5">
        <f>IF(COUNTA(A170:J170)=0,"",IF(E170="","Mangler motkonto",IF((F170="")=(G170=""),"Fyll ut enten Inn eller Ut",IF(OR(IFERROR(INDEX('Kontoplan'!$D$3:$D$302,MATCH(D170,'Kontoplan'!$H$3:$H$302,0))="Støttes ikke",FALSE),IFERROR(INDEX('Kontoplan'!$D$3:$D$302,MATCH(E170,'Kontoplan'!$H$3:$H$302,0))="Støttes ikke",FALSE)),"Kontoen støttes ikke",IF(IFERROR(AND(A170&gt;1,COUNTIF($A$3:$A$2002,A170-1)=0),FALSE),"Nummeret hopper over",IF(OR(NOT(ISNUMBER(B170)),B170&lt;DATE(2027,1,1),B170&gt;DATE(2027,12,31)),"Datoen er ikke i 2027",""))))))</f>
        <v/>
      </c>
    </row>
    <row r="171">
      <c r="A171" s="17" t="n"/>
      <c r="B171" s="9" t="n"/>
      <c r="C171" s="8" t="n"/>
      <c r="D171" s="8" t="n"/>
      <c r="E171" s="8" t="n"/>
      <c r="F171" s="14" t="n"/>
      <c r="G171" s="14" t="n"/>
      <c r="H171" s="8" t="n"/>
      <c r="I171" s="8" t="n"/>
      <c r="J171" s="8" t="n"/>
      <c r="K171" s="18">
        <f>IF(B171="","",IFERROR(MONTH(B171),""))</f>
        <v/>
      </c>
      <c r="L171" s="5">
        <f>IF(COUNTA(A171:J171)=0,"",IF(E171="","Mangler motkonto",IF((F171="")=(G171=""),"Fyll ut enten Inn eller Ut",IF(OR(IFERROR(INDEX('Kontoplan'!$D$3:$D$302,MATCH(D171,'Kontoplan'!$H$3:$H$302,0))="Støttes ikke",FALSE),IFERROR(INDEX('Kontoplan'!$D$3:$D$302,MATCH(E171,'Kontoplan'!$H$3:$H$302,0))="Støttes ikke",FALSE)),"Kontoen støttes ikke",IF(IFERROR(AND(A171&gt;1,COUNTIF($A$3:$A$2002,A171-1)=0),FALSE),"Nummeret hopper over",IF(OR(NOT(ISNUMBER(B171)),B171&lt;DATE(2027,1,1),B171&gt;DATE(2027,12,31)),"Datoen er ikke i 2027",""))))))</f>
        <v/>
      </c>
    </row>
    <row r="172">
      <c r="A172" s="17" t="n"/>
      <c r="B172" s="9" t="n"/>
      <c r="C172" s="8" t="n"/>
      <c r="D172" s="8" t="n"/>
      <c r="E172" s="8" t="n"/>
      <c r="F172" s="14" t="n"/>
      <c r="G172" s="14" t="n"/>
      <c r="H172" s="8" t="n"/>
      <c r="I172" s="8" t="n"/>
      <c r="J172" s="8" t="n"/>
      <c r="K172" s="18">
        <f>IF(B172="","",IFERROR(MONTH(B172),""))</f>
        <v/>
      </c>
      <c r="L172" s="5">
        <f>IF(COUNTA(A172:J172)=0,"",IF(E172="","Mangler motkonto",IF((F172="")=(G172=""),"Fyll ut enten Inn eller Ut",IF(OR(IFERROR(INDEX('Kontoplan'!$D$3:$D$302,MATCH(D172,'Kontoplan'!$H$3:$H$302,0))="Støttes ikke",FALSE),IFERROR(INDEX('Kontoplan'!$D$3:$D$302,MATCH(E172,'Kontoplan'!$H$3:$H$302,0))="Støttes ikke",FALSE)),"Kontoen støttes ikke",IF(IFERROR(AND(A172&gt;1,COUNTIF($A$3:$A$2002,A172-1)=0),FALSE),"Nummeret hopper over",IF(OR(NOT(ISNUMBER(B172)),B172&lt;DATE(2027,1,1),B172&gt;DATE(2027,12,31)),"Datoen er ikke i 2027",""))))))</f>
        <v/>
      </c>
    </row>
    <row r="173">
      <c r="A173" s="17" t="n"/>
      <c r="B173" s="9" t="n"/>
      <c r="C173" s="8" t="n"/>
      <c r="D173" s="8" t="n"/>
      <c r="E173" s="8" t="n"/>
      <c r="F173" s="14" t="n"/>
      <c r="G173" s="14" t="n"/>
      <c r="H173" s="8" t="n"/>
      <c r="I173" s="8" t="n"/>
      <c r="J173" s="8" t="n"/>
      <c r="K173" s="18">
        <f>IF(B173="","",IFERROR(MONTH(B173),""))</f>
        <v/>
      </c>
      <c r="L173" s="5">
        <f>IF(COUNTA(A173:J173)=0,"",IF(E173="","Mangler motkonto",IF((F173="")=(G173=""),"Fyll ut enten Inn eller Ut",IF(OR(IFERROR(INDEX('Kontoplan'!$D$3:$D$302,MATCH(D173,'Kontoplan'!$H$3:$H$302,0))="Støttes ikke",FALSE),IFERROR(INDEX('Kontoplan'!$D$3:$D$302,MATCH(E173,'Kontoplan'!$H$3:$H$302,0))="Støttes ikke",FALSE)),"Kontoen støttes ikke",IF(IFERROR(AND(A173&gt;1,COUNTIF($A$3:$A$2002,A173-1)=0),FALSE),"Nummeret hopper over",IF(OR(NOT(ISNUMBER(B173)),B173&lt;DATE(2027,1,1),B173&gt;DATE(2027,12,31)),"Datoen er ikke i 2027",""))))))</f>
        <v/>
      </c>
    </row>
    <row r="174">
      <c r="A174" s="17" t="n"/>
      <c r="B174" s="9" t="n"/>
      <c r="C174" s="8" t="n"/>
      <c r="D174" s="8" t="n"/>
      <c r="E174" s="8" t="n"/>
      <c r="F174" s="14" t="n"/>
      <c r="G174" s="14" t="n"/>
      <c r="H174" s="8" t="n"/>
      <c r="I174" s="8" t="n"/>
      <c r="J174" s="8" t="n"/>
      <c r="K174" s="18">
        <f>IF(B174="","",IFERROR(MONTH(B174),""))</f>
        <v/>
      </c>
      <c r="L174" s="5">
        <f>IF(COUNTA(A174:J174)=0,"",IF(E174="","Mangler motkonto",IF((F174="")=(G174=""),"Fyll ut enten Inn eller Ut",IF(OR(IFERROR(INDEX('Kontoplan'!$D$3:$D$302,MATCH(D174,'Kontoplan'!$H$3:$H$302,0))="Støttes ikke",FALSE),IFERROR(INDEX('Kontoplan'!$D$3:$D$302,MATCH(E174,'Kontoplan'!$H$3:$H$302,0))="Støttes ikke",FALSE)),"Kontoen støttes ikke",IF(IFERROR(AND(A174&gt;1,COUNTIF($A$3:$A$2002,A174-1)=0),FALSE),"Nummeret hopper over",IF(OR(NOT(ISNUMBER(B174)),B174&lt;DATE(2027,1,1),B174&gt;DATE(2027,12,31)),"Datoen er ikke i 2027",""))))))</f>
        <v/>
      </c>
    </row>
    <row r="175">
      <c r="A175" s="17" t="n"/>
      <c r="B175" s="9" t="n"/>
      <c r="C175" s="8" t="n"/>
      <c r="D175" s="8" t="n"/>
      <c r="E175" s="8" t="n"/>
      <c r="F175" s="14" t="n"/>
      <c r="G175" s="14" t="n"/>
      <c r="H175" s="8" t="n"/>
      <c r="I175" s="8" t="n"/>
      <c r="J175" s="8" t="n"/>
      <c r="K175" s="18">
        <f>IF(B175="","",IFERROR(MONTH(B175),""))</f>
        <v/>
      </c>
      <c r="L175" s="5">
        <f>IF(COUNTA(A175:J175)=0,"",IF(E175="","Mangler motkonto",IF((F175="")=(G175=""),"Fyll ut enten Inn eller Ut",IF(OR(IFERROR(INDEX('Kontoplan'!$D$3:$D$302,MATCH(D175,'Kontoplan'!$H$3:$H$302,0))="Støttes ikke",FALSE),IFERROR(INDEX('Kontoplan'!$D$3:$D$302,MATCH(E175,'Kontoplan'!$H$3:$H$302,0))="Støttes ikke",FALSE)),"Kontoen støttes ikke",IF(IFERROR(AND(A175&gt;1,COUNTIF($A$3:$A$2002,A175-1)=0),FALSE),"Nummeret hopper over",IF(OR(NOT(ISNUMBER(B175)),B175&lt;DATE(2027,1,1),B175&gt;DATE(2027,12,31)),"Datoen er ikke i 2027",""))))))</f>
        <v/>
      </c>
    </row>
    <row r="176">
      <c r="A176" s="17" t="n"/>
      <c r="B176" s="9" t="n"/>
      <c r="C176" s="8" t="n"/>
      <c r="D176" s="8" t="n"/>
      <c r="E176" s="8" t="n"/>
      <c r="F176" s="14" t="n"/>
      <c r="G176" s="14" t="n"/>
      <c r="H176" s="8" t="n"/>
      <c r="I176" s="8" t="n"/>
      <c r="J176" s="8" t="n"/>
      <c r="K176" s="18">
        <f>IF(B176="","",IFERROR(MONTH(B176),""))</f>
        <v/>
      </c>
      <c r="L176" s="5">
        <f>IF(COUNTA(A176:J176)=0,"",IF(E176="","Mangler motkonto",IF((F176="")=(G176=""),"Fyll ut enten Inn eller Ut",IF(OR(IFERROR(INDEX('Kontoplan'!$D$3:$D$302,MATCH(D176,'Kontoplan'!$H$3:$H$302,0))="Støttes ikke",FALSE),IFERROR(INDEX('Kontoplan'!$D$3:$D$302,MATCH(E176,'Kontoplan'!$H$3:$H$302,0))="Støttes ikke",FALSE)),"Kontoen støttes ikke",IF(IFERROR(AND(A176&gt;1,COUNTIF($A$3:$A$2002,A176-1)=0),FALSE),"Nummeret hopper over",IF(OR(NOT(ISNUMBER(B176)),B176&lt;DATE(2027,1,1),B176&gt;DATE(2027,12,31)),"Datoen er ikke i 2027",""))))))</f>
        <v/>
      </c>
    </row>
    <row r="177">
      <c r="A177" s="17" t="n"/>
      <c r="B177" s="9" t="n"/>
      <c r="C177" s="8" t="n"/>
      <c r="D177" s="8" t="n"/>
      <c r="E177" s="8" t="n"/>
      <c r="F177" s="14" t="n"/>
      <c r="G177" s="14" t="n"/>
      <c r="H177" s="8" t="n"/>
      <c r="I177" s="8" t="n"/>
      <c r="J177" s="8" t="n"/>
      <c r="K177" s="18">
        <f>IF(B177="","",IFERROR(MONTH(B177),""))</f>
        <v/>
      </c>
      <c r="L177" s="5">
        <f>IF(COUNTA(A177:J177)=0,"",IF(E177="","Mangler motkonto",IF((F177="")=(G177=""),"Fyll ut enten Inn eller Ut",IF(OR(IFERROR(INDEX('Kontoplan'!$D$3:$D$302,MATCH(D177,'Kontoplan'!$H$3:$H$302,0))="Støttes ikke",FALSE),IFERROR(INDEX('Kontoplan'!$D$3:$D$302,MATCH(E177,'Kontoplan'!$H$3:$H$302,0))="Støttes ikke",FALSE)),"Kontoen støttes ikke",IF(IFERROR(AND(A177&gt;1,COUNTIF($A$3:$A$2002,A177-1)=0),FALSE),"Nummeret hopper over",IF(OR(NOT(ISNUMBER(B177)),B177&lt;DATE(2027,1,1),B177&gt;DATE(2027,12,31)),"Datoen er ikke i 2027",""))))))</f>
        <v/>
      </c>
    </row>
    <row r="178">
      <c r="A178" s="17" t="n"/>
      <c r="B178" s="9" t="n"/>
      <c r="C178" s="8" t="n"/>
      <c r="D178" s="8" t="n"/>
      <c r="E178" s="8" t="n"/>
      <c r="F178" s="14" t="n"/>
      <c r="G178" s="14" t="n"/>
      <c r="H178" s="8" t="n"/>
      <c r="I178" s="8" t="n"/>
      <c r="J178" s="8" t="n"/>
      <c r="K178" s="18">
        <f>IF(B178="","",IFERROR(MONTH(B178),""))</f>
        <v/>
      </c>
      <c r="L178" s="5">
        <f>IF(COUNTA(A178:J178)=0,"",IF(E178="","Mangler motkonto",IF((F178="")=(G178=""),"Fyll ut enten Inn eller Ut",IF(OR(IFERROR(INDEX('Kontoplan'!$D$3:$D$302,MATCH(D178,'Kontoplan'!$H$3:$H$302,0))="Støttes ikke",FALSE),IFERROR(INDEX('Kontoplan'!$D$3:$D$302,MATCH(E178,'Kontoplan'!$H$3:$H$302,0))="Støttes ikke",FALSE)),"Kontoen støttes ikke",IF(IFERROR(AND(A178&gt;1,COUNTIF($A$3:$A$2002,A178-1)=0),FALSE),"Nummeret hopper over",IF(OR(NOT(ISNUMBER(B178)),B178&lt;DATE(2027,1,1),B178&gt;DATE(2027,12,31)),"Datoen er ikke i 2027",""))))))</f>
        <v/>
      </c>
    </row>
    <row r="179">
      <c r="A179" s="17" t="n"/>
      <c r="B179" s="9" t="n"/>
      <c r="C179" s="8" t="n"/>
      <c r="D179" s="8" t="n"/>
      <c r="E179" s="8" t="n"/>
      <c r="F179" s="14" t="n"/>
      <c r="G179" s="14" t="n"/>
      <c r="H179" s="8" t="n"/>
      <c r="I179" s="8" t="n"/>
      <c r="J179" s="8" t="n"/>
      <c r="K179" s="18">
        <f>IF(B179="","",IFERROR(MONTH(B179),""))</f>
        <v/>
      </c>
      <c r="L179" s="5">
        <f>IF(COUNTA(A179:J179)=0,"",IF(E179="","Mangler motkonto",IF((F179="")=(G179=""),"Fyll ut enten Inn eller Ut",IF(OR(IFERROR(INDEX('Kontoplan'!$D$3:$D$302,MATCH(D179,'Kontoplan'!$H$3:$H$302,0))="Støttes ikke",FALSE),IFERROR(INDEX('Kontoplan'!$D$3:$D$302,MATCH(E179,'Kontoplan'!$H$3:$H$302,0))="Støttes ikke",FALSE)),"Kontoen støttes ikke",IF(IFERROR(AND(A179&gt;1,COUNTIF($A$3:$A$2002,A179-1)=0),FALSE),"Nummeret hopper over",IF(OR(NOT(ISNUMBER(B179)),B179&lt;DATE(2027,1,1),B179&gt;DATE(2027,12,31)),"Datoen er ikke i 2027",""))))))</f>
        <v/>
      </c>
    </row>
    <row r="180">
      <c r="A180" s="17" t="n"/>
      <c r="B180" s="9" t="n"/>
      <c r="C180" s="8" t="n"/>
      <c r="D180" s="8" t="n"/>
      <c r="E180" s="8" t="n"/>
      <c r="F180" s="14" t="n"/>
      <c r="G180" s="14" t="n"/>
      <c r="H180" s="8" t="n"/>
      <c r="I180" s="8" t="n"/>
      <c r="J180" s="8" t="n"/>
      <c r="K180" s="18">
        <f>IF(B180="","",IFERROR(MONTH(B180),""))</f>
        <v/>
      </c>
      <c r="L180" s="5">
        <f>IF(COUNTA(A180:J180)=0,"",IF(E180="","Mangler motkonto",IF((F180="")=(G180=""),"Fyll ut enten Inn eller Ut",IF(OR(IFERROR(INDEX('Kontoplan'!$D$3:$D$302,MATCH(D180,'Kontoplan'!$H$3:$H$302,0))="Støttes ikke",FALSE),IFERROR(INDEX('Kontoplan'!$D$3:$D$302,MATCH(E180,'Kontoplan'!$H$3:$H$302,0))="Støttes ikke",FALSE)),"Kontoen støttes ikke",IF(IFERROR(AND(A180&gt;1,COUNTIF($A$3:$A$2002,A180-1)=0),FALSE),"Nummeret hopper over",IF(OR(NOT(ISNUMBER(B180)),B180&lt;DATE(2027,1,1),B180&gt;DATE(2027,12,31)),"Datoen er ikke i 2027",""))))))</f>
        <v/>
      </c>
    </row>
    <row r="181">
      <c r="A181" s="17" t="n"/>
      <c r="B181" s="9" t="n"/>
      <c r="C181" s="8" t="n"/>
      <c r="D181" s="8" t="n"/>
      <c r="E181" s="8" t="n"/>
      <c r="F181" s="14" t="n"/>
      <c r="G181" s="14" t="n"/>
      <c r="H181" s="8" t="n"/>
      <c r="I181" s="8" t="n"/>
      <c r="J181" s="8" t="n"/>
      <c r="K181" s="18">
        <f>IF(B181="","",IFERROR(MONTH(B181),""))</f>
        <v/>
      </c>
      <c r="L181" s="5">
        <f>IF(COUNTA(A181:J181)=0,"",IF(E181="","Mangler motkonto",IF((F181="")=(G181=""),"Fyll ut enten Inn eller Ut",IF(OR(IFERROR(INDEX('Kontoplan'!$D$3:$D$302,MATCH(D181,'Kontoplan'!$H$3:$H$302,0))="Støttes ikke",FALSE),IFERROR(INDEX('Kontoplan'!$D$3:$D$302,MATCH(E181,'Kontoplan'!$H$3:$H$302,0))="Støttes ikke",FALSE)),"Kontoen støttes ikke",IF(IFERROR(AND(A181&gt;1,COUNTIF($A$3:$A$2002,A181-1)=0),FALSE),"Nummeret hopper over",IF(OR(NOT(ISNUMBER(B181)),B181&lt;DATE(2027,1,1),B181&gt;DATE(2027,12,31)),"Datoen er ikke i 2027",""))))))</f>
        <v/>
      </c>
    </row>
    <row r="182">
      <c r="A182" s="17" t="n"/>
      <c r="B182" s="9" t="n"/>
      <c r="C182" s="8" t="n"/>
      <c r="D182" s="8" t="n"/>
      <c r="E182" s="8" t="n"/>
      <c r="F182" s="14" t="n"/>
      <c r="G182" s="14" t="n"/>
      <c r="H182" s="8" t="n"/>
      <c r="I182" s="8" t="n"/>
      <c r="J182" s="8" t="n"/>
      <c r="K182" s="18">
        <f>IF(B182="","",IFERROR(MONTH(B182),""))</f>
        <v/>
      </c>
      <c r="L182" s="5">
        <f>IF(COUNTA(A182:J182)=0,"",IF(E182="","Mangler motkonto",IF((F182="")=(G182=""),"Fyll ut enten Inn eller Ut",IF(OR(IFERROR(INDEX('Kontoplan'!$D$3:$D$302,MATCH(D182,'Kontoplan'!$H$3:$H$302,0))="Støttes ikke",FALSE),IFERROR(INDEX('Kontoplan'!$D$3:$D$302,MATCH(E182,'Kontoplan'!$H$3:$H$302,0))="Støttes ikke",FALSE)),"Kontoen støttes ikke",IF(IFERROR(AND(A182&gt;1,COUNTIF($A$3:$A$2002,A182-1)=0),FALSE),"Nummeret hopper over",IF(OR(NOT(ISNUMBER(B182)),B182&lt;DATE(2027,1,1),B182&gt;DATE(2027,12,31)),"Datoen er ikke i 2027",""))))))</f>
        <v/>
      </c>
    </row>
    <row r="183">
      <c r="A183" s="17" t="n"/>
      <c r="B183" s="9" t="n"/>
      <c r="C183" s="8" t="n"/>
      <c r="D183" s="8" t="n"/>
      <c r="E183" s="8" t="n"/>
      <c r="F183" s="14" t="n"/>
      <c r="G183" s="14" t="n"/>
      <c r="H183" s="8" t="n"/>
      <c r="I183" s="8" t="n"/>
      <c r="J183" s="8" t="n"/>
      <c r="K183" s="18">
        <f>IF(B183="","",IFERROR(MONTH(B183),""))</f>
        <v/>
      </c>
      <c r="L183" s="5">
        <f>IF(COUNTA(A183:J183)=0,"",IF(E183="","Mangler motkonto",IF((F183="")=(G183=""),"Fyll ut enten Inn eller Ut",IF(OR(IFERROR(INDEX('Kontoplan'!$D$3:$D$302,MATCH(D183,'Kontoplan'!$H$3:$H$302,0))="Støttes ikke",FALSE),IFERROR(INDEX('Kontoplan'!$D$3:$D$302,MATCH(E183,'Kontoplan'!$H$3:$H$302,0))="Støttes ikke",FALSE)),"Kontoen støttes ikke",IF(IFERROR(AND(A183&gt;1,COUNTIF($A$3:$A$2002,A183-1)=0),FALSE),"Nummeret hopper over",IF(OR(NOT(ISNUMBER(B183)),B183&lt;DATE(2027,1,1),B183&gt;DATE(2027,12,31)),"Datoen er ikke i 2027",""))))))</f>
        <v/>
      </c>
    </row>
    <row r="184">
      <c r="A184" s="17" t="n"/>
      <c r="B184" s="9" t="n"/>
      <c r="C184" s="8" t="n"/>
      <c r="D184" s="8" t="n"/>
      <c r="E184" s="8" t="n"/>
      <c r="F184" s="14" t="n"/>
      <c r="G184" s="14" t="n"/>
      <c r="H184" s="8" t="n"/>
      <c r="I184" s="8" t="n"/>
      <c r="J184" s="8" t="n"/>
      <c r="K184" s="18">
        <f>IF(B184="","",IFERROR(MONTH(B184),""))</f>
        <v/>
      </c>
      <c r="L184" s="5">
        <f>IF(COUNTA(A184:J184)=0,"",IF(E184="","Mangler motkonto",IF((F184="")=(G184=""),"Fyll ut enten Inn eller Ut",IF(OR(IFERROR(INDEX('Kontoplan'!$D$3:$D$302,MATCH(D184,'Kontoplan'!$H$3:$H$302,0))="Støttes ikke",FALSE),IFERROR(INDEX('Kontoplan'!$D$3:$D$302,MATCH(E184,'Kontoplan'!$H$3:$H$302,0))="Støttes ikke",FALSE)),"Kontoen støttes ikke",IF(IFERROR(AND(A184&gt;1,COUNTIF($A$3:$A$2002,A184-1)=0),FALSE),"Nummeret hopper over",IF(OR(NOT(ISNUMBER(B184)),B184&lt;DATE(2027,1,1),B184&gt;DATE(2027,12,31)),"Datoen er ikke i 2027",""))))))</f>
        <v/>
      </c>
    </row>
    <row r="185">
      <c r="A185" s="17" t="n"/>
      <c r="B185" s="9" t="n"/>
      <c r="C185" s="8" t="n"/>
      <c r="D185" s="8" t="n"/>
      <c r="E185" s="8" t="n"/>
      <c r="F185" s="14" t="n"/>
      <c r="G185" s="14" t="n"/>
      <c r="H185" s="8" t="n"/>
      <c r="I185" s="8" t="n"/>
      <c r="J185" s="8" t="n"/>
      <c r="K185" s="18">
        <f>IF(B185="","",IFERROR(MONTH(B185),""))</f>
        <v/>
      </c>
      <c r="L185" s="5">
        <f>IF(COUNTA(A185:J185)=0,"",IF(E185="","Mangler motkonto",IF((F185="")=(G185=""),"Fyll ut enten Inn eller Ut",IF(OR(IFERROR(INDEX('Kontoplan'!$D$3:$D$302,MATCH(D185,'Kontoplan'!$H$3:$H$302,0))="Støttes ikke",FALSE),IFERROR(INDEX('Kontoplan'!$D$3:$D$302,MATCH(E185,'Kontoplan'!$H$3:$H$302,0))="Støttes ikke",FALSE)),"Kontoen støttes ikke",IF(IFERROR(AND(A185&gt;1,COUNTIF($A$3:$A$2002,A185-1)=0),FALSE),"Nummeret hopper over",IF(OR(NOT(ISNUMBER(B185)),B185&lt;DATE(2027,1,1),B185&gt;DATE(2027,12,31)),"Datoen er ikke i 2027",""))))))</f>
        <v/>
      </c>
    </row>
    <row r="186">
      <c r="A186" s="17" t="n"/>
      <c r="B186" s="9" t="n"/>
      <c r="C186" s="8" t="n"/>
      <c r="D186" s="8" t="n"/>
      <c r="E186" s="8" t="n"/>
      <c r="F186" s="14" t="n"/>
      <c r="G186" s="14" t="n"/>
      <c r="H186" s="8" t="n"/>
      <c r="I186" s="8" t="n"/>
      <c r="J186" s="8" t="n"/>
      <c r="K186" s="18">
        <f>IF(B186="","",IFERROR(MONTH(B186),""))</f>
        <v/>
      </c>
      <c r="L186" s="5">
        <f>IF(COUNTA(A186:J186)=0,"",IF(E186="","Mangler motkonto",IF((F186="")=(G186=""),"Fyll ut enten Inn eller Ut",IF(OR(IFERROR(INDEX('Kontoplan'!$D$3:$D$302,MATCH(D186,'Kontoplan'!$H$3:$H$302,0))="Støttes ikke",FALSE),IFERROR(INDEX('Kontoplan'!$D$3:$D$302,MATCH(E186,'Kontoplan'!$H$3:$H$302,0))="Støttes ikke",FALSE)),"Kontoen støttes ikke",IF(IFERROR(AND(A186&gt;1,COUNTIF($A$3:$A$2002,A186-1)=0),FALSE),"Nummeret hopper over",IF(OR(NOT(ISNUMBER(B186)),B186&lt;DATE(2027,1,1),B186&gt;DATE(2027,12,31)),"Datoen er ikke i 2027",""))))))</f>
        <v/>
      </c>
    </row>
    <row r="187">
      <c r="A187" s="17" t="n"/>
      <c r="B187" s="9" t="n"/>
      <c r="C187" s="8" t="n"/>
      <c r="D187" s="8" t="n"/>
      <c r="E187" s="8" t="n"/>
      <c r="F187" s="14" t="n"/>
      <c r="G187" s="14" t="n"/>
      <c r="H187" s="8" t="n"/>
      <c r="I187" s="8" t="n"/>
      <c r="J187" s="8" t="n"/>
      <c r="K187" s="18">
        <f>IF(B187="","",IFERROR(MONTH(B187),""))</f>
        <v/>
      </c>
      <c r="L187" s="5">
        <f>IF(COUNTA(A187:J187)=0,"",IF(E187="","Mangler motkonto",IF((F187="")=(G187=""),"Fyll ut enten Inn eller Ut",IF(OR(IFERROR(INDEX('Kontoplan'!$D$3:$D$302,MATCH(D187,'Kontoplan'!$H$3:$H$302,0))="Støttes ikke",FALSE),IFERROR(INDEX('Kontoplan'!$D$3:$D$302,MATCH(E187,'Kontoplan'!$H$3:$H$302,0))="Støttes ikke",FALSE)),"Kontoen støttes ikke",IF(IFERROR(AND(A187&gt;1,COUNTIF($A$3:$A$2002,A187-1)=0),FALSE),"Nummeret hopper over",IF(OR(NOT(ISNUMBER(B187)),B187&lt;DATE(2027,1,1),B187&gt;DATE(2027,12,31)),"Datoen er ikke i 2027",""))))))</f>
        <v/>
      </c>
    </row>
    <row r="188">
      <c r="A188" s="17" t="n"/>
      <c r="B188" s="9" t="n"/>
      <c r="C188" s="8" t="n"/>
      <c r="D188" s="8" t="n"/>
      <c r="E188" s="8" t="n"/>
      <c r="F188" s="14" t="n"/>
      <c r="G188" s="14" t="n"/>
      <c r="H188" s="8" t="n"/>
      <c r="I188" s="8" t="n"/>
      <c r="J188" s="8" t="n"/>
      <c r="K188" s="18">
        <f>IF(B188="","",IFERROR(MONTH(B188),""))</f>
        <v/>
      </c>
      <c r="L188" s="5">
        <f>IF(COUNTA(A188:J188)=0,"",IF(E188="","Mangler motkonto",IF((F188="")=(G188=""),"Fyll ut enten Inn eller Ut",IF(OR(IFERROR(INDEX('Kontoplan'!$D$3:$D$302,MATCH(D188,'Kontoplan'!$H$3:$H$302,0))="Støttes ikke",FALSE),IFERROR(INDEX('Kontoplan'!$D$3:$D$302,MATCH(E188,'Kontoplan'!$H$3:$H$302,0))="Støttes ikke",FALSE)),"Kontoen støttes ikke",IF(IFERROR(AND(A188&gt;1,COUNTIF($A$3:$A$2002,A188-1)=0),FALSE),"Nummeret hopper over",IF(OR(NOT(ISNUMBER(B188)),B188&lt;DATE(2027,1,1),B188&gt;DATE(2027,12,31)),"Datoen er ikke i 2027",""))))))</f>
        <v/>
      </c>
    </row>
    <row r="189">
      <c r="A189" s="17" t="n"/>
      <c r="B189" s="9" t="n"/>
      <c r="C189" s="8" t="n"/>
      <c r="D189" s="8" t="n"/>
      <c r="E189" s="8" t="n"/>
      <c r="F189" s="14" t="n"/>
      <c r="G189" s="14" t="n"/>
      <c r="H189" s="8" t="n"/>
      <c r="I189" s="8" t="n"/>
      <c r="J189" s="8" t="n"/>
      <c r="K189" s="18">
        <f>IF(B189="","",IFERROR(MONTH(B189),""))</f>
        <v/>
      </c>
      <c r="L189" s="5">
        <f>IF(COUNTA(A189:J189)=0,"",IF(E189="","Mangler motkonto",IF((F189="")=(G189=""),"Fyll ut enten Inn eller Ut",IF(OR(IFERROR(INDEX('Kontoplan'!$D$3:$D$302,MATCH(D189,'Kontoplan'!$H$3:$H$302,0))="Støttes ikke",FALSE),IFERROR(INDEX('Kontoplan'!$D$3:$D$302,MATCH(E189,'Kontoplan'!$H$3:$H$302,0))="Støttes ikke",FALSE)),"Kontoen støttes ikke",IF(IFERROR(AND(A189&gt;1,COUNTIF($A$3:$A$2002,A189-1)=0),FALSE),"Nummeret hopper over",IF(OR(NOT(ISNUMBER(B189)),B189&lt;DATE(2027,1,1),B189&gt;DATE(2027,12,31)),"Datoen er ikke i 2027",""))))))</f>
        <v/>
      </c>
    </row>
    <row r="190">
      <c r="A190" s="17" t="n"/>
      <c r="B190" s="9" t="n"/>
      <c r="C190" s="8" t="n"/>
      <c r="D190" s="8" t="n"/>
      <c r="E190" s="8" t="n"/>
      <c r="F190" s="14" t="n"/>
      <c r="G190" s="14" t="n"/>
      <c r="H190" s="8" t="n"/>
      <c r="I190" s="8" t="n"/>
      <c r="J190" s="8" t="n"/>
      <c r="K190" s="18">
        <f>IF(B190="","",IFERROR(MONTH(B190),""))</f>
        <v/>
      </c>
      <c r="L190" s="5">
        <f>IF(COUNTA(A190:J190)=0,"",IF(E190="","Mangler motkonto",IF((F190="")=(G190=""),"Fyll ut enten Inn eller Ut",IF(OR(IFERROR(INDEX('Kontoplan'!$D$3:$D$302,MATCH(D190,'Kontoplan'!$H$3:$H$302,0))="Støttes ikke",FALSE),IFERROR(INDEX('Kontoplan'!$D$3:$D$302,MATCH(E190,'Kontoplan'!$H$3:$H$302,0))="Støttes ikke",FALSE)),"Kontoen støttes ikke",IF(IFERROR(AND(A190&gt;1,COUNTIF($A$3:$A$2002,A190-1)=0),FALSE),"Nummeret hopper over",IF(OR(NOT(ISNUMBER(B190)),B190&lt;DATE(2027,1,1),B190&gt;DATE(2027,12,31)),"Datoen er ikke i 2027",""))))))</f>
        <v/>
      </c>
    </row>
    <row r="191">
      <c r="A191" s="17" t="n"/>
      <c r="B191" s="9" t="n"/>
      <c r="C191" s="8" t="n"/>
      <c r="D191" s="8" t="n"/>
      <c r="E191" s="8" t="n"/>
      <c r="F191" s="14" t="n"/>
      <c r="G191" s="14" t="n"/>
      <c r="H191" s="8" t="n"/>
      <c r="I191" s="8" t="n"/>
      <c r="J191" s="8" t="n"/>
      <c r="K191" s="18">
        <f>IF(B191="","",IFERROR(MONTH(B191),""))</f>
        <v/>
      </c>
      <c r="L191" s="5">
        <f>IF(COUNTA(A191:J191)=0,"",IF(E191="","Mangler motkonto",IF((F191="")=(G191=""),"Fyll ut enten Inn eller Ut",IF(OR(IFERROR(INDEX('Kontoplan'!$D$3:$D$302,MATCH(D191,'Kontoplan'!$H$3:$H$302,0))="Støttes ikke",FALSE),IFERROR(INDEX('Kontoplan'!$D$3:$D$302,MATCH(E191,'Kontoplan'!$H$3:$H$302,0))="Støttes ikke",FALSE)),"Kontoen støttes ikke",IF(IFERROR(AND(A191&gt;1,COUNTIF($A$3:$A$2002,A191-1)=0),FALSE),"Nummeret hopper over",IF(OR(NOT(ISNUMBER(B191)),B191&lt;DATE(2027,1,1),B191&gt;DATE(2027,12,31)),"Datoen er ikke i 2027",""))))))</f>
        <v/>
      </c>
    </row>
    <row r="192">
      <c r="A192" s="17" t="n"/>
      <c r="B192" s="9" t="n"/>
      <c r="C192" s="8" t="n"/>
      <c r="D192" s="8" t="n"/>
      <c r="E192" s="8" t="n"/>
      <c r="F192" s="14" t="n"/>
      <c r="G192" s="14" t="n"/>
      <c r="H192" s="8" t="n"/>
      <c r="I192" s="8" t="n"/>
      <c r="J192" s="8" t="n"/>
      <c r="K192" s="18">
        <f>IF(B192="","",IFERROR(MONTH(B192),""))</f>
        <v/>
      </c>
      <c r="L192" s="5">
        <f>IF(COUNTA(A192:J192)=0,"",IF(E192="","Mangler motkonto",IF((F192="")=(G192=""),"Fyll ut enten Inn eller Ut",IF(OR(IFERROR(INDEX('Kontoplan'!$D$3:$D$302,MATCH(D192,'Kontoplan'!$H$3:$H$302,0))="Støttes ikke",FALSE),IFERROR(INDEX('Kontoplan'!$D$3:$D$302,MATCH(E192,'Kontoplan'!$H$3:$H$302,0))="Støttes ikke",FALSE)),"Kontoen støttes ikke",IF(IFERROR(AND(A192&gt;1,COUNTIF($A$3:$A$2002,A192-1)=0),FALSE),"Nummeret hopper over",IF(OR(NOT(ISNUMBER(B192)),B192&lt;DATE(2027,1,1),B192&gt;DATE(2027,12,31)),"Datoen er ikke i 2027",""))))))</f>
        <v/>
      </c>
    </row>
    <row r="193">
      <c r="A193" s="17" t="n"/>
      <c r="B193" s="9" t="n"/>
      <c r="C193" s="8" t="n"/>
      <c r="D193" s="8" t="n"/>
      <c r="E193" s="8" t="n"/>
      <c r="F193" s="14" t="n"/>
      <c r="G193" s="14" t="n"/>
      <c r="H193" s="8" t="n"/>
      <c r="I193" s="8" t="n"/>
      <c r="J193" s="8" t="n"/>
      <c r="K193" s="18">
        <f>IF(B193="","",IFERROR(MONTH(B193),""))</f>
        <v/>
      </c>
      <c r="L193" s="5">
        <f>IF(COUNTA(A193:J193)=0,"",IF(E193="","Mangler motkonto",IF((F193="")=(G193=""),"Fyll ut enten Inn eller Ut",IF(OR(IFERROR(INDEX('Kontoplan'!$D$3:$D$302,MATCH(D193,'Kontoplan'!$H$3:$H$302,0))="Støttes ikke",FALSE),IFERROR(INDEX('Kontoplan'!$D$3:$D$302,MATCH(E193,'Kontoplan'!$H$3:$H$302,0))="Støttes ikke",FALSE)),"Kontoen støttes ikke",IF(IFERROR(AND(A193&gt;1,COUNTIF($A$3:$A$2002,A193-1)=0),FALSE),"Nummeret hopper over",IF(OR(NOT(ISNUMBER(B193)),B193&lt;DATE(2027,1,1),B193&gt;DATE(2027,12,31)),"Datoen er ikke i 2027",""))))))</f>
        <v/>
      </c>
    </row>
    <row r="194">
      <c r="A194" s="17" t="n"/>
      <c r="B194" s="9" t="n"/>
      <c r="C194" s="8" t="n"/>
      <c r="D194" s="8" t="n"/>
      <c r="E194" s="8" t="n"/>
      <c r="F194" s="14" t="n"/>
      <c r="G194" s="14" t="n"/>
      <c r="H194" s="8" t="n"/>
      <c r="I194" s="8" t="n"/>
      <c r="J194" s="8" t="n"/>
      <c r="K194" s="18">
        <f>IF(B194="","",IFERROR(MONTH(B194),""))</f>
        <v/>
      </c>
      <c r="L194" s="5">
        <f>IF(COUNTA(A194:J194)=0,"",IF(E194="","Mangler motkonto",IF((F194="")=(G194=""),"Fyll ut enten Inn eller Ut",IF(OR(IFERROR(INDEX('Kontoplan'!$D$3:$D$302,MATCH(D194,'Kontoplan'!$H$3:$H$302,0))="Støttes ikke",FALSE),IFERROR(INDEX('Kontoplan'!$D$3:$D$302,MATCH(E194,'Kontoplan'!$H$3:$H$302,0))="Støttes ikke",FALSE)),"Kontoen støttes ikke",IF(IFERROR(AND(A194&gt;1,COUNTIF($A$3:$A$2002,A194-1)=0),FALSE),"Nummeret hopper over",IF(OR(NOT(ISNUMBER(B194)),B194&lt;DATE(2027,1,1),B194&gt;DATE(2027,12,31)),"Datoen er ikke i 2027",""))))))</f>
        <v/>
      </c>
    </row>
    <row r="195">
      <c r="A195" s="17" t="n"/>
      <c r="B195" s="9" t="n"/>
      <c r="C195" s="8" t="n"/>
      <c r="D195" s="8" t="n"/>
      <c r="E195" s="8" t="n"/>
      <c r="F195" s="14" t="n"/>
      <c r="G195" s="14" t="n"/>
      <c r="H195" s="8" t="n"/>
      <c r="I195" s="8" t="n"/>
      <c r="J195" s="8" t="n"/>
      <c r="K195" s="18">
        <f>IF(B195="","",IFERROR(MONTH(B195),""))</f>
        <v/>
      </c>
      <c r="L195" s="5">
        <f>IF(COUNTA(A195:J195)=0,"",IF(E195="","Mangler motkonto",IF((F195="")=(G195=""),"Fyll ut enten Inn eller Ut",IF(OR(IFERROR(INDEX('Kontoplan'!$D$3:$D$302,MATCH(D195,'Kontoplan'!$H$3:$H$302,0))="Støttes ikke",FALSE),IFERROR(INDEX('Kontoplan'!$D$3:$D$302,MATCH(E195,'Kontoplan'!$H$3:$H$302,0))="Støttes ikke",FALSE)),"Kontoen støttes ikke",IF(IFERROR(AND(A195&gt;1,COUNTIF($A$3:$A$2002,A195-1)=0),FALSE),"Nummeret hopper over",IF(OR(NOT(ISNUMBER(B195)),B195&lt;DATE(2027,1,1),B195&gt;DATE(2027,12,31)),"Datoen er ikke i 2027",""))))))</f>
        <v/>
      </c>
    </row>
    <row r="196">
      <c r="A196" s="17" t="n"/>
      <c r="B196" s="9" t="n"/>
      <c r="C196" s="8" t="n"/>
      <c r="D196" s="8" t="n"/>
      <c r="E196" s="8" t="n"/>
      <c r="F196" s="14" t="n"/>
      <c r="G196" s="14" t="n"/>
      <c r="H196" s="8" t="n"/>
      <c r="I196" s="8" t="n"/>
      <c r="J196" s="8" t="n"/>
      <c r="K196" s="18">
        <f>IF(B196="","",IFERROR(MONTH(B196),""))</f>
        <v/>
      </c>
      <c r="L196" s="5">
        <f>IF(COUNTA(A196:J196)=0,"",IF(E196="","Mangler motkonto",IF((F196="")=(G196=""),"Fyll ut enten Inn eller Ut",IF(OR(IFERROR(INDEX('Kontoplan'!$D$3:$D$302,MATCH(D196,'Kontoplan'!$H$3:$H$302,0))="Støttes ikke",FALSE),IFERROR(INDEX('Kontoplan'!$D$3:$D$302,MATCH(E196,'Kontoplan'!$H$3:$H$302,0))="Støttes ikke",FALSE)),"Kontoen støttes ikke",IF(IFERROR(AND(A196&gt;1,COUNTIF($A$3:$A$2002,A196-1)=0),FALSE),"Nummeret hopper over",IF(OR(NOT(ISNUMBER(B196)),B196&lt;DATE(2027,1,1),B196&gt;DATE(2027,12,31)),"Datoen er ikke i 2027",""))))))</f>
        <v/>
      </c>
    </row>
    <row r="197">
      <c r="A197" s="17" t="n"/>
      <c r="B197" s="9" t="n"/>
      <c r="C197" s="8" t="n"/>
      <c r="D197" s="8" t="n"/>
      <c r="E197" s="8" t="n"/>
      <c r="F197" s="14" t="n"/>
      <c r="G197" s="14" t="n"/>
      <c r="H197" s="8" t="n"/>
      <c r="I197" s="8" t="n"/>
      <c r="J197" s="8" t="n"/>
      <c r="K197" s="18">
        <f>IF(B197="","",IFERROR(MONTH(B197),""))</f>
        <v/>
      </c>
      <c r="L197" s="5">
        <f>IF(COUNTA(A197:J197)=0,"",IF(E197="","Mangler motkonto",IF((F197="")=(G197=""),"Fyll ut enten Inn eller Ut",IF(OR(IFERROR(INDEX('Kontoplan'!$D$3:$D$302,MATCH(D197,'Kontoplan'!$H$3:$H$302,0))="Støttes ikke",FALSE),IFERROR(INDEX('Kontoplan'!$D$3:$D$302,MATCH(E197,'Kontoplan'!$H$3:$H$302,0))="Støttes ikke",FALSE)),"Kontoen støttes ikke",IF(IFERROR(AND(A197&gt;1,COUNTIF($A$3:$A$2002,A197-1)=0),FALSE),"Nummeret hopper over",IF(OR(NOT(ISNUMBER(B197)),B197&lt;DATE(2027,1,1),B197&gt;DATE(2027,12,31)),"Datoen er ikke i 2027",""))))))</f>
        <v/>
      </c>
    </row>
    <row r="198">
      <c r="A198" s="17" t="n"/>
      <c r="B198" s="9" t="n"/>
      <c r="C198" s="8" t="n"/>
      <c r="D198" s="8" t="n"/>
      <c r="E198" s="8" t="n"/>
      <c r="F198" s="14" t="n"/>
      <c r="G198" s="14" t="n"/>
      <c r="H198" s="8" t="n"/>
      <c r="I198" s="8" t="n"/>
      <c r="J198" s="8" t="n"/>
      <c r="K198" s="18">
        <f>IF(B198="","",IFERROR(MONTH(B198),""))</f>
        <v/>
      </c>
      <c r="L198" s="5">
        <f>IF(COUNTA(A198:J198)=0,"",IF(E198="","Mangler motkonto",IF((F198="")=(G198=""),"Fyll ut enten Inn eller Ut",IF(OR(IFERROR(INDEX('Kontoplan'!$D$3:$D$302,MATCH(D198,'Kontoplan'!$H$3:$H$302,0))="Støttes ikke",FALSE),IFERROR(INDEX('Kontoplan'!$D$3:$D$302,MATCH(E198,'Kontoplan'!$H$3:$H$302,0))="Støttes ikke",FALSE)),"Kontoen støttes ikke",IF(IFERROR(AND(A198&gt;1,COUNTIF($A$3:$A$2002,A198-1)=0),FALSE),"Nummeret hopper over",IF(OR(NOT(ISNUMBER(B198)),B198&lt;DATE(2027,1,1),B198&gt;DATE(2027,12,31)),"Datoen er ikke i 2027",""))))))</f>
        <v/>
      </c>
    </row>
    <row r="199">
      <c r="A199" s="17" t="n"/>
      <c r="B199" s="9" t="n"/>
      <c r="C199" s="8" t="n"/>
      <c r="D199" s="8" t="n"/>
      <c r="E199" s="8" t="n"/>
      <c r="F199" s="14" t="n"/>
      <c r="G199" s="14" t="n"/>
      <c r="H199" s="8" t="n"/>
      <c r="I199" s="8" t="n"/>
      <c r="J199" s="8" t="n"/>
      <c r="K199" s="18">
        <f>IF(B199="","",IFERROR(MONTH(B199),""))</f>
        <v/>
      </c>
      <c r="L199" s="5">
        <f>IF(COUNTA(A199:J199)=0,"",IF(E199="","Mangler motkonto",IF((F199="")=(G199=""),"Fyll ut enten Inn eller Ut",IF(OR(IFERROR(INDEX('Kontoplan'!$D$3:$D$302,MATCH(D199,'Kontoplan'!$H$3:$H$302,0))="Støttes ikke",FALSE),IFERROR(INDEX('Kontoplan'!$D$3:$D$302,MATCH(E199,'Kontoplan'!$H$3:$H$302,0))="Støttes ikke",FALSE)),"Kontoen støttes ikke",IF(IFERROR(AND(A199&gt;1,COUNTIF($A$3:$A$2002,A199-1)=0),FALSE),"Nummeret hopper over",IF(OR(NOT(ISNUMBER(B199)),B199&lt;DATE(2027,1,1),B199&gt;DATE(2027,12,31)),"Datoen er ikke i 2027",""))))))</f>
        <v/>
      </c>
    </row>
    <row r="200">
      <c r="A200" s="17" t="n"/>
      <c r="B200" s="9" t="n"/>
      <c r="C200" s="8" t="n"/>
      <c r="D200" s="8" t="n"/>
      <c r="E200" s="8" t="n"/>
      <c r="F200" s="14" t="n"/>
      <c r="G200" s="14" t="n"/>
      <c r="H200" s="8" t="n"/>
      <c r="I200" s="8" t="n"/>
      <c r="J200" s="8" t="n"/>
      <c r="K200" s="18">
        <f>IF(B200="","",IFERROR(MONTH(B200),""))</f>
        <v/>
      </c>
      <c r="L200" s="5">
        <f>IF(COUNTA(A200:J200)=0,"",IF(E200="","Mangler motkonto",IF((F200="")=(G200=""),"Fyll ut enten Inn eller Ut",IF(OR(IFERROR(INDEX('Kontoplan'!$D$3:$D$302,MATCH(D200,'Kontoplan'!$H$3:$H$302,0))="Støttes ikke",FALSE),IFERROR(INDEX('Kontoplan'!$D$3:$D$302,MATCH(E200,'Kontoplan'!$H$3:$H$302,0))="Støttes ikke",FALSE)),"Kontoen støttes ikke",IF(IFERROR(AND(A200&gt;1,COUNTIF($A$3:$A$2002,A200-1)=0),FALSE),"Nummeret hopper over",IF(OR(NOT(ISNUMBER(B200)),B200&lt;DATE(2027,1,1),B200&gt;DATE(2027,12,31)),"Datoen er ikke i 2027",""))))))</f>
        <v/>
      </c>
    </row>
    <row r="201">
      <c r="A201" s="17" t="n"/>
      <c r="B201" s="9" t="n"/>
      <c r="C201" s="8" t="n"/>
      <c r="D201" s="8" t="n"/>
      <c r="E201" s="8" t="n"/>
      <c r="F201" s="14" t="n"/>
      <c r="G201" s="14" t="n"/>
      <c r="H201" s="8" t="n"/>
      <c r="I201" s="8" t="n"/>
      <c r="J201" s="8" t="n"/>
      <c r="K201" s="18">
        <f>IF(B201="","",IFERROR(MONTH(B201),""))</f>
        <v/>
      </c>
      <c r="L201" s="5">
        <f>IF(COUNTA(A201:J201)=0,"",IF(E201="","Mangler motkonto",IF((F201="")=(G201=""),"Fyll ut enten Inn eller Ut",IF(OR(IFERROR(INDEX('Kontoplan'!$D$3:$D$302,MATCH(D201,'Kontoplan'!$H$3:$H$302,0))="Støttes ikke",FALSE),IFERROR(INDEX('Kontoplan'!$D$3:$D$302,MATCH(E201,'Kontoplan'!$H$3:$H$302,0))="Støttes ikke",FALSE)),"Kontoen støttes ikke",IF(IFERROR(AND(A201&gt;1,COUNTIF($A$3:$A$2002,A201-1)=0),FALSE),"Nummeret hopper over",IF(OR(NOT(ISNUMBER(B201)),B201&lt;DATE(2027,1,1),B201&gt;DATE(2027,12,31)),"Datoen er ikke i 2027",""))))))</f>
        <v/>
      </c>
    </row>
    <row r="202">
      <c r="A202" s="17" t="n"/>
      <c r="B202" s="9" t="n"/>
      <c r="C202" s="8" t="n"/>
      <c r="D202" s="8" t="n"/>
      <c r="E202" s="8" t="n"/>
      <c r="F202" s="14" t="n"/>
      <c r="G202" s="14" t="n"/>
      <c r="H202" s="8" t="n"/>
      <c r="I202" s="8" t="n"/>
      <c r="J202" s="8" t="n"/>
      <c r="K202" s="18">
        <f>IF(B202="","",IFERROR(MONTH(B202),""))</f>
        <v/>
      </c>
      <c r="L202" s="5">
        <f>IF(COUNTA(A202:J202)=0,"",IF(E202="","Mangler motkonto",IF((F202="")=(G202=""),"Fyll ut enten Inn eller Ut",IF(OR(IFERROR(INDEX('Kontoplan'!$D$3:$D$302,MATCH(D202,'Kontoplan'!$H$3:$H$302,0))="Støttes ikke",FALSE),IFERROR(INDEX('Kontoplan'!$D$3:$D$302,MATCH(E202,'Kontoplan'!$H$3:$H$302,0))="Støttes ikke",FALSE)),"Kontoen støttes ikke",IF(IFERROR(AND(A202&gt;1,COUNTIF($A$3:$A$2002,A202-1)=0),FALSE),"Nummeret hopper over",IF(OR(NOT(ISNUMBER(B202)),B202&lt;DATE(2027,1,1),B202&gt;DATE(2027,12,31)),"Datoen er ikke i 2027",""))))))</f>
        <v/>
      </c>
    </row>
    <row r="203">
      <c r="A203" s="17" t="n"/>
      <c r="B203" s="9" t="n"/>
      <c r="C203" s="8" t="n"/>
      <c r="D203" s="8" t="n"/>
      <c r="E203" s="8" t="n"/>
      <c r="F203" s="14" t="n"/>
      <c r="G203" s="14" t="n"/>
      <c r="H203" s="8" t="n"/>
      <c r="I203" s="8" t="n"/>
      <c r="J203" s="8" t="n"/>
      <c r="K203" s="18">
        <f>IF(B203="","",IFERROR(MONTH(B203),""))</f>
        <v/>
      </c>
      <c r="L203" s="5">
        <f>IF(COUNTA(A203:J203)=0,"",IF(E203="","Mangler motkonto",IF((F203="")=(G203=""),"Fyll ut enten Inn eller Ut",IF(OR(IFERROR(INDEX('Kontoplan'!$D$3:$D$302,MATCH(D203,'Kontoplan'!$H$3:$H$302,0))="Støttes ikke",FALSE),IFERROR(INDEX('Kontoplan'!$D$3:$D$302,MATCH(E203,'Kontoplan'!$H$3:$H$302,0))="Støttes ikke",FALSE)),"Kontoen støttes ikke",IF(IFERROR(AND(A203&gt;1,COUNTIF($A$3:$A$2002,A203-1)=0),FALSE),"Nummeret hopper over",IF(OR(NOT(ISNUMBER(B203)),B203&lt;DATE(2027,1,1),B203&gt;DATE(2027,12,31)),"Datoen er ikke i 2027",""))))))</f>
        <v/>
      </c>
    </row>
    <row r="204">
      <c r="A204" s="17" t="n"/>
      <c r="B204" s="9" t="n"/>
      <c r="C204" s="8" t="n"/>
      <c r="D204" s="8" t="n"/>
      <c r="E204" s="8" t="n"/>
      <c r="F204" s="14" t="n"/>
      <c r="G204" s="14" t="n"/>
      <c r="H204" s="8" t="n"/>
      <c r="I204" s="8" t="n"/>
      <c r="J204" s="8" t="n"/>
      <c r="K204" s="18">
        <f>IF(B204="","",IFERROR(MONTH(B204),""))</f>
        <v/>
      </c>
      <c r="L204" s="5">
        <f>IF(COUNTA(A204:J204)=0,"",IF(E204="","Mangler motkonto",IF((F204="")=(G204=""),"Fyll ut enten Inn eller Ut",IF(OR(IFERROR(INDEX('Kontoplan'!$D$3:$D$302,MATCH(D204,'Kontoplan'!$H$3:$H$302,0))="Støttes ikke",FALSE),IFERROR(INDEX('Kontoplan'!$D$3:$D$302,MATCH(E204,'Kontoplan'!$H$3:$H$302,0))="Støttes ikke",FALSE)),"Kontoen støttes ikke",IF(IFERROR(AND(A204&gt;1,COUNTIF($A$3:$A$2002,A204-1)=0),FALSE),"Nummeret hopper over",IF(OR(NOT(ISNUMBER(B204)),B204&lt;DATE(2027,1,1),B204&gt;DATE(2027,12,31)),"Datoen er ikke i 2027",""))))))</f>
        <v/>
      </c>
    </row>
    <row r="205">
      <c r="A205" s="17" t="n"/>
      <c r="B205" s="9" t="n"/>
      <c r="C205" s="8" t="n"/>
      <c r="D205" s="8" t="n"/>
      <c r="E205" s="8" t="n"/>
      <c r="F205" s="14" t="n"/>
      <c r="G205" s="14" t="n"/>
      <c r="H205" s="8" t="n"/>
      <c r="I205" s="8" t="n"/>
      <c r="J205" s="8" t="n"/>
      <c r="K205" s="18">
        <f>IF(B205="","",IFERROR(MONTH(B205),""))</f>
        <v/>
      </c>
      <c r="L205" s="5">
        <f>IF(COUNTA(A205:J205)=0,"",IF(E205="","Mangler motkonto",IF((F205="")=(G205=""),"Fyll ut enten Inn eller Ut",IF(OR(IFERROR(INDEX('Kontoplan'!$D$3:$D$302,MATCH(D205,'Kontoplan'!$H$3:$H$302,0))="Støttes ikke",FALSE),IFERROR(INDEX('Kontoplan'!$D$3:$D$302,MATCH(E205,'Kontoplan'!$H$3:$H$302,0))="Støttes ikke",FALSE)),"Kontoen støttes ikke",IF(IFERROR(AND(A205&gt;1,COUNTIF($A$3:$A$2002,A205-1)=0),FALSE),"Nummeret hopper over",IF(OR(NOT(ISNUMBER(B205)),B205&lt;DATE(2027,1,1),B205&gt;DATE(2027,12,31)),"Datoen er ikke i 2027",""))))))</f>
        <v/>
      </c>
    </row>
    <row r="206">
      <c r="A206" s="17" t="n"/>
      <c r="B206" s="9" t="n"/>
      <c r="C206" s="8" t="n"/>
      <c r="D206" s="8" t="n"/>
      <c r="E206" s="8" t="n"/>
      <c r="F206" s="14" t="n"/>
      <c r="G206" s="14" t="n"/>
      <c r="H206" s="8" t="n"/>
      <c r="I206" s="8" t="n"/>
      <c r="J206" s="8" t="n"/>
      <c r="K206" s="18">
        <f>IF(B206="","",IFERROR(MONTH(B206),""))</f>
        <v/>
      </c>
      <c r="L206" s="5">
        <f>IF(COUNTA(A206:J206)=0,"",IF(E206="","Mangler motkonto",IF((F206="")=(G206=""),"Fyll ut enten Inn eller Ut",IF(OR(IFERROR(INDEX('Kontoplan'!$D$3:$D$302,MATCH(D206,'Kontoplan'!$H$3:$H$302,0))="Støttes ikke",FALSE),IFERROR(INDEX('Kontoplan'!$D$3:$D$302,MATCH(E206,'Kontoplan'!$H$3:$H$302,0))="Støttes ikke",FALSE)),"Kontoen støttes ikke",IF(IFERROR(AND(A206&gt;1,COUNTIF($A$3:$A$2002,A206-1)=0),FALSE),"Nummeret hopper over",IF(OR(NOT(ISNUMBER(B206)),B206&lt;DATE(2027,1,1),B206&gt;DATE(2027,12,31)),"Datoen er ikke i 2027",""))))))</f>
        <v/>
      </c>
    </row>
    <row r="207">
      <c r="A207" s="17" t="n"/>
      <c r="B207" s="9" t="n"/>
      <c r="C207" s="8" t="n"/>
      <c r="D207" s="8" t="n"/>
      <c r="E207" s="8" t="n"/>
      <c r="F207" s="14" t="n"/>
      <c r="G207" s="14" t="n"/>
      <c r="H207" s="8" t="n"/>
      <c r="I207" s="8" t="n"/>
      <c r="J207" s="8" t="n"/>
      <c r="K207" s="18">
        <f>IF(B207="","",IFERROR(MONTH(B207),""))</f>
        <v/>
      </c>
      <c r="L207" s="5">
        <f>IF(COUNTA(A207:J207)=0,"",IF(E207="","Mangler motkonto",IF((F207="")=(G207=""),"Fyll ut enten Inn eller Ut",IF(OR(IFERROR(INDEX('Kontoplan'!$D$3:$D$302,MATCH(D207,'Kontoplan'!$H$3:$H$302,0))="Støttes ikke",FALSE),IFERROR(INDEX('Kontoplan'!$D$3:$D$302,MATCH(E207,'Kontoplan'!$H$3:$H$302,0))="Støttes ikke",FALSE)),"Kontoen støttes ikke",IF(IFERROR(AND(A207&gt;1,COUNTIF($A$3:$A$2002,A207-1)=0),FALSE),"Nummeret hopper over",IF(OR(NOT(ISNUMBER(B207)),B207&lt;DATE(2027,1,1),B207&gt;DATE(2027,12,31)),"Datoen er ikke i 2027",""))))))</f>
        <v/>
      </c>
    </row>
    <row r="208">
      <c r="A208" s="17" t="n"/>
      <c r="B208" s="9" t="n"/>
      <c r="C208" s="8" t="n"/>
      <c r="D208" s="8" t="n"/>
      <c r="E208" s="8" t="n"/>
      <c r="F208" s="14" t="n"/>
      <c r="G208" s="14" t="n"/>
      <c r="H208" s="8" t="n"/>
      <c r="I208" s="8" t="n"/>
      <c r="J208" s="8" t="n"/>
      <c r="K208" s="18">
        <f>IF(B208="","",IFERROR(MONTH(B208),""))</f>
        <v/>
      </c>
      <c r="L208" s="5">
        <f>IF(COUNTA(A208:J208)=0,"",IF(E208="","Mangler motkonto",IF((F208="")=(G208=""),"Fyll ut enten Inn eller Ut",IF(OR(IFERROR(INDEX('Kontoplan'!$D$3:$D$302,MATCH(D208,'Kontoplan'!$H$3:$H$302,0))="Støttes ikke",FALSE),IFERROR(INDEX('Kontoplan'!$D$3:$D$302,MATCH(E208,'Kontoplan'!$H$3:$H$302,0))="Støttes ikke",FALSE)),"Kontoen støttes ikke",IF(IFERROR(AND(A208&gt;1,COUNTIF($A$3:$A$2002,A208-1)=0),FALSE),"Nummeret hopper over",IF(OR(NOT(ISNUMBER(B208)),B208&lt;DATE(2027,1,1),B208&gt;DATE(2027,12,31)),"Datoen er ikke i 2027",""))))))</f>
        <v/>
      </c>
    </row>
    <row r="209">
      <c r="A209" s="17" t="n"/>
      <c r="B209" s="9" t="n"/>
      <c r="C209" s="8" t="n"/>
      <c r="D209" s="8" t="n"/>
      <c r="E209" s="8" t="n"/>
      <c r="F209" s="14" t="n"/>
      <c r="G209" s="14" t="n"/>
      <c r="H209" s="8" t="n"/>
      <c r="I209" s="8" t="n"/>
      <c r="J209" s="8" t="n"/>
      <c r="K209" s="18">
        <f>IF(B209="","",IFERROR(MONTH(B209),""))</f>
        <v/>
      </c>
      <c r="L209" s="5">
        <f>IF(COUNTA(A209:J209)=0,"",IF(E209="","Mangler motkonto",IF((F209="")=(G209=""),"Fyll ut enten Inn eller Ut",IF(OR(IFERROR(INDEX('Kontoplan'!$D$3:$D$302,MATCH(D209,'Kontoplan'!$H$3:$H$302,0))="Støttes ikke",FALSE),IFERROR(INDEX('Kontoplan'!$D$3:$D$302,MATCH(E209,'Kontoplan'!$H$3:$H$302,0))="Støttes ikke",FALSE)),"Kontoen støttes ikke",IF(IFERROR(AND(A209&gt;1,COUNTIF($A$3:$A$2002,A209-1)=0),FALSE),"Nummeret hopper over",IF(OR(NOT(ISNUMBER(B209)),B209&lt;DATE(2027,1,1),B209&gt;DATE(2027,12,31)),"Datoen er ikke i 2027",""))))))</f>
        <v/>
      </c>
    </row>
    <row r="210">
      <c r="A210" s="17" t="n"/>
      <c r="B210" s="9" t="n"/>
      <c r="C210" s="8" t="n"/>
      <c r="D210" s="8" t="n"/>
      <c r="E210" s="8" t="n"/>
      <c r="F210" s="14" t="n"/>
      <c r="G210" s="14" t="n"/>
      <c r="H210" s="8" t="n"/>
      <c r="I210" s="8" t="n"/>
      <c r="J210" s="8" t="n"/>
      <c r="K210" s="18">
        <f>IF(B210="","",IFERROR(MONTH(B210),""))</f>
        <v/>
      </c>
      <c r="L210" s="5">
        <f>IF(COUNTA(A210:J210)=0,"",IF(E210="","Mangler motkonto",IF((F210="")=(G210=""),"Fyll ut enten Inn eller Ut",IF(OR(IFERROR(INDEX('Kontoplan'!$D$3:$D$302,MATCH(D210,'Kontoplan'!$H$3:$H$302,0))="Støttes ikke",FALSE),IFERROR(INDEX('Kontoplan'!$D$3:$D$302,MATCH(E210,'Kontoplan'!$H$3:$H$302,0))="Støttes ikke",FALSE)),"Kontoen støttes ikke",IF(IFERROR(AND(A210&gt;1,COUNTIF($A$3:$A$2002,A210-1)=0),FALSE),"Nummeret hopper over",IF(OR(NOT(ISNUMBER(B210)),B210&lt;DATE(2027,1,1),B210&gt;DATE(2027,12,31)),"Datoen er ikke i 2027",""))))))</f>
        <v/>
      </c>
    </row>
    <row r="211">
      <c r="A211" s="17" t="n"/>
      <c r="B211" s="9" t="n"/>
      <c r="C211" s="8" t="n"/>
      <c r="D211" s="8" t="n"/>
      <c r="E211" s="8" t="n"/>
      <c r="F211" s="14" t="n"/>
      <c r="G211" s="14" t="n"/>
      <c r="H211" s="8" t="n"/>
      <c r="I211" s="8" t="n"/>
      <c r="J211" s="8" t="n"/>
      <c r="K211" s="18">
        <f>IF(B211="","",IFERROR(MONTH(B211),""))</f>
        <v/>
      </c>
      <c r="L211" s="5">
        <f>IF(COUNTA(A211:J211)=0,"",IF(E211="","Mangler motkonto",IF((F211="")=(G211=""),"Fyll ut enten Inn eller Ut",IF(OR(IFERROR(INDEX('Kontoplan'!$D$3:$D$302,MATCH(D211,'Kontoplan'!$H$3:$H$302,0))="Støttes ikke",FALSE),IFERROR(INDEX('Kontoplan'!$D$3:$D$302,MATCH(E211,'Kontoplan'!$H$3:$H$302,0))="Støttes ikke",FALSE)),"Kontoen støttes ikke",IF(IFERROR(AND(A211&gt;1,COUNTIF($A$3:$A$2002,A211-1)=0),FALSE),"Nummeret hopper over",IF(OR(NOT(ISNUMBER(B211)),B211&lt;DATE(2027,1,1),B211&gt;DATE(2027,12,31)),"Datoen er ikke i 2027",""))))))</f>
        <v/>
      </c>
    </row>
    <row r="212">
      <c r="A212" s="17" t="n"/>
      <c r="B212" s="9" t="n"/>
      <c r="C212" s="8" t="n"/>
      <c r="D212" s="8" t="n"/>
      <c r="E212" s="8" t="n"/>
      <c r="F212" s="14" t="n"/>
      <c r="G212" s="14" t="n"/>
      <c r="H212" s="8" t="n"/>
      <c r="I212" s="8" t="n"/>
      <c r="J212" s="8" t="n"/>
      <c r="K212" s="18">
        <f>IF(B212="","",IFERROR(MONTH(B212),""))</f>
        <v/>
      </c>
      <c r="L212" s="5">
        <f>IF(COUNTA(A212:J212)=0,"",IF(E212="","Mangler motkonto",IF((F212="")=(G212=""),"Fyll ut enten Inn eller Ut",IF(OR(IFERROR(INDEX('Kontoplan'!$D$3:$D$302,MATCH(D212,'Kontoplan'!$H$3:$H$302,0))="Støttes ikke",FALSE),IFERROR(INDEX('Kontoplan'!$D$3:$D$302,MATCH(E212,'Kontoplan'!$H$3:$H$302,0))="Støttes ikke",FALSE)),"Kontoen støttes ikke",IF(IFERROR(AND(A212&gt;1,COUNTIF($A$3:$A$2002,A212-1)=0),FALSE),"Nummeret hopper over",IF(OR(NOT(ISNUMBER(B212)),B212&lt;DATE(2027,1,1),B212&gt;DATE(2027,12,31)),"Datoen er ikke i 2027",""))))))</f>
        <v/>
      </c>
    </row>
    <row r="213">
      <c r="A213" s="17" t="n"/>
      <c r="B213" s="9" t="n"/>
      <c r="C213" s="8" t="n"/>
      <c r="D213" s="8" t="n"/>
      <c r="E213" s="8" t="n"/>
      <c r="F213" s="14" t="n"/>
      <c r="G213" s="14" t="n"/>
      <c r="H213" s="8" t="n"/>
      <c r="I213" s="8" t="n"/>
      <c r="J213" s="8" t="n"/>
      <c r="K213" s="18">
        <f>IF(B213="","",IFERROR(MONTH(B213),""))</f>
        <v/>
      </c>
      <c r="L213" s="5">
        <f>IF(COUNTA(A213:J213)=0,"",IF(E213="","Mangler motkonto",IF((F213="")=(G213=""),"Fyll ut enten Inn eller Ut",IF(OR(IFERROR(INDEX('Kontoplan'!$D$3:$D$302,MATCH(D213,'Kontoplan'!$H$3:$H$302,0))="Støttes ikke",FALSE),IFERROR(INDEX('Kontoplan'!$D$3:$D$302,MATCH(E213,'Kontoplan'!$H$3:$H$302,0))="Støttes ikke",FALSE)),"Kontoen støttes ikke",IF(IFERROR(AND(A213&gt;1,COUNTIF($A$3:$A$2002,A213-1)=0),FALSE),"Nummeret hopper over",IF(OR(NOT(ISNUMBER(B213)),B213&lt;DATE(2027,1,1),B213&gt;DATE(2027,12,31)),"Datoen er ikke i 2027",""))))))</f>
        <v/>
      </c>
    </row>
    <row r="214">
      <c r="A214" s="17" t="n"/>
      <c r="B214" s="9" t="n"/>
      <c r="C214" s="8" t="n"/>
      <c r="D214" s="8" t="n"/>
      <c r="E214" s="8" t="n"/>
      <c r="F214" s="14" t="n"/>
      <c r="G214" s="14" t="n"/>
      <c r="H214" s="8" t="n"/>
      <c r="I214" s="8" t="n"/>
      <c r="J214" s="8" t="n"/>
      <c r="K214" s="18">
        <f>IF(B214="","",IFERROR(MONTH(B214),""))</f>
        <v/>
      </c>
      <c r="L214" s="5">
        <f>IF(COUNTA(A214:J214)=0,"",IF(E214="","Mangler motkonto",IF((F214="")=(G214=""),"Fyll ut enten Inn eller Ut",IF(OR(IFERROR(INDEX('Kontoplan'!$D$3:$D$302,MATCH(D214,'Kontoplan'!$H$3:$H$302,0))="Støttes ikke",FALSE),IFERROR(INDEX('Kontoplan'!$D$3:$D$302,MATCH(E214,'Kontoplan'!$H$3:$H$302,0))="Støttes ikke",FALSE)),"Kontoen støttes ikke",IF(IFERROR(AND(A214&gt;1,COUNTIF($A$3:$A$2002,A214-1)=0),FALSE),"Nummeret hopper over",IF(OR(NOT(ISNUMBER(B214)),B214&lt;DATE(2027,1,1),B214&gt;DATE(2027,12,31)),"Datoen er ikke i 2027",""))))))</f>
        <v/>
      </c>
    </row>
    <row r="215">
      <c r="A215" s="17" t="n"/>
      <c r="B215" s="9" t="n"/>
      <c r="C215" s="8" t="n"/>
      <c r="D215" s="8" t="n"/>
      <c r="E215" s="8" t="n"/>
      <c r="F215" s="14" t="n"/>
      <c r="G215" s="14" t="n"/>
      <c r="H215" s="8" t="n"/>
      <c r="I215" s="8" t="n"/>
      <c r="J215" s="8" t="n"/>
      <c r="K215" s="18">
        <f>IF(B215="","",IFERROR(MONTH(B215),""))</f>
        <v/>
      </c>
      <c r="L215" s="5">
        <f>IF(COUNTA(A215:J215)=0,"",IF(E215="","Mangler motkonto",IF((F215="")=(G215=""),"Fyll ut enten Inn eller Ut",IF(OR(IFERROR(INDEX('Kontoplan'!$D$3:$D$302,MATCH(D215,'Kontoplan'!$H$3:$H$302,0))="Støttes ikke",FALSE),IFERROR(INDEX('Kontoplan'!$D$3:$D$302,MATCH(E215,'Kontoplan'!$H$3:$H$302,0))="Støttes ikke",FALSE)),"Kontoen støttes ikke",IF(IFERROR(AND(A215&gt;1,COUNTIF($A$3:$A$2002,A215-1)=0),FALSE),"Nummeret hopper over",IF(OR(NOT(ISNUMBER(B215)),B215&lt;DATE(2027,1,1),B215&gt;DATE(2027,12,31)),"Datoen er ikke i 2027",""))))))</f>
        <v/>
      </c>
    </row>
    <row r="216">
      <c r="A216" s="17" t="n"/>
      <c r="B216" s="9" t="n"/>
      <c r="C216" s="8" t="n"/>
      <c r="D216" s="8" t="n"/>
      <c r="E216" s="8" t="n"/>
      <c r="F216" s="14" t="n"/>
      <c r="G216" s="14" t="n"/>
      <c r="H216" s="8" t="n"/>
      <c r="I216" s="8" t="n"/>
      <c r="J216" s="8" t="n"/>
      <c r="K216" s="18">
        <f>IF(B216="","",IFERROR(MONTH(B216),""))</f>
        <v/>
      </c>
      <c r="L216" s="5">
        <f>IF(COUNTA(A216:J216)=0,"",IF(E216="","Mangler motkonto",IF((F216="")=(G216=""),"Fyll ut enten Inn eller Ut",IF(OR(IFERROR(INDEX('Kontoplan'!$D$3:$D$302,MATCH(D216,'Kontoplan'!$H$3:$H$302,0))="Støttes ikke",FALSE),IFERROR(INDEX('Kontoplan'!$D$3:$D$302,MATCH(E216,'Kontoplan'!$H$3:$H$302,0))="Støttes ikke",FALSE)),"Kontoen støttes ikke",IF(IFERROR(AND(A216&gt;1,COUNTIF($A$3:$A$2002,A216-1)=0),FALSE),"Nummeret hopper over",IF(OR(NOT(ISNUMBER(B216)),B216&lt;DATE(2027,1,1),B216&gt;DATE(2027,12,31)),"Datoen er ikke i 2027",""))))))</f>
        <v/>
      </c>
    </row>
    <row r="217">
      <c r="A217" s="17" t="n"/>
      <c r="B217" s="9" t="n"/>
      <c r="C217" s="8" t="n"/>
      <c r="D217" s="8" t="n"/>
      <c r="E217" s="8" t="n"/>
      <c r="F217" s="14" t="n"/>
      <c r="G217" s="14" t="n"/>
      <c r="H217" s="8" t="n"/>
      <c r="I217" s="8" t="n"/>
      <c r="J217" s="8" t="n"/>
      <c r="K217" s="18">
        <f>IF(B217="","",IFERROR(MONTH(B217),""))</f>
        <v/>
      </c>
      <c r="L217" s="5">
        <f>IF(COUNTA(A217:J217)=0,"",IF(E217="","Mangler motkonto",IF((F217="")=(G217=""),"Fyll ut enten Inn eller Ut",IF(OR(IFERROR(INDEX('Kontoplan'!$D$3:$D$302,MATCH(D217,'Kontoplan'!$H$3:$H$302,0))="Støttes ikke",FALSE),IFERROR(INDEX('Kontoplan'!$D$3:$D$302,MATCH(E217,'Kontoplan'!$H$3:$H$302,0))="Støttes ikke",FALSE)),"Kontoen støttes ikke",IF(IFERROR(AND(A217&gt;1,COUNTIF($A$3:$A$2002,A217-1)=0),FALSE),"Nummeret hopper over",IF(OR(NOT(ISNUMBER(B217)),B217&lt;DATE(2027,1,1),B217&gt;DATE(2027,12,31)),"Datoen er ikke i 2027",""))))))</f>
        <v/>
      </c>
    </row>
    <row r="218">
      <c r="A218" s="17" t="n"/>
      <c r="B218" s="9" t="n"/>
      <c r="C218" s="8" t="n"/>
      <c r="D218" s="8" t="n"/>
      <c r="E218" s="8" t="n"/>
      <c r="F218" s="14" t="n"/>
      <c r="G218" s="14" t="n"/>
      <c r="H218" s="8" t="n"/>
      <c r="I218" s="8" t="n"/>
      <c r="J218" s="8" t="n"/>
      <c r="K218" s="18">
        <f>IF(B218="","",IFERROR(MONTH(B218),""))</f>
        <v/>
      </c>
      <c r="L218" s="5">
        <f>IF(COUNTA(A218:J218)=0,"",IF(E218="","Mangler motkonto",IF((F218="")=(G218=""),"Fyll ut enten Inn eller Ut",IF(OR(IFERROR(INDEX('Kontoplan'!$D$3:$D$302,MATCH(D218,'Kontoplan'!$H$3:$H$302,0))="Støttes ikke",FALSE),IFERROR(INDEX('Kontoplan'!$D$3:$D$302,MATCH(E218,'Kontoplan'!$H$3:$H$302,0))="Støttes ikke",FALSE)),"Kontoen støttes ikke",IF(IFERROR(AND(A218&gt;1,COUNTIF($A$3:$A$2002,A218-1)=0),FALSE),"Nummeret hopper over",IF(OR(NOT(ISNUMBER(B218)),B218&lt;DATE(2027,1,1),B218&gt;DATE(2027,12,31)),"Datoen er ikke i 2027",""))))))</f>
        <v/>
      </c>
    </row>
    <row r="219">
      <c r="A219" s="17" t="n"/>
      <c r="B219" s="9" t="n"/>
      <c r="C219" s="8" t="n"/>
      <c r="D219" s="8" t="n"/>
      <c r="E219" s="8" t="n"/>
      <c r="F219" s="14" t="n"/>
      <c r="G219" s="14" t="n"/>
      <c r="H219" s="8" t="n"/>
      <c r="I219" s="8" t="n"/>
      <c r="J219" s="8" t="n"/>
      <c r="K219" s="18">
        <f>IF(B219="","",IFERROR(MONTH(B219),""))</f>
        <v/>
      </c>
      <c r="L219" s="5">
        <f>IF(COUNTA(A219:J219)=0,"",IF(E219="","Mangler motkonto",IF((F219="")=(G219=""),"Fyll ut enten Inn eller Ut",IF(OR(IFERROR(INDEX('Kontoplan'!$D$3:$D$302,MATCH(D219,'Kontoplan'!$H$3:$H$302,0))="Støttes ikke",FALSE),IFERROR(INDEX('Kontoplan'!$D$3:$D$302,MATCH(E219,'Kontoplan'!$H$3:$H$302,0))="Støttes ikke",FALSE)),"Kontoen støttes ikke",IF(IFERROR(AND(A219&gt;1,COUNTIF($A$3:$A$2002,A219-1)=0),FALSE),"Nummeret hopper over",IF(OR(NOT(ISNUMBER(B219)),B219&lt;DATE(2027,1,1),B219&gt;DATE(2027,12,31)),"Datoen er ikke i 2027",""))))))</f>
        <v/>
      </c>
    </row>
    <row r="220">
      <c r="A220" s="17" t="n"/>
      <c r="B220" s="9" t="n"/>
      <c r="C220" s="8" t="n"/>
      <c r="D220" s="8" t="n"/>
      <c r="E220" s="8" t="n"/>
      <c r="F220" s="14" t="n"/>
      <c r="G220" s="14" t="n"/>
      <c r="H220" s="8" t="n"/>
      <c r="I220" s="8" t="n"/>
      <c r="J220" s="8" t="n"/>
      <c r="K220" s="18">
        <f>IF(B220="","",IFERROR(MONTH(B220),""))</f>
        <v/>
      </c>
      <c r="L220" s="5">
        <f>IF(COUNTA(A220:J220)=0,"",IF(E220="","Mangler motkonto",IF((F220="")=(G220=""),"Fyll ut enten Inn eller Ut",IF(OR(IFERROR(INDEX('Kontoplan'!$D$3:$D$302,MATCH(D220,'Kontoplan'!$H$3:$H$302,0))="Støttes ikke",FALSE),IFERROR(INDEX('Kontoplan'!$D$3:$D$302,MATCH(E220,'Kontoplan'!$H$3:$H$302,0))="Støttes ikke",FALSE)),"Kontoen støttes ikke",IF(IFERROR(AND(A220&gt;1,COUNTIF($A$3:$A$2002,A220-1)=0),FALSE),"Nummeret hopper over",IF(OR(NOT(ISNUMBER(B220)),B220&lt;DATE(2027,1,1),B220&gt;DATE(2027,12,31)),"Datoen er ikke i 2027",""))))))</f>
        <v/>
      </c>
    </row>
    <row r="221">
      <c r="A221" s="17" t="n"/>
      <c r="B221" s="9" t="n"/>
      <c r="C221" s="8" t="n"/>
      <c r="D221" s="8" t="n"/>
      <c r="E221" s="8" t="n"/>
      <c r="F221" s="14" t="n"/>
      <c r="G221" s="14" t="n"/>
      <c r="H221" s="8" t="n"/>
      <c r="I221" s="8" t="n"/>
      <c r="J221" s="8" t="n"/>
      <c r="K221" s="18">
        <f>IF(B221="","",IFERROR(MONTH(B221),""))</f>
        <v/>
      </c>
      <c r="L221" s="5">
        <f>IF(COUNTA(A221:J221)=0,"",IF(E221="","Mangler motkonto",IF((F221="")=(G221=""),"Fyll ut enten Inn eller Ut",IF(OR(IFERROR(INDEX('Kontoplan'!$D$3:$D$302,MATCH(D221,'Kontoplan'!$H$3:$H$302,0))="Støttes ikke",FALSE),IFERROR(INDEX('Kontoplan'!$D$3:$D$302,MATCH(E221,'Kontoplan'!$H$3:$H$302,0))="Støttes ikke",FALSE)),"Kontoen støttes ikke",IF(IFERROR(AND(A221&gt;1,COUNTIF($A$3:$A$2002,A221-1)=0),FALSE),"Nummeret hopper over",IF(OR(NOT(ISNUMBER(B221)),B221&lt;DATE(2027,1,1),B221&gt;DATE(2027,12,31)),"Datoen er ikke i 2027",""))))))</f>
        <v/>
      </c>
    </row>
    <row r="222">
      <c r="A222" s="17" t="n"/>
      <c r="B222" s="9" t="n"/>
      <c r="C222" s="8" t="n"/>
      <c r="D222" s="8" t="n"/>
      <c r="E222" s="8" t="n"/>
      <c r="F222" s="14" t="n"/>
      <c r="G222" s="14" t="n"/>
      <c r="H222" s="8" t="n"/>
      <c r="I222" s="8" t="n"/>
      <c r="J222" s="8" t="n"/>
      <c r="K222" s="18">
        <f>IF(B222="","",IFERROR(MONTH(B222),""))</f>
        <v/>
      </c>
      <c r="L222" s="5">
        <f>IF(COUNTA(A222:J222)=0,"",IF(E222="","Mangler motkonto",IF((F222="")=(G222=""),"Fyll ut enten Inn eller Ut",IF(OR(IFERROR(INDEX('Kontoplan'!$D$3:$D$302,MATCH(D222,'Kontoplan'!$H$3:$H$302,0))="Støttes ikke",FALSE),IFERROR(INDEX('Kontoplan'!$D$3:$D$302,MATCH(E222,'Kontoplan'!$H$3:$H$302,0))="Støttes ikke",FALSE)),"Kontoen støttes ikke",IF(IFERROR(AND(A222&gt;1,COUNTIF($A$3:$A$2002,A222-1)=0),FALSE),"Nummeret hopper over",IF(OR(NOT(ISNUMBER(B222)),B222&lt;DATE(2027,1,1),B222&gt;DATE(2027,12,31)),"Datoen er ikke i 2027",""))))))</f>
        <v/>
      </c>
    </row>
    <row r="223">
      <c r="A223" s="17" t="n"/>
      <c r="B223" s="9" t="n"/>
      <c r="C223" s="8" t="n"/>
      <c r="D223" s="8" t="n"/>
      <c r="E223" s="8" t="n"/>
      <c r="F223" s="14" t="n"/>
      <c r="G223" s="14" t="n"/>
      <c r="H223" s="8" t="n"/>
      <c r="I223" s="8" t="n"/>
      <c r="J223" s="8" t="n"/>
      <c r="K223" s="18">
        <f>IF(B223="","",IFERROR(MONTH(B223),""))</f>
        <v/>
      </c>
      <c r="L223" s="5">
        <f>IF(COUNTA(A223:J223)=0,"",IF(E223="","Mangler motkonto",IF((F223="")=(G223=""),"Fyll ut enten Inn eller Ut",IF(OR(IFERROR(INDEX('Kontoplan'!$D$3:$D$302,MATCH(D223,'Kontoplan'!$H$3:$H$302,0))="Støttes ikke",FALSE),IFERROR(INDEX('Kontoplan'!$D$3:$D$302,MATCH(E223,'Kontoplan'!$H$3:$H$302,0))="Støttes ikke",FALSE)),"Kontoen støttes ikke",IF(IFERROR(AND(A223&gt;1,COUNTIF($A$3:$A$2002,A223-1)=0),FALSE),"Nummeret hopper over",IF(OR(NOT(ISNUMBER(B223)),B223&lt;DATE(2027,1,1),B223&gt;DATE(2027,12,31)),"Datoen er ikke i 2027",""))))))</f>
        <v/>
      </c>
    </row>
    <row r="224">
      <c r="A224" s="17" t="n"/>
      <c r="B224" s="9" t="n"/>
      <c r="C224" s="8" t="n"/>
      <c r="D224" s="8" t="n"/>
      <c r="E224" s="8" t="n"/>
      <c r="F224" s="14" t="n"/>
      <c r="G224" s="14" t="n"/>
      <c r="H224" s="8" t="n"/>
      <c r="I224" s="8" t="n"/>
      <c r="J224" s="8" t="n"/>
      <c r="K224" s="18">
        <f>IF(B224="","",IFERROR(MONTH(B224),""))</f>
        <v/>
      </c>
      <c r="L224" s="5">
        <f>IF(COUNTA(A224:J224)=0,"",IF(E224="","Mangler motkonto",IF((F224="")=(G224=""),"Fyll ut enten Inn eller Ut",IF(OR(IFERROR(INDEX('Kontoplan'!$D$3:$D$302,MATCH(D224,'Kontoplan'!$H$3:$H$302,0))="Støttes ikke",FALSE),IFERROR(INDEX('Kontoplan'!$D$3:$D$302,MATCH(E224,'Kontoplan'!$H$3:$H$302,0))="Støttes ikke",FALSE)),"Kontoen støttes ikke",IF(IFERROR(AND(A224&gt;1,COUNTIF($A$3:$A$2002,A224-1)=0),FALSE),"Nummeret hopper over",IF(OR(NOT(ISNUMBER(B224)),B224&lt;DATE(2027,1,1),B224&gt;DATE(2027,12,31)),"Datoen er ikke i 2027",""))))))</f>
        <v/>
      </c>
    </row>
    <row r="225">
      <c r="A225" s="17" t="n"/>
      <c r="B225" s="9" t="n"/>
      <c r="C225" s="8" t="n"/>
      <c r="D225" s="8" t="n"/>
      <c r="E225" s="8" t="n"/>
      <c r="F225" s="14" t="n"/>
      <c r="G225" s="14" t="n"/>
      <c r="H225" s="8" t="n"/>
      <c r="I225" s="8" t="n"/>
      <c r="J225" s="8" t="n"/>
      <c r="K225" s="18">
        <f>IF(B225="","",IFERROR(MONTH(B225),""))</f>
        <v/>
      </c>
      <c r="L225" s="5">
        <f>IF(COUNTA(A225:J225)=0,"",IF(E225="","Mangler motkonto",IF((F225="")=(G225=""),"Fyll ut enten Inn eller Ut",IF(OR(IFERROR(INDEX('Kontoplan'!$D$3:$D$302,MATCH(D225,'Kontoplan'!$H$3:$H$302,0))="Støttes ikke",FALSE),IFERROR(INDEX('Kontoplan'!$D$3:$D$302,MATCH(E225,'Kontoplan'!$H$3:$H$302,0))="Støttes ikke",FALSE)),"Kontoen støttes ikke",IF(IFERROR(AND(A225&gt;1,COUNTIF($A$3:$A$2002,A225-1)=0),FALSE),"Nummeret hopper over",IF(OR(NOT(ISNUMBER(B225)),B225&lt;DATE(2027,1,1),B225&gt;DATE(2027,12,31)),"Datoen er ikke i 2027",""))))))</f>
        <v/>
      </c>
    </row>
    <row r="226">
      <c r="A226" s="17" t="n"/>
      <c r="B226" s="9" t="n"/>
      <c r="C226" s="8" t="n"/>
      <c r="D226" s="8" t="n"/>
      <c r="E226" s="8" t="n"/>
      <c r="F226" s="14" t="n"/>
      <c r="G226" s="14" t="n"/>
      <c r="H226" s="8" t="n"/>
      <c r="I226" s="8" t="n"/>
      <c r="J226" s="8" t="n"/>
      <c r="K226" s="18">
        <f>IF(B226="","",IFERROR(MONTH(B226),""))</f>
        <v/>
      </c>
      <c r="L226" s="5">
        <f>IF(COUNTA(A226:J226)=0,"",IF(E226="","Mangler motkonto",IF((F226="")=(G226=""),"Fyll ut enten Inn eller Ut",IF(OR(IFERROR(INDEX('Kontoplan'!$D$3:$D$302,MATCH(D226,'Kontoplan'!$H$3:$H$302,0))="Støttes ikke",FALSE),IFERROR(INDEX('Kontoplan'!$D$3:$D$302,MATCH(E226,'Kontoplan'!$H$3:$H$302,0))="Støttes ikke",FALSE)),"Kontoen støttes ikke",IF(IFERROR(AND(A226&gt;1,COUNTIF($A$3:$A$2002,A226-1)=0),FALSE),"Nummeret hopper over",IF(OR(NOT(ISNUMBER(B226)),B226&lt;DATE(2027,1,1),B226&gt;DATE(2027,12,31)),"Datoen er ikke i 2027",""))))))</f>
        <v/>
      </c>
    </row>
    <row r="227">
      <c r="A227" s="17" t="n"/>
      <c r="B227" s="9" t="n"/>
      <c r="C227" s="8" t="n"/>
      <c r="D227" s="8" t="n"/>
      <c r="E227" s="8" t="n"/>
      <c r="F227" s="14" t="n"/>
      <c r="G227" s="14" t="n"/>
      <c r="H227" s="8" t="n"/>
      <c r="I227" s="8" t="n"/>
      <c r="J227" s="8" t="n"/>
      <c r="K227" s="18">
        <f>IF(B227="","",IFERROR(MONTH(B227),""))</f>
        <v/>
      </c>
      <c r="L227" s="5">
        <f>IF(COUNTA(A227:J227)=0,"",IF(E227="","Mangler motkonto",IF((F227="")=(G227=""),"Fyll ut enten Inn eller Ut",IF(OR(IFERROR(INDEX('Kontoplan'!$D$3:$D$302,MATCH(D227,'Kontoplan'!$H$3:$H$302,0))="Støttes ikke",FALSE),IFERROR(INDEX('Kontoplan'!$D$3:$D$302,MATCH(E227,'Kontoplan'!$H$3:$H$302,0))="Støttes ikke",FALSE)),"Kontoen støttes ikke",IF(IFERROR(AND(A227&gt;1,COUNTIF($A$3:$A$2002,A227-1)=0),FALSE),"Nummeret hopper over",IF(OR(NOT(ISNUMBER(B227)),B227&lt;DATE(2027,1,1),B227&gt;DATE(2027,12,31)),"Datoen er ikke i 2027",""))))))</f>
        <v/>
      </c>
    </row>
    <row r="228">
      <c r="A228" s="17" t="n"/>
      <c r="B228" s="9" t="n"/>
      <c r="C228" s="8" t="n"/>
      <c r="D228" s="8" t="n"/>
      <c r="E228" s="8" t="n"/>
      <c r="F228" s="14" t="n"/>
      <c r="G228" s="14" t="n"/>
      <c r="H228" s="8" t="n"/>
      <c r="I228" s="8" t="n"/>
      <c r="J228" s="8" t="n"/>
      <c r="K228" s="18">
        <f>IF(B228="","",IFERROR(MONTH(B228),""))</f>
        <v/>
      </c>
      <c r="L228" s="5">
        <f>IF(COUNTA(A228:J228)=0,"",IF(E228="","Mangler motkonto",IF((F228="")=(G228=""),"Fyll ut enten Inn eller Ut",IF(OR(IFERROR(INDEX('Kontoplan'!$D$3:$D$302,MATCH(D228,'Kontoplan'!$H$3:$H$302,0))="Støttes ikke",FALSE),IFERROR(INDEX('Kontoplan'!$D$3:$D$302,MATCH(E228,'Kontoplan'!$H$3:$H$302,0))="Støttes ikke",FALSE)),"Kontoen støttes ikke",IF(IFERROR(AND(A228&gt;1,COUNTIF($A$3:$A$2002,A228-1)=0),FALSE),"Nummeret hopper over",IF(OR(NOT(ISNUMBER(B228)),B228&lt;DATE(2027,1,1),B228&gt;DATE(2027,12,31)),"Datoen er ikke i 2027",""))))))</f>
        <v/>
      </c>
    </row>
    <row r="229">
      <c r="A229" s="17" t="n"/>
      <c r="B229" s="9" t="n"/>
      <c r="C229" s="8" t="n"/>
      <c r="D229" s="8" t="n"/>
      <c r="E229" s="8" t="n"/>
      <c r="F229" s="14" t="n"/>
      <c r="G229" s="14" t="n"/>
      <c r="H229" s="8" t="n"/>
      <c r="I229" s="8" t="n"/>
      <c r="J229" s="8" t="n"/>
      <c r="K229" s="18">
        <f>IF(B229="","",IFERROR(MONTH(B229),""))</f>
        <v/>
      </c>
      <c r="L229" s="5">
        <f>IF(COUNTA(A229:J229)=0,"",IF(E229="","Mangler motkonto",IF((F229="")=(G229=""),"Fyll ut enten Inn eller Ut",IF(OR(IFERROR(INDEX('Kontoplan'!$D$3:$D$302,MATCH(D229,'Kontoplan'!$H$3:$H$302,0))="Støttes ikke",FALSE),IFERROR(INDEX('Kontoplan'!$D$3:$D$302,MATCH(E229,'Kontoplan'!$H$3:$H$302,0))="Støttes ikke",FALSE)),"Kontoen støttes ikke",IF(IFERROR(AND(A229&gt;1,COUNTIF($A$3:$A$2002,A229-1)=0),FALSE),"Nummeret hopper over",IF(OR(NOT(ISNUMBER(B229)),B229&lt;DATE(2027,1,1),B229&gt;DATE(2027,12,31)),"Datoen er ikke i 2027",""))))))</f>
        <v/>
      </c>
    </row>
    <row r="230">
      <c r="A230" s="17" t="n"/>
      <c r="B230" s="9" t="n"/>
      <c r="C230" s="8" t="n"/>
      <c r="D230" s="8" t="n"/>
      <c r="E230" s="8" t="n"/>
      <c r="F230" s="14" t="n"/>
      <c r="G230" s="14" t="n"/>
      <c r="H230" s="8" t="n"/>
      <c r="I230" s="8" t="n"/>
      <c r="J230" s="8" t="n"/>
      <c r="K230" s="18">
        <f>IF(B230="","",IFERROR(MONTH(B230),""))</f>
        <v/>
      </c>
      <c r="L230" s="5">
        <f>IF(COUNTA(A230:J230)=0,"",IF(E230="","Mangler motkonto",IF((F230="")=(G230=""),"Fyll ut enten Inn eller Ut",IF(OR(IFERROR(INDEX('Kontoplan'!$D$3:$D$302,MATCH(D230,'Kontoplan'!$H$3:$H$302,0))="Støttes ikke",FALSE),IFERROR(INDEX('Kontoplan'!$D$3:$D$302,MATCH(E230,'Kontoplan'!$H$3:$H$302,0))="Støttes ikke",FALSE)),"Kontoen støttes ikke",IF(IFERROR(AND(A230&gt;1,COUNTIF($A$3:$A$2002,A230-1)=0),FALSE),"Nummeret hopper over",IF(OR(NOT(ISNUMBER(B230)),B230&lt;DATE(2027,1,1),B230&gt;DATE(2027,12,31)),"Datoen er ikke i 2027",""))))))</f>
        <v/>
      </c>
    </row>
    <row r="231">
      <c r="A231" s="17" t="n"/>
      <c r="B231" s="9" t="n"/>
      <c r="C231" s="8" t="n"/>
      <c r="D231" s="8" t="n"/>
      <c r="E231" s="8" t="n"/>
      <c r="F231" s="14" t="n"/>
      <c r="G231" s="14" t="n"/>
      <c r="H231" s="8" t="n"/>
      <c r="I231" s="8" t="n"/>
      <c r="J231" s="8" t="n"/>
      <c r="K231" s="18">
        <f>IF(B231="","",IFERROR(MONTH(B231),""))</f>
        <v/>
      </c>
      <c r="L231" s="5">
        <f>IF(COUNTA(A231:J231)=0,"",IF(E231="","Mangler motkonto",IF((F231="")=(G231=""),"Fyll ut enten Inn eller Ut",IF(OR(IFERROR(INDEX('Kontoplan'!$D$3:$D$302,MATCH(D231,'Kontoplan'!$H$3:$H$302,0))="Støttes ikke",FALSE),IFERROR(INDEX('Kontoplan'!$D$3:$D$302,MATCH(E231,'Kontoplan'!$H$3:$H$302,0))="Støttes ikke",FALSE)),"Kontoen støttes ikke",IF(IFERROR(AND(A231&gt;1,COUNTIF($A$3:$A$2002,A231-1)=0),FALSE),"Nummeret hopper over",IF(OR(NOT(ISNUMBER(B231)),B231&lt;DATE(2027,1,1),B231&gt;DATE(2027,12,31)),"Datoen er ikke i 2027",""))))))</f>
        <v/>
      </c>
    </row>
    <row r="232">
      <c r="A232" s="17" t="n"/>
      <c r="B232" s="9" t="n"/>
      <c r="C232" s="8" t="n"/>
      <c r="D232" s="8" t="n"/>
      <c r="E232" s="8" t="n"/>
      <c r="F232" s="14" t="n"/>
      <c r="G232" s="14" t="n"/>
      <c r="H232" s="8" t="n"/>
      <c r="I232" s="8" t="n"/>
      <c r="J232" s="8" t="n"/>
      <c r="K232" s="18">
        <f>IF(B232="","",IFERROR(MONTH(B232),""))</f>
        <v/>
      </c>
      <c r="L232" s="5">
        <f>IF(COUNTA(A232:J232)=0,"",IF(E232="","Mangler motkonto",IF((F232="")=(G232=""),"Fyll ut enten Inn eller Ut",IF(OR(IFERROR(INDEX('Kontoplan'!$D$3:$D$302,MATCH(D232,'Kontoplan'!$H$3:$H$302,0))="Støttes ikke",FALSE),IFERROR(INDEX('Kontoplan'!$D$3:$D$302,MATCH(E232,'Kontoplan'!$H$3:$H$302,0))="Støttes ikke",FALSE)),"Kontoen støttes ikke",IF(IFERROR(AND(A232&gt;1,COUNTIF($A$3:$A$2002,A232-1)=0),FALSE),"Nummeret hopper over",IF(OR(NOT(ISNUMBER(B232)),B232&lt;DATE(2027,1,1),B232&gt;DATE(2027,12,31)),"Datoen er ikke i 2027",""))))))</f>
        <v/>
      </c>
    </row>
    <row r="233">
      <c r="A233" s="17" t="n"/>
      <c r="B233" s="9" t="n"/>
      <c r="C233" s="8" t="n"/>
      <c r="D233" s="8" t="n"/>
      <c r="E233" s="8" t="n"/>
      <c r="F233" s="14" t="n"/>
      <c r="G233" s="14" t="n"/>
      <c r="H233" s="8" t="n"/>
      <c r="I233" s="8" t="n"/>
      <c r="J233" s="8" t="n"/>
      <c r="K233" s="18">
        <f>IF(B233="","",IFERROR(MONTH(B233),""))</f>
        <v/>
      </c>
      <c r="L233" s="5">
        <f>IF(COUNTA(A233:J233)=0,"",IF(E233="","Mangler motkonto",IF((F233="")=(G233=""),"Fyll ut enten Inn eller Ut",IF(OR(IFERROR(INDEX('Kontoplan'!$D$3:$D$302,MATCH(D233,'Kontoplan'!$H$3:$H$302,0))="Støttes ikke",FALSE),IFERROR(INDEX('Kontoplan'!$D$3:$D$302,MATCH(E233,'Kontoplan'!$H$3:$H$302,0))="Støttes ikke",FALSE)),"Kontoen støttes ikke",IF(IFERROR(AND(A233&gt;1,COUNTIF($A$3:$A$2002,A233-1)=0),FALSE),"Nummeret hopper over",IF(OR(NOT(ISNUMBER(B233)),B233&lt;DATE(2027,1,1),B233&gt;DATE(2027,12,31)),"Datoen er ikke i 2027",""))))))</f>
        <v/>
      </c>
    </row>
    <row r="234">
      <c r="A234" s="17" t="n"/>
      <c r="B234" s="9" t="n"/>
      <c r="C234" s="8" t="n"/>
      <c r="D234" s="8" t="n"/>
      <c r="E234" s="8" t="n"/>
      <c r="F234" s="14" t="n"/>
      <c r="G234" s="14" t="n"/>
      <c r="H234" s="8" t="n"/>
      <c r="I234" s="8" t="n"/>
      <c r="J234" s="8" t="n"/>
      <c r="K234" s="18">
        <f>IF(B234="","",IFERROR(MONTH(B234),""))</f>
        <v/>
      </c>
      <c r="L234" s="5">
        <f>IF(COUNTA(A234:J234)=0,"",IF(E234="","Mangler motkonto",IF((F234="")=(G234=""),"Fyll ut enten Inn eller Ut",IF(OR(IFERROR(INDEX('Kontoplan'!$D$3:$D$302,MATCH(D234,'Kontoplan'!$H$3:$H$302,0))="Støttes ikke",FALSE),IFERROR(INDEX('Kontoplan'!$D$3:$D$302,MATCH(E234,'Kontoplan'!$H$3:$H$302,0))="Støttes ikke",FALSE)),"Kontoen støttes ikke",IF(IFERROR(AND(A234&gt;1,COUNTIF($A$3:$A$2002,A234-1)=0),FALSE),"Nummeret hopper over",IF(OR(NOT(ISNUMBER(B234)),B234&lt;DATE(2027,1,1),B234&gt;DATE(2027,12,31)),"Datoen er ikke i 2027",""))))))</f>
        <v/>
      </c>
    </row>
    <row r="235">
      <c r="A235" s="17" t="n"/>
      <c r="B235" s="9" t="n"/>
      <c r="C235" s="8" t="n"/>
      <c r="D235" s="8" t="n"/>
      <c r="E235" s="8" t="n"/>
      <c r="F235" s="14" t="n"/>
      <c r="G235" s="14" t="n"/>
      <c r="H235" s="8" t="n"/>
      <c r="I235" s="8" t="n"/>
      <c r="J235" s="8" t="n"/>
      <c r="K235" s="18">
        <f>IF(B235="","",IFERROR(MONTH(B235),""))</f>
        <v/>
      </c>
      <c r="L235" s="5">
        <f>IF(COUNTA(A235:J235)=0,"",IF(E235="","Mangler motkonto",IF((F235="")=(G235=""),"Fyll ut enten Inn eller Ut",IF(OR(IFERROR(INDEX('Kontoplan'!$D$3:$D$302,MATCH(D235,'Kontoplan'!$H$3:$H$302,0))="Støttes ikke",FALSE),IFERROR(INDEX('Kontoplan'!$D$3:$D$302,MATCH(E235,'Kontoplan'!$H$3:$H$302,0))="Støttes ikke",FALSE)),"Kontoen støttes ikke",IF(IFERROR(AND(A235&gt;1,COUNTIF($A$3:$A$2002,A235-1)=0),FALSE),"Nummeret hopper over",IF(OR(NOT(ISNUMBER(B235)),B235&lt;DATE(2027,1,1),B235&gt;DATE(2027,12,31)),"Datoen er ikke i 2027",""))))))</f>
        <v/>
      </c>
    </row>
    <row r="236">
      <c r="A236" s="17" t="n"/>
      <c r="B236" s="9" t="n"/>
      <c r="C236" s="8" t="n"/>
      <c r="D236" s="8" t="n"/>
      <c r="E236" s="8" t="n"/>
      <c r="F236" s="14" t="n"/>
      <c r="G236" s="14" t="n"/>
      <c r="H236" s="8" t="n"/>
      <c r="I236" s="8" t="n"/>
      <c r="J236" s="8" t="n"/>
      <c r="K236" s="18">
        <f>IF(B236="","",IFERROR(MONTH(B236),""))</f>
        <v/>
      </c>
      <c r="L236" s="5">
        <f>IF(COUNTA(A236:J236)=0,"",IF(E236="","Mangler motkonto",IF((F236="")=(G236=""),"Fyll ut enten Inn eller Ut",IF(OR(IFERROR(INDEX('Kontoplan'!$D$3:$D$302,MATCH(D236,'Kontoplan'!$H$3:$H$302,0))="Støttes ikke",FALSE),IFERROR(INDEX('Kontoplan'!$D$3:$D$302,MATCH(E236,'Kontoplan'!$H$3:$H$302,0))="Støttes ikke",FALSE)),"Kontoen støttes ikke",IF(IFERROR(AND(A236&gt;1,COUNTIF($A$3:$A$2002,A236-1)=0),FALSE),"Nummeret hopper over",IF(OR(NOT(ISNUMBER(B236)),B236&lt;DATE(2027,1,1),B236&gt;DATE(2027,12,31)),"Datoen er ikke i 2027",""))))))</f>
        <v/>
      </c>
    </row>
    <row r="237">
      <c r="A237" s="17" t="n"/>
      <c r="B237" s="9" t="n"/>
      <c r="C237" s="8" t="n"/>
      <c r="D237" s="8" t="n"/>
      <c r="E237" s="8" t="n"/>
      <c r="F237" s="14" t="n"/>
      <c r="G237" s="14" t="n"/>
      <c r="H237" s="8" t="n"/>
      <c r="I237" s="8" t="n"/>
      <c r="J237" s="8" t="n"/>
      <c r="K237" s="18">
        <f>IF(B237="","",IFERROR(MONTH(B237),""))</f>
        <v/>
      </c>
      <c r="L237" s="5">
        <f>IF(COUNTA(A237:J237)=0,"",IF(E237="","Mangler motkonto",IF((F237="")=(G237=""),"Fyll ut enten Inn eller Ut",IF(OR(IFERROR(INDEX('Kontoplan'!$D$3:$D$302,MATCH(D237,'Kontoplan'!$H$3:$H$302,0))="Støttes ikke",FALSE),IFERROR(INDEX('Kontoplan'!$D$3:$D$302,MATCH(E237,'Kontoplan'!$H$3:$H$302,0))="Støttes ikke",FALSE)),"Kontoen støttes ikke",IF(IFERROR(AND(A237&gt;1,COUNTIF($A$3:$A$2002,A237-1)=0),FALSE),"Nummeret hopper over",IF(OR(NOT(ISNUMBER(B237)),B237&lt;DATE(2027,1,1),B237&gt;DATE(2027,12,31)),"Datoen er ikke i 2027",""))))))</f>
        <v/>
      </c>
    </row>
    <row r="238">
      <c r="A238" s="17" t="n"/>
      <c r="B238" s="9" t="n"/>
      <c r="C238" s="8" t="n"/>
      <c r="D238" s="8" t="n"/>
      <c r="E238" s="8" t="n"/>
      <c r="F238" s="14" t="n"/>
      <c r="G238" s="14" t="n"/>
      <c r="H238" s="8" t="n"/>
      <c r="I238" s="8" t="n"/>
      <c r="J238" s="8" t="n"/>
      <c r="K238" s="18">
        <f>IF(B238="","",IFERROR(MONTH(B238),""))</f>
        <v/>
      </c>
      <c r="L238" s="5">
        <f>IF(COUNTA(A238:J238)=0,"",IF(E238="","Mangler motkonto",IF((F238="")=(G238=""),"Fyll ut enten Inn eller Ut",IF(OR(IFERROR(INDEX('Kontoplan'!$D$3:$D$302,MATCH(D238,'Kontoplan'!$H$3:$H$302,0))="Støttes ikke",FALSE),IFERROR(INDEX('Kontoplan'!$D$3:$D$302,MATCH(E238,'Kontoplan'!$H$3:$H$302,0))="Støttes ikke",FALSE)),"Kontoen støttes ikke",IF(IFERROR(AND(A238&gt;1,COUNTIF($A$3:$A$2002,A238-1)=0),FALSE),"Nummeret hopper over",IF(OR(NOT(ISNUMBER(B238)),B238&lt;DATE(2027,1,1),B238&gt;DATE(2027,12,31)),"Datoen er ikke i 2027",""))))))</f>
        <v/>
      </c>
    </row>
    <row r="239">
      <c r="A239" s="17" t="n"/>
      <c r="B239" s="9" t="n"/>
      <c r="C239" s="8" t="n"/>
      <c r="D239" s="8" t="n"/>
      <c r="E239" s="8" t="n"/>
      <c r="F239" s="14" t="n"/>
      <c r="G239" s="14" t="n"/>
      <c r="H239" s="8" t="n"/>
      <c r="I239" s="8" t="n"/>
      <c r="J239" s="8" t="n"/>
      <c r="K239" s="18">
        <f>IF(B239="","",IFERROR(MONTH(B239),""))</f>
        <v/>
      </c>
      <c r="L239" s="5">
        <f>IF(COUNTA(A239:J239)=0,"",IF(E239="","Mangler motkonto",IF((F239="")=(G239=""),"Fyll ut enten Inn eller Ut",IF(OR(IFERROR(INDEX('Kontoplan'!$D$3:$D$302,MATCH(D239,'Kontoplan'!$H$3:$H$302,0))="Støttes ikke",FALSE),IFERROR(INDEX('Kontoplan'!$D$3:$D$302,MATCH(E239,'Kontoplan'!$H$3:$H$302,0))="Støttes ikke",FALSE)),"Kontoen støttes ikke",IF(IFERROR(AND(A239&gt;1,COUNTIF($A$3:$A$2002,A239-1)=0),FALSE),"Nummeret hopper over",IF(OR(NOT(ISNUMBER(B239)),B239&lt;DATE(2027,1,1),B239&gt;DATE(2027,12,31)),"Datoen er ikke i 2027",""))))))</f>
        <v/>
      </c>
    </row>
    <row r="240">
      <c r="A240" s="17" t="n"/>
      <c r="B240" s="9" t="n"/>
      <c r="C240" s="8" t="n"/>
      <c r="D240" s="8" t="n"/>
      <c r="E240" s="8" t="n"/>
      <c r="F240" s="14" t="n"/>
      <c r="G240" s="14" t="n"/>
      <c r="H240" s="8" t="n"/>
      <c r="I240" s="8" t="n"/>
      <c r="J240" s="8" t="n"/>
      <c r="K240" s="18">
        <f>IF(B240="","",IFERROR(MONTH(B240),""))</f>
        <v/>
      </c>
      <c r="L240" s="5">
        <f>IF(COUNTA(A240:J240)=0,"",IF(E240="","Mangler motkonto",IF((F240="")=(G240=""),"Fyll ut enten Inn eller Ut",IF(OR(IFERROR(INDEX('Kontoplan'!$D$3:$D$302,MATCH(D240,'Kontoplan'!$H$3:$H$302,0))="Støttes ikke",FALSE),IFERROR(INDEX('Kontoplan'!$D$3:$D$302,MATCH(E240,'Kontoplan'!$H$3:$H$302,0))="Støttes ikke",FALSE)),"Kontoen støttes ikke",IF(IFERROR(AND(A240&gt;1,COUNTIF($A$3:$A$2002,A240-1)=0),FALSE),"Nummeret hopper over",IF(OR(NOT(ISNUMBER(B240)),B240&lt;DATE(2027,1,1),B240&gt;DATE(2027,12,31)),"Datoen er ikke i 2027",""))))))</f>
        <v/>
      </c>
    </row>
    <row r="241">
      <c r="A241" s="17" t="n"/>
      <c r="B241" s="9" t="n"/>
      <c r="C241" s="8" t="n"/>
      <c r="D241" s="8" t="n"/>
      <c r="E241" s="8" t="n"/>
      <c r="F241" s="14" t="n"/>
      <c r="G241" s="14" t="n"/>
      <c r="H241" s="8" t="n"/>
      <c r="I241" s="8" t="n"/>
      <c r="J241" s="8" t="n"/>
      <c r="K241" s="18">
        <f>IF(B241="","",IFERROR(MONTH(B241),""))</f>
        <v/>
      </c>
      <c r="L241" s="5">
        <f>IF(COUNTA(A241:J241)=0,"",IF(E241="","Mangler motkonto",IF((F241="")=(G241=""),"Fyll ut enten Inn eller Ut",IF(OR(IFERROR(INDEX('Kontoplan'!$D$3:$D$302,MATCH(D241,'Kontoplan'!$H$3:$H$302,0))="Støttes ikke",FALSE),IFERROR(INDEX('Kontoplan'!$D$3:$D$302,MATCH(E241,'Kontoplan'!$H$3:$H$302,0))="Støttes ikke",FALSE)),"Kontoen støttes ikke",IF(IFERROR(AND(A241&gt;1,COUNTIF($A$3:$A$2002,A241-1)=0),FALSE),"Nummeret hopper over",IF(OR(NOT(ISNUMBER(B241)),B241&lt;DATE(2027,1,1),B241&gt;DATE(2027,12,31)),"Datoen er ikke i 2027",""))))))</f>
        <v/>
      </c>
    </row>
    <row r="242">
      <c r="A242" s="17" t="n"/>
      <c r="B242" s="9" t="n"/>
      <c r="C242" s="8" t="n"/>
      <c r="D242" s="8" t="n"/>
      <c r="E242" s="8" t="n"/>
      <c r="F242" s="14" t="n"/>
      <c r="G242" s="14" t="n"/>
      <c r="H242" s="8" t="n"/>
      <c r="I242" s="8" t="n"/>
      <c r="J242" s="8" t="n"/>
      <c r="K242" s="18">
        <f>IF(B242="","",IFERROR(MONTH(B242),""))</f>
        <v/>
      </c>
      <c r="L242" s="5">
        <f>IF(COUNTA(A242:J242)=0,"",IF(E242="","Mangler motkonto",IF((F242="")=(G242=""),"Fyll ut enten Inn eller Ut",IF(OR(IFERROR(INDEX('Kontoplan'!$D$3:$D$302,MATCH(D242,'Kontoplan'!$H$3:$H$302,0))="Støttes ikke",FALSE),IFERROR(INDEX('Kontoplan'!$D$3:$D$302,MATCH(E242,'Kontoplan'!$H$3:$H$302,0))="Støttes ikke",FALSE)),"Kontoen støttes ikke",IF(IFERROR(AND(A242&gt;1,COUNTIF($A$3:$A$2002,A242-1)=0),FALSE),"Nummeret hopper over",IF(OR(NOT(ISNUMBER(B242)),B242&lt;DATE(2027,1,1),B242&gt;DATE(2027,12,31)),"Datoen er ikke i 2027",""))))))</f>
        <v/>
      </c>
    </row>
    <row r="243">
      <c r="A243" s="17" t="n"/>
      <c r="B243" s="9" t="n"/>
      <c r="C243" s="8" t="n"/>
      <c r="D243" s="8" t="n"/>
      <c r="E243" s="8" t="n"/>
      <c r="F243" s="14" t="n"/>
      <c r="G243" s="14" t="n"/>
      <c r="H243" s="8" t="n"/>
      <c r="I243" s="8" t="n"/>
      <c r="J243" s="8" t="n"/>
      <c r="K243" s="18">
        <f>IF(B243="","",IFERROR(MONTH(B243),""))</f>
        <v/>
      </c>
      <c r="L243" s="5">
        <f>IF(COUNTA(A243:J243)=0,"",IF(E243="","Mangler motkonto",IF((F243="")=(G243=""),"Fyll ut enten Inn eller Ut",IF(OR(IFERROR(INDEX('Kontoplan'!$D$3:$D$302,MATCH(D243,'Kontoplan'!$H$3:$H$302,0))="Støttes ikke",FALSE),IFERROR(INDEX('Kontoplan'!$D$3:$D$302,MATCH(E243,'Kontoplan'!$H$3:$H$302,0))="Støttes ikke",FALSE)),"Kontoen støttes ikke",IF(IFERROR(AND(A243&gt;1,COUNTIF($A$3:$A$2002,A243-1)=0),FALSE),"Nummeret hopper over",IF(OR(NOT(ISNUMBER(B243)),B243&lt;DATE(2027,1,1),B243&gt;DATE(2027,12,31)),"Datoen er ikke i 2027",""))))))</f>
        <v/>
      </c>
    </row>
    <row r="244">
      <c r="A244" s="17" t="n"/>
      <c r="B244" s="9" t="n"/>
      <c r="C244" s="8" t="n"/>
      <c r="D244" s="8" t="n"/>
      <c r="E244" s="8" t="n"/>
      <c r="F244" s="14" t="n"/>
      <c r="G244" s="14" t="n"/>
      <c r="H244" s="8" t="n"/>
      <c r="I244" s="8" t="n"/>
      <c r="J244" s="8" t="n"/>
      <c r="K244" s="18">
        <f>IF(B244="","",IFERROR(MONTH(B244),""))</f>
        <v/>
      </c>
      <c r="L244" s="5">
        <f>IF(COUNTA(A244:J244)=0,"",IF(E244="","Mangler motkonto",IF((F244="")=(G244=""),"Fyll ut enten Inn eller Ut",IF(OR(IFERROR(INDEX('Kontoplan'!$D$3:$D$302,MATCH(D244,'Kontoplan'!$H$3:$H$302,0))="Støttes ikke",FALSE),IFERROR(INDEX('Kontoplan'!$D$3:$D$302,MATCH(E244,'Kontoplan'!$H$3:$H$302,0))="Støttes ikke",FALSE)),"Kontoen støttes ikke",IF(IFERROR(AND(A244&gt;1,COUNTIF($A$3:$A$2002,A244-1)=0),FALSE),"Nummeret hopper over",IF(OR(NOT(ISNUMBER(B244)),B244&lt;DATE(2027,1,1),B244&gt;DATE(2027,12,31)),"Datoen er ikke i 2027",""))))))</f>
        <v/>
      </c>
    </row>
    <row r="245">
      <c r="A245" s="17" t="n"/>
      <c r="B245" s="9" t="n"/>
      <c r="C245" s="8" t="n"/>
      <c r="D245" s="8" t="n"/>
      <c r="E245" s="8" t="n"/>
      <c r="F245" s="14" t="n"/>
      <c r="G245" s="14" t="n"/>
      <c r="H245" s="8" t="n"/>
      <c r="I245" s="8" t="n"/>
      <c r="J245" s="8" t="n"/>
      <c r="K245" s="18">
        <f>IF(B245="","",IFERROR(MONTH(B245),""))</f>
        <v/>
      </c>
      <c r="L245" s="5">
        <f>IF(COUNTA(A245:J245)=0,"",IF(E245="","Mangler motkonto",IF((F245="")=(G245=""),"Fyll ut enten Inn eller Ut",IF(OR(IFERROR(INDEX('Kontoplan'!$D$3:$D$302,MATCH(D245,'Kontoplan'!$H$3:$H$302,0))="Støttes ikke",FALSE),IFERROR(INDEX('Kontoplan'!$D$3:$D$302,MATCH(E245,'Kontoplan'!$H$3:$H$302,0))="Støttes ikke",FALSE)),"Kontoen støttes ikke",IF(IFERROR(AND(A245&gt;1,COUNTIF($A$3:$A$2002,A245-1)=0),FALSE),"Nummeret hopper over",IF(OR(NOT(ISNUMBER(B245)),B245&lt;DATE(2027,1,1),B245&gt;DATE(2027,12,31)),"Datoen er ikke i 2027",""))))))</f>
        <v/>
      </c>
    </row>
    <row r="246">
      <c r="A246" s="17" t="n"/>
      <c r="B246" s="9" t="n"/>
      <c r="C246" s="8" t="n"/>
      <c r="D246" s="8" t="n"/>
      <c r="E246" s="8" t="n"/>
      <c r="F246" s="14" t="n"/>
      <c r="G246" s="14" t="n"/>
      <c r="H246" s="8" t="n"/>
      <c r="I246" s="8" t="n"/>
      <c r="J246" s="8" t="n"/>
      <c r="K246" s="18">
        <f>IF(B246="","",IFERROR(MONTH(B246),""))</f>
        <v/>
      </c>
      <c r="L246" s="5">
        <f>IF(COUNTA(A246:J246)=0,"",IF(E246="","Mangler motkonto",IF((F246="")=(G246=""),"Fyll ut enten Inn eller Ut",IF(OR(IFERROR(INDEX('Kontoplan'!$D$3:$D$302,MATCH(D246,'Kontoplan'!$H$3:$H$302,0))="Støttes ikke",FALSE),IFERROR(INDEX('Kontoplan'!$D$3:$D$302,MATCH(E246,'Kontoplan'!$H$3:$H$302,0))="Støttes ikke",FALSE)),"Kontoen støttes ikke",IF(IFERROR(AND(A246&gt;1,COUNTIF($A$3:$A$2002,A246-1)=0),FALSE),"Nummeret hopper over",IF(OR(NOT(ISNUMBER(B246)),B246&lt;DATE(2027,1,1),B246&gt;DATE(2027,12,31)),"Datoen er ikke i 2027",""))))))</f>
        <v/>
      </c>
    </row>
    <row r="247">
      <c r="A247" s="17" t="n"/>
      <c r="B247" s="9" t="n"/>
      <c r="C247" s="8" t="n"/>
      <c r="D247" s="8" t="n"/>
      <c r="E247" s="8" t="n"/>
      <c r="F247" s="14" t="n"/>
      <c r="G247" s="14" t="n"/>
      <c r="H247" s="8" t="n"/>
      <c r="I247" s="8" t="n"/>
      <c r="J247" s="8" t="n"/>
      <c r="K247" s="18">
        <f>IF(B247="","",IFERROR(MONTH(B247),""))</f>
        <v/>
      </c>
      <c r="L247" s="5">
        <f>IF(COUNTA(A247:J247)=0,"",IF(E247="","Mangler motkonto",IF((F247="")=(G247=""),"Fyll ut enten Inn eller Ut",IF(OR(IFERROR(INDEX('Kontoplan'!$D$3:$D$302,MATCH(D247,'Kontoplan'!$H$3:$H$302,0))="Støttes ikke",FALSE),IFERROR(INDEX('Kontoplan'!$D$3:$D$302,MATCH(E247,'Kontoplan'!$H$3:$H$302,0))="Støttes ikke",FALSE)),"Kontoen støttes ikke",IF(IFERROR(AND(A247&gt;1,COUNTIF($A$3:$A$2002,A247-1)=0),FALSE),"Nummeret hopper over",IF(OR(NOT(ISNUMBER(B247)),B247&lt;DATE(2027,1,1),B247&gt;DATE(2027,12,31)),"Datoen er ikke i 2027",""))))))</f>
        <v/>
      </c>
    </row>
    <row r="248">
      <c r="A248" s="17" t="n"/>
      <c r="B248" s="9" t="n"/>
      <c r="C248" s="8" t="n"/>
      <c r="D248" s="8" t="n"/>
      <c r="E248" s="8" t="n"/>
      <c r="F248" s="14" t="n"/>
      <c r="G248" s="14" t="n"/>
      <c r="H248" s="8" t="n"/>
      <c r="I248" s="8" t="n"/>
      <c r="J248" s="8" t="n"/>
      <c r="K248" s="18">
        <f>IF(B248="","",IFERROR(MONTH(B248),""))</f>
        <v/>
      </c>
      <c r="L248" s="5">
        <f>IF(COUNTA(A248:J248)=0,"",IF(E248="","Mangler motkonto",IF((F248="")=(G248=""),"Fyll ut enten Inn eller Ut",IF(OR(IFERROR(INDEX('Kontoplan'!$D$3:$D$302,MATCH(D248,'Kontoplan'!$H$3:$H$302,0))="Støttes ikke",FALSE),IFERROR(INDEX('Kontoplan'!$D$3:$D$302,MATCH(E248,'Kontoplan'!$H$3:$H$302,0))="Støttes ikke",FALSE)),"Kontoen støttes ikke",IF(IFERROR(AND(A248&gt;1,COUNTIF($A$3:$A$2002,A248-1)=0),FALSE),"Nummeret hopper over",IF(OR(NOT(ISNUMBER(B248)),B248&lt;DATE(2027,1,1),B248&gt;DATE(2027,12,31)),"Datoen er ikke i 2027",""))))))</f>
        <v/>
      </c>
    </row>
    <row r="249">
      <c r="A249" s="17" t="n"/>
      <c r="B249" s="9" t="n"/>
      <c r="C249" s="8" t="n"/>
      <c r="D249" s="8" t="n"/>
      <c r="E249" s="8" t="n"/>
      <c r="F249" s="14" t="n"/>
      <c r="G249" s="14" t="n"/>
      <c r="H249" s="8" t="n"/>
      <c r="I249" s="8" t="n"/>
      <c r="J249" s="8" t="n"/>
      <c r="K249" s="18">
        <f>IF(B249="","",IFERROR(MONTH(B249),""))</f>
        <v/>
      </c>
      <c r="L249" s="5">
        <f>IF(COUNTA(A249:J249)=0,"",IF(E249="","Mangler motkonto",IF((F249="")=(G249=""),"Fyll ut enten Inn eller Ut",IF(OR(IFERROR(INDEX('Kontoplan'!$D$3:$D$302,MATCH(D249,'Kontoplan'!$H$3:$H$302,0))="Støttes ikke",FALSE),IFERROR(INDEX('Kontoplan'!$D$3:$D$302,MATCH(E249,'Kontoplan'!$H$3:$H$302,0))="Støttes ikke",FALSE)),"Kontoen støttes ikke",IF(IFERROR(AND(A249&gt;1,COUNTIF($A$3:$A$2002,A249-1)=0),FALSE),"Nummeret hopper over",IF(OR(NOT(ISNUMBER(B249)),B249&lt;DATE(2027,1,1),B249&gt;DATE(2027,12,31)),"Datoen er ikke i 2027",""))))))</f>
        <v/>
      </c>
    </row>
    <row r="250">
      <c r="A250" s="17" t="n"/>
      <c r="B250" s="9" t="n"/>
      <c r="C250" s="8" t="n"/>
      <c r="D250" s="8" t="n"/>
      <c r="E250" s="8" t="n"/>
      <c r="F250" s="14" t="n"/>
      <c r="G250" s="14" t="n"/>
      <c r="H250" s="8" t="n"/>
      <c r="I250" s="8" t="n"/>
      <c r="J250" s="8" t="n"/>
      <c r="K250" s="18">
        <f>IF(B250="","",IFERROR(MONTH(B250),""))</f>
        <v/>
      </c>
      <c r="L250" s="5">
        <f>IF(COUNTA(A250:J250)=0,"",IF(E250="","Mangler motkonto",IF((F250="")=(G250=""),"Fyll ut enten Inn eller Ut",IF(OR(IFERROR(INDEX('Kontoplan'!$D$3:$D$302,MATCH(D250,'Kontoplan'!$H$3:$H$302,0))="Støttes ikke",FALSE),IFERROR(INDEX('Kontoplan'!$D$3:$D$302,MATCH(E250,'Kontoplan'!$H$3:$H$302,0))="Støttes ikke",FALSE)),"Kontoen støttes ikke",IF(IFERROR(AND(A250&gt;1,COUNTIF($A$3:$A$2002,A250-1)=0),FALSE),"Nummeret hopper over",IF(OR(NOT(ISNUMBER(B250)),B250&lt;DATE(2027,1,1),B250&gt;DATE(2027,12,31)),"Datoen er ikke i 2027",""))))))</f>
        <v/>
      </c>
    </row>
    <row r="251">
      <c r="A251" s="17" t="n"/>
      <c r="B251" s="9" t="n"/>
      <c r="C251" s="8" t="n"/>
      <c r="D251" s="8" t="n"/>
      <c r="E251" s="8" t="n"/>
      <c r="F251" s="14" t="n"/>
      <c r="G251" s="14" t="n"/>
      <c r="H251" s="8" t="n"/>
      <c r="I251" s="8" t="n"/>
      <c r="J251" s="8" t="n"/>
      <c r="K251" s="18">
        <f>IF(B251="","",IFERROR(MONTH(B251),""))</f>
        <v/>
      </c>
      <c r="L251" s="5">
        <f>IF(COUNTA(A251:J251)=0,"",IF(E251="","Mangler motkonto",IF((F251="")=(G251=""),"Fyll ut enten Inn eller Ut",IF(OR(IFERROR(INDEX('Kontoplan'!$D$3:$D$302,MATCH(D251,'Kontoplan'!$H$3:$H$302,0))="Støttes ikke",FALSE),IFERROR(INDEX('Kontoplan'!$D$3:$D$302,MATCH(E251,'Kontoplan'!$H$3:$H$302,0))="Støttes ikke",FALSE)),"Kontoen støttes ikke",IF(IFERROR(AND(A251&gt;1,COUNTIF($A$3:$A$2002,A251-1)=0),FALSE),"Nummeret hopper over",IF(OR(NOT(ISNUMBER(B251)),B251&lt;DATE(2027,1,1),B251&gt;DATE(2027,12,31)),"Datoen er ikke i 2027",""))))))</f>
        <v/>
      </c>
    </row>
    <row r="252">
      <c r="A252" s="17" t="n"/>
      <c r="B252" s="9" t="n"/>
      <c r="C252" s="8" t="n"/>
      <c r="D252" s="8" t="n"/>
      <c r="E252" s="8" t="n"/>
      <c r="F252" s="14" t="n"/>
      <c r="G252" s="14" t="n"/>
      <c r="H252" s="8" t="n"/>
      <c r="I252" s="8" t="n"/>
      <c r="J252" s="8" t="n"/>
      <c r="K252" s="18">
        <f>IF(B252="","",IFERROR(MONTH(B252),""))</f>
        <v/>
      </c>
      <c r="L252" s="5">
        <f>IF(COUNTA(A252:J252)=0,"",IF(E252="","Mangler motkonto",IF((F252="")=(G252=""),"Fyll ut enten Inn eller Ut",IF(OR(IFERROR(INDEX('Kontoplan'!$D$3:$D$302,MATCH(D252,'Kontoplan'!$H$3:$H$302,0))="Støttes ikke",FALSE),IFERROR(INDEX('Kontoplan'!$D$3:$D$302,MATCH(E252,'Kontoplan'!$H$3:$H$302,0))="Støttes ikke",FALSE)),"Kontoen støttes ikke",IF(IFERROR(AND(A252&gt;1,COUNTIF($A$3:$A$2002,A252-1)=0),FALSE),"Nummeret hopper over",IF(OR(NOT(ISNUMBER(B252)),B252&lt;DATE(2027,1,1),B252&gt;DATE(2027,12,31)),"Datoen er ikke i 2027",""))))))</f>
        <v/>
      </c>
    </row>
    <row r="253">
      <c r="A253" s="17" t="n"/>
      <c r="B253" s="9" t="n"/>
      <c r="C253" s="8" t="n"/>
      <c r="D253" s="8" t="n"/>
      <c r="E253" s="8" t="n"/>
      <c r="F253" s="14" t="n"/>
      <c r="G253" s="14" t="n"/>
      <c r="H253" s="8" t="n"/>
      <c r="I253" s="8" t="n"/>
      <c r="J253" s="8" t="n"/>
      <c r="K253" s="18">
        <f>IF(B253="","",IFERROR(MONTH(B253),""))</f>
        <v/>
      </c>
      <c r="L253" s="5">
        <f>IF(COUNTA(A253:J253)=0,"",IF(E253="","Mangler motkonto",IF((F253="")=(G253=""),"Fyll ut enten Inn eller Ut",IF(OR(IFERROR(INDEX('Kontoplan'!$D$3:$D$302,MATCH(D253,'Kontoplan'!$H$3:$H$302,0))="Støttes ikke",FALSE),IFERROR(INDEX('Kontoplan'!$D$3:$D$302,MATCH(E253,'Kontoplan'!$H$3:$H$302,0))="Støttes ikke",FALSE)),"Kontoen støttes ikke",IF(IFERROR(AND(A253&gt;1,COUNTIF($A$3:$A$2002,A253-1)=0),FALSE),"Nummeret hopper over",IF(OR(NOT(ISNUMBER(B253)),B253&lt;DATE(2027,1,1),B253&gt;DATE(2027,12,31)),"Datoen er ikke i 2027",""))))))</f>
        <v/>
      </c>
    </row>
    <row r="254">
      <c r="A254" s="17" t="n"/>
      <c r="B254" s="9" t="n"/>
      <c r="C254" s="8" t="n"/>
      <c r="D254" s="8" t="n"/>
      <c r="E254" s="8" t="n"/>
      <c r="F254" s="14" t="n"/>
      <c r="G254" s="14" t="n"/>
      <c r="H254" s="8" t="n"/>
      <c r="I254" s="8" t="n"/>
      <c r="J254" s="8" t="n"/>
      <c r="K254" s="18">
        <f>IF(B254="","",IFERROR(MONTH(B254),""))</f>
        <v/>
      </c>
      <c r="L254" s="5">
        <f>IF(COUNTA(A254:J254)=0,"",IF(E254="","Mangler motkonto",IF((F254="")=(G254=""),"Fyll ut enten Inn eller Ut",IF(OR(IFERROR(INDEX('Kontoplan'!$D$3:$D$302,MATCH(D254,'Kontoplan'!$H$3:$H$302,0))="Støttes ikke",FALSE),IFERROR(INDEX('Kontoplan'!$D$3:$D$302,MATCH(E254,'Kontoplan'!$H$3:$H$302,0))="Støttes ikke",FALSE)),"Kontoen støttes ikke",IF(IFERROR(AND(A254&gt;1,COUNTIF($A$3:$A$2002,A254-1)=0),FALSE),"Nummeret hopper over",IF(OR(NOT(ISNUMBER(B254)),B254&lt;DATE(2027,1,1),B254&gt;DATE(2027,12,31)),"Datoen er ikke i 2027",""))))))</f>
        <v/>
      </c>
    </row>
    <row r="255">
      <c r="A255" s="17" t="n"/>
      <c r="B255" s="9" t="n"/>
      <c r="C255" s="8" t="n"/>
      <c r="D255" s="8" t="n"/>
      <c r="E255" s="8" t="n"/>
      <c r="F255" s="14" t="n"/>
      <c r="G255" s="14" t="n"/>
      <c r="H255" s="8" t="n"/>
      <c r="I255" s="8" t="n"/>
      <c r="J255" s="8" t="n"/>
      <c r="K255" s="18">
        <f>IF(B255="","",IFERROR(MONTH(B255),""))</f>
        <v/>
      </c>
      <c r="L255" s="5">
        <f>IF(COUNTA(A255:J255)=0,"",IF(E255="","Mangler motkonto",IF((F255="")=(G255=""),"Fyll ut enten Inn eller Ut",IF(OR(IFERROR(INDEX('Kontoplan'!$D$3:$D$302,MATCH(D255,'Kontoplan'!$H$3:$H$302,0))="Støttes ikke",FALSE),IFERROR(INDEX('Kontoplan'!$D$3:$D$302,MATCH(E255,'Kontoplan'!$H$3:$H$302,0))="Støttes ikke",FALSE)),"Kontoen støttes ikke",IF(IFERROR(AND(A255&gt;1,COUNTIF($A$3:$A$2002,A255-1)=0),FALSE),"Nummeret hopper over",IF(OR(NOT(ISNUMBER(B255)),B255&lt;DATE(2027,1,1),B255&gt;DATE(2027,12,31)),"Datoen er ikke i 2027",""))))))</f>
        <v/>
      </c>
    </row>
    <row r="256">
      <c r="A256" s="17" t="n"/>
      <c r="B256" s="9" t="n"/>
      <c r="C256" s="8" t="n"/>
      <c r="D256" s="8" t="n"/>
      <c r="E256" s="8" t="n"/>
      <c r="F256" s="14" t="n"/>
      <c r="G256" s="14" t="n"/>
      <c r="H256" s="8" t="n"/>
      <c r="I256" s="8" t="n"/>
      <c r="J256" s="8" t="n"/>
      <c r="K256" s="18">
        <f>IF(B256="","",IFERROR(MONTH(B256),""))</f>
        <v/>
      </c>
      <c r="L256" s="5">
        <f>IF(COUNTA(A256:J256)=0,"",IF(E256="","Mangler motkonto",IF((F256="")=(G256=""),"Fyll ut enten Inn eller Ut",IF(OR(IFERROR(INDEX('Kontoplan'!$D$3:$D$302,MATCH(D256,'Kontoplan'!$H$3:$H$302,0))="Støttes ikke",FALSE),IFERROR(INDEX('Kontoplan'!$D$3:$D$302,MATCH(E256,'Kontoplan'!$H$3:$H$302,0))="Støttes ikke",FALSE)),"Kontoen støttes ikke",IF(IFERROR(AND(A256&gt;1,COUNTIF($A$3:$A$2002,A256-1)=0),FALSE),"Nummeret hopper over",IF(OR(NOT(ISNUMBER(B256)),B256&lt;DATE(2027,1,1),B256&gt;DATE(2027,12,31)),"Datoen er ikke i 2027",""))))))</f>
        <v/>
      </c>
    </row>
    <row r="257">
      <c r="A257" s="17" t="n"/>
      <c r="B257" s="9" t="n"/>
      <c r="C257" s="8" t="n"/>
      <c r="D257" s="8" t="n"/>
      <c r="E257" s="8" t="n"/>
      <c r="F257" s="14" t="n"/>
      <c r="G257" s="14" t="n"/>
      <c r="H257" s="8" t="n"/>
      <c r="I257" s="8" t="n"/>
      <c r="J257" s="8" t="n"/>
      <c r="K257" s="18">
        <f>IF(B257="","",IFERROR(MONTH(B257),""))</f>
        <v/>
      </c>
      <c r="L257" s="5">
        <f>IF(COUNTA(A257:J257)=0,"",IF(E257="","Mangler motkonto",IF((F257="")=(G257=""),"Fyll ut enten Inn eller Ut",IF(OR(IFERROR(INDEX('Kontoplan'!$D$3:$D$302,MATCH(D257,'Kontoplan'!$H$3:$H$302,0))="Støttes ikke",FALSE),IFERROR(INDEX('Kontoplan'!$D$3:$D$302,MATCH(E257,'Kontoplan'!$H$3:$H$302,0))="Støttes ikke",FALSE)),"Kontoen støttes ikke",IF(IFERROR(AND(A257&gt;1,COUNTIF($A$3:$A$2002,A257-1)=0),FALSE),"Nummeret hopper over",IF(OR(NOT(ISNUMBER(B257)),B257&lt;DATE(2027,1,1),B257&gt;DATE(2027,12,31)),"Datoen er ikke i 2027",""))))))</f>
        <v/>
      </c>
    </row>
    <row r="258">
      <c r="A258" s="17" t="n"/>
      <c r="B258" s="9" t="n"/>
      <c r="C258" s="8" t="n"/>
      <c r="D258" s="8" t="n"/>
      <c r="E258" s="8" t="n"/>
      <c r="F258" s="14" t="n"/>
      <c r="G258" s="14" t="n"/>
      <c r="H258" s="8" t="n"/>
      <c r="I258" s="8" t="n"/>
      <c r="J258" s="8" t="n"/>
      <c r="K258" s="18">
        <f>IF(B258="","",IFERROR(MONTH(B258),""))</f>
        <v/>
      </c>
      <c r="L258" s="5">
        <f>IF(COUNTA(A258:J258)=0,"",IF(E258="","Mangler motkonto",IF((F258="")=(G258=""),"Fyll ut enten Inn eller Ut",IF(OR(IFERROR(INDEX('Kontoplan'!$D$3:$D$302,MATCH(D258,'Kontoplan'!$H$3:$H$302,0))="Støttes ikke",FALSE),IFERROR(INDEX('Kontoplan'!$D$3:$D$302,MATCH(E258,'Kontoplan'!$H$3:$H$302,0))="Støttes ikke",FALSE)),"Kontoen støttes ikke",IF(IFERROR(AND(A258&gt;1,COUNTIF($A$3:$A$2002,A258-1)=0),FALSE),"Nummeret hopper over",IF(OR(NOT(ISNUMBER(B258)),B258&lt;DATE(2027,1,1),B258&gt;DATE(2027,12,31)),"Datoen er ikke i 2027",""))))))</f>
        <v/>
      </c>
    </row>
    <row r="259">
      <c r="A259" s="17" t="n"/>
      <c r="B259" s="9" t="n"/>
      <c r="C259" s="8" t="n"/>
      <c r="D259" s="8" t="n"/>
      <c r="E259" s="8" t="n"/>
      <c r="F259" s="14" t="n"/>
      <c r="G259" s="14" t="n"/>
      <c r="H259" s="8" t="n"/>
      <c r="I259" s="8" t="n"/>
      <c r="J259" s="8" t="n"/>
      <c r="K259" s="18">
        <f>IF(B259="","",IFERROR(MONTH(B259),""))</f>
        <v/>
      </c>
      <c r="L259" s="5">
        <f>IF(COUNTA(A259:J259)=0,"",IF(E259="","Mangler motkonto",IF((F259="")=(G259=""),"Fyll ut enten Inn eller Ut",IF(OR(IFERROR(INDEX('Kontoplan'!$D$3:$D$302,MATCH(D259,'Kontoplan'!$H$3:$H$302,0))="Støttes ikke",FALSE),IFERROR(INDEX('Kontoplan'!$D$3:$D$302,MATCH(E259,'Kontoplan'!$H$3:$H$302,0))="Støttes ikke",FALSE)),"Kontoen støttes ikke",IF(IFERROR(AND(A259&gt;1,COUNTIF($A$3:$A$2002,A259-1)=0),FALSE),"Nummeret hopper over",IF(OR(NOT(ISNUMBER(B259)),B259&lt;DATE(2027,1,1),B259&gt;DATE(2027,12,31)),"Datoen er ikke i 2027",""))))))</f>
        <v/>
      </c>
    </row>
    <row r="260">
      <c r="A260" s="17" t="n"/>
      <c r="B260" s="9" t="n"/>
      <c r="C260" s="8" t="n"/>
      <c r="D260" s="8" t="n"/>
      <c r="E260" s="8" t="n"/>
      <c r="F260" s="14" t="n"/>
      <c r="G260" s="14" t="n"/>
      <c r="H260" s="8" t="n"/>
      <c r="I260" s="8" t="n"/>
      <c r="J260" s="8" t="n"/>
      <c r="K260" s="18">
        <f>IF(B260="","",IFERROR(MONTH(B260),""))</f>
        <v/>
      </c>
      <c r="L260" s="5">
        <f>IF(COUNTA(A260:J260)=0,"",IF(E260="","Mangler motkonto",IF((F260="")=(G260=""),"Fyll ut enten Inn eller Ut",IF(OR(IFERROR(INDEX('Kontoplan'!$D$3:$D$302,MATCH(D260,'Kontoplan'!$H$3:$H$302,0))="Støttes ikke",FALSE),IFERROR(INDEX('Kontoplan'!$D$3:$D$302,MATCH(E260,'Kontoplan'!$H$3:$H$302,0))="Støttes ikke",FALSE)),"Kontoen støttes ikke",IF(IFERROR(AND(A260&gt;1,COUNTIF($A$3:$A$2002,A260-1)=0),FALSE),"Nummeret hopper over",IF(OR(NOT(ISNUMBER(B260)),B260&lt;DATE(2027,1,1),B260&gt;DATE(2027,12,31)),"Datoen er ikke i 2027",""))))))</f>
        <v/>
      </c>
    </row>
    <row r="261">
      <c r="A261" s="17" t="n"/>
      <c r="B261" s="9" t="n"/>
      <c r="C261" s="8" t="n"/>
      <c r="D261" s="8" t="n"/>
      <c r="E261" s="8" t="n"/>
      <c r="F261" s="14" t="n"/>
      <c r="G261" s="14" t="n"/>
      <c r="H261" s="8" t="n"/>
      <c r="I261" s="8" t="n"/>
      <c r="J261" s="8" t="n"/>
      <c r="K261" s="18">
        <f>IF(B261="","",IFERROR(MONTH(B261),""))</f>
        <v/>
      </c>
      <c r="L261" s="5">
        <f>IF(COUNTA(A261:J261)=0,"",IF(E261="","Mangler motkonto",IF((F261="")=(G261=""),"Fyll ut enten Inn eller Ut",IF(OR(IFERROR(INDEX('Kontoplan'!$D$3:$D$302,MATCH(D261,'Kontoplan'!$H$3:$H$302,0))="Støttes ikke",FALSE),IFERROR(INDEX('Kontoplan'!$D$3:$D$302,MATCH(E261,'Kontoplan'!$H$3:$H$302,0))="Støttes ikke",FALSE)),"Kontoen støttes ikke",IF(IFERROR(AND(A261&gt;1,COUNTIF($A$3:$A$2002,A261-1)=0),FALSE),"Nummeret hopper over",IF(OR(NOT(ISNUMBER(B261)),B261&lt;DATE(2027,1,1),B261&gt;DATE(2027,12,31)),"Datoen er ikke i 2027",""))))))</f>
        <v/>
      </c>
    </row>
    <row r="262">
      <c r="A262" s="17" t="n"/>
      <c r="B262" s="9" t="n"/>
      <c r="C262" s="8" t="n"/>
      <c r="D262" s="8" t="n"/>
      <c r="E262" s="8" t="n"/>
      <c r="F262" s="14" t="n"/>
      <c r="G262" s="14" t="n"/>
      <c r="H262" s="8" t="n"/>
      <c r="I262" s="8" t="n"/>
      <c r="J262" s="8" t="n"/>
      <c r="K262" s="18">
        <f>IF(B262="","",IFERROR(MONTH(B262),""))</f>
        <v/>
      </c>
      <c r="L262" s="5">
        <f>IF(COUNTA(A262:J262)=0,"",IF(E262="","Mangler motkonto",IF((F262="")=(G262=""),"Fyll ut enten Inn eller Ut",IF(OR(IFERROR(INDEX('Kontoplan'!$D$3:$D$302,MATCH(D262,'Kontoplan'!$H$3:$H$302,0))="Støttes ikke",FALSE),IFERROR(INDEX('Kontoplan'!$D$3:$D$302,MATCH(E262,'Kontoplan'!$H$3:$H$302,0))="Støttes ikke",FALSE)),"Kontoen støttes ikke",IF(IFERROR(AND(A262&gt;1,COUNTIF($A$3:$A$2002,A262-1)=0),FALSE),"Nummeret hopper over",IF(OR(NOT(ISNUMBER(B262)),B262&lt;DATE(2027,1,1),B262&gt;DATE(2027,12,31)),"Datoen er ikke i 2027",""))))))</f>
        <v/>
      </c>
    </row>
    <row r="263">
      <c r="A263" s="17" t="n"/>
      <c r="B263" s="9" t="n"/>
      <c r="C263" s="8" t="n"/>
      <c r="D263" s="8" t="n"/>
      <c r="E263" s="8" t="n"/>
      <c r="F263" s="14" t="n"/>
      <c r="G263" s="14" t="n"/>
      <c r="H263" s="8" t="n"/>
      <c r="I263" s="8" t="n"/>
      <c r="J263" s="8" t="n"/>
      <c r="K263" s="18">
        <f>IF(B263="","",IFERROR(MONTH(B263),""))</f>
        <v/>
      </c>
      <c r="L263" s="5">
        <f>IF(COUNTA(A263:J263)=0,"",IF(E263="","Mangler motkonto",IF((F263="")=(G263=""),"Fyll ut enten Inn eller Ut",IF(OR(IFERROR(INDEX('Kontoplan'!$D$3:$D$302,MATCH(D263,'Kontoplan'!$H$3:$H$302,0))="Støttes ikke",FALSE),IFERROR(INDEX('Kontoplan'!$D$3:$D$302,MATCH(E263,'Kontoplan'!$H$3:$H$302,0))="Støttes ikke",FALSE)),"Kontoen støttes ikke",IF(IFERROR(AND(A263&gt;1,COUNTIF($A$3:$A$2002,A263-1)=0),FALSE),"Nummeret hopper over",IF(OR(NOT(ISNUMBER(B263)),B263&lt;DATE(2027,1,1),B263&gt;DATE(2027,12,31)),"Datoen er ikke i 2027",""))))))</f>
        <v/>
      </c>
    </row>
    <row r="264">
      <c r="A264" s="17" t="n"/>
      <c r="B264" s="9" t="n"/>
      <c r="C264" s="8" t="n"/>
      <c r="D264" s="8" t="n"/>
      <c r="E264" s="8" t="n"/>
      <c r="F264" s="14" t="n"/>
      <c r="G264" s="14" t="n"/>
      <c r="H264" s="8" t="n"/>
      <c r="I264" s="8" t="n"/>
      <c r="J264" s="8" t="n"/>
      <c r="K264" s="18">
        <f>IF(B264="","",IFERROR(MONTH(B264),""))</f>
        <v/>
      </c>
      <c r="L264" s="5">
        <f>IF(COUNTA(A264:J264)=0,"",IF(E264="","Mangler motkonto",IF((F264="")=(G264=""),"Fyll ut enten Inn eller Ut",IF(OR(IFERROR(INDEX('Kontoplan'!$D$3:$D$302,MATCH(D264,'Kontoplan'!$H$3:$H$302,0))="Støttes ikke",FALSE),IFERROR(INDEX('Kontoplan'!$D$3:$D$302,MATCH(E264,'Kontoplan'!$H$3:$H$302,0))="Støttes ikke",FALSE)),"Kontoen støttes ikke",IF(IFERROR(AND(A264&gt;1,COUNTIF($A$3:$A$2002,A264-1)=0),FALSE),"Nummeret hopper over",IF(OR(NOT(ISNUMBER(B264)),B264&lt;DATE(2027,1,1),B264&gt;DATE(2027,12,31)),"Datoen er ikke i 2027",""))))))</f>
        <v/>
      </c>
    </row>
    <row r="265">
      <c r="A265" s="17" t="n"/>
      <c r="B265" s="9" t="n"/>
      <c r="C265" s="8" t="n"/>
      <c r="D265" s="8" t="n"/>
      <c r="E265" s="8" t="n"/>
      <c r="F265" s="14" t="n"/>
      <c r="G265" s="14" t="n"/>
      <c r="H265" s="8" t="n"/>
      <c r="I265" s="8" t="n"/>
      <c r="J265" s="8" t="n"/>
      <c r="K265" s="18">
        <f>IF(B265="","",IFERROR(MONTH(B265),""))</f>
        <v/>
      </c>
      <c r="L265" s="5">
        <f>IF(COUNTA(A265:J265)=0,"",IF(E265="","Mangler motkonto",IF((F265="")=(G265=""),"Fyll ut enten Inn eller Ut",IF(OR(IFERROR(INDEX('Kontoplan'!$D$3:$D$302,MATCH(D265,'Kontoplan'!$H$3:$H$302,0))="Støttes ikke",FALSE),IFERROR(INDEX('Kontoplan'!$D$3:$D$302,MATCH(E265,'Kontoplan'!$H$3:$H$302,0))="Støttes ikke",FALSE)),"Kontoen støttes ikke",IF(IFERROR(AND(A265&gt;1,COUNTIF($A$3:$A$2002,A265-1)=0),FALSE),"Nummeret hopper over",IF(OR(NOT(ISNUMBER(B265)),B265&lt;DATE(2027,1,1),B265&gt;DATE(2027,12,31)),"Datoen er ikke i 2027",""))))))</f>
        <v/>
      </c>
    </row>
    <row r="266">
      <c r="A266" s="17" t="n"/>
      <c r="B266" s="9" t="n"/>
      <c r="C266" s="8" t="n"/>
      <c r="D266" s="8" t="n"/>
      <c r="E266" s="8" t="n"/>
      <c r="F266" s="14" t="n"/>
      <c r="G266" s="14" t="n"/>
      <c r="H266" s="8" t="n"/>
      <c r="I266" s="8" t="n"/>
      <c r="J266" s="8" t="n"/>
      <c r="K266" s="18">
        <f>IF(B266="","",IFERROR(MONTH(B266),""))</f>
        <v/>
      </c>
      <c r="L266" s="5">
        <f>IF(COUNTA(A266:J266)=0,"",IF(E266="","Mangler motkonto",IF((F266="")=(G266=""),"Fyll ut enten Inn eller Ut",IF(OR(IFERROR(INDEX('Kontoplan'!$D$3:$D$302,MATCH(D266,'Kontoplan'!$H$3:$H$302,0))="Støttes ikke",FALSE),IFERROR(INDEX('Kontoplan'!$D$3:$D$302,MATCH(E266,'Kontoplan'!$H$3:$H$302,0))="Støttes ikke",FALSE)),"Kontoen støttes ikke",IF(IFERROR(AND(A266&gt;1,COUNTIF($A$3:$A$2002,A266-1)=0),FALSE),"Nummeret hopper over",IF(OR(NOT(ISNUMBER(B266)),B266&lt;DATE(2027,1,1),B266&gt;DATE(2027,12,31)),"Datoen er ikke i 2027",""))))))</f>
        <v/>
      </c>
    </row>
    <row r="267">
      <c r="A267" s="17" t="n"/>
      <c r="B267" s="9" t="n"/>
      <c r="C267" s="8" t="n"/>
      <c r="D267" s="8" t="n"/>
      <c r="E267" s="8" t="n"/>
      <c r="F267" s="14" t="n"/>
      <c r="G267" s="14" t="n"/>
      <c r="H267" s="8" t="n"/>
      <c r="I267" s="8" t="n"/>
      <c r="J267" s="8" t="n"/>
      <c r="K267" s="18">
        <f>IF(B267="","",IFERROR(MONTH(B267),""))</f>
        <v/>
      </c>
      <c r="L267" s="5">
        <f>IF(COUNTA(A267:J267)=0,"",IF(E267="","Mangler motkonto",IF((F267="")=(G267=""),"Fyll ut enten Inn eller Ut",IF(OR(IFERROR(INDEX('Kontoplan'!$D$3:$D$302,MATCH(D267,'Kontoplan'!$H$3:$H$302,0))="Støttes ikke",FALSE),IFERROR(INDEX('Kontoplan'!$D$3:$D$302,MATCH(E267,'Kontoplan'!$H$3:$H$302,0))="Støttes ikke",FALSE)),"Kontoen støttes ikke",IF(IFERROR(AND(A267&gt;1,COUNTIF($A$3:$A$2002,A267-1)=0),FALSE),"Nummeret hopper over",IF(OR(NOT(ISNUMBER(B267)),B267&lt;DATE(2027,1,1),B267&gt;DATE(2027,12,31)),"Datoen er ikke i 2027",""))))))</f>
        <v/>
      </c>
    </row>
    <row r="268">
      <c r="A268" s="17" t="n"/>
      <c r="B268" s="9" t="n"/>
      <c r="C268" s="8" t="n"/>
      <c r="D268" s="8" t="n"/>
      <c r="E268" s="8" t="n"/>
      <c r="F268" s="14" t="n"/>
      <c r="G268" s="14" t="n"/>
      <c r="H268" s="8" t="n"/>
      <c r="I268" s="8" t="n"/>
      <c r="J268" s="8" t="n"/>
      <c r="K268" s="18">
        <f>IF(B268="","",IFERROR(MONTH(B268),""))</f>
        <v/>
      </c>
      <c r="L268" s="5">
        <f>IF(COUNTA(A268:J268)=0,"",IF(E268="","Mangler motkonto",IF((F268="")=(G268=""),"Fyll ut enten Inn eller Ut",IF(OR(IFERROR(INDEX('Kontoplan'!$D$3:$D$302,MATCH(D268,'Kontoplan'!$H$3:$H$302,0))="Støttes ikke",FALSE),IFERROR(INDEX('Kontoplan'!$D$3:$D$302,MATCH(E268,'Kontoplan'!$H$3:$H$302,0))="Støttes ikke",FALSE)),"Kontoen støttes ikke",IF(IFERROR(AND(A268&gt;1,COUNTIF($A$3:$A$2002,A268-1)=0),FALSE),"Nummeret hopper over",IF(OR(NOT(ISNUMBER(B268)),B268&lt;DATE(2027,1,1),B268&gt;DATE(2027,12,31)),"Datoen er ikke i 2027",""))))))</f>
        <v/>
      </c>
    </row>
    <row r="269">
      <c r="A269" s="17" t="n"/>
      <c r="B269" s="9" t="n"/>
      <c r="C269" s="8" t="n"/>
      <c r="D269" s="8" t="n"/>
      <c r="E269" s="8" t="n"/>
      <c r="F269" s="14" t="n"/>
      <c r="G269" s="14" t="n"/>
      <c r="H269" s="8" t="n"/>
      <c r="I269" s="8" t="n"/>
      <c r="J269" s="8" t="n"/>
      <c r="K269" s="18">
        <f>IF(B269="","",IFERROR(MONTH(B269),""))</f>
        <v/>
      </c>
      <c r="L269" s="5">
        <f>IF(COUNTA(A269:J269)=0,"",IF(E269="","Mangler motkonto",IF((F269="")=(G269=""),"Fyll ut enten Inn eller Ut",IF(OR(IFERROR(INDEX('Kontoplan'!$D$3:$D$302,MATCH(D269,'Kontoplan'!$H$3:$H$302,0))="Støttes ikke",FALSE),IFERROR(INDEX('Kontoplan'!$D$3:$D$302,MATCH(E269,'Kontoplan'!$H$3:$H$302,0))="Støttes ikke",FALSE)),"Kontoen støttes ikke",IF(IFERROR(AND(A269&gt;1,COUNTIF($A$3:$A$2002,A269-1)=0),FALSE),"Nummeret hopper over",IF(OR(NOT(ISNUMBER(B269)),B269&lt;DATE(2027,1,1),B269&gt;DATE(2027,12,31)),"Datoen er ikke i 2027",""))))))</f>
        <v/>
      </c>
    </row>
    <row r="270">
      <c r="A270" s="17" t="n"/>
      <c r="B270" s="9" t="n"/>
      <c r="C270" s="8" t="n"/>
      <c r="D270" s="8" t="n"/>
      <c r="E270" s="8" t="n"/>
      <c r="F270" s="14" t="n"/>
      <c r="G270" s="14" t="n"/>
      <c r="H270" s="8" t="n"/>
      <c r="I270" s="8" t="n"/>
      <c r="J270" s="8" t="n"/>
      <c r="K270" s="18">
        <f>IF(B270="","",IFERROR(MONTH(B270),""))</f>
        <v/>
      </c>
      <c r="L270" s="5">
        <f>IF(COUNTA(A270:J270)=0,"",IF(E270="","Mangler motkonto",IF((F270="")=(G270=""),"Fyll ut enten Inn eller Ut",IF(OR(IFERROR(INDEX('Kontoplan'!$D$3:$D$302,MATCH(D270,'Kontoplan'!$H$3:$H$302,0))="Støttes ikke",FALSE),IFERROR(INDEX('Kontoplan'!$D$3:$D$302,MATCH(E270,'Kontoplan'!$H$3:$H$302,0))="Støttes ikke",FALSE)),"Kontoen støttes ikke",IF(IFERROR(AND(A270&gt;1,COUNTIF($A$3:$A$2002,A270-1)=0),FALSE),"Nummeret hopper over",IF(OR(NOT(ISNUMBER(B270)),B270&lt;DATE(2027,1,1),B270&gt;DATE(2027,12,31)),"Datoen er ikke i 2027",""))))))</f>
        <v/>
      </c>
    </row>
    <row r="271">
      <c r="A271" s="17" t="n"/>
      <c r="B271" s="9" t="n"/>
      <c r="C271" s="8" t="n"/>
      <c r="D271" s="8" t="n"/>
      <c r="E271" s="8" t="n"/>
      <c r="F271" s="14" t="n"/>
      <c r="G271" s="14" t="n"/>
      <c r="H271" s="8" t="n"/>
      <c r="I271" s="8" t="n"/>
      <c r="J271" s="8" t="n"/>
      <c r="K271" s="18">
        <f>IF(B271="","",IFERROR(MONTH(B271),""))</f>
        <v/>
      </c>
      <c r="L271" s="5">
        <f>IF(COUNTA(A271:J271)=0,"",IF(E271="","Mangler motkonto",IF((F271="")=(G271=""),"Fyll ut enten Inn eller Ut",IF(OR(IFERROR(INDEX('Kontoplan'!$D$3:$D$302,MATCH(D271,'Kontoplan'!$H$3:$H$302,0))="Støttes ikke",FALSE),IFERROR(INDEX('Kontoplan'!$D$3:$D$302,MATCH(E271,'Kontoplan'!$H$3:$H$302,0))="Støttes ikke",FALSE)),"Kontoen støttes ikke",IF(IFERROR(AND(A271&gt;1,COUNTIF($A$3:$A$2002,A271-1)=0),FALSE),"Nummeret hopper over",IF(OR(NOT(ISNUMBER(B271)),B271&lt;DATE(2027,1,1),B271&gt;DATE(2027,12,31)),"Datoen er ikke i 2027",""))))))</f>
        <v/>
      </c>
    </row>
    <row r="272">
      <c r="A272" s="17" t="n"/>
      <c r="B272" s="9" t="n"/>
      <c r="C272" s="8" t="n"/>
      <c r="D272" s="8" t="n"/>
      <c r="E272" s="8" t="n"/>
      <c r="F272" s="14" t="n"/>
      <c r="G272" s="14" t="n"/>
      <c r="H272" s="8" t="n"/>
      <c r="I272" s="8" t="n"/>
      <c r="J272" s="8" t="n"/>
      <c r="K272" s="18">
        <f>IF(B272="","",IFERROR(MONTH(B272),""))</f>
        <v/>
      </c>
      <c r="L272" s="5">
        <f>IF(COUNTA(A272:J272)=0,"",IF(E272="","Mangler motkonto",IF((F272="")=(G272=""),"Fyll ut enten Inn eller Ut",IF(OR(IFERROR(INDEX('Kontoplan'!$D$3:$D$302,MATCH(D272,'Kontoplan'!$H$3:$H$302,0))="Støttes ikke",FALSE),IFERROR(INDEX('Kontoplan'!$D$3:$D$302,MATCH(E272,'Kontoplan'!$H$3:$H$302,0))="Støttes ikke",FALSE)),"Kontoen støttes ikke",IF(IFERROR(AND(A272&gt;1,COUNTIF($A$3:$A$2002,A272-1)=0),FALSE),"Nummeret hopper over",IF(OR(NOT(ISNUMBER(B272)),B272&lt;DATE(2027,1,1),B272&gt;DATE(2027,12,31)),"Datoen er ikke i 2027",""))))))</f>
        <v/>
      </c>
    </row>
    <row r="273">
      <c r="A273" s="17" t="n"/>
      <c r="B273" s="9" t="n"/>
      <c r="C273" s="8" t="n"/>
      <c r="D273" s="8" t="n"/>
      <c r="E273" s="8" t="n"/>
      <c r="F273" s="14" t="n"/>
      <c r="G273" s="14" t="n"/>
      <c r="H273" s="8" t="n"/>
      <c r="I273" s="8" t="n"/>
      <c r="J273" s="8" t="n"/>
      <c r="K273" s="18">
        <f>IF(B273="","",IFERROR(MONTH(B273),""))</f>
        <v/>
      </c>
      <c r="L273" s="5">
        <f>IF(COUNTA(A273:J273)=0,"",IF(E273="","Mangler motkonto",IF((F273="")=(G273=""),"Fyll ut enten Inn eller Ut",IF(OR(IFERROR(INDEX('Kontoplan'!$D$3:$D$302,MATCH(D273,'Kontoplan'!$H$3:$H$302,0))="Støttes ikke",FALSE),IFERROR(INDEX('Kontoplan'!$D$3:$D$302,MATCH(E273,'Kontoplan'!$H$3:$H$302,0))="Støttes ikke",FALSE)),"Kontoen støttes ikke",IF(IFERROR(AND(A273&gt;1,COUNTIF($A$3:$A$2002,A273-1)=0),FALSE),"Nummeret hopper over",IF(OR(NOT(ISNUMBER(B273)),B273&lt;DATE(2027,1,1),B273&gt;DATE(2027,12,31)),"Datoen er ikke i 2027",""))))))</f>
        <v/>
      </c>
    </row>
    <row r="274">
      <c r="A274" s="17" t="n"/>
      <c r="B274" s="9" t="n"/>
      <c r="C274" s="8" t="n"/>
      <c r="D274" s="8" t="n"/>
      <c r="E274" s="8" t="n"/>
      <c r="F274" s="14" t="n"/>
      <c r="G274" s="14" t="n"/>
      <c r="H274" s="8" t="n"/>
      <c r="I274" s="8" t="n"/>
      <c r="J274" s="8" t="n"/>
      <c r="K274" s="18">
        <f>IF(B274="","",IFERROR(MONTH(B274),""))</f>
        <v/>
      </c>
      <c r="L274" s="5">
        <f>IF(COUNTA(A274:J274)=0,"",IF(E274="","Mangler motkonto",IF((F274="")=(G274=""),"Fyll ut enten Inn eller Ut",IF(OR(IFERROR(INDEX('Kontoplan'!$D$3:$D$302,MATCH(D274,'Kontoplan'!$H$3:$H$302,0))="Støttes ikke",FALSE),IFERROR(INDEX('Kontoplan'!$D$3:$D$302,MATCH(E274,'Kontoplan'!$H$3:$H$302,0))="Støttes ikke",FALSE)),"Kontoen støttes ikke",IF(IFERROR(AND(A274&gt;1,COUNTIF($A$3:$A$2002,A274-1)=0),FALSE),"Nummeret hopper over",IF(OR(NOT(ISNUMBER(B274)),B274&lt;DATE(2027,1,1),B274&gt;DATE(2027,12,31)),"Datoen er ikke i 2027",""))))))</f>
        <v/>
      </c>
    </row>
    <row r="275">
      <c r="A275" s="17" t="n"/>
      <c r="B275" s="9" t="n"/>
      <c r="C275" s="8" t="n"/>
      <c r="D275" s="8" t="n"/>
      <c r="E275" s="8" t="n"/>
      <c r="F275" s="14" t="n"/>
      <c r="G275" s="14" t="n"/>
      <c r="H275" s="8" t="n"/>
      <c r="I275" s="8" t="n"/>
      <c r="J275" s="8" t="n"/>
      <c r="K275" s="18">
        <f>IF(B275="","",IFERROR(MONTH(B275),""))</f>
        <v/>
      </c>
      <c r="L275" s="5">
        <f>IF(COUNTA(A275:J275)=0,"",IF(E275="","Mangler motkonto",IF((F275="")=(G275=""),"Fyll ut enten Inn eller Ut",IF(OR(IFERROR(INDEX('Kontoplan'!$D$3:$D$302,MATCH(D275,'Kontoplan'!$H$3:$H$302,0))="Støttes ikke",FALSE),IFERROR(INDEX('Kontoplan'!$D$3:$D$302,MATCH(E275,'Kontoplan'!$H$3:$H$302,0))="Støttes ikke",FALSE)),"Kontoen støttes ikke",IF(IFERROR(AND(A275&gt;1,COUNTIF($A$3:$A$2002,A275-1)=0),FALSE),"Nummeret hopper over",IF(OR(NOT(ISNUMBER(B275)),B275&lt;DATE(2027,1,1),B275&gt;DATE(2027,12,31)),"Datoen er ikke i 2027",""))))))</f>
        <v/>
      </c>
    </row>
    <row r="276">
      <c r="A276" s="17" t="n"/>
      <c r="B276" s="9" t="n"/>
      <c r="C276" s="8" t="n"/>
      <c r="D276" s="8" t="n"/>
      <c r="E276" s="8" t="n"/>
      <c r="F276" s="14" t="n"/>
      <c r="G276" s="14" t="n"/>
      <c r="H276" s="8" t="n"/>
      <c r="I276" s="8" t="n"/>
      <c r="J276" s="8" t="n"/>
      <c r="K276" s="18">
        <f>IF(B276="","",IFERROR(MONTH(B276),""))</f>
        <v/>
      </c>
      <c r="L276" s="5">
        <f>IF(COUNTA(A276:J276)=0,"",IF(E276="","Mangler motkonto",IF((F276="")=(G276=""),"Fyll ut enten Inn eller Ut",IF(OR(IFERROR(INDEX('Kontoplan'!$D$3:$D$302,MATCH(D276,'Kontoplan'!$H$3:$H$302,0))="Støttes ikke",FALSE),IFERROR(INDEX('Kontoplan'!$D$3:$D$302,MATCH(E276,'Kontoplan'!$H$3:$H$302,0))="Støttes ikke",FALSE)),"Kontoen støttes ikke",IF(IFERROR(AND(A276&gt;1,COUNTIF($A$3:$A$2002,A276-1)=0),FALSE),"Nummeret hopper over",IF(OR(NOT(ISNUMBER(B276)),B276&lt;DATE(2027,1,1),B276&gt;DATE(2027,12,31)),"Datoen er ikke i 2027",""))))))</f>
        <v/>
      </c>
    </row>
    <row r="277">
      <c r="A277" s="17" t="n"/>
      <c r="B277" s="9" t="n"/>
      <c r="C277" s="8" t="n"/>
      <c r="D277" s="8" t="n"/>
      <c r="E277" s="8" t="n"/>
      <c r="F277" s="14" t="n"/>
      <c r="G277" s="14" t="n"/>
      <c r="H277" s="8" t="n"/>
      <c r="I277" s="8" t="n"/>
      <c r="J277" s="8" t="n"/>
      <c r="K277" s="18">
        <f>IF(B277="","",IFERROR(MONTH(B277),""))</f>
        <v/>
      </c>
      <c r="L277" s="5">
        <f>IF(COUNTA(A277:J277)=0,"",IF(E277="","Mangler motkonto",IF((F277="")=(G277=""),"Fyll ut enten Inn eller Ut",IF(OR(IFERROR(INDEX('Kontoplan'!$D$3:$D$302,MATCH(D277,'Kontoplan'!$H$3:$H$302,0))="Støttes ikke",FALSE),IFERROR(INDEX('Kontoplan'!$D$3:$D$302,MATCH(E277,'Kontoplan'!$H$3:$H$302,0))="Støttes ikke",FALSE)),"Kontoen støttes ikke",IF(IFERROR(AND(A277&gt;1,COUNTIF($A$3:$A$2002,A277-1)=0),FALSE),"Nummeret hopper over",IF(OR(NOT(ISNUMBER(B277)),B277&lt;DATE(2027,1,1),B277&gt;DATE(2027,12,31)),"Datoen er ikke i 2027",""))))))</f>
        <v/>
      </c>
    </row>
    <row r="278">
      <c r="A278" s="17" t="n"/>
      <c r="B278" s="9" t="n"/>
      <c r="C278" s="8" t="n"/>
      <c r="D278" s="8" t="n"/>
      <c r="E278" s="8" t="n"/>
      <c r="F278" s="14" t="n"/>
      <c r="G278" s="14" t="n"/>
      <c r="H278" s="8" t="n"/>
      <c r="I278" s="8" t="n"/>
      <c r="J278" s="8" t="n"/>
      <c r="K278" s="18">
        <f>IF(B278="","",IFERROR(MONTH(B278),""))</f>
        <v/>
      </c>
      <c r="L278" s="5">
        <f>IF(COUNTA(A278:J278)=0,"",IF(E278="","Mangler motkonto",IF((F278="")=(G278=""),"Fyll ut enten Inn eller Ut",IF(OR(IFERROR(INDEX('Kontoplan'!$D$3:$D$302,MATCH(D278,'Kontoplan'!$H$3:$H$302,0))="Støttes ikke",FALSE),IFERROR(INDEX('Kontoplan'!$D$3:$D$302,MATCH(E278,'Kontoplan'!$H$3:$H$302,0))="Støttes ikke",FALSE)),"Kontoen støttes ikke",IF(IFERROR(AND(A278&gt;1,COUNTIF($A$3:$A$2002,A278-1)=0),FALSE),"Nummeret hopper over",IF(OR(NOT(ISNUMBER(B278)),B278&lt;DATE(2027,1,1),B278&gt;DATE(2027,12,31)),"Datoen er ikke i 2027",""))))))</f>
        <v/>
      </c>
    </row>
    <row r="279">
      <c r="A279" s="17" t="n"/>
      <c r="B279" s="9" t="n"/>
      <c r="C279" s="8" t="n"/>
      <c r="D279" s="8" t="n"/>
      <c r="E279" s="8" t="n"/>
      <c r="F279" s="14" t="n"/>
      <c r="G279" s="14" t="n"/>
      <c r="H279" s="8" t="n"/>
      <c r="I279" s="8" t="n"/>
      <c r="J279" s="8" t="n"/>
      <c r="K279" s="18">
        <f>IF(B279="","",IFERROR(MONTH(B279),""))</f>
        <v/>
      </c>
      <c r="L279" s="5">
        <f>IF(COUNTA(A279:J279)=0,"",IF(E279="","Mangler motkonto",IF((F279="")=(G279=""),"Fyll ut enten Inn eller Ut",IF(OR(IFERROR(INDEX('Kontoplan'!$D$3:$D$302,MATCH(D279,'Kontoplan'!$H$3:$H$302,0))="Støttes ikke",FALSE),IFERROR(INDEX('Kontoplan'!$D$3:$D$302,MATCH(E279,'Kontoplan'!$H$3:$H$302,0))="Støttes ikke",FALSE)),"Kontoen støttes ikke",IF(IFERROR(AND(A279&gt;1,COUNTIF($A$3:$A$2002,A279-1)=0),FALSE),"Nummeret hopper over",IF(OR(NOT(ISNUMBER(B279)),B279&lt;DATE(2027,1,1),B279&gt;DATE(2027,12,31)),"Datoen er ikke i 2027",""))))))</f>
        <v/>
      </c>
    </row>
    <row r="280">
      <c r="A280" s="17" t="n"/>
      <c r="B280" s="9" t="n"/>
      <c r="C280" s="8" t="n"/>
      <c r="D280" s="8" t="n"/>
      <c r="E280" s="8" t="n"/>
      <c r="F280" s="14" t="n"/>
      <c r="G280" s="14" t="n"/>
      <c r="H280" s="8" t="n"/>
      <c r="I280" s="8" t="n"/>
      <c r="J280" s="8" t="n"/>
      <c r="K280" s="18">
        <f>IF(B280="","",IFERROR(MONTH(B280),""))</f>
        <v/>
      </c>
      <c r="L280" s="5">
        <f>IF(COUNTA(A280:J280)=0,"",IF(E280="","Mangler motkonto",IF((F280="")=(G280=""),"Fyll ut enten Inn eller Ut",IF(OR(IFERROR(INDEX('Kontoplan'!$D$3:$D$302,MATCH(D280,'Kontoplan'!$H$3:$H$302,0))="Støttes ikke",FALSE),IFERROR(INDEX('Kontoplan'!$D$3:$D$302,MATCH(E280,'Kontoplan'!$H$3:$H$302,0))="Støttes ikke",FALSE)),"Kontoen støttes ikke",IF(IFERROR(AND(A280&gt;1,COUNTIF($A$3:$A$2002,A280-1)=0),FALSE),"Nummeret hopper over",IF(OR(NOT(ISNUMBER(B280)),B280&lt;DATE(2027,1,1),B280&gt;DATE(2027,12,31)),"Datoen er ikke i 2027",""))))))</f>
        <v/>
      </c>
    </row>
    <row r="281">
      <c r="A281" s="17" t="n"/>
      <c r="B281" s="9" t="n"/>
      <c r="C281" s="8" t="n"/>
      <c r="D281" s="8" t="n"/>
      <c r="E281" s="8" t="n"/>
      <c r="F281" s="14" t="n"/>
      <c r="G281" s="14" t="n"/>
      <c r="H281" s="8" t="n"/>
      <c r="I281" s="8" t="n"/>
      <c r="J281" s="8" t="n"/>
      <c r="K281" s="18">
        <f>IF(B281="","",IFERROR(MONTH(B281),""))</f>
        <v/>
      </c>
      <c r="L281" s="5">
        <f>IF(COUNTA(A281:J281)=0,"",IF(E281="","Mangler motkonto",IF((F281="")=(G281=""),"Fyll ut enten Inn eller Ut",IF(OR(IFERROR(INDEX('Kontoplan'!$D$3:$D$302,MATCH(D281,'Kontoplan'!$H$3:$H$302,0))="Støttes ikke",FALSE),IFERROR(INDEX('Kontoplan'!$D$3:$D$302,MATCH(E281,'Kontoplan'!$H$3:$H$302,0))="Støttes ikke",FALSE)),"Kontoen støttes ikke",IF(IFERROR(AND(A281&gt;1,COUNTIF($A$3:$A$2002,A281-1)=0),FALSE),"Nummeret hopper over",IF(OR(NOT(ISNUMBER(B281)),B281&lt;DATE(2027,1,1),B281&gt;DATE(2027,12,31)),"Datoen er ikke i 2027",""))))))</f>
        <v/>
      </c>
    </row>
    <row r="282">
      <c r="A282" s="17" t="n"/>
      <c r="B282" s="9" t="n"/>
      <c r="C282" s="8" t="n"/>
      <c r="D282" s="8" t="n"/>
      <c r="E282" s="8" t="n"/>
      <c r="F282" s="14" t="n"/>
      <c r="G282" s="14" t="n"/>
      <c r="H282" s="8" t="n"/>
      <c r="I282" s="8" t="n"/>
      <c r="J282" s="8" t="n"/>
      <c r="K282" s="18">
        <f>IF(B282="","",IFERROR(MONTH(B282),""))</f>
        <v/>
      </c>
      <c r="L282" s="5">
        <f>IF(COUNTA(A282:J282)=0,"",IF(E282="","Mangler motkonto",IF((F282="")=(G282=""),"Fyll ut enten Inn eller Ut",IF(OR(IFERROR(INDEX('Kontoplan'!$D$3:$D$302,MATCH(D282,'Kontoplan'!$H$3:$H$302,0))="Støttes ikke",FALSE),IFERROR(INDEX('Kontoplan'!$D$3:$D$302,MATCH(E282,'Kontoplan'!$H$3:$H$302,0))="Støttes ikke",FALSE)),"Kontoen støttes ikke",IF(IFERROR(AND(A282&gt;1,COUNTIF($A$3:$A$2002,A282-1)=0),FALSE),"Nummeret hopper over",IF(OR(NOT(ISNUMBER(B282)),B282&lt;DATE(2027,1,1),B282&gt;DATE(2027,12,31)),"Datoen er ikke i 2027",""))))))</f>
        <v/>
      </c>
    </row>
    <row r="283">
      <c r="A283" s="17" t="n"/>
      <c r="B283" s="9" t="n"/>
      <c r="C283" s="8" t="n"/>
      <c r="D283" s="8" t="n"/>
      <c r="E283" s="8" t="n"/>
      <c r="F283" s="14" t="n"/>
      <c r="G283" s="14" t="n"/>
      <c r="H283" s="8" t="n"/>
      <c r="I283" s="8" t="n"/>
      <c r="J283" s="8" t="n"/>
      <c r="K283" s="18">
        <f>IF(B283="","",IFERROR(MONTH(B283),""))</f>
        <v/>
      </c>
      <c r="L283" s="5">
        <f>IF(COUNTA(A283:J283)=0,"",IF(E283="","Mangler motkonto",IF((F283="")=(G283=""),"Fyll ut enten Inn eller Ut",IF(OR(IFERROR(INDEX('Kontoplan'!$D$3:$D$302,MATCH(D283,'Kontoplan'!$H$3:$H$302,0))="Støttes ikke",FALSE),IFERROR(INDEX('Kontoplan'!$D$3:$D$302,MATCH(E283,'Kontoplan'!$H$3:$H$302,0))="Støttes ikke",FALSE)),"Kontoen støttes ikke",IF(IFERROR(AND(A283&gt;1,COUNTIF($A$3:$A$2002,A283-1)=0),FALSE),"Nummeret hopper over",IF(OR(NOT(ISNUMBER(B283)),B283&lt;DATE(2027,1,1),B283&gt;DATE(2027,12,31)),"Datoen er ikke i 2027",""))))))</f>
        <v/>
      </c>
    </row>
    <row r="284">
      <c r="A284" s="17" t="n"/>
      <c r="B284" s="9" t="n"/>
      <c r="C284" s="8" t="n"/>
      <c r="D284" s="8" t="n"/>
      <c r="E284" s="8" t="n"/>
      <c r="F284" s="14" t="n"/>
      <c r="G284" s="14" t="n"/>
      <c r="H284" s="8" t="n"/>
      <c r="I284" s="8" t="n"/>
      <c r="J284" s="8" t="n"/>
      <c r="K284" s="18">
        <f>IF(B284="","",IFERROR(MONTH(B284),""))</f>
        <v/>
      </c>
      <c r="L284" s="5">
        <f>IF(COUNTA(A284:J284)=0,"",IF(E284="","Mangler motkonto",IF((F284="")=(G284=""),"Fyll ut enten Inn eller Ut",IF(OR(IFERROR(INDEX('Kontoplan'!$D$3:$D$302,MATCH(D284,'Kontoplan'!$H$3:$H$302,0))="Støttes ikke",FALSE),IFERROR(INDEX('Kontoplan'!$D$3:$D$302,MATCH(E284,'Kontoplan'!$H$3:$H$302,0))="Støttes ikke",FALSE)),"Kontoen støttes ikke",IF(IFERROR(AND(A284&gt;1,COUNTIF($A$3:$A$2002,A284-1)=0),FALSE),"Nummeret hopper over",IF(OR(NOT(ISNUMBER(B284)),B284&lt;DATE(2027,1,1),B284&gt;DATE(2027,12,31)),"Datoen er ikke i 2027",""))))))</f>
        <v/>
      </c>
    </row>
    <row r="285">
      <c r="A285" s="17" t="n"/>
      <c r="B285" s="9" t="n"/>
      <c r="C285" s="8" t="n"/>
      <c r="D285" s="8" t="n"/>
      <c r="E285" s="8" t="n"/>
      <c r="F285" s="14" t="n"/>
      <c r="G285" s="14" t="n"/>
      <c r="H285" s="8" t="n"/>
      <c r="I285" s="8" t="n"/>
      <c r="J285" s="8" t="n"/>
      <c r="K285" s="18">
        <f>IF(B285="","",IFERROR(MONTH(B285),""))</f>
        <v/>
      </c>
      <c r="L285" s="5">
        <f>IF(COUNTA(A285:J285)=0,"",IF(E285="","Mangler motkonto",IF((F285="")=(G285=""),"Fyll ut enten Inn eller Ut",IF(OR(IFERROR(INDEX('Kontoplan'!$D$3:$D$302,MATCH(D285,'Kontoplan'!$H$3:$H$302,0))="Støttes ikke",FALSE),IFERROR(INDEX('Kontoplan'!$D$3:$D$302,MATCH(E285,'Kontoplan'!$H$3:$H$302,0))="Støttes ikke",FALSE)),"Kontoen støttes ikke",IF(IFERROR(AND(A285&gt;1,COUNTIF($A$3:$A$2002,A285-1)=0),FALSE),"Nummeret hopper over",IF(OR(NOT(ISNUMBER(B285)),B285&lt;DATE(2027,1,1),B285&gt;DATE(2027,12,31)),"Datoen er ikke i 2027",""))))))</f>
        <v/>
      </c>
    </row>
    <row r="286">
      <c r="A286" s="17" t="n"/>
      <c r="B286" s="9" t="n"/>
      <c r="C286" s="8" t="n"/>
      <c r="D286" s="8" t="n"/>
      <c r="E286" s="8" t="n"/>
      <c r="F286" s="14" t="n"/>
      <c r="G286" s="14" t="n"/>
      <c r="H286" s="8" t="n"/>
      <c r="I286" s="8" t="n"/>
      <c r="J286" s="8" t="n"/>
      <c r="K286" s="18">
        <f>IF(B286="","",IFERROR(MONTH(B286),""))</f>
        <v/>
      </c>
      <c r="L286" s="5">
        <f>IF(COUNTA(A286:J286)=0,"",IF(E286="","Mangler motkonto",IF((F286="")=(G286=""),"Fyll ut enten Inn eller Ut",IF(OR(IFERROR(INDEX('Kontoplan'!$D$3:$D$302,MATCH(D286,'Kontoplan'!$H$3:$H$302,0))="Støttes ikke",FALSE),IFERROR(INDEX('Kontoplan'!$D$3:$D$302,MATCH(E286,'Kontoplan'!$H$3:$H$302,0))="Støttes ikke",FALSE)),"Kontoen støttes ikke",IF(IFERROR(AND(A286&gt;1,COUNTIF($A$3:$A$2002,A286-1)=0),FALSE),"Nummeret hopper over",IF(OR(NOT(ISNUMBER(B286)),B286&lt;DATE(2027,1,1),B286&gt;DATE(2027,12,31)),"Datoen er ikke i 2027",""))))))</f>
        <v/>
      </c>
    </row>
    <row r="287">
      <c r="A287" s="17" t="n"/>
      <c r="B287" s="9" t="n"/>
      <c r="C287" s="8" t="n"/>
      <c r="D287" s="8" t="n"/>
      <c r="E287" s="8" t="n"/>
      <c r="F287" s="14" t="n"/>
      <c r="G287" s="14" t="n"/>
      <c r="H287" s="8" t="n"/>
      <c r="I287" s="8" t="n"/>
      <c r="J287" s="8" t="n"/>
      <c r="K287" s="18">
        <f>IF(B287="","",IFERROR(MONTH(B287),""))</f>
        <v/>
      </c>
      <c r="L287" s="5">
        <f>IF(COUNTA(A287:J287)=0,"",IF(E287="","Mangler motkonto",IF((F287="")=(G287=""),"Fyll ut enten Inn eller Ut",IF(OR(IFERROR(INDEX('Kontoplan'!$D$3:$D$302,MATCH(D287,'Kontoplan'!$H$3:$H$302,0))="Støttes ikke",FALSE),IFERROR(INDEX('Kontoplan'!$D$3:$D$302,MATCH(E287,'Kontoplan'!$H$3:$H$302,0))="Støttes ikke",FALSE)),"Kontoen støttes ikke",IF(IFERROR(AND(A287&gt;1,COUNTIF($A$3:$A$2002,A287-1)=0),FALSE),"Nummeret hopper over",IF(OR(NOT(ISNUMBER(B287)),B287&lt;DATE(2027,1,1),B287&gt;DATE(2027,12,31)),"Datoen er ikke i 2027",""))))))</f>
        <v/>
      </c>
    </row>
    <row r="288">
      <c r="A288" s="17" t="n"/>
      <c r="B288" s="9" t="n"/>
      <c r="C288" s="8" t="n"/>
      <c r="D288" s="8" t="n"/>
      <c r="E288" s="8" t="n"/>
      <c r="F288" s="14" t="n"/>
      <c r="G288" s="14" t="n"/>
      <c r="H288" s="8" t="n"/>
      <c r="I288" s="8" t="n"/>
      <c r="J288" s="8" t="n"/>
      <c r="K288" s="18">
        <f>IF(B288="","",IFERROR(MONTH(B288),""))</f>
        <v/>
      </c>
      <c r="L288" s="5">
        <f>IF(COUNTA(A288:J288)=0,"",IF(E288="","Mangler motkonto",IF((F288="")=(G288=""),"Fyll ut enten Inn eller Ut",IF(OR(IFERROR(INDEX('Kontoplan'!$D$3:$D$302,MATCH(D288,'Kontoplan'!$H$3:$H$302,0))="Støttes ikke",FALSE),IFERROR(INDEX('Kontoplan'!$D$3:$D$302,MATCH(E288,'Kontoplan'!$H$3:$H$302,0))="Støttes ikke",FALSE)),"Kontoen støttes ikke",IF(IFERROR(AND(A288&gt;1,COUNTIF($A$3:$A$2002,A288-1)=0),FALSE),"Nummeret hopper over",IF(OR(NOT(ISNUMBER(B288)),B288&lt;DATE(2027,1,1),B288&gt;DATE(2027,12,31)),"Datoen er ikke i 2027",""))))))</f>
        <v/>
      </c>
    </row>
    <row r="289">
      <c r="A289" s="17" t="n"/>
      <c r="B289" s="9" t="n"/>
      <c r="C289" s="8" t="n"/>
      <c r="D289" s="8" t="n"/>
      <c r="E289" s="8" t="n"/>
      <c r="F289" s="14" t="n"/>
      <c r="G289" s="14" t="n"/>
      <c r="H289" s="8" t="n"/>
      <c r="I289" s="8" t="n"/>
      <c r="J289" s="8" t="n"/>
      <c r="K289" s="18">
        <f>IF(B289="","",IFERROR(MONTH(B289),""))</f>
        <v/>
      </c>
      <c r="L289" s="5">
        <f>IF(COUNTA(A289:J289)=0,"",IF(E289="","Mangler motkonto",IF((F289="")=(G289=""),"Fyll ut enten Inn eller Ut",IF(OR(IFERROR(INDEX('Kontoplan'!$D$3:$D$302,MATCH(D289,'Kontoplan'!$H$3:$H$302,0))="Støttes ikke",FALSE),IFERROR(INDEX('Kontoplan'!$D$3:$D$302,MATCH(E289,'Kontoplan'!$H$3:$H$302,0))="Støttes ikke",FALSE)),"Kontoen støttes ikke",IF(IFERROR(AND(A289&gt;1,COUNTIF($A$3:$A$2002,A289-1)=0),FALSE),"Nummeret hopper over",IF(OR(NOT(ISNUMBER(B289)),B289&lt;DATE(2027,1,1),B289&gt;DATE(2027,12,31)),"Datoen er ikke i 2027",""))))))</f>
        <v/>
      </c>
    </row>
    <row r="290">
      <c r="A290" s="17" t="n"/>
      <c r="B290" s="9" t="n"/>
      <c r="C290" s="8" t="n"/>
      <c r="D290" s="8" t="n"/>
      <c r="E290" s="8" t="n"/>
      <c r="F290" s="14" t="n"/>
      <c r="G290" s="14" t="n"/>
      <c r="H290" s="8" t="n"/>
      <c r="I290" s="8" t="n"/>
      <c r="J290" s="8" t="n"/>
      <c r="K290" s="18">
        <f>IF(B290="","",IFERROR(MONTH(B290),""))</f>
        <v/>
      </c>
      <c r="L290" s="5">
        <f>IF(COUNTA(A290:J290)=0,"",IF(E290="","Mangler motkonto",IF((F290="")=(G290=""),"Fyll ut enten Inn eller Ut",IF(OR(IFERROR(INDEX('Kontoplan'!$D$3:$D$302,MATCH(D290,'Kontoplan'!$H$3:$H$302,0))="Støttes ikke",FALSE),IFERROR(INDEX('Kontoplan'!$D$3:$D$302,MATCH(E290,'Kontoplan'!$H$3:$H$302,0))="Støttes ikke",FALSE)),"Kontoen støttes ikke",IF(IFERROR(AND(A290&gt;1,COUNTIF($A$3:$A$2002,A290-1)=0),FALSE),"Nummeret hopper over",IF(OR(NOT(ISNUMBER(B290)),B290&lt;DATE(2027,1,1),B290&gt;DATE(2027,12,31)),"Datoen er ikke i 2027",""))))))</f>
        <v/>
      </c>
    </row>
    <row r="291">
      <c r="A291" s="17" t="n"/>
      <c r="B291" s="9" t="n"/>
      <c r="C291" s="8" t="n"/>
      <c r="D291" s="8" t="n"/>
      <c r="E291" s="8" t="n"/>
      <c r="F291" s="14" t="n"/>
      <c r="G291" s="14" t="n"/>
      <c r="H291" s="8" t="n"/>
      <c r="I291" s="8" t="n"/>
      <c r="J291" s="8" t="n"/>
      <c r="K291" s="18">
        <f>IF(B291="","",IFERROR(MONTH(B291),""))</f>
        <v/>
      </c>
      <c r="L291" s="5">
        <f>IF(COUNTA(A291:J291)=0,"",IF(E291="","Mangler motkonto",IF((F291="")=(G291=""),"Fyll ut enten Inn eller Ut",IF(OR(IFERROR(INDEX('Kontoplan'!$D$3:$D$302,MATCH(D291,'Kontoplan'!$H$3:$H$302,0))="Støttes ikke",FALSE),IFERROR(INDEX('Kontoplan'!$D$3:$D$302,MATCH(E291,'Kontoplan'!$H$3:$H$302,0))="Støttes ikke",FALSE)),"Kontoen støttes ikke",IF(IFERROR(AND(A291&gt;1,COUNTIF($A$3:$A$2002,A291-1)=0),FALSE),"Nummeret hopper over",IF(OR(NOT(ISNUMBER(B291)),B291&lt;DATE(2027,1,1),B291&gt;DATE(2027,12,31)),"Datoen er ikke i 2027",""))))))</f>
        <v/>
      </c>
    </row>
    <row r="292">
      <c r="A292" s="17" t="n"/>
      <c r="B292" s="9" t="n"/>
      <c r="C292" s="8" t="n"/>
      <c r="D292" s="8" t="n"/>
      <c r="E292" s="8" t="n"/>
      <c r="F292" s="14" t="n"/>
      <c r="G292" s="14" t="n"/>
      <c r="H292" s="8" t="n"/>
      <c r="I292" s="8" t="n"/>
      <c r="J292" s="8" t="n"/>
      <c r="K292" s="18">
        <f>IF(B292="","",IFERROR(MONTH(B292),""))</f>
        <v/>
      </c>
      <c r="L292" s="5">
        <f>IF(COUNTA(A292:J292)=0,"",IF(E292="","Mangler motkonto",IF((F292="")=(G292=""),"Fyll ut enten Inn eller Ut",IF(OR(IFERROR(INDEX('Kontoplan'!$D$3:$D$302,MATCH(D292,'Kontoplan'!$H$3:$H$302,0))="Støttes ikke",FALSE),IFERROR(INDEX('Kontoplan'!$D$3:$D$302,MATCH(E292,'Kontoplan'!$H$3:$H$302,0))="Støttes ikke",FALSE)),"Kontoen støttes ikke",IF(IFERROR(AND(A292&gt;1,COUNTIF($A$3:$A$2002,A292-1)=0),FALSE),"Nummeret hopper over",IF(OR(NOT(ISNUMBER(B292)),B292&lt;DATE(2027,1,1),B292&gt;DATE(2027,12,31)),"Datoen er ikke i 2027",""))))))</f>
        <v/>
      </c>
    </row>
    <row r="293">
      <c r="A293" s="17" t="n"/>
      <c r="B293" s="9" t="n"/>
      <c r="C293" s="8" t="n"/>
      <c r="D293" s="8" t="n"/>
      <c r="E293" s="8" t="n"/>
      <c r="F293" s="14" t="n"/>
      <c r="G293" s="14" t="n"/>
      <c r="H293" s="8" t="n"/>
      <c r="I293" s="8" t="n"/>
      <c r="J293" s="8" t="n"/>
      <c r="K293" s="18">
        <f>IF(B293="","",IFERROR(MONTH(B293),""))</f>
        <v/>
      </c>
      <c r="L293" s="5">
        <f>IF(COUNTA(A293:J293)=0,"",IF(E293="","Mangler motkonto",IF((F293="")=(G293=""),"Fyll ut enten Inn eller Ut",IF(OR(IFERROR(INDEX('Kontoplan'!$D$3:$D$302,MATCH(D293,'Kontoplan'!$H$3:$H$302,0))="Støttes ikke",FALSE),IFERROR(INDEX('Kontoplan'!$D$3:$D$302,MATCH(E293,'Kontoplan'!$H$3:$H$302,0))="Støttes ikke",FALSE)),"Kontoen støttes ikke",IF(IFERROR(AND(A293&gt;1,COUNTIF($A$3:$A$2002,A293-1)=0),FALSE),"Nummeret hopper over",IF(OR(NOT(ISNUMBER(B293)),B293&lt;DATE(2027,1,1),B293&gt;DATE(2027,12,31)),"Datoen er ikke i 2027",""))))))</f>
        <v/>
      </c>
    </row>
    <row r="294">
      <c r="A294" s="17" t="n"/>
      <c r="B294" s="9" t="n"/>
      <c r="C294" s="8" t="n"/>
      <c r="D294" s="8" t="n"/>
      <c r="E294" s="8" t="n"/>
      <c r="F294" s="14" t="n"/>
      <c r="G294" s="14" t="n"/>
      <c r="H294" s="8" t="n"/>
      <c r="I294" s="8" t="n"/>
      <c r="J294" s="8" t="n"/>
      <c r="K294" s="18">
        <f>IF(B294="","",IFERROR(MONTH(B294),""))</f>
        <v/>
      </c>
      <c r="L294" s="5">
        <f>IF(COUNTA(A294:J294)=0,"",IF(E294="","Mangler motkonto",IF((F294="")=(G294=""),"Fyll ut enten Inn eller Ut",IF(OR(IFERROR(INDEX('Kontoplan'!$D$3:$D$302,MATCH(D294,'Kontoplan'!$H$3:$H$302,0))="Støttes ikke",FALSE),IFERROR(INDEX('Kontoplan'!$D$3:$D$302,MATCH(E294,'Kontoplan'!$H$3:$H$302,0))="Støttes ikke",FALSE)),"Kontoen støttes ikke",IF(IFERROR(AND(A294&gt;1,COUNTIF($A$3:$A$2002,A294-1)=0),FALSE),"Nummeret hopper over",IF(OR(NOT(ISNUMBER(B294)),B294&lt;DATE(2027,1,1),B294&gt;DATE(2027,12,31)),"Datoen er ikke i 2027",""))))))</f>
        <v/>
      </c>
    </row>
    <row r="295">
      <c r="A295" s="17" t="n"/>
      <c r="B295" s="9" t="n"/>
      <c r="C295" s="8" t="n"/>
      <c r="D295" s="8" t="n"/>
      <c r="E295" s="8" t="n"/>
      <c r="F295" s="14" t="n"/>
      <c r="G295" s="14" t="n"/>
      <c r="H295" s="8" t="n"/>
      <c r="I295" s="8" t="n"/>
      <c r="J295" s="8" t="n"/>
      <c r="K295" s="18">
        <f>IF(B295="","",IFERROR(MONTH(B295),""))</f>
        <v/>
      </c>
      <c r="L295" s="5">
        <f>IF(COUNTA(A295:J295)=0,"",IF(E295="","Mangler motkonto",IF((F295="")=(G295=""),"Fyll ut enten Inn eller Ut",IF(OR(IFERROR(INDEX('Kontoplan'!$D$3:$D$302,MATCH(D295,'Kontoplan'!$H$3:$H$302,0))="Støttes ikke",FALSE),IFERROR(INDEX('Kontoplan'!$D$3:$D$302,MATCH(E295,'Kontoplan'!$H$3:$H$302,0))="Støttes ikke",FALSE)),"Kontoen støttes ikke",IF(IFERROR(AND(A295&gt;1,COUNTIF($A$3:$A$2002,A295-1)=0),FALSE),"Nummeret hopper over",IF(OR(NOT(ISNUMBER(B295)),B295&lt;DATE(2027,1,1),B295&gt;DATE(2027,12,31)),"Datoen er ikke i 2027",""))))))</f>
        <v/>
      </c>
    </row>
    <row r="296">
      <c r="A296" s="17" t="n"/>
      <c r="B296" s="9" t="n"/>
      <c r="C296" s="8" t="n"/>
      <c r="D296" s="8" t="n"/>
      <c r="E296" s="8" t="n"/>
      <c r="F296" s="14" t="n"/>
      <c r="G296" s="14" t="n"/>
      <c r="H296" s="8" t="n"/>
      <c r="I296" s="8" t="n"/>
      <c r="J296" s="8" t="n"/>
      <c r="K296" s="18">
        <f>IF(B296="","",IFERROR(MONTH(B296),""))</f>
        <v/>
      </c>
      <c r="L296" s="5">
        <f>IF(COUNTA(A296:J296)=0,"",IF(E296="","Mangler motkonto",IF((F296="")=(G296=""),"Fyll ut enten Inn eller Ut",IF(OR(IFERROR(INDEX('Kontoplan'!$D$3:$D$302,MATCH(D296,'Kontoplan'!$H$3:$H$302,0))="Støttes ikke",FALSE),IFERROR(INDEX('Kontoplan'!$D$3:$D$302,MATCH(E296,'Kontoplan'!$H$3:$H$302,0))="Støttes ikke",FALSE)),"Kontoen støttes ikke",IF(IFERROR(AND(A296&gt;1,COUNTIF($A$3:$A$2002,A296-1)=0),FALSE),"Nummeret hopper over",IF(OR(NOT(ISNUMBER(B296)),B296&lt;DATE(2027,1,1),B296&gt;DATE(2027,12,31)),"Datoen er ikke i 2027",""))))))</f>
        <v/>
      </c>
    </row>
    <row r="297">
      <c r="A297" s="17" t="n"/>
      <c r="B297" s="9" t="n"/>
      <c r="C297" s="8" t="n"/>
      <c r="D297" s="8" t="n"/>
      <c r="E297" s="8" t="n"/>
      <c r="F297" s="14" t="n"/>
      <c r="G297" s="14" t="n"/>
      <c r="H297" s="8" t="n"/>
      <c r="I297" s="8" t="n"/>
      <c r="J297" s="8" t="n"/>
      <c r="K297" s="18">
        <f>IF(B297="","",IFERROR(MONTH(B297),""))</f>
        <v/>
      </c>
      <c r="L297" s="5">
        <f>IF(COUNTA(A297:J297)=0,"",IF(E297="","Mangler motkonto",IF((F297="")=(G297=""),"Fyll ut enten Inn eller Ut",IF(OR(IFERROR(INDEX('Kontoplan'!$D$3:$D$302,MATCH(D297,'Kontoplan'!$H$3:$H$302,0))="Støttes ikke",FALSE),IFERROR(INDEX('Kontoplan'!$D$3:$D$302,MATCH(E297,'Kontoplan'!$H$3:$H$302,0))="Støttes ikke",FALSE)),"Kontoen støttes ikke",IF(IFERROR(AND(A297&gt;1,COUNTIF($A$3:$A$2002,A297-1)=0),FALSE),"Nummeret hopper over",IF(OR(NOT(ISNUMBER(B297)),B297&lt;DATE(2027,1,1),B297&gt;DATE(2027,12,31)),"Datoen er ikke i 2027",""))))))</f>
        <v/>
      </c>
    </row>
    <row r="298">
      <c r="A298" s="17" t="n"/>
      <c r="B298" s="9" t="n"/>
      <c r="C298" s="8" t="n"/>
      <c r="D298" s="8" t="n"/>
      <c r="E298" s="8" t="n"/>
      <c r="F298" s="14" t="n"/>
      <c r="G298" s="14" t="n"/>
      <c r="H298" s="8" t="n"/>
      <c r="I298" s="8" t="n"/>
      <c r="J298" s="8" t="n"/>
      <c r="K298" s="18">
        <f>IF(B298="","",IFERROR(MONTH(B298),""))</f>
        <v/>
      </c>
      <c r="L298" s="5">
        <f>IF(COUNTA(A298:J298)=0,"",IF(E298="","Mangler motkonto",IF((F298="")=(G298=""),"Fyll ut enten Inn eller Ut",IF(OR(IFERROR(INDEX('Kontoplan'!$D$3:$D$302,MATCH(D298,'Kontoplan'!$H$3:$H$302,0))="Støttes ikke",FALSE),IFERROR(INDEX('Kontoplan'!$D$3:$D$302,MATCH(E298,'Kontoplan'!$H$3:$H$302,0))="Støttes ikke",FALSE)),"Kontoen støttes ikke",IF(IFERROR(AND(A298&gt;1,COUNTIF($A$3:$A$2002,A298-1)=0),FALSE),"Nummeret hopper over",IF(OR(NOT(ISNUMBER(B298)),B298&lt;DATE(2027,1,1),B298&gt;DATE(2027,12,31)),"Datoen er ikke i 2027",""))))))</f>
        <v/>
      </c>
    </row>
    <row r="299">
      <c r="A299" s="17" t="n"/>
      <c r="B299" s="9" t="n"/>
      <c r="C299" s="8" t="n"/>
      <c r="D299" s="8" t="n"/>
      <c r="E299" s="8" t="n"/>
      <c r="F299" s="14" t="n"/>
      <c r="G299" s="14" t="n"/>
      <c r="H299" s="8" t="n"/>
      <c r="I299" s="8" t="n"/>
      <c r="J299" s="8" t="n"/>
      <c r="K299" s="18">
        <f>IF(B299="","",IFERROR(MONTH(B299),""))</f>
        <v/>
      </c>
      <c r="L299" s="5">
        <f>IF(COUNTA(A299:J299)=0,"",IF(E299="","Mangler motkonto",IF((F299="")=(G299=""),"Fyll ut enten Inn eller Ut",IF(OR(IFERROR(INDEX('Kontoplan'!$D$3:$D$302,MATCH(D299,'Kontoplan'!$H$3:$H$302,0))="Støttes ikke",FALSE),IFERROR(INDEX('Kontoplan'!$D$3:$D$302,MATCH(E299,'Kontoplan'!$H$3:$H$302,0))="Støttes ikke",FALSE)),"Kontoen støttes ikke",IF(IFERROR(AND(A299&gt;1,COUNTIF($A$3:$A$2002,A299-1)=0),FALSE),"Nummeret hopper over",IF(OR(NOT(ISNUMBER(B299)),B299&lt;DATE(2027,1,1),B299&gt;DATE(2027,12,31)),"Datoen er ikke i 2027",""))))))</f>
        <v/>
      </c>
    </row>
    <row r="300">
      <c r="A300" s="17" t="n"/>
      <c r="B300" s="9" t="n"/>
      <c r="C300" s="8" t="n"/>
      <c r="D300" s="8" t="n"/>
      <c r="E300" s="8" t="n"/>
      <c r="F300" s="14" t="n"/>
      <c r="G300" s="14" t="n"/>
      <c r="H300" s="8" t="n"/>
      <c r="I300" s="8" t="n"/>
      <c r="J300" s="8" t="n"/>
      <c r="K300" s="18">
        <f>IF(B300="","",IFERROR(MONTH(B300),""))</f>
        <v/>
      </c>
      <c r="L300" s="5">
        <f>IF(COUNTA(A300:J300)=0,"",IF(E300="","Mangler motkonto",IF((F300="")=(G300=""),"Fyll ut enten Inn eller Ut",IF(OR(IFERROR(INDEX('Kontoplan'!$D$3:$D$302,MATCH(D300,'Kontoplan'!$H$3:$H$302,0))="Støttes ikke",FALSE),IFERROR(INDEX('Kontoplan'!$D$3:$D$302,MATCH(E300,'Kontoplan'!$H$3:$H$302,0))="Støttes ikke",FALSE)),"Kontoen støttes ikke",IF(IFERROR(AND(A300&gt;1,COUNTIF($A$3:$A$2002,A300-1)=0),FALSE),"Nummeret hopper over",IF(OR(NOT(ISNUMBER(B300)),B300&lt;DATE(2027,1,1),B300&gt;DATE(2027,12,31)),"Datoen er ikke i 2027",""))))))</f>
        <v/>
      </c>
    </row>
    <row r="301">
      <c r="A301" s="17" t="n"/>
      <c r="B301" s="9" t="n"/>
      <c r="C301" s="8" t="n"/>
      <c r="D301" s="8" t="n"/>
      <c r="E301" s="8" t="n"/>
      <c r="F301" s="14" t="n"/>
      <c r="G301" s="14" t="n"/>
      <c r="H301" s="8" t="n"/>
      <c r="I301" s="8" t="n"/>
      <c r="J301" s="8" t="n"/>
      <c r="K301" s="18">
        <f>IF(B301="","",IFERROR(MONTH(B301),""))</f>
        <v/>
      </c>
      <c r="L301" s="5">
        <f>IF(COUNTA(A301:J301)=0,"",IF(E301="","Mangler motkonto",IF((F301="")=(G301=""),"Fyll ut enten Inn eller Ut",IF(OR(IFERROR(INDEX('Kontoplan'!$D$3:$D$302,MATCH(D301,'Kontoplan'!$H$3:$H$302,0))="Støttes ikke",FALSE),IFERROR(INDEX('Kontoplan'!$D$3:$D$302,MATCH(E301,'Kontoplan'!$H$3:$H$302,0))="Støttes ikke",FALSE)),"Kontoen støttes ikke",IF(IFERROR(AND(A301&gt;1,COUNTIF($A$3:$A$2002,A301-1)=0),FALSE),"Nummeret hopper over",IF(OR(NOT(ISNUMBER(B301)),B301&lt;DATE(2027,1,1),B301&gt;DATE(2027,12,31)),"Datoen er ikke i 2027",""))))))</f>
        <v/>
      </c>
    </row>
    <row r="302">
      <c r="A302" s="17" t="n"/>
      <c r="B302" s="9" t="n"/>
      <c r="C302" s="8" t="n"/>
      <c r="D302" s="8" t="n"/>
      <c r="E302" s="8" t="n"/>
      <c r="F302" s="14" t="n"/>
      <c r="G302" s="14" t="n"/>
      <c r="H302" s="8" t="n"/>
      <c r="I302" s="8" t="n"/>
      <c r="J302" s="8" t="n"/>
      <c r="K302" s="18">
        <f>IF(B302="","",IFERROR(MONTH(B302),""))</f>
        <v/>
      </c>
      <c r="L302" s="5">
        <f>IF(COUNTA(A302:J302)=0,"",IF(E302="","Mangler motkonto",IF((F302="")=(G302=""),"Fyll ut enten Inn eller Ut",IF(OR(IFERROR(INDEX('Kontoplan'!$D$3:$D$302,MATCH(D302,'Kontoplan'!$H$3:$H$302,0))="Støttes ikke",FALSE),IFERROR(INDEX('Kontoplan'!$D$3:$D$302,MATCH(E302,'Kontoplan'!$H$3:$H$302,0))="Støttes ikke",FALSE)),"Kontoen støttes ikke",IF(IFERROR(AND(A302&gt;1,COUNTIF($A$3:$A$2002,A302-1)=0),FALSE),"Nummeret hopper over",IF(OR(NOT(ISNUMBER(B302)),B302&lt;DATE(2027,1,1),B302&gt;DATE(2027,12,31)),"Datoen er ikke i 2027",""))))))</f>
        <v/>
      </c>
    </row>
    <row r="303">
      <c r="A303" s="17" t="n"/>
      <c r="B303" s="9" t="n"/>
      <c r="C303" s="8" t="n"/>
      <c r="D303" s="8" t="n"/>
      <c r="E303" s="8" t="n"/>
      <c r="F303" s="14" t="n"/>
      <c r="G303" s="14" t="n"/>
      <c r="H303" s="8" t="n"/>
      <c r="I303" s="8" t="n"/>
      <c r="J303" s="8" t="n"/>
      <c r="K303" s="18">
        <f>IF(B303="","",IFERROR(MONTH(B303),""))</f>
        <v/>
      </c>
      <c r="L303" s="5">
        <f>IF(COUNTA(A303:J303)=0,"",IF(E303="","Mangler motkonto",IF((F303="")=(G303=""),"Fyll ut enten Inn eller Ut",IF(OR(IFERROR(INDEX('Kontoplan'!$D$3:$D$302,MATCH(D303,'Kontoplan'!$H$3:$H$302,0))="Støttes ikke",FALSE),IFERROR(INDEX('Kontoplan'!$D$3:$D$302,MATCH(E303,'Kontoplan'!$H$3:$H$302,0))="Støttes ikke",FALSE)),"Kontoen støttes ikke",IF(IFERROR(AND(A303&gt;1,COUNTIF($A$3:$A$2002,A303-1)=0),FALSE),"Nummeret hopper over",IF(OR(NOT(ISNUMBER(B303)),B303&lt;DATE(2027,1,1),B303&gt;DATE(2027,12,31)),"Datoen er ikke i 2027",""))))))</f>
        <v/>
      </c>
    </row>
    <row r="304">
      <c r="A304" s="17" t="n"/>
      <c r="B304" s="9" t="n"/>
      <c r="C304" s="8" t="n"/>
      <c r="D304" s="8" t="n"/>
      <c r="E304" s="8" t="n"/>
      <c r="F304" s="14" t="n"/>
      <c r="G304" s="14" t="n"/>
      <c r="H304" s="8" t="n"/>
      <c r="I304" s="8" t="n"/>
      <c r="J304" s="8" t="n"/>
      <c r="K304" s="18">
        <f>IF(B304="","",IFERROR(MONTH(B304),""))</f>
        <v/>
      </c>
      <c r="L304" s="5">
        <f>IF(COUNTA(A304:J304)=0,"",IF(E304="","Mangler motkonto",IF((F304="")=(G304=""),"Fyll ut enten Inn eller Ut",IF(OR(IFERROR(INDEX('Kontoplan'!$D$3:$D$302,MATCH(D304,'Kontoplan'!$H$3:$H$302,0))="Støttes ikke",FALSE),IFERROR(INDEX('Kontoplan'!$D$3:$D$302,MATCH(E304,'Kontoplan'!$H$3:$H$302,0))="Støttes ikke",FALSE)),"Kontoen støttes ikke",IF(IFERROR(AND(A304&gt;1,COUNTIF($A$3:$A$2002,A304-1)=0),FALSE),"Nummeret hopper over",IF(OR(NOT(ISNUMBER(B304)),B304&lt;DATE(2027,1,1),B304&gt;DATE(2027,12,31)),"Datoen er ikke i 2027",""))))))</f>
        <v/>
      </c>
    </row>
    <row r="305">
      <c r="A305" s="17" t="n"/>
      <c r="B305" s="9" t="n"/>
      <c r="C305" s="8" t="n"/>
      <c r="D305" s="8" t="n"/>
      <c r="E305" s="8" t="n"/>
      <c r="F305" s="14" t="n"/>
      <c r="G305" s="14" t="n"/>
      <c r="H305" s="8" t="n"/>
      <c r="I305" s="8" t="n"/>
      <c r="J305" s="8" t="n"/>
      <c r="K305" s="18">
        <f>IF(B305="","",IFERROR(MONTH(B305),""))</f>
        <v/>
      </c>
      <c r="L305" s="5">
        <f>IF(COUNTA(A305:J305)=0,"",IF(E305="","Mangler motkonto",IF((F305="")=(G305=""),"Fyll ut enten Inn eller Ut",IF(OR(IFERROR(INDEX('Kontoplan'!$D$3:$D$302,MATCH(D305,'Kontoplan'!$H$3:$H$302,0))="Støttes ikke",FALSE),IFERROR(INDEX('Kontoplan'!$D$3:$D$302,MATCH(E305,'Kontoplan'!$H$3:$H$302,0))="Støttes ikke",FALSE)),"Kontoen støttes ikke",IF(IFERROR(AND(A305&gt;1,COUNTIF($A$3:$A$2002,A305-1)=0),FALSE),"Nummeret hopper over",IF(OR(NOT(ISNUMBER(B305)),B305&lt;DATE(2027,1,1),B305&gt;DATE(2027,12,31)),"Datoen er ikke i 2027",""))))))</f>
        <v/>
      </c>
    </row>
    <row r="306">
      <c r="A306" s="17" t="n"/>
      <c r="B306" s="9" t="n"/>
      <c r="C306" s="8" t="n"/>
      <c r="D306" s="8" t="n"/>
      <c r="E306" s="8" t="n"/>
      <c r="F306" s="14" t="n"/>
      <c r="G306" s="14" t="n"/>
      <c r="H306" s="8" t="n"/>
      <c r="I306" s="8" t="n"/>
      <c r="J306" s="8" t="n"/>
      <c r="K306" s="18">
        <f>IF(B306="","",IFERROR(MONTH(B306),""))</f>
        <v/>
      </c>
      <c r="L306" s="5">
        <f>IF(COUNTA(A306:J306)=0,"",IF(E306="","Mangler motkonto",IF((F306="")=(G306=""),"Fyll ut enten Inn eller Ut",IF(OR(IFERROR(INDEX('Kontoplan'!$D$3:$D$302,MATCH(D306,'Kontoplan'!$H$3:$H$302,0))="Støttes ikke",FALSE),IFERROR(INDEX('Kontoplan'!$D$3:$D$302,MATCH(E306,'Kontoplan'!$H$3:$H$302,0))="Støttes ikke",FALSE)),"Kontoen støttes ikke",IF(IFERROR(AND(A306&gt;1,COUNTIF($A$3:$A$2002,A306-1)=0),FALSE),"Nummeret hopper over",IF(OR(NOT(ISNUMBER(B306)),B306&lt;DATE(2027,1,1),B306&gt;DATE(2027,12,31)),"Datoen er ikke i 2027",""))))))</f>
        <v/>
      </c>
    </row>
    <row r="307">
      <c r="A307" s="17" t="n"/>
      <c r="B307" s="9" t="n"/>
      <c r="C307" s="8" t="n"/>
      <c r="D307" s="8" t="n"/>
      <c r="E307" s="8" t="n"/>
      <c r="F307" s="14" t="n"/>
      <c r="G307" s="14" t="n"/>
      <c r="H307" s="8" t="n"/>
      <c r="I307" s="8" t="n"/>
      <c r="J307" s="8" t="n"/>
      <c r="K307" s="18">
        <f>IF(B307="","",IFERROR(MONTH(B307),""))</f>
        <v/>
      </c>
      <c r="L307" s="5">
        <f>IF(COUNTA(A307:J307)=0,"",IF(E307="","Mangler motkonto",IF((F307="")=(G307=""),"Fyll ut enten Inn eller Ut",IF(OR(IFERROR(INDEX('Kontoplan'!$D$3:$D$302,MATCH(D307,'Kontoplan'!$H$3:$H$302,0))="Støttes ikke",FALSE),IFERROR(INDEX('Kontoplan'!$D$3:$D$302,MATCH(E307,'Kontoplan'!$H$3:$H$302,0))="Støttes ikke",FALSE)),"Kontoen støttes ikke",IF(IFERROR(AND(A307&gt;1,COUNTIF($A$3:$A$2002,A307-1)=0),FALSE),"Nummeret hopper over",IF(OR(NOT(ISNUMBER(B307)),B307&lt;DATE(2027,1,1),B307&gt;DATE(2027,12,31)),"Datoen er ikke i 2027",""))))))</f>
        <v/>
      </c>
    </row>
    <row r="308">
      <c r="A308" s="17" t="n"/>
      <c r="B308" s="9" t="n"/>
      <c r="C308" s="8" t="n"/>
      <c r="D308" s="8" t="n"/>
      <c r="E308" s="8" t="n"/>
      <c r="F308" s="14" t="n"/>
      <c r="G308" s="14" t="n"/>
      <c r="H308" s="8" t="n"/>
      <c r="I308" s="8" t="n"/>
      <c r="J308" s="8" t="n"/>
      <c r="K308" s="18">
        <f>IF(B308="","",IFERROR(MONTH(B308),""))</f>
        <v/>
      </c>
      <c r="L308" s="5">
        <f>IF(COUNTA(A308:J308)=0,"",IF(E308="","Mangler motkonto",IF((F308="")=(G308=""),"Fyll ut enten Inn eller Ut",IF(OR(IFERROR(INDEX('Kontoplan'!$D$3:$D$302,MATCH(D308,'Kontoplan'!$H$3:$H$302,0))="Støttes ikke",FALSE),IFERROR(INDEX('Kontoplan'!$D$3:$D$302,MATCH(E308,'Kontoplan'!$H$3:$H$302,0))="Støttes ikke",FALSE)),"Kontoen støttes ikke",IF(IFERROR(AND(A308&gt;1,COUNTIF($A$3:$A$2002,A308-1)=0),FALSE),"Nummeret hopper over",IF(OR(NOT(ISNUMBER(B308)),B308&lt;DATE(2027,1,1),B308&gt;DATE(2027,12,31)),"Datoen er ikke i 2027",""))))))</f>
        <v/>
      </c>
    </row>
    <row r="309">
      <c r="A309" s="17" t="n"/>
      <c r="B309" s="9" t="n"/>
      <c r="C309" s="8" t="n"/>
      <c r="D309" s="8" t="n"/>
      <c r="E309" s="8" t="n"/>
      <c r="F309" s="14" t="n"/>
      <c r="G309" s="14" t="n"/>
      <c r="H309" s="8" t="n"/>
      <c r="I309" s="8" t="n"/>
      <c r="J309" s="8" t="n"/>
      <c r="K309" s="18">
        <f>IF(B309="","",IFERROR(MONTH(B309),""))</f>
        <v/>
      </c>
      <c r="L309" s="5">
        <f>IF(COUNTA(A309:J309)=0,"",IF(E309="","Mangler motkonto",IF((F309="")=(G309=""),"Fyll ut enten Inn eller Ut",IF(OR(IFERROR(INDEX('Kontoplan'!$D$3:$D$302,MATCH(D309,'Kontoplan'!$H$3:$H$302,0))="Støttes ikke",FALSE),IFERROR(INDEX('Kontoplan'!$D$3:$D$302,MATCH(E309,'Kontoplan'!$H$3:$H$302,0))="Støttes ikke",FALSE)),"Kontoen støttes ikke",IF(IFERROR(AND(A309&gt;1,COUNTIF($A$3:$A$2002,A309-1)=0),FALSE),"Nummeret hopper over",IF(OR(NOT(ISNUMBER(B309)),B309&lt;DATE(2027,1,1),B309&gt;DATE(2027,12,31)),"Datoen er ikke i 2027",""))))))</f>
        <v/>
      </c>
    </row>
    <row r="310">
      <c r="A310" s="17" t="n"/>
      <c r="B310" s="9" t="n"/>
      <c r="C310" s="8" t="n"/>
      <c r="D310" s="8" t="n"/>
      <c r="E310" s="8" t="n"/>
      <c r="F310" s="14" t="n"/>
      <c r="G310" s="14" t="n"/>
      <c r="H310" s="8" t="n"/>
      <c r="I310" s="8" t="n"/>
      <c r="J310" s="8" t="n"/>
      <c r="K310" s="18">
        <f>IF(B310="","",IFERROR(MONTH(B310),""))</f>
        <v/>
      </c>
      <c r="L310" s="5">
        <f>IF(COUNTA(A310:J310)=0,"",IF(E310="","Mangler motkonto",IF((F310="")=(G310=""),"Fyll ut enten Inn eller Ut",IF(OR(IFERROR(INDEX('Kontoplan'!$D$3:$D$302,MATCH(D310,'Kontoplan'!$H$3:$H$302,0))="Støttes ikke",FALSE),IFERROR(INDEX('Kontoplan'!$D$3:$D$302,MATCH(E310,'Kontoplan'!$H$3:$H$302,0))="Støttes ikke",FALSE)),"Kontoen støttes ikke",IF(IFERROR(AND(A310&gt;1,COUNTIF($A$3:$A$2002,A310-1)=0),FALSE),"Nummeret hopper over",IF(OR(NOT(ISNUMBER(B310)),B310&lt;DATE(2027,1,1),B310&gt;DATE(2027,12,31)),"Datoen er ikke i 2027",""))))))</f>
        <v/>
      </c>
    </row>
    <row r="311">
      <c r="A311" s="17" t="n"/>
      <c r="B311" s="9" t="n"/>
      <c r="C311" s="8" t="n"/>
      <c r="D311" s="8" t="n"/>
      <c r="E311" s="8" t="n"/>
      <c r="F311" s="14" t="n"/>
      <c r="G311" s="14" t="n"/>
      <c r="H311" s="8" t="n"/>
      <c r="I311" s="8" t="n"/>
      <c r="J311" s="8" t="n"/>
      <c r="K311" s="18">
        <f>IF(B311="","",IFERROR(MONTH(B311),""))</f>
        <v/>
      </c>
      <c r="L311" s="5">
        <f>IF(COUNTA(A311:J311)=0,"",IF(E311="","Mangler motkonto",IF((F311="")=(G311=""),"Fyll ut enten Inn eller Ut",IF(OR(IFERROR(INDEX('Kontoplan'!$D$3:$D$302,MATCH(D311,'Kontoplan'!$H$3:$H$302,0))="Støttes ikke",FALSE),IFERROR(INDEX('Kontoplan'!$D$3:$D$302,MATCH(E311,'Kontoplan'!$H$3:$H$302,0))="Støttes ikke",FALSE)),"Kontoen støttes ikke",IF(IFERROR(AND(A311&gt;1,COUNTIF($A$3:$A$2002,A311-1)=0),FALSE),"Nummeret hopper over",IF(OR(NOT(ISNUMBER(B311)),B311&lt;DATE(2027,1,1),B311&gt;DATE(2027,12,31)),"Datoen er ikke i 2027",""))))))</f>
        <v/>
      </c>
    </row>
    <row r="312">
      <c r="A312" s="17" t="n"/>
      <c r="B312" s="9" t="n"/>
      <c r="C312" s="8" t="n"/>
      <c r="D312" s="8" t="n"/>
      <c r="E312" s="8" t="n"/>
      <c r="F312" s="14" t="n"/>
      <c r="G312" s="14" t="n"/>
      <c r="H312" s="8" t="n"/>
      <c r="I312" s="8" t="n"/>
      <c r="J312" s="8" t="n"/>
      <c r="K312" s="18">
        <f>IF(B312="","",IFERROR(MONTH(B312),""))</f>
        <v/>
      </c>
      <c r="L312" s="5">
        <f>IF(COUNTA(A312:J312)=0,"",IF(E312="","Mangler motkonto",IF((F312="")=(G312=""),"Fyll ut enten Inn eller Ut",IF(OR(IFERROR(INDEX('Kontoplan'!$D$3:$D$302,MATCH(D312,'Kontoplan'!$H$3:$H$302,0))="Støttes ikke",FALSE),IFERROR(INDEX('Kontoplan'!$D$3:$D$302,MATCH(E312,'Kontoplan'!$H$3:$H$302,0))="Støttes ikke",FALSE)),"Kontoen støttes ikke",IF(IFERROR(AND(A312&gt;1,COUNTIF($A$3:$A$2002,A312-1)=0),FALSE),"Nummeret hopper over",IF(OR(NOT(ISNUMBER(B312)),B312&lt;DATE(2027,1,1),B312&gt;DATE(2027,12,31)),"Datoen er ikke i 2027",""))))))</f>
        <v/>
      </c>
    </row>
    <row r="313">
      <c r="A313" s="17" t="n"/>
      <c r="B313" s="9" t="n"/>
      <c r="C313" s="8" t="n"/>
      <c r="D313" s="8" t="n"/>
      <c r="E313" s="8" t="n"/>
      <c r="F313" s="14" t="n"/>
      <c r="G313" s="14" t="n"/>
      <c r="H313" s="8" t="n"/>
      <c r="I313" s="8" t="n"/>
      <c r="J313" s="8" t="n"/>
      <c r="K313" s="18">
        <f>IF(B313="","",IFERROR(MONTH(B313),""))</f>
        <v/>
      </c>
      <c r="L313" s="5">
        <f>IF(COUNTA(A313:J313)=0,"",IF(E313="","Mangler motkonto",IF((F313="")=(G313=""),"Fyll ut enten Inn eller Ut",IF(OR(IFERROR(INDEX('Kontoplan'!$D$3:$D$302,MATCH(D313,'Kontoplan'!$H$3:$H$302,0))="Støttes ikke",FALSE),IFERROR(INDEX('Kontoplan'!$D$3:$D$302,MATCH(E313,'Kontoplan'!$H$3:$H$302,0))="Støttes ikke",FALSE)),"Kontoen støttes ikke",IF(IFERROR(AND(A313&gt;1,COUNTIF($A$3:$A$2002,A313-1)=0),FALSE),"Nummeret hopper over",IF(OR(NOT(ISNUMBER(B313)),B313&lt;DATE(2027,1,1),B313&gt;DATE(2027,12,31)),"Datoen er ikke i 2027",""))))))</f>
        <v/>
      </c>
    </row>
    <row r="314">
      <c r="A314" s="17" t="n"/>
      <c r="B314" s="9" t="n"/>
      <c r="C314" s="8" t="n"/>
      <c r="D314" s="8" t="n"/>
      <c r="E314" s="8" t="n"/>
      <c r="F314" s="14" t="n"/>
      <c r="G314" s="14" t="n"/>
      <c r="H314" s="8" t="n"/>
      <c r="I314" s="8" t="n"/>
      <c r="J314" s="8" t="n"/>
      <c r="K314" s="18">
        <f>IF(B314="","",IFERROR(MONTH(B314),""))</f>
        <v/>
      </c>
      <c r="L314" s="5">
        <f>IF(COUNTA(A314:J314)=0,"",IF(E314="","Mangler motkonto",IF((F314="")=(G314=""),"Fyll ut enten Inn eller Ut",IF(OR(IFERROR(INDEX('Kontoplan'!$D$3:$D$302,MATCH(D314,'Kontoplan'!$H$3:$H$302,0))="Støttes ikke",FALSE),IFERROR(INDEX('Kontoplan'!$D$3:$D$302,MATCH(E314,'Kontoplan'!$H$3:$H$302,0))="Støttes ikke",FALSE)),"Kontoen støttes ikke",IF(IFERROR(AND(A314&gt;1,COUNTIF($A$3:$A$2002,A314-1)=0),FALSE),"Nummeret hopper over",IF(OR(NOT(ISNUMBER(B314)),B314&lt;DATE(2027,1,1),B314&gt;DATE(2027,12,31)),"Datoen er ikke i 2027",""))))))</f>
        <v/>
      </c>
    </row>
    <row r="315">
      <c r="A315" s="17" t="n"/>
      <c r="B315" s="9" t="n"/>
      <c r="C315" s="8" t="n"/>
      <c r="D315" s="8" t="n"/>
      <c r="E315" s="8" t="n"/>
      <c r="F315" s="14" t="n"/>
      <c r="G315" s="14" t="n"/>
      <c r="H315" s="8" t="n"/>
      <c r="I315" s="8" t="n"/>
      <c r="J315" s="8" t="n"/>
      <c r="K315" s="18">
        <f>IF(B315="","",IFERROR(MONTH(B315),""))</f>
        <v/>
      </c>
      <c r="L315" s="5">
        <f>IF(COUNTA(A315:J315)=0,"",IF(E315="","Mangler motkonto",IF((F315="")=(G315=""),"Fyll ut enten Inn eller Ut",IF(OR(IFERROR(INDEX('Kontoplan'!$D$3:$D$302,MATCH(D315,'Kontoplan'!$H$3:$H$302,0))="Støttes ikke",FALSE),IFERROR(INDEX('Kontoplan'!$D$3:$D$302,MATCH(E315,'Kontoplan'!$H$3:$H$302,0))="Støttes ikke",FALSE)),"Kontoen støttes ikke",IF(IFERROR(AND(A315&gt;1,COUNTIF($A$3:$A$2002,A315-1)=0),FALSE),"Nummeret hopper over",IF(OR(NOT(ISNUMBER(B315)),B315&lt;DATE(2027,1,1),B315&gt;DATE(2027,12,31)),"Datoen er ikke i 2027",""))))))</f>
        <v/>
      </c>
    </row>
    <row r="316">
      <c r="A316" s="17" t="n"/>
      <c r="B316" s="9" t="n"/>
      <c r="C316" s="8" t="n"/>
      <c r="D316" s="8" t="n"/>
      <c r="E316" s="8" t="n"/>
      <c r="F316" s="14" t="n"/>
      <c r="G316" s="14" t="n"/>
      <c r="H316" s="8" t="n"/>
      <c r="I316" s="8" t="n"/>
      <c r="J316" s="8" t="n"/>
      <c r="K316" s="18">
        <f>IF(B316="","",IFERROR(MONTH(B316),""))</f>
        <v/>
      </c>
      <c r="L316" s="5">
        <f>IF(COUNTA(A316:J316)=0,"",IF(E316="","Mangler motkonto",IF((F316="")=(G316=""),"Fyll ut enten Inn eller Ut",IF(OR(IFERROR(INDEX('Kontoplan'!$D$3:$D$302,MATCH(D316,'Kontoplan'!$H$3:$H$302,0))="Støttes ikke",FALSE),IFERROR(INDEX('Kontoplan'!$D$3:$D$302,MATCH(E316,'Kontoplan'!$H$3:$H$302,0))="Støttes ikke",FALSE)),"Kontoen støttes ikke",IF(IFERROR(AND(A316&gt;1,COUNTIF($A$3:$A$2002,A316-1)=0),FALSE),"Nummeret hopper over",IF(OR(NOT(ISNUMBER(B316)),B316&lt;DATE(2027,1,1),B316&gt;DATE(2027,12,31)),"Datoen er ikke i 2027",""))))))</f>
        <v/>
      </c>
    </row>
    <row r="317">
      <c r="A317" s="17" t="n"/>
      <c r="B317" s="9" t="n"/>
      <c r="C317" s="8" t="n"/>
      <c r="D317" s="8" t="n"/>
      <c r="E317" s="8" t="n"/>
      <c r="F317" s="14" t="n"/>
      <c r="G317" s="14" t="n"/>
      <c r="H317" s="8" t="n"/>
      <c r="I317" s="8" t="n"/>
      <c r="J317" s="8" t="n"/>
      <c r="K317" s="18">
        <f>IF(B317="","",IFERROR(MONTH(B317),""))</f>
        <v/>
      </c>
      <c r="L317" s="5">
        <f>IF(COUNTA(A317:J317)=0,"",IF(E317="","Mangler motkonto",IF((F317="")=(G317=""),"Fyll ut enten Inn eller Ut",IF(OR(IFERROR(INDEX('Kontoplan'!$D$3:$D$302,MATCH(D317,'Kontoplan'!$H$3:$H$302,0))="Støttes ikke",FALSE),IFERROR(INDEX('Kontoplan'!$D$3:$D$302,MATCH(E317,'Kontoplan'!$H$3:$H$302,0))="Støttes ikke",FALSE)),"Kontoen støttes ikke",IF(IFERROR(AND(A317&gt;1,COUNTIF($A$3:$A$2002,A317-1)=0),FALSE),"Nummeret hopper over",IF(OR(NOT(ISNUMBER(B317)),B317&lt;DATE(2027,1,1),B317&gt;DATE(2027,12,31)),"Datoen er ikke i 2027",""))))))</f>
        <v/>
      </c>
    </row>
    <row r="318">
      <c r="A318" s="17" t="n"/>
      <c r="B318" s="9" t="n"/>
      <c r="C318" s="8" t="n"/>
      <c r="D318" s="8" t="n"/>
      <c r="E318" s="8" t="n"/>
      <c r="F318" s="14" t="n"/>
      <c r="G318" s="14" t="n"/>
      <c r="H318" s="8" t="n"/>
      <c r="I318" s="8" t="n"/>
      <c r="J318" s="8" t="n"/>
      <c r="K318" s="18">
        <f>IF(B318="","",IFERROR(MONTH(B318),""))</f>
        <v/>
      </c>
      <c r="L318" s="5">
        <f>IF(COUNTA(A318:J318)=0,"",IF(E318="","Mangler motkonto",IF((F318="")=(G318=""),"Fyll ut enten Inn eller Ut",IF(OR(IFERROR(INDEX('Kontoplan'!$D$3:$D$302,MATCH(D318,'Kontoplan'!$H$3:$H$302,0))="Støttes ikke",FALSE),IFERROR(INDEX('Kontoplan'!$D$3:$D$302,MATCH(E318,'Kontoplan'!$H$3:$H$302,0))="Støttes ikke",FALSE)),"Kontoen støttes ikke",IF(IFERROR(AND(A318&gt;1,COUNTIF($A$3:$A$2002,A318-1)=0),FALSE),"Nummeret hopper over",IF(OR(NOT(ISNUMBER(B318)),B318&lt;DATE(2027,1,1),B318&gt;DATE(2027,12,31)),"Datoen er ikke i 2027",""))))))</f>
        <v/>
      </c>
    </row>
    <row r="319">
      <c r="A319" s="17" t="n"/>
      <c r="B319" s="9" t="n"/>
      <c r="C319" s="8" t="n"/>
      <c r="D319" s="8" t="n"/>
      <c r="E319" s="8" t="n"/>
      <c r="F319" s="14" t="n"/>
      <c r="G319" s="14" t="n"/>
      <c r="H319" s="8" t="n"/>
      <c r="I319" s="8" t="n"/>
      <c r="J319" s="8" t="n"/>
      <c r="K319" s="18">
        <f>IF(B319="","",IFERROR(MONTH(B319),""))</f>
        <v/>
      </c>
      <c r="L319" s="5">
        <f>IF(COUNTA(A319:J319)=0,"",IF(E319="","Mangler motkonto",IF((F319="")=(G319=""),"Fyll ut enten Inn eller Ut",IF(OR(IFERROR(INDEX('Kontoplan'!$D$3:$D$302,MATCH(D319,'Kontoplan'!$H$3:$H$302,0))="Støttes ikke",FALSE),IFERROR(INDEX('Kontoplan'!$D$3:$D$302,MATCH(E319,'Kontoplan'!$H$3:$H$302,0))="Støttes ikke",FALSE)),"Kontoen støttes ikke",IF(IFERROR(AND(A319&gt;1,COUNTIF($A$3:$A$2002,A319-1)=0),FALSE),"Nummeret hopper over",IF(OR(NOT(ISNUMBER(B319)),B319&lt;DATE(2027,1,1),B319&gt;DATE(2027,12,31)),"Datoen er ikke i 2027",""))))))</f>
        <v/>
      </c>
    </row>
    <row r="320">
      <c r="A320" s="17" t="n"/>
      <c r="B320" s="9" t="n"/>
      <c r="C320" s="8" t="n"/>
      <c r="D320" s="8" t="n"/>
      <c r="E320" s="8" t="n"/>
      <c r="F320" s="14" t="n"/>
      <c r="G320" s="14" t="n"/>
      <c r="H320" s="8" t="n"/>
      <c r="I320" s="8" t="n"/>
      <c r="J320" s="8" t="n"/>
      <c r="K320" s="18">
        <f>IF(B320="","",IFERROR(MONTH(B320),""))</f>
        <v/>
      </c>
      <c r="L320" s="5">
        <f>IF(COUNTA(A320:J320)=0,"",IF(E320="","Mangler motkonto",IF((F320="")=(G320=""),"Fyll ut enten Inn eller Ut",IF(OR(IFERROR(INDEX('Kontoplan'!$D$3:$D$302,MATCH(D320,'Kontoplan'!$H$3:$H$302,0))="Støttes ikke",FALSE),IFERROR(INDEX('Kontoplan'!$D$3:$D$302,MATCH(E320,'Kontoplan'!$H$3:$H$302,0))="Støttes ikke",FALSE)),"Kontoen støttes ikke",IF(IFERROR(AND(A320&gt;1,COUNTIF($A$3:$A$2002,A320-1)=0),FALSE),"Nummeret hopper over",IF(OR(NOT(ISNUMBER(B320)),B320&lt;DATE(2027,1,1),B320&gt;DATE(2027,12,31)),"Datoen er ikke i 2027",""))))))</f>
        <v/>
      </c>
    </row>
    <row r="321">
      <c r="A321" s="17" t="n"/>
      <c r="B321" s="9" t="n"/>
      <c r="C321" s="8" t="n"/>
      <c r="D321" s="8" t="n"/>
      <c r="E321" s="8" t="n"/>
      <c r="F321" s="14" t="n"/>
      <c r="G321" s="14" t="n"/>
      <c r="H321" s="8" t="n"/>
      <c r="I321" s="8" t="n"/>
      <c r="J321" s="8" t="n"/>
      <c r="K321" s="18">
        <f>IF(B321="","",IFERROR(MONTH(B321),""))</f>
        <v/>
      </c>
      <c r="L321" s="5">
        <f>IF(COUNTA(A321:J321)=0,"",IF(E321="","Mangler motkonto",IF((F321="")=(G321=""),"Fyll ut enten Inn eller Ut",IF(OR(IFERROR(INDEX('Kontoplan'!$D$3:$D$302,MATCH(D321,'Kontoplan'!$H$3:$H$302,0))="Støttes ikke",FALSE),IFERROR(INDEX('Kontoplan'!$D$3:$D$302,MATCH(E321,'Kontoplan'!$H$3:$H$302,0))="Støttes ikke",FALSE)),"Kontoen støttes ikke",IF(IFERROR(AND(A321&gt;1,COUNTIF($A$3:$A$2002,A321-1)=0),FALSE),"Nummeret hopper over",IF(OR(NOT(ISNUMBER(B321)),B321&lt;DATE(2027,1,1),B321&gt;DATE(2027,12,31)),"Datoen er ikke i 2027",""))))))</f>
        <v/>
      </c>
    </row>
    <row r="322">
      <c r="A322" s="17" t="n"/>
      <c r="B322" s="9" t="n"/>
      <c r="C322" s="8" t="n"/>
      <c r="D322" s="8" t="n"/>
      <c r="E322" s="8" t="n"/>
      <c r="F322" s="14" t="n"/>
      <c r="G322" s="14" t="n"/>
      <c r="H322" s="8" t="n"/>
      <c r="I322" s="8" t="n"/>
      <c r="J322" s="8" t="n"/>
      <c r="K322" s="18">
        <f>IF(B322="","",IFERROR(MONTH(B322),""))</f>
        <v/>
      </c>
      <c r="L322" s="5">
        <f>IF(COUNTA(A322:J322)=0,"",IF(E322="","Mangler motkonto",IF((F322="")=(G322=""),"Fyll ut enten Inn eller Ut",IF(OR(IFERROR(INDEX('Kontoplan'!$D$3:$D$302,MATCH(D322,'Kontoplan'!$H$3:$H$302,0))="Støttes ikke",FALSE),IFERROR(INDEX('Kontoplan'!$D$3:$D$302,MATCH(E322,'Kontoplan'!$H$3:$H$302,0))="Støttes ikke",FALSE)),"Kontoen støttes ikke",IF(IFERROR(AND(A322&gt;1,COUNTIF($A$3:$A$2002,A322-1)=0),FALSE),"Nummeret hopper over",IF(OR(NOT(ISNUMBER(B322)),B322&lt;DATE(2027,1,1),B322&gt;DATE(2027,12,31)),"Datoen er ikke i 2027",""))))))</f>
        <v/>
      </c>
    </row>
    <row r="323">
      <c r="A323" s="17" t="n"/>
      <c r="B323" s="9" t="n"/>
      <c r="C323" s="8" t="n"/>
      <c r="D323" s="8" t="n"/>
      <c r="E323" s="8" t="n"/>
      <c r="F323" s="14" t="n"/>
      <c r="G323" s="14" t="n"/>
      <c r="H323" s="8" t="n"/>
      <c r="I323" s="8" t="n"/>
      <c r="J323" s="8" t="n"/>
      <c r="K323" s="18">
        <f>IF(B323="","",IFERROR(MONTH(B323),""))</f>
        <v/>
      </c>
      <c r="L323" s="5">
        <f>IF(COUNTA(A323:J323)=0,"",IF(E323="","Mangler motkonto",IF((F323="")=(G323=""),"Fyll ut enten Inn eller Ut",IF(OR(IFERROR(INDEX('Kontoplan'!$D$3:$D$302,MATCH(D323,'Kontoplan'!$H$3:$H$302,0))="Støttes ikke",FALSE),IFERROR(INDEX('Kontoplan'!$D$3:$D$302,MATCH(E323,'Kontoplan'!$H$3:$H$302,0))="Støttes ikke",FALSE)),"Kontoen støttes ikke",IF(IFERROR(AND(A323&gt;1,COUNTIF($A$3:$A$2002,A323-1)=0),FALSE),"Nummeret hopper over",IF(OR(NOT(ISNUMBER(B323)),B323&lt;DATE(2027,1,1),B323&gt;DATE(2027,12,31)),"Datoen er ikke i 2027",""))))))</f>
        <v/>
      </c>
    </row>
    <row r="324">
      <c r="A324" s="17" t="n"/>
      <c r="B324" s="9" t="n"/>
      <c r="C324" s="8" t="n"/>
      <c r="D324" s="8" t="n"/>
      <c r="E324" s="8" t="n"/>
      <c r="F324" s="14" t="n"/>
      <c r="G324" s="14" t="n"/>
      <c r="H324" s="8" t="n"/>
      <c r="I324" s="8" t="n"/>
      <c r="J324" s="8" t="n"/>
      <c r="K324" s="18">
        <f>IF(B324="","",IFERROR(MONTH(B324),""))</f>
        <v/>
      </c>
      <c r="L324" s="5">
        <f>IF(COUNTA(A324:J324)=0,"",IF(E324="","Mangler motkonto",IF((F324="")=(G324=""),"Fyll ut enten Inn eller Ut",IF(OR(IFERROR(INDEX('Kontoplan'!$D$3:$D$302,MATCH(D324,'Kontoplan'!$H$3:$H$302,0))="Støttes ikke",FALSE),IFERROR(INDEX('Kontoplan'!$D$3:$D$302,MATCH(E324,'Kontoplan'!$H$3:$H$302,0))="Støttes ikke",FALSE)),"Kontoen støttes ikke",IF(IFERROR(AND(A324&gt;1,COUNTIF($A$3:$A$2002,A324-1)=0),FALSE),"Nummeret hopper over",IF(OR(NOT(ISNUMBER(B324)),B324&lt;DATE(2027,1,1),B324&gt;DATE(2027,12,31)),"Datoen er ikke i 2027",""))))))</f>
        <v/>
      </c>
    </row>
    <row r="325">
      <c r="A325" s="17" t="n"/>
      <c r="B325" s="9" t="n"/>
      <c r="C325" s="8" t="n"/>
      <c r="D325" s="8" t="n"/>
      <c r="E325" s="8" t="n"/>
      <c r="F325" s="14" t="n"/>
      <c r="G325" s="14" t="n"/>
      <c r="H325" s="8" t="n"/>
      <c r="I325" s="8" t="n"/>
      <c r="J325" s="8" t="n"/>
      <c r="K325" s="18">
        <f>IF(B325="","",IFERROR(MONTH(B325),""))</f>
        <v/>
      </c>
      <c r="L325" s="5">
        <f>IF(COUNTA(A325:J325)=0,"",IF(E325="","Mangler motkonto",IF((F325="")=(G325=""),"Fyll ut enten Inn eller Ut",IF(OR(IFERROR(INDEX('Kontoplan'!$D$3:$D$302,MATCH(D325,'Kontoplan'!$H$3:$H$302,0))="Støttes ikke",FALSE),IFERROR(INDEX('Kontoplan'!$D$3:$D$302,MATCH(E325,'Kontoplan'!$H$3:$H$302,0))="Støttes ikke",FALSE)),"Kontoen støttes ikke",IF(IFERROR(AND(A325&gt;1,COUNTIF($A$3:$A$2002,A325-1)=0),FALSE),"Nummeret hopper over",IF(OR(NOT(ISNUMBER(B325)),B325&lt;DATE(2027,1,1),B325&gt;DATE(2027,12,31)),"Datoen er ikke i 2027",""))))))</f>
        <v/>
      </c>
    </row>
    <row r="326">
      <c r="A326" s="17" t="n"/>
      <c r="B326" s="9" t="n"/>
      <c r="C326" s="8" t="n"/>
      <c r="D326" s="8" t="n"/>
      <c r="E326" s="8" t="n"/>
      <c r="F326" s="14" t="n"/>
      <c r="G326" s="14" t="n"/>
      <c r="H326" s="8" t="n"/>
      <c r="I326" s="8" t="n"/>
      <c r="J326" s="8" t="n"/>
      <c r="K326" s="18">
        <f>IF(B326="","",IFERROR(MONTH(B326),""))</f>
        <v/>
      </c>
      <c r="L326" s="5">
        <f>IF(COUNTA(A326:J326)=0,"",IF(E326="","Mangler motkonto",IF((F326="")=(G326=""),"Fyll ut enten Inn eller Ut",IF(OR(IFERROR(INDEX('Kontoplan'!$D$3:$D$302,MATCH(D326,'Kontoplan'!$H$3:$H$302,0))="Støttes ikke",FALSE),IFERROR(INDEX('Kontoplan'!$D$3:$D$302,MATCH(E326,'Kontoplan'!$H$3:$H$302,0))="Støttes ikke",FALSE)),"Kontoen støttes ikke",IF(IFERROR(AND(A326&gt;1,COUNTIF($A$3:$A$2002,A326-1)=0),FALSE),"Nummeret hopper over",IF(OR(NOT(ISNUMBER(B326)),B326&lt;DATE(2027,1,1),B326&gt;DATE(2027,12,31)),"Datoen er ikke i 2027",""))))))</f>
        <v/>
      </c>
    </row>
    <row r="327">
      <c r="A327" s="17" t="n"/>
      <c r="B327" s="9" t="n"/>
      <c r="C327" s="8" t="n"/>
      <c r="D327" s="8" t="n"/>
      <c r="E327" s="8" t="n"/>
      <c r="F327" s="14" t="n"/>
      <c r="G327" s="14" t="n"/>
      <c r="H327" s="8" t="n"/>
      <c r="I327" s="8" t="n"/>
      <c r="J327" s="8" t="n"/>
      <c r="K327" s="18">
        <f>IF(B327="","",IFERROR(MONTH(B327),""))</f>
        <v/>
      </c>
      <c r="L327" s="5">
        <f>IF(COUNTA(A327:J327)=0,"",IF(E327="","Mangler motkonto",IF((F327="")=(G327=""),"Fyll ut enten Inn eller Ut",IF(OR(IFERROR(INDEX('Kontoplan'!$D$3:$D$302,MATCH(D327,'Kontoplan'!$H$3:$H$302,0))="Støttes ikke",FALSE),IFERROR(INDEX('Kontoplan'!$D$3:$D$302,MATCH(E327,'Kontoplan'!$H$3:$H$302,0))="Støttes ikke",FALSE)),"Kontoen støttes ikke",IF(IFERROR(AND(A327&gt;1,COUNTIF($A$3:$A$2002,A327-1)=0),FALSE),"Nummeret hopper over",IF(OR(NOT(ISNUMBER(B327)),B327&lt;DATE(2027,1,1),B327&gt;DATE(2027,12,31)),"Datoen er ikke i 2027",""))))))</f>
        <v/>
      </c>
    </row>
    <row r="328">
      <c r="A328" s="17" t="n"/>
      <c r="B328" s="9" t="n"/>
      <c r="C328" s="8" t="n"/>
      <c r="D328" s="8" t="n"/>
      <c r="E328" s="8" t="n"/>
      <c r="F328" s="14" t="n"/>
      <c r="G328" s="14" t="n"/>
      <c r="H328" s="8" t="n"/>
      <c r="I328" s="8" t="n"/>
      <c r="J328" s="8" t="n"/>
      <c r="K328" s="18">
        <f>IF(B328="","",IFERROR(MONTH(B328),""))</f>
        <v/>
      </c>
      <c r="L328" s="5">
        <f>IF(COUNTA(A328:J328)=0,"",IF(E328="","Mangler motkonto",IF((F328="")=(G328=""),"Fyll ut enten Inn eller Ut",IF(OR(IFERROR(INDEX('Kontoplan'!$D$3:$D$302,MATCH(D328,'Kontoplan'!$H$3:$H$302,0))="Støttes ikke",FALSE),IFERROR(INDEX('Kontoplan'!$D$3:$D$302,MATCH(E328,'Kontoplan'!$H$3:$H$302,0))="Støttes ikke",FALSE)),"Kontoen støttes ikke",IF(IFERROR(AND(A328&gt;1,COUNTIF($A$3:$A$2002,A328-1)=0),FALSE),"Nummeret hopper over",IF(OR(NOT(ISNUMBER(B328)),B328&lt;DATE(2027,1,1),B328&gt;DATE(2027,12,31)),"Datoen er ikke i 2027",""))))))</f>
        <v/>
      </c>
    </row>
    <row r="329">
      <c r="A329" s="17" t="n"/>
      <c r="B329" s="9" t="n"/>
      <c r="C329" s="8" t="n"/>
      <c r="D329" s="8" t="n"/>
      <c r="E329" s="8" t="n"/>
      <c r="F329" s="14" t="n"/>
      <c r="G329" s="14" t="n"/>
      <c r="H329" s="8" t="n"/>
      <c r="I329" s="8" t="n"/>
      <c r="J329" s="8" t="n"/>
      <c r="K329" s="18">
        <f>IF(B329="","",IFERROR(MONTH(B329),""))</f>
        <v/>
      </c>
      <c r="L329" s="5">
        <f>IF(COUNTA(A329:J329)=0,"",IF(E329="","Mangler motkonto",IF((F329="")=(G329=""),"Fyll ut enten Inn eller Ut",IF(OR(IFERROR(INDEX('Kontoplan'!$D$3:$D$302,MATCH(D329,'Kontoplan'!$H$3:$H$302,0))="Støttes ikke",FALSE),IFERROR(INDEX('Kontoplan'!$D$3:$D$302,MATCH(E329,'Kontoplan'!$H$3:$H$302,0))="Støttes ikke",FALSE)),"Kontoen støttes ikke",IF(IFERROR(AND(A329&gt;1,COUNTIF($A$3:$A$2002,A329-1)=0),FALSE),"Nummeret hopper over",IF(OR(NOT(ISNUMBER(B329)),B329&lt;DATE(2027,1,1),B329&gt;DATE(2027,12,31)),"Datoen er ikke i 2027",""))))))</f>
        <v/>
      </c>
    </row>
    <row r="330">
      <c r="A330" s="17" t="n"/>
      <c r="B330" s="9" t="n"/>
      <c r="C330" s="8" t="n"/>
      <c r="D330" s="8" t="n"/>
      <c r="E330" s="8" t="n"/>
      <c r="F330" s="14" t="n"/>
      <c r="G330" s="14" t="n"/>
      <c r="H330" s="8" t="n"/>
      <c r="I330" s="8" t="n"/>
      <c r="J330" s="8" t="n"/>
      <c r="K330" s="18">
        <f>IF(B330="","",IFERROR(MONTH(B330),""))</f>
        <v/>
      </c>
      <c r="L330" s="5">
        <f>IF(COUNTA(A330:J330)=0,"",IF(E330="","Mangler motkonto",IF((F330="")=(G330=""),"Fyll ut enten Inn eller Ut",IF(OR(IFERROR(INDEX('Kontoplan'!$D$3:$D$302,MATCH(D330,'Kontoplan'!$H$3:$H$302,0))="Støttes ikke",FALSE),IFERROR(INDEX('Kontoplan'!$D$3:$D$302,MATCH(E330,'Kontoplan'!$H$3:$H$302,0))="Støttes ikke",FALSE)),"Kontoen støttes ikke",IF(IFERROR(AND(A330&gt;1,COUNTIF($A$3:$A$2002,A330-1)=0),FALSE),"Nummeret hopper over",IF(OR(NOT(ISNUMBER(B330)),B330&lt;DATE(2027,1,1),B330&gt;DATE(2027,12,31)),"Datoen er ikke i 2027",""))))))</f>
        <v/>
      </c>
    </row>
    <row r="331">
      <c r="A331" s="17" t="n"/>
      <c r="B331" s="9" t="n"/>
      <c r="C331" s="8" t="n"/>
      <c r="D331" s="8" t="n"/>
      <c r="E331" s="8" t="n"/>
      <c r="F331" s="14" t="n"/>
      <c r="G331" s="14" t="n"/>
      <c r="H331" s="8" t="n"/>
      <c r="I331" s="8" t="n"/>
      <c r="J331" s="8" t="n"/>
      <c r="K331" s="18">
        <f>IF(B331="","",IFERROR(MONTH(B331),""))</f>
        <v/>
      </c>
      <c r="L331" s="5">
        <f>IF(COUNTA(A331:J331)=0,"",IF(E331="","Mangler motkonto",IF((F331="")=(G331=""),"Fyll ut enten Inn eller Ut",IF(OR(IFERROR(INDEX('Kontoplan'!$D$3:$D$302,MATCH(D331,'Kontoplan'!$H$3:$H$302,0))="Støttes ikke",FALSE),IFERROR(INDEX('Kontoplan'!$D$3:$D$302,MATCH(E331,'Kontoplan'!$H$3:$H$302,0))="Støttes ikke",FALSE)),"Kontoen støttes ikke",IF(IFERROR(AND(A331&gt;1,COUNTIF($A$3:$A$2002,A331-1)=0),FALSE),"Nummeret hopper over",IF(OR(NOT(ISNUMBER(B331)),B331&lt;DATE(2027,1,1),B331&gt;DATE(2027,12,31)),"Datoen er ikke i 2027",""))))))</f>
        <v/>
      </c>
    </row>
    <row r="332">
      <c r="A332" s="17" t="n"/>
      <c r="B332" s="9" t="n"/>
      <c r="C332" s="8" t="n"/>
      <c r="D332" s="8" t="n"/>
      <c r="E332" s="8" t="n"/>
      <c r="F332" s="14" t="n"/>
      <c r="G332" s="14" t="n"/>
      <c r="H332" s="8" t="n"/>
      <c r="I332" s="8" t="n"/>
      <c r="J332" s="8" t="n"/>
      <c r="K332" s="18">
        <f>IF(B332="","",IFERROR(MONTH(B332),""))</f>
        <v/>
      </c>
      <c r="L332" s="5">
        <f>IF(COUNTA(A332:J332)=0,"",IF(E332="","Mangler motkonto",IF((F332="")=(G332=""),"Fyll ut enten Inn eller Ut",IF(OR(IFERROR(INDEX('Kontoplan'!$D$3:$D$302,MATCH(D332,'Kontoplan'!$H$3:$H$302,0))="Støttes ikke",FALSE),IFERROR(INDEX('Kontoplan'!$D$3:$D$302,MATCH(E332,'Kontoplan'!$H$3:$H$302,0))="Støttes ikke",FALSE)),"Kontoen støttes ikke",IF(IFERROR(AND(A332&gt;1,COUNTIF($A$3:$A$2002,A332-1)=0),FALSE),"Nummeret hopper over",IF(OR(NOT(ISNUMBER(B332)),B332&lt;DATE(2027,1,1),B332&gt;DATE(2027,12,31)),"Datoen er ikke i 2027",""))))))</f>
        <v/>
      </c>
    </row>
    <row r="333">
      <c r="A333" s="17" t="n"/>
      <c r="B333" s="9" t="n"/>
      <c r="C333" s="8" t="n"/>
      <c r="D333" s="8" t="n"/>
      <c r="E333" s="8" t="n"/>
      <c r="F333" s="14" t="n"/>
      <c r="G333" s="14" t="n"/>
      <c r="H333" s="8" t="n"/>
      <c r="I333" s="8" t="n"/>
      <c r="J333" s="8" t="n"/>
      <c r="K333" s="18">
        <f>IF(B333="","",IFERROR(MONTH(B333),""))</f>
        <v/>
      </c>
      <c r="L333" s="5">
        <f>IF(COUNTA(A333:J333)=0,"",IF(E333="","Mangler motkonto",IF((F333="")=(G333=""),"Fyll ut enten Inn eller Ut",IF(OR(IFERROR(INDEX('Kontoplan'!$D$3:$D$302,MATCH(D333,'Kontoplan'!$H$3:$H$302,0))="Støttes ikke",FALSE),IFERROR(INDEX('Kontoplan'!$D$3:$D$302,MATCH(E333,'Kontoplan'!$H$3:$H$302,0))="Støttes ikke",FALSE)),"Kontoen støttes ikke",IF(IFERROR(AND(A333&gt;1,COUNTIF($A$3:$A$2002,A333-1)=0),FALSE),"Nummeret hopper over",IF(OR(NOT(ISNUMBER(B333)),B333&lt;DATE(2027,1,1),B333&gt;DATE(2027,12,31)),"Datoen er ikke i 2027",""))))))</f>
        <v/>
      </c>
    </row>
    <row r="334">
      <c r="A334" s="17" t="n"/>
      <c r="B334" s="9" t="n"/>
      <c r="C334" s="8" t="n"/>
      <c r="D334" s="8" t="n"/>
      <c r="E334" s="8" t="n"/>
      <c r="F334" s="14" t="n"/>
      <c r="G334" s="14" t="n"/>
      <c r="H334" s="8" t="n"/>
      <c r="I334" s="8" t="n"/>
      <c r="J334" s="8" t="n"/>
      <c r="K334" s="18">
        <f>IF(B334="","",IFERROR(MONTH(B334),""))</f>
        <v/>
      </c>
      <c r="L334" s="5">
        <f>IF(COUNTA(A334:J334)=0,"",IF(E334="","Mangler motkonto",IF((F334="")=(G334=""),"Fyll ut enten Inn eller Ut",IF(OR(IFERROR(INDEX('Kontoplan'!$D$3:$D$302,MATCH(D334,'Kontoplan'!$H$3:$H$302,0))="Støttes ikke",FALSE),IFERROR(INDEX('Kontoplan'!$D$3:$D$302,MATCH(E334,'Kontoplan'!$H$3:$H$302,0))="Støttes ikke",FALSE)),"Kontoen støttes ikke",IF(IFERROR(AND(A334&gt;1,COUNTIF($A$3:$A$2002,A334-1)=0),FALSE),"Nummeret hopper over",IF(OR(NOT(ISNUMBER(B334)),B334&lt;DATE(2027,1,1),B334&gt;DATE(2027,12,31)),"Datoen er ikke i 2027",""))))))</f>
        <v/>
      </c>
    </row>
    <row r="335">
      <c r="A335" s="17" t="n"/>
      <c r="B335" s="9" t="n"/>
      <c r="C335" s="8" t="n"/>
      <c r="D335" s="8" t="n"/>
      <c r="E335" s="8" t="n"/>
      <c r="F335" s="14" t="n"/>
      <c r="G335" s="14" t="n"/>
      <c r="H335" s="8" t="n"/>
      <c r="I335" s="8" t="n"/>
      <c r="J335" s="8" t="n"/>
      <c r="K335" s="18">
        <f>IF(B335="","",IFERROR(MONTH(B335),""))</f>
        <v/>
      </c>
      <c r="L335" s="5">
        <f>IF(COUNTA(A335:J335)=0,"",IF(E335="","Mangler motkonto",IF((F335="")=(G335=""),"Fyll ut enten Inn eller Ut",IF(OR(IFERROR(INDEX('Kontoplan'!$D$3:$D$302,MATCH(D335,'Kontoplan'!$H$3:$H$302,0))="Støttes ikke",FALSE),IFERROR(INDEX('Kontoplan'!$D$3:$D$302,MATCH(E335,'Kontoplan'!$H$3:$H$302,0))="Støttes ikke",FALSE)),"Kontoen støttes ikke",IF(IFERROR(AND(A335&gt;1,COUNTIF($A$3:$A$2002,A335-1)=0),FALSE),"Nummeret hopper over",IF(OR(NOT(ISNUMBER(B335)),B335&lt;DATE(2027,1,1),B335&gt;DATE(2027,12,31)),"Datoen er ikke i 2027",""))))))</f>
        <v/>
      </c>
    </row>
    <row r="336">
      <c r="A336" s="17" t="n"/>
      <c r="B336" s="9" t="n"/>
      <c r="C336" s="8" t="n"/>
      <c r="D336" s="8" t="n"/>
      <c r="E336" s="8" t="n"/>
      <c r="F336" s="14" t="n"/>
      <c r="G336" s="14" t="n"/>
      <c r="H336" s="8" t="n"/>
      <c r="I336" s="8" t="n"/>
      <c r="J336" s="8" t="n"/>
      <c r="K336" s="18">
        <f>IF(B336="","",IFERROR(MONTH(B336),""))</f>
        <v/>
      </c>
      <c r="L336" s="5">
        <f>IF(COUNTA(A336:J336)=0,"",IF(E336="","Mangler motkonto",IF((F336="")=(G336=""),"Fyll ut enten Inn eller Ut",IF(OR(IFERROR(INDEX('Kontoplan'!$D$3:$D$302,MATCH(D336,'Kontoplan'!$H$3:$H$302,0))="Støttes ikke",FALSE),IFERROR(INDEX('Kontoplan'!$D$3:$D$302,MATCH(E336,'Kontoplan'!$H$3:$H$302,0))="Støttes ikke",FALSE)),"Kontoen støttes ikke",IF(IFERROR(AND(A336&gt;1,COUNTIF($A$3:$A$2002,A336-1)=0),FALSE),"Nummeret hopper over",IF(OR(NOT(ISNUMBER(B336)),B336&lt;DATE(2027,1,1),B336&gt;DATE(2027,12,31)),"Datoen er ikke i 2027",""))))))</f>
        <v/>
      </c>
    </row>
    <row r="337">
      <c r="A337" s="17" t="n"/>
      <c r="B337" s="9" t="n"/>
      <c r="C337" s="8" t="n"/>
      <c r="D337" s="8" t="n"/>
      <c r="E337" s="8" t="n"/>
      <c r="F337" s="14" t="n"/>
      <c r="G337" s="14" t="n"/>
      <c r="H337" s="8" t="n"/>
      <c r="I337" s="8" t="n"/>
      <c r="J337" s="8" t="n"/>
      <c r="K337" s="18">
        <f>IF(B337="","",IFERROR(MONTH(B337),""))</f>
        <v/>
      </c>
      <c r="L337" s="5">
        <f>IF(COUNTA(A337:J337)=0,"",IF(E337="","Mangler motkonto",IF((F337="")=(G337=""),"Fyll ut enten Inn eller Ut",IF(OR(IFERROR(INDEX('Kontoplan'!$D$3:$D$302,MATCH(D337,'Kontoplan'!$H$3:$H$302,0))="Støttes ikke",FALSE),IFERROR(INDEX('Kontoplan'!$D$3:$D$302,MATCH(E337,'Kontoplan'!$H$3:$H$302,0))="Støttes ikke",FALSE)),"Kontoen støttes ikke",IF(IFERROR(AND(A337&gt;1,COUNTIF($A$3:$A$2002,A337-1)=0),FALSE),"Nummeret hopper over",IF(OR(NOT(ISNUMBER(B337)),B337&lt;DATE(2027,1,1),B337&gt;DATE(2027,12,31)),"Datoen er ikke i 2027",""))))))</f>
        <v/>
      </c>
    </row>
    <row r="338">
      <c r="A338" s="17" t="n"/>
      <c r="B338" s="9" t="n"/>
      <c r="C338" s="8" t="n"/>
      <c r="D338" s="8" t="n"/>
      <c r="E338" s="8" t="n"/>
      <c r="F338" s="14" t="n"/>
      <c r="G338" s="14" t="n"/>
      <c r="H338" s="8" t="n"/>
      <c r="I338" s="8" t="n"/>
      <c r="J338" s="8" t="n"/>
      <c r="K338" s="18">
        <f>IF(B338="","",IFERROR(MONTH(B338),""))</f>
        <v/>
      </c>
      <c r="L338" s="5">
        <f>IF(COUNTA(A338:J338)=0,"",IF(E338="","Mangler motkonto",IF((F338="")=(G338=""),"Fyll ut enten Inn eller Ut",IF(OR(IFERROR(INDEX('Kontoplan'!$D$3:$D$302,MATCH(D338,'Kontoplan'!$H$3:$H$302,0))="Støttes ikke",FALSE),IFERROR(INDEX('Kontoplan'!$D$3:$D$302,MATCH(E338,'Kontoplan'!$H$3:$H$302,0))="Støttes ikke",FALSE)),"Kontoen støttes ikke",IF(IFERROR(AND(A338&gt;1,COUNTIF($A$3:$A$2002,A338-1)=0),FALSE),"Nummeret hopper over",IF(OR(NOT(ISNUMBER(B338)),B338&lt;DATE(2027,1,1),B338&gt;DATE(2027,12,31)),"Datoen er ikke i 2027",""))))))</f>
        <v/>
      </c>
    </row>
    <row r="339">
      <c r="A339" s="17" t="n"/>
      <c r="B339" s="9" t="n"/>
      <c r="C339" s="8" t="n"/>
      <c r="D339" s="8" t="n"/>
      <c r="E339" s="8" t="n"/>
      <c r="F339" s="14" t="n"/>
      <c r="G339" s="14" t="n"/>
      <c r="H339" s="8" t="n"/>
      <c r="I339" s="8" t="n"/>
      <c r="J339" s="8" t="n"/>
      <c r="K339" s="18">
        <f>IF(B339="","",IFERROR(MONTH(B339),""))</f>
        <v/>
      </c>
      <c r="L339" s="5">
        <f>IF(COUNTA(A339:J339)=0,"",IF(E339="","Mangler motkonto",IF((F339="")=(G339=""),"Fyll ut enten Inn eller Ut",IF(OR(IFERROR(INDEX('Kontoplan'!$D$3:$D$302,MATCH(D339,'Kontoplan'!$H$3:$H$302,0))="Støttes ikke",FALSE),IFERROR(INDEX('Kontoplan'!$D$3:$D$302,MATCH(E339,'Kontoplan'!$H$3:$H$302,0))="Støttes ikke",FALSE)),"Kontoen støttes ikke",IF(IFERROR(AND(A339&gt;1,COUNTIF($A$3:$A$2002,A339-1)=0),FALSE),"Nummeret hopper over",IF(OR(NOT(ISNUMBER(B339)),B339&lt;DATE(2027,1,1),B339&gt;DATE(2027,12,31)),"Datoen er ikke i 2027",""))))))</f>
        <v/>
      </c>
    </row>
    <row r="340">
      <c r="A340" s="17" t="n"/>
      <c r="B340" s="9" t="n"/>
      <c r="C340" s="8" t="n"/>
      <c r="D340" s="8" t="n"/>
      <c r="E340" s="8" t="n"/>
      <c r="F340" s="14" t="n"/>
      <c r="G340" s="14" t="n"/>
      <c r="H340" s="8" t="n"/>
      <c r="I340" s="8" t="n"/>
      <c r="J340" s="8" t="n"/>
      <c r="K340" s="18">
        <f>IF(B340="","",IFERROR(MONTH(B340),""))</f>
        <v/>
      </c>
      <c r="L340" s="5">
        <f>IF(COUNTA(A340:J340)=0,"",IF(E340="","Mangler motkonto",IF((F340="")=(G340=""),"Fyll ut enten Inn eller Ut",IF(OR(IFERROR(INDEX('Kontoplan'!$D$3:$D$302,MATCH(D340,'Kontoplan'!$H$3:$H$302,0))="Støttes ikke",FALSE),IFERROR(INDEX('Kontoplan'!$D$3:$D$302,MATCH(E340,'Kontoplan'!$H$3:$H$302,0))="Støttes ikke",FALSE)),"Kontoen støttes ikke",IF(IFERROR(AND(A340&gt;1,COUNTIF($A$3:$A$2002,A340-1)=0),FALSE),"Nummeret hopper over",IF(OR(NOT(ISNUMBER(B340)),B340&lt;DATE(2027,1,1),B340&gt;DATE(2027,12,31)),"Datoen er ikke i 2027",""))))))</f>
        <v/>
      </c>
    </row>
    <row r="341">
      <c r="A341" s="17" t="n"/>
      <c r="B341" s="9" t="n"/>
      <c r="C341" s="8" t="n"/>
      <c r="D341" s="8" t="n"/>
      <c r="E341" s="8" t="n"/>
      <c r="F341" s="14" t="n"/>
      <c r="G341" s="14" t="n"/>
      <c r="H341" s="8" t="n"/>
      <c r="I341" s="8" t="n"/>
      <c r="J341" s="8" t="n"/>
      <c r="K341" s="18">
        <f>IF(B341="","",IFERROR(MONTH(B341),""))</f>
        <v/>
      </c>
      <c r="L341" s="5">
        <f>IF(COUNTA(A341:J341)=0,"",IF(E341="","Mangler motkonto",IF((F341="")=(G341=""),"Fyll ut enten Inn eller Ut",IF(OR(IFERROR(INDEX('Kontoplan'!$D$3:$D$302,MATCH(D341,'Kontoplan'!$H$3:$H$302,0))="Støttes ikke",FALSE),IFERROR(INDEX('Kontoplan'!$D$3:$D$302,MATCH(E341,'Kontoplan'!$H$3:$H$302,0))="Støttes ikke",FALSE)),"Kontoen støttes ikke",IF(IFERROR(AND(A341&gt;1,COUNTIF($A$3:$A$2002,A341-1)=0),FALSE),"Nummeret hopper over",IF(OR(NOT(ISNUMBER(B341)),B341&lt;DATE(2027,1,1),B341&gt;DATE(2027,12,31)),"Datoen er ikke i 2027",""))))))</f>
        <v/>
      </c>
    </row>
    <row r="342">
      <c r="A342" s="17" t="n"/>
      <c r="B342" s="9" t="n"/>
      <c r="C342" s="8" t="n"/>
      <c r="D342" s="8" t="n"/>
      <c r="E342" s="8" t="n"/>
      <c r="F342" s="14" t="n"/>
      <c r="G342" s="14" t="n"/>
      <c r="H342" s="8" t="n"/>
      <c r="I342" s="8" t="n"/>
      <c r="J342" s="8" t="n"/>
      <c r="K342" s="18">
        <f>IF(B342="","",IFERROR(MONTH(B342),""))</f>
        <v/>
      </c>
      <c r="L342" s="5">
        <f>IF(COUNTA(A342:J342)=0,"",IF(E342="","Mangler motkonto",IF((F342="")=(G342=""),"Fyll ut enten Inn eller Ut",IF(OR(IFERROR(INDEX('Kontoplan'!$D$3:$D$302,MATCH(D342,'Kontoplan'!$H$3:$H$302,0))="Støttes ikke",FALSE),IFERROR(INDEX('Kontoplan'!$D$3:$D$302,MATCH(E342,'Kontoplan'!$H$3:$H$302,0))="Støttes ikke",FALSE)),"Kontoen støttes ikke",IF(IFERROR(AND(A342&gt;1,COUNTIF($A$3:$A$2002,A342-1)=0),FALSE),"Nummeret hopper over",IF(OR(NOT(ISNUMBER(B342)),B342&lt;DATE(2027,1,1),B342&gt;DATE(2027,12,31)),"Datoen er ikke i 2027",""))))))</f>
        <v/>
      </c>
    </row>
    <row r="343">
      <c r="A343" s="17" t="n"/>
      <c r="B343" s="9" t="n"/>
      <c r="C343" s="8" t="n"/>
      <c r="D343" s="8" t="n"/>
      <c r="E343" s="8" t="n"/>
      <c r="F343" s="14" t="n"/>
      <c r="G343" s="14" t="n"/>
      <c r="H343" s="8" t="n"/>
      <c r="I343" s="8" t="n"/>
      <c r="J343" s="8" t="n"/>
      <c r="K343" s="18">
        <f>IF(B343="","",IFERROR(MONTH(B343),""))</f>
        <v/>
      </c>
      <c r="L343" s="5">
        <f>IF(COUNTA(A343:J343)=0,"",IF(E343="","Mangler motkonto",IF((F343="")=(G343=""),"Fyll ut enten Inn eller Ut",IF(OR(IFERROR(INDEX('Kontoplan'!$D$3:$D$302,MATCH(D343,'Kontoplan'!$H$3:$H$302,0))="Støttes ikke",FALSE),IFERROR(INDEX('Kontoplan'!$D$3:$D$302,MATCH(E343,'Kontoplan'!$H$3:$H$302,0))="Støttes ikke",FALSE)),"Kontoen støttes ikke",IF(IFERROR(AND(A343&gt;1,COUNTIF($A$3:$A$2002,A343-1)=0),FALSE),"Nummeret hopper over",IF(OR(NOT(ISNUMBER(B343)),B343&lt;DATE(2027,1,1),B343&gt;DATE(2027,12,31)),"Datoen er ikke i 2027",""))))))</f>
        <v/>
      </c>
    </row>
    <row r="344">
      <c r="A344" s="17" t="n"/>
      <c r="B344" s="9" t="n"/>
      <c r="C344" s="8" t="n"/>
      <c r="D344" s="8" t="n"/>
      <c r="E344" s="8" t="n"/>
      <c r="F344" s="14" t="n"/>
      <c r="G344" s="14" t="n"/>
      <c r="H344" s="8" t="n"/>
      <c r="I344" s="8" t="n"/>
      <c r="J344" s="8" t="n"/>
      <c r="K344" s="18">
        <f>IF(B344="","",IFERROR(MONTH(B344),""))</f>
        <v/>
      </c>
      <c r="L344" s="5">
        <f>IF(COUNTA(A344:J344)=0,"",IF(E344="","Mangler motkonto",IF((F344="")=(G344=""),"Fyll ut enten Inn eller Ut",IF(OR(IFERROR(INDEX('Kontoplan'!$D$3:$D$302,MATCH(D344,'Kontoplan'!$H$3:$H$302,0))="Støttes ikke",FALSE),IFERROR(INDEX('Kontoplan'!$D$3:$D$302,MATCH(E344,'Kontoplan'!$H$3:$H$302,0))="Støttes ikke",FALSE)),"Kontoen støttes ikke",IF(IFERROR(AND(A344&gt;1,COUNTIF($A$3:$A$2002,A344-1)=0),FALSE),"Nummeret hopper over",IF(OR(NOT(ISNUMBER(B344)),B344&lt;DATE(2027,1,1),B344&gt;DATE(2027,12,31)),"Datoen er ikke i 2027",""))))))</f>
        <v/>
      </c>
    </row>
    <row r="345">
      <c r="A345" s="17" t="n"/>
      <c r="B345" s="9" t="n"/>
      <c r="C345" s="8" t="n"/>
      <c r="D345" s="8" t="n"/>
      <c r="E345" s="8" t="n"/>
      <c r="F345" s="14" t="n"/>
      <c r="G345" s="14" t="n"/>
      <c r="H345" s="8" t="n"/>
      <c r="I345" s="8" t="n"/>
      <c r="J345" s="8" t="n"/>
      <c r="K345" s="18">
        <f>IF(B345="","",IFERROR(MONTH(B345),""))</f>
        <v/>
      </c>
      <c r="L345" s="5">
        <f>IF(COUNTA(A345:J345)=0,"",IF(E345="","Mangler motkonto",IF((F345="")=(G345=""),"Fyll ut enten Inn eller Ut",IF(OR(IFERROR(INDEX('Kontoplan'!$D$3:$D$302,MATCH(D345,'Kontoplan'!$H$3:$H$302,0))="Støttes ikke",FALSE),IFERROR(INDEX('Kontoplan'!$D$3:$D$302,MATCH(E345,'Kontoplan'!$H$3:$H$302,0))="Støttes ikke",FALSE)),"Kontoen støttes ikke",IF(IFERROR(AND(A345&gt;1,COUNTIF($A$3:$A$2002,A345-1)=0),FALSE),"Nummeret hopper over",IF(OR(NOT(ISNUMBER(B345)),B345&lt;DATE(2027,1,1),B345&gt;DATE(2027,12,31)),"Datoen er ikke i 2027",""))))))</f>
        <v/>
      </c>
    </row>
    <row r="346">
      <c r="A346" s="17" t="n"/>
      <c r="B346" s="9" t="n"/>
      <c r="C346" s="8" t="n"/>
      <c r="D346" s="8" t="n"/>
      <c r="E346" s="8" t="n"/>
      <c r="F346" s="14" t="n"/>
      <c r="G346" s="14" t="n"/>
      <c r="H346" s="8" t="n"/>
      <c r="I346" s="8" t="n"/>
      <c r="J346" s="8" t="n"/>
      <c r="K346" s="18">
        <f>IF(B346="","",IFERROR(MONTH(B346),""))</f>
        <v/>
      </c>
      <c r="L346" s="5">
        <f>IF(COUNTA(A346:J346)=0,"",IF(E346="","Mangler motkonto",IF((F346="")=(G346=""),"Fyll ut enten Inn eller Ut",IF(OR(IFERROR(INDEX('Kontoplan'!$D$3:$D$302,MATCH(D346,'Kontoplan'!$H$3:$H$302,0))="Støttes ikke",FALSE),IFERROR(INDEX('Kontoplan'!$D$3:$D$302,MATCH(E346,'Kontoplan'!$H$3:$H$302,0))="Støttes ikke",FALSE)),"Kontoen støttes ikke",IF(IFERROR(AND(A346&gt;1,COUNTIF($A$3:$A$2002,A346-1)=0),FALSE),"Nummeret hopper over",IF(OR(NOT(ISNUMBER(B346)),B346&lt;DATE(2027,1,1),B346&gt;DATE(2027,12,31)),"Datoen er ikke i 2027",""))))))</f>
        <v/>
      </c>
    </row>
    <row r="347">
      <c r="A347" s="17" t="n"/>
      <c r="B347" s="9" t="n"/>
      <c r="C347" s="8" t="n"/>
      <c r="D347" s="8" t="n"/>
      <c r="E347" s="8" t="n"/>
      <c r="F347" s="14" t="n"/>
      <c r="G347" s="14" t="n"/>
      <c r="H347" s="8" t="n"/>
      <c r="I347" s="8" t="n"/>
      <c r="J347" s="8" t="n"/>
      <c r="K347" s="18">
        <f>IF(B347="","",IFERROR(MONTH(B347),""))</f>
        <v/>
      </c>
      <c r="L347" s="5">
        <f>IF(COUNTA(A347:J347)=0,"",IF(E347="","Mangler motkonto",IF((F347="")=(G347=""),"Fyll ut enten Inn eller Ut",IF(OR(IFERROR(INDEX('Kontoplan'!$D$3:$D$302,MATCH(D347,'Kontoplan'!$H$3:$H$302,0))="Støttes ikke",FALSE),IFERROR(INDEX('Kontoplan'!$D$3:$D$302,MATCH(E347,'Kontoplan'!$H$3:$H$302,0))="Støttes ikke",FALSE)),"Kontoen støttes ikke",IF(IFERROR(AND(A347&gt;1,COUNTIF($A$3:$A$2002,A347-1)=0),FALSE),"Nummeret hopper over",IF(OR(NOT(ISNUMBER(B347)),B347&lt;DATE(2027,1,1),B347&gt;DATE(2027,12,31)),"Datoen er ikke i 2027",""))))))</f>
        <v/>
      </c>
    </row>
    <row r="348">
      <c r="A348" s="17" t="n"/>
      <c r="B348" s="9" t="n"/>
      <c r="C348" s="8" t="n"/>
      <c r="D348" s="8" t="n"/>
      <c r="E348" s="8" t="n"/>
      <c r="F348" s="14" t="n"/>
      <c r="G348" s="14" t="n"/>
      <c r="H348" s="8" t="n"/>
      <c r="I348" s="8" t="n"/>
      <c r="J348" s="8" t="n"/>
      <c r="K348" s="18">
        <f>IF(B348="","",IFERROR(MONTH(B348),""))</f>
        <v/>
      </c>
      <c r="L348" s="5">
        <f>IF(COUNTA(A348:J348)=0,"",IF(E348="","Mangler motkonto",IF((F348="")=(G348=""),"Fyll ut enten Inn eller Ut",IF(OR(IFERROR(INDEX('Kontoplan'!$D$3:$D$302,MATCH(D348,'Kontoplan'!$H$3:$H$302,0))="Støttes ikke",FALSE),IFERROR(INDEX('Kontoplan'!$D$3:$D$302,MATCH(E348,'Kontoplan'!$H$3:$H$302,0))="Støttes ikke",FALSE)),"Kontoen støttes ikke",IF(IFERROR(AND(A348&gt;1,COUNTIF($A$3:$A$2002,A348-1)=0),FALSE),"Nummeret hopper over",IF(OR(NOT(ISNUMBER(B348)),B348&lt;DATE(2027,1,1),B348&gt;DATE(2027,12,31)),"Datoen er ikke i 2027",""))))))</f>
        <v/>
      </c>
    </row>
    <row r="349">
      <c r="A349" s="17" t="n"/>
      <c r="B349" s="9" t="n"/>
      <c r="C349" s="8" t="n"/>
      <c r="D349" s="8" t="n"/>
      <c r="E349" s="8" t="n"/>
      <c r="F349" s="14" t="n"/>
      <c r="G349" s="14" t="n"/>
      <c r="H349" s="8" t="n"/>
      <c r="I349" s="8" t="n"/>
      <c r="J349" s="8" t="n"/>
      <c r="K349" s="18">
        <f>IF(B349="","",IFERROR(MONTH(B349),""))</f>
        <v/>
      </c>
      <c r="L349" s="5">
        <f>IF(COUNTA(A349:J349)=0,"",IF(E349="","Mangler motkonto",IF((F349="")=(G349=""),"Fyll ut enten Inn eller Ut",IF(OR(IFERROR(INDEX('Kontoplan'!$D$3:$D$302,MATCH(D349,'Kontoplan'!$H$3:$H$302,0))="Støttes ikke",FALSE),IFERROR(INDEX('Kontoplan'!$D$3:$D$302,MATCH(E349,'Kontoplan'!$H$3:$H$302,0))="Støttes ikke",FALSE)),"Kontoen støttes ikke",IF(IFERROR(AND(A349&gt;1,COUNTIF($A$3:$A$2002,A349-1)=0),FALSE),"Nummeret hopper over",IF(OR(NOT(ISNUMBER(B349)),B349&lt;DATE(2027,1,1),B349&gt;DATE(2027,12,31)),"Datoen er ikke i 2027",""))))))</f>
        <v/>
      </c>
    </row>
    <row r="350">
      <c r="A350" s="17" t="n"/>
      <c r="B350" s="9" t="n"/>
      <c r="C350" s="8" t="n"/>
      <c r="D350" s="8" t="n"/>
      <c r="E350" s="8" t="n"/>
      <c r="F350" s="14" t="n"/>
      <c r="G350" s="14" t="n"/>
      <c r="H350" s="8" t="n"/>
      <c r="I350" s="8" t="n"/>
      <c r="J350" s="8" t="n"/>
      <c r="K350" s="18">
        <f>IF(B350="","",IFERROR(MONTH(B350),""))</f>
        <v/>
      </c>
      <c r="L350" s="5">
        <f>IF(COUNTA(A350:J350)=0,"",IF(E350="","Mangler motkonto",IF((F350="")=(G350=""),"Fyll ut enten Inn eller Ut",IF(OR(IFERROR(INDEX('Kontoplan'!$D$3:$D$302,MATCH(D350,'Kontoplan'!$H$3:$H$302,0))="Støttes ikke",FALSE),IFERROR(INDEX('Kontoplan'!$D$3:$D$302,MATCH(E350,'Kontoplan'!$H$3:$H$302,0))="Støttes ikke",FALSE)),"Kontoen støttes ikke",IF(IFERROR(AND(A350&gt;1,COUNTIF($A$3:$A$2002,A350-1)=0),FALSE),"Nummeret hopper over",IF(OR(NOT(ISNUMBER(B350)),B350&lt;DATE(2027,1,1),B350&gt;DATE(2027,12,31)),"Datoen er ikke i 2027",""))))))</f>
        <v/>
      </c>
    </row>
    <row r="351">
      <c r="A351" s="17" t="n"/>
      <c r="B351" s="9" t="n"/>
      <c r="C351" s="8" t="n"/>
      <c r="D351" s="8" t="n"/>
      <c r="E351" s="8" t="n"/>
      <c r="F351" s="14" t="n"/>
      <c r="G351" s="14" t="n"/>
      <c r="H351" s="8" t="n"/>
      <c r="I351" s="8" t="n"/>
      <c r="J351" s="8" t="n"/>
      <c r="K351" s="18">
        <f>IF(B351="","",IFERROR(MONTH(B351),""))</f>
        <v/>
      </c>
      <c r="L351" s="5">
        <f>IF(COUNTA(A351:J351)=0,"",IF(E351="","Mangler motkonto",IF((F351="")=(G351=""),"Fyll ut enten Inn eller Ut",IF(OR(IFERROR(INDEX('Kontoplan'!$D$3:$D$302,MATCH(D351,'Kontoplan'!$H$3:$H$302,0))="Støttes ikke",FALSE),IFERROR(INDEX('Kontoplan'!$D$3:$D$302,MATCH(E351,'Kontoplan'!$H$3:$H$302,0))="Støttes ikke",FALSE)),"Kontoen støttes ikke",IF(IFERROR(AND(A351&gt;1,COUNTIF($A$3:$A$2002,A351-1)=0),FALSE),"Nummeret hopper over",IF(OR(NOT(ISNUMBER(B351)),B351&lt;DATE(2027,1,1),B351&gt;DATE(2027,12,31)),"Datoen er ikke i 2027",""))))))</f>
        <v/>
      </c>
    </row>
    <row r="352">
      <c r="A352" s="17" t="n"/>
      <c r="B352" s="9" t="n"/>
      <c r="C352" s="8" t="n"/>
      <c r="D352" s="8" t="n"/>
      <c r="E352" s="8" t="n"/>
      <c r="F352" s="14" t="n"/>
      <c r="G352" s="14" t="n"/>
      <c r="H352" s="8" t="n"/>
      <c r="I352" s="8" t="n"/>
      <c r="J352" s="8" t="n"/>
      <c r="K352" s="18">
        <f>IF(B352="","",IFERROR(MONTH(B352),""))</f>
        <v/>
      </c>
      <c r="L352" s="5">
        <f>IF(COUNTA(A352:J352)=0,"",IF(E352="","Mangler motkonto",IF((F352="")=(G352=""),"Fyll ut enten Inn eller Ut",IF(OR(IFERROR(INDEX('Kontoplan'!$D$3:$D$302,MATCH(D352,'Kontoplan'!$H$3:$H$302,0))="Støttes ikke",FALSE),IFERROR(INDEX('Kontoplan'!$D$3:$D$302,MATCH(E352,'Kontoplan'!$H$3:$H$302,0))="Støttes ikke",FALSE)),"Kontoen støttes ikke",IF(IFERROR(AND(A352&gt;1,COUNTIF($A$3:$A$2002,A352-1)=0),FALSE),"Nummeret hopper over",IF(OR(NOT(ISNUMBER(B352)),B352&lt;DATE(2027,1,1),B352&gt;DATE(2027,12,31)),"Datoen er ikke i 2027",""))))))</f>
        <v/>
      </c>
    </row>
    <row r="353">
      <c r="A353" s="17" t="n"/>
      <c r="B353" s="9" t="n"/>
      <c r="C353" s="8" t="n"/>
      <c r="D353" s="8" t="n"/>
      <c r="E353" s="8" t="n"/>
      <c r="F353" s="14" t="n"/>
      <c r="G353" s="14" t="n"/>
      <c r="H353" s="8" t="n"/>
      <c r="I353" s="8" t="n"/>
      <c r="J353" s="8" t="n"/>
      <c r="K353" s="18">
        <f>IF(B353="","",IFERROR(MONTH(B353),""))</f>
        <v/>
      </c>
      <c r="L353" s="5">
        <f>IF(COUNTA(A353:J353)=0,"",IF(E353="","Mangler motkonto",IF((F353="")=(G353=""),"Fyll ut enten Inn eller Ut",IF(OR(IFERROR(INDEX('Kontoplan'!$D$3:$D$302,MATCH(D353,'Kontoplan'!$H$3:$H$302,0))="Støttes ikke",FALSE),IFERROR(INDEX('Kontoplan'!$D$3:$D$302,MATCH(E353,'Kontoplan'!$H$3:$H$302,0))="Støttes ikke",FALSE)),"Kontoen støttes ikke",IF(IFERROR(AND(A353&gt;1,COUNTIF($A$3:$A$2002,A353-1)=0),FALSE),"Nummeret hopper over",IF(OR(NOT(ISNUMBER(B353)),B353&lt;DATE(2027,1,1),B353&gt;DATE(2027,12,31)),"Datoen er ikke i 2027",""))))))</f>
        <v/>
      </c>
    </row>
    <row r="354">
      <c r="A354" s="17" t="n"/>
      <c r="B354" s="9" t="n"/>
      <c r="C354" s="8" t="n"/>
      <c r="D354" s="8" t="n"/>
      <c r="E354" s="8" t="n"/>
      <c r="F354" s="14" t="n"/>
      <c r="G354" s="14" t="n"/>
      <c r="H354" s="8" t="n"/>
      <c r="I354" s="8" t="n"/>
      <c r="J354" s="8" t="n"/>
      <c r="K354" s="18">
        <f>IF(B354="","",IFERROR(MONTH(B354),""))</f>
        <v/>
      </c>
      <c r="L354" s="5">
        <f>IF(COUNTA(A354:J354)=0,"",IF(E354="","Mangler motkonto",IF((F354="")=(G354=""),"Fyll ut enten Inn eller Ut",IF(OR(IFERROR(INDEX('Kontoplan'!$D$3:$D$302,MATCH(D354,'Kontoplan'!$H$3:$H$302,0))="Støttes ikke",FALSE),IFERROR(INDEX('Kontoplan'!$D$3:$D$302,MATCH(E354,'Kontoplan'!$H$3:$H$302,0))="Støttes ikke",FALSE)),"Kontoen støttes ikke",IF(IFERROR(AND(A354&gt;1,COUNTIF($A$3:$A$2002,A354-1)=0),FALSE),"Nummeret hopper over",IF(OR(NOT(ISNUMBER(B354)),B354&lt;DATE(2027,1,1),B354&gt;DATE(2027,12,31)),"Datoen er ikke i 2027",""))))))</f>
        <v/>
      </c>
    </row>
    <row r="355">
      <c r="A355" s="17" t="n"/>
      <c r="B355" s="9" t="n"/>
      <c r="C355" s="8" t="n"/>
      <c r="D355" s="8" t="n"/>
      <c r="E355" s="8" t="n"/>
      <c r="F355" s="14" t="n"/>
      <c r="G355" s="14" t="n"/>
      <c r="H355" s="8" t="n"/>
      <c r="I355" s="8" t="n"/>
      <c r="J355" s="8" t="n"/>
      <c r="K355" s="18">
        <f>IF(B355="","",IFERROR(MONTH(B355),""))</f>
        <v/>
      </c>
      <c r="L355" s="5">
        <f>IF(COUNTA(A355:J355)=0,"",IF(E355="","Mangler motkonto",IF((F355="")=(G355=""),"Fyll ut enten Inn eller Ut",IF(OR(IFERROR(INDEX('Kontoplan'!$D$3:$D$302,MATCH(D355,'Kontoplan'!$H$3:$H$302,0))="Støttes ikke",FALSE),IFERROR(INDEX('Kontoplan'!$D$3:$D$302,MATCH(E355,'Kontoplan'!$H$3:$H$302,0))="Støttes ikke",FALSE)),"Kontoen støttes ikke",IF(IFERROR(AND(A355&gt;1,COUNTIF($A$3:$A$2002,A355-1)=0),FALSE),"Nummeret hopper over",IF(OR(NOT(ISNUMBER(B355)),B355&lt;DATE(2027,1,1),B355&gt;DATE(2027,12,31)),"Datoen er ikke i 2027",""))))))</f>
        <v/>
      </c>
    </row>
    <row r="356">
      <c r="A356" s="17" t="n"/>
      <c r="B356" s="9" t="n"/>
      <c r="C356" s="8" t="n"/>
      <c r="D356" s="8" t="n"/>
      <c r="E356" s="8" t="n"/>
      <c r="F356" s="14" t="n"/>
      <c r="G356" s="14" t="n"/>
      <c r="H356" s="8" t="n"/>
      <c r="I356" s="8" t="n"/>
      <c r="J356" s="8" t="n"/>
      <c r="K356" s="18">
        <f>IF(B356="","",IFERROR(MONTH(B356),""))</f>
        <v/>
      </c>
      <c r="L356" s="5">
        <f>IF(COUNTA(A356:J356)=0,"",IF(E356="","Mangler motkonto",IF((F356="")=(G356=""),"Fyll ut enten Inn eller Ut",IF(OR(IFERROR(INDEX('Kontoplan'!$D$3:$D$302,MATCH(D356,'Kontoplan'!$H$3:$H$302,0))="Støttes ikke",FALSE),IFERROR(INDEX('Kontoplan'!$D$3:$D$302,MATCH(E356,'Kontoplan'!$H$3:$H$302,0))="Støttes ikke",FALSE)),"Kontoen støttes ikke",IF(IFERROR(AND(A356&gt;1,COUNTIF($A$3:$A$2002,A356-1)=0),FALSE),"Nummeret hopper over",IF(OR(NOT(ISNUMBER(B356)),B356&lt;DATE(2027,1,1),B356&gt;DATE(2027,12,31)),"Datoen er ikke i 2027",""))))))</f>
        <v/>
      </c>
    </row>
    <row r="357">
      <c r="A357" s="17" t="n"/>
      <c r="B357" s="9" t="n"/>
      <c r="C357" s="8" t="n"/>
      <c r="D357" s="8" t="n"/>
      <c r="E357" s="8" t="n"/>
      <c r="F357" s="14" t="n"/>
      <c r="G357" s="14" t="n"/>
      <c r="H357" s="8" t="n"/>
      <c r="I357" s="8" t="n"/>
      <c r="J357" s="8" t="n"/>
      <c r="K357" s="18">
        <f>IF(B357="","",IFERROR(MONTH(B357),""))</f>
        <v/>
      </c>
      <c r="L357" s="5">
        <f>IF(COUNTA(A357:J357)=0,"",IF(E357="","Mangler motkonto",IF((F357="")=(G357=""),"Fyll ut enten Inn eller Ut",IF(OR(IFERROR(INDEX('Kontoplan'!$D$3:$D$302,MATCH(D357,'Kontoplan'!$H$3:$H$302,0))="Støttes ikke",FALSE),IFERROR(INDEX('Kontoplan'!$D$3:$D$302,MATCH(E357,'Kontoplan'!$H$3:$H$302,0))="Støttes ikke",FALSE)),"Kontoen støttes ikke",IF(IFERROR(AND(A357&gt;1,COUNTIF($A$3:$A$2002,A357-1)=0),FALSE),"Nummeret hopper over",IF(OR(NOT(ISNUMBER(B357)),B357&lt;DATE(2027,1,1),B357&gt;DATE(2027,12,31)),"Datoen er ikke i 2027",""))))))</f>
        <v/>
      </c>
    </row>
    <row r="358">
      <c r="A358" s="17" t="n"/>
      <c r="B358" s="9" t="n"/>
      <c r="C358" s="8" t="n"/>
      <c r="D358" s="8" t="n"/>
      <c r="E358" s="8" t="n"/>
      <c r="F358" s="14" t="n"/>
      <c r="G358" s="14" t="n"/>
      <c r="H358" s="8" t="n"/>
      <c r="I358" s="8" t="n"/>
      <c r="J358" s="8" t="n"/>
      <c r="K358" s="18">
        <f>IF(B358="","",IFERROR(MONTH(B358),""))</f>
        <v/>
      </c>
      <c r="L358" s="5">
        <f>IF(COUNTA(A358:J358)=0,"",IF(E358="","Mangler motkonto",IF((F358="")=(G358=""),"Fyll ut enten Inn eller Ut",IF(OR(IFERROR(INDEX('Kontoplan'!$D$3:$D$302,MATCH(D358,'Kontoplan'!$H$3:$H$302,0))="Støttes ikke",FALSE),IFERROR(INDEX('Kontoplan'!$D$3:$D$302,MATCH(E358,'Kontoplan'!$H$3:$H$302,0))="Støttes ikke",FALSE)),"Kontoen støttes ikke",IF(IFERROR(AND(A358&gt;1,COUNTIF($A$3:$A$2002,A358-1)=0),FALSE),"Nummeret hopper over",IF(OR(NOT(ISNUMBER(B358)),B358&lt;DATE(2027,1,1),B358&gt;DATE(2027,12,31)),"Datoen er ikke i 2027",""))))))</f>
        <v/>
      </c>
    </row>
    <row r="359">
      <c r="A359" s="17" t="n"/>
      <c r="B359" s="9" t="n"/>
      <c r="C359" s="8" t="n"/>
      <c r="D359" s="8" t="n"/>
      <c r="E359" s="8" t="n"/>
      <c r="F359" s="14" t="n"/>
      <c r="G359" s="14" t="n"/>
      <c r="H359" s="8" t="n"/>
      <c r="I359" s="8" t="n"/>
      <c r="J359" s="8" t="n"/>
      <c r="K359" s="18">
        <f>IF(B359="","",IFERROR(MONTH(B359),""))</f>
        <v/>
      </c>
      <c r="L359" s="5">
        <f>IF(COUNTA(A359:J359)=0,"",IF(E359="","Mangler motkonto",IF((F359="")=(G359=""),"Fyll ut enten Inn eller Ut",IF(OR(IFERROR(INDEX('Kontoplan'!$D$3:$D$302,MATCH(D359,'Kontoplan'!$H$3:$H$302,0))="Støttes ikke",FALSE),IFERROR(INDEX('Kontoplan'!$D$3:$D$302,MATCH(E359,'Kontoplan'!$H$3:$H$302,0))="Støttes ikke",FALSE)),"Kontoen støttes ikke",IF(IFERROR(AND(A359&gt;1,COUNTIF($A$3:$A$2002,A359-1)=0),FALSE),"Nummeret hopper over",IF(OR(NOT(ISNUMBER(B359)),B359&lt;DATE(2027,1,1),B359&gt;DATE(2027,12,31)),"Datoen er ikke i 2027",""))))))</f>
        <v/>
      </c>
    </row>
    <row r="360">
      <c r="A360" s="17" t="n"/>
      <c r="B360" s="9" t="n"/>
      <c r="C360" s="8" t="n"/>
      <c r="D360" s="8" t="n"/>
      <c r="E360" s="8" t="n"/>
      <c r="F360" s="14" t="n"/>
      <c r="G360" s="14" t="n"/>
      <c r="H360" s="8" t="n"/>
      <c r="I360" s="8" t="n"/>
      <c r="J360" s="8" t="n"/>
      <c r="K360" s="18">
        <f>IF(B360="","",IFERROR(MONTH(B360),""))</f>
        <v/>
      </c>
      <c r="L360" s="5">
        <f>IF(COUNTA(A360:J360)=0,"",IF(E360="","Mangler motkonto",IF((F360="")=(G360=""),"Fyll ut enten Inn eller Ut",IF(OR(IFERROR(INDEX('Kontoplan'!$D$3:$D$302,MATCH(D360,'Kontoplan'!$H$3:$H$302,0))="Støttes ikke",FALSE),IFERROR(INDEX('Kontoplan'!$D$3:$D$302,MATCH(E360,'Kontoplan'!$H$3:$H$302,0))="Støttes ikke",FALSE)),"Kontoen støttes ikke",IF(IFERROR(AND(A360&gt;1,COUNTIF($A$3:$A$2002,A360-1)=0),FALSE),"Nummeret hopper over",IF(OR(NOT(ISNUMBER(B360)),B360&lt;DATE(2027,1,1),B360&gt;DATE(2027,12,31)),"Datoen er ikke i 2027",""))))))</f>
        <v/>
      </c>
    </row>
    <row r="361">
      <c r="A361" s="17" t="n"/>
      <c r="B361" s="9" t="n"/>
      <c r="C361" s="8" t="n"/>
      <c r="D361" s="8" t="n"/>
      <c r="E361" s="8" t="n"/>
      <c r="F361" s="14" t="n"/>
      <c r="G361" s="14" t="n"/>
      <c r="H361" s="8" t="n"/>
      <c r="I361" s="8" t="n"/>
      <c r="J361" s="8" t="n"/>
      <c r="K361" s="18">
        <f>IF(B361="","",IFERROR(MONTH(B361),""))</f>
        <v/>
      </c>
      <c r="L361" s="5">
        <f>IF(COUNTA(A361:J361)=0,"",IF(E361="","Mangler motkonto",IF((F361="")=(G361=""),"Fyll ut enten Inn eller Ut",IF(OR(IFERROR(INDEX('Kontoplan'!$D$3:$D$302,MATCH(D361,'Kontoplan'!$H$3:$H$302,0))="Støttes ikke",FALSE),IFERROR(INDEX('Kontoplan'!$D$3:$D$302,MATCH(E361,'Kontoplan'!$H$3:$H$302,0))="Støttes ikke",FALSE)),"Kontoen støttes ikke",IF(IFERROR(AND(A361&gt;1,COUNTIF($A$3:$A$2002,A361-1)=0),FALSE),"Nummeret hopper over",IF(OR(NOT(ISNUMBER(B361)),B361&lt;DATE(2027,1,1),B361&gt;DATE(2027,12,31)),"Datoen er ikke i 2027",""))))))</f>
        <v/>
      </c>
    </row>
    <row r="362">
      <c r="A362" s="17" t="n"/>
      <c r="B362" s="9" t="n"/>
      <c r="C362" s="8" t="n"/>
      <c r="D362" s="8" t="n"/>
      <c r="E362" s="8" t="n"/>
      <c r="F362" s="14" t="n"/>
      <c r="G362" s="14" t="n"/>
      <c r="H362" s="8" t="n"/>
      <c r="I362" s="8" t="n"/>
      <c r="J362" s="8" t="n"/>
      <c r="K362" s="18">
        <f>IF(B362="","",IFERROR(MONTH(B362),""))</f>
        <v/>
      </c>
      <c r="L362" s="5">
        <f>IF(COUNTA(A362:J362)=0,"",IF(E362="","Mangler motkonto",IF((F362="")=(G362=""),"Fyll ut enten Inn eller Ut",IF(OR(IFERROR(INDEX('Kontoplan'!$D$3:$D$302,MATCH(D362,'Kontoplan'!$H$3:$H$302,0))="Støttes ikke",FALSE),IFERROR(INDEX('Kontoplan'!$D$3:$D$302,MATCH(E362,'Kontoplan'!$H$3:$H$302,0))="Støttes ikke",FALSE)),"Kontoen støttes ikke",IF(IFERROR(AND(A362&gt;1,COUNTIF($A$3:$A$2002,A362-1)=0),FALSE),"Nummeret hopper over",IF(OR(NOT(ISNUMBER(B362)),B362&lt;DATE(2027,1,1),B362&gt;DATE(2027,12,31)),"Datoen er ikke i 2027",""))))))</f>
        <v/>
      </c>
    </row>
    <row r="363">
      <c r="A363" s="17" t="n"/>
      <c r="B363" s="9" t="n"/>
      <c r="C363" s="8" t="n"/>
      <c r="D363" s="8" t="n"/>
      <c r="E363" s="8" t="n"/>
      <c r="F363" s="14" t="n"/>
      <c r="G363" s="14" t="n"/>
      <c r="H363" s="8" t="n"/>
      <c r="I363" s="8" t="n"/>
      <c r="J363" s="8" t="n"/>
      <c r="K363" s="18">
        <f>IF(B363="","",IFERROR(MONTH(B363),""))</f>
        <v/>
      </c>
      <c r="L363" s="5">
        <f>IF(COUNTA(A363:J363)=0,"",IF(E363="","Mangler motkonto",IF((F363="")=(G363=""),"Fyll ut enten Inn eller Ut",IF(OR(IFERROR(INDEX('Kontoplan'!$D$3:$D$302,MATCH(D363,'Kontoplan'!$H$3:$H$302,0))="Støttes ikke",FALSE),IFERROR(INDEX('Kontoplan'!$D$3:$D$302,MATCH(E363,'Kontoplan'!$H$3:$H$302,0))="Støttes ikke",FALSE)),"Kontoen støttes ikke",IF(IFERROR(AND(A363&gt;1,COUNTIF($A$3:$A$2002,A363-1)=0),FALSE),"Nummeret hopper over",IF(OR(NOT(ISNUMBER(B363)),B363&lt;DATE(2027,1,1),B363&gt;DATE(2027,12,31)),"Datoen er ikke i 2027",""))))))</f>
        <v/>
      </c>
    </row>
    <row r="364">
      <c r="A364" s="17" t="n"/>
      <c r="B364" s="9" t="n"/>
      <c r="C364" s="8" t="n"/>
      <c r="D364" s="8" t="n"/>
      <c r="E364" s="8" t="n"/>
      <c r="F364" s="14" t="n"/>
      <c r="G364" s="14" t="n"/>
      <c r="H364" s="8" t="n"/>
      <c r="I364" s="8" t="n"/>
      <c r="J364" s="8" t="n"/>
      <c r="K364" s="18">
        <f>IF(B364="","",IFERROR(MONTH(B364),""))</f>
        <v/>
      </c>
      <c r="L364" s="5">
        <f>IF(COUNTA(A364:J364)=0,"",IF(E364="","Mangler motkonto",IF((F364="")=(G364=""),"Fyll ut enten Inn eller Ut",IF(OR(IFERROR(INDEX('Kontoplan'!$D$3:$D$302,MATCH(D364,'Kontoplan'!$H$3:$H$302,0))="Støttes ikke",FALSE),IFERROR(INDEX('Kontoplan'!$D$3:$D$302,MATCH(E364,'Kontoplan'!$H$3:$H$302,0))="Støttes ikke",FALSE)),"Kontoen støttes ikke",IF(IFERROR(AND(A364&gt;1,COUNTIF($A$3:$A$2002,A364-1)=0),FALSE),"Nummeret hopper over",IF(OR(NOT(ISNUMBER(B364)),B364&lt;DATE(2027,1,1),B364&gt;DATE(2027,12,31)),"Datoen er ikke i 2027",""))))))</f>
        <v/>
      </c>
    </row>
    <row r="365">
      <c r="A365" s="17" t="n"/>
      <c r="B365" s="9" t="n"/>
      <c r="C365" s="8" t="n"/>
      <c r="D365" s="8" t="n"/>
      <c r="E365" s="8" t="n"/>
      <c r="F365" s="14" t="n"/>
      <c r="G365" s="14" t="n"/>
      <c r="H365" s="8" t="n"/>
      <c r="I365" s="8" t="n"/>
      <c r="J365" s="8" t="n"/>
      <c r="K365" s="18">
        <f>IF(B365="","",IFERROR(MONTH(B365),""))</f>
        <v/>
      </c>
      <c r="L365" s="5">
        <f>IF(COUNTA(A365:J365)=0,"",IF(E365="","Mangler motkonto",IF((F365="")=(G365=""),"Fyll ut enten Inn eller Ut",IF(OR(IFERROR(INDEX('Kontoplan'!$D$3:$D$302,MATCH(D365,'Kontoplan'!$H$3:$H$302,0))="Støttes ikke",FALSE),IFERROR(INDEX('Kontoplan'!$D$3:$D$302,MATCH(E365,'Kontoplan'!$H$3:$H$302,0))="Støttes ikke",FALSE)),"Kontoen støttes ikke",IF(IFERROR(AND(A365&gt;1,COUNTIF($A$3:$A$2002,A365-1)=0),FALSE),"Nummeret hopper over",IF(OR(NOT(ISNUMBER(B365)),B365&lt;DATE(2027,1,1),B365&gt;DATE(2027,12,31)),"Datoen er ikke i 2027",""))))))</f>
        <v/>
      </c>
    </row>
    <row r="366">
      <c r="A366" s="17" t="n"/>
      <c r="B366" s="9" t="n"/>
      <c r="C366" s="8" t="n"/>
      <c r="D366" s="8" t="n"/>
      <c r="E366" s="8" t="n"/>
      <c r="F366" s="14" t="n"/>
      <c r="G366" s="14" t="n"/>
      <c r="H366" s="8" t="n"/>
      <c r="I366" s="8" t="n"/>
      <c r="J366" s="8" t="n"/>
      <c r="K366" s="18">
        <f>IF(B366="","",IFERROR(MONTH(B366),""))</f>
        <v/>
      </c>
      <c r="L366" s="5">
        <f>IF(COUNTA(A366:J366)=0,"",IF(E366="","Mangler motkonto",IF((F366="")=(G366=""),"Fyll ut enten Inn eller Ut",IF(OR(IFERROR(INDEX('Kontoplan'!$D$3:$D$302,MATCH(D366,'Kontoplan'!$H$3:$H$302,0))="Støttes ikke",FALSE),IFERROR(INDEX('Kontoplan'!$D$3:$D$302,MATCH(E366,'Kontoplan'!$H$3:$H$302,0))="Støttes ikke",FALSE)),"Kontoen støttes ikke",IF(IFERROR(AND(A366&gt;1,COUNTIF($A$3:$A$2002,A366-1)=0),FALSE),"Nummeret hopper over",IF(OR(NOT(ISNUMBER(B366)),B366&lt;DATE(2027,1,1),B366&gt;DATE(2027,12,31)),"Datoen er ikke i 2027",""))))))</f>
        <v/>
      </c>
    </row>
    <row r="367">
      <c r="A367" s="17" t="n"/>
      <c r="B367" s="9" t="n"/>
      <c r="C367" s="8" t="n"/>
      <c r="D367" s="8" t="n"/>
      <c r="E367" s="8" t="n"/>
      <c r="F367" s="14" t="n"/>
      <c r="G367" s="14" t="n"/>
      <c r="H367" s="8" t="n"/>
      <c r="I367" s="8" t="n"/>
      <c r="J367" s="8" t="n"/>
      <c r="K367" s="18">
        <f>IF(B367="","",IFERROR(MONTH(B367),""))</f>
        <v/>
      </c>
      <c r="L367" s="5">
        <f>IF(COUNTA(A367:J367)=0,"",IF(E367="","Mangler motkonto",IF((F367="")=(G367=""),"Fyll ut enten Inn eller Ut",IF(OR(IFERROR(INDEX('Kontoplan'!$D$3:$D$302,MATCH(D367,'Kontoplan'!$H$3:$H$302,0))="Støttes ikke",FALSE),IFERROR(INDEX('Kontoplan'!$D$3:$D$302,MATCH(E367,'Kontoplan'!$H$3:$H$302,0))="Støttes ikke",FALSE)),"Kontoen støttes ikke",IF(IFERROR(AND(A367&gt;1,COUNTIF($A$3:$A$2002,A367-1)=0),FALSE),"Nummeret hopper over",IF(OR(NOT(ISNUMBER(B367)),B367&lt;DATE(2027,1,1),B367&gt;DATE(2027,12,31)),"Datoen er ikke i 2027",""))))))</f>
        <v/>
      </c>
    </row>
    <row r="368">
      <c r="A368" s="17" t="n"/>
      <c r="B368" s="9" t="n"/>
      <c r="C368" s="8" t="n"/>
      <c r="D368" s="8" t="n"/>
      <c r="E368" s="8" t="n"/>
      <c r="F368" s="14" t="n"/>
      <c r="G368" s="14" t="n"/>
      <c r="H368" s="8" t="n"/>
      <c r="I368" s="8" t="n"/>
      <c r="J368" s="8" t="n"/>
      <c r="K368" s="18">
        <f>IF(B368="","",IFERROR(MONTH(B368),""))</f>
        <v/>
      </c>
      <c r="L368" s="5">
        <f>IF(COUNTA(A368:J368)=0,"",IF(E368="","Mangler motkonto",IF((F368="")=(G368=""),"Fyll ut enten Inn eller Ut",IF(OR(IFERROR(INDEX('Kontoplan'!$D$3:$D$302,MATCH(D368,'Kontoplan'!$H$3:$H$302,0))="Støttes ikke",FALSE),IFERROR(INDEX('Kontoplan'!$D$3:$D$302,MATCH(E368,'Kontoplan'!$H$3:$H$302,0))="Støttes ikke",FALSE)),"Kontoen støttes ikke",IF(IFERROR(AND(A368&gt;1,COUNTIF($A$3:$A$2002,A368-1)=0),FALSE),"Nummeret hopper over",IF(OR(NOT(ISNUMBER(B368)),B368&lt;DATE(2027,1,1),B368&gt;DATE(2027,12,31)),"Datoen er ikke i 2027",""))))))</f>
        <v/>
      </c>
    </row>
    <row r="369">
      <c r="A369" s="17" t="n"/>
      <c r="B369" s="9" t="n"/>
      <c r="C369" s="8" t="n"/>
      <c r="D369" s="8" t="n"/>
      <c r="E369" s="8" t="n"/>
      <c r="F369" s="14" t="n"/>
      <c r="G369" s="14" t="n"/>
      <c r="H369" s="8" t="n"/>
      <c r="I369" s="8" t="n"/>
      <c r="J369" s="8" t="n"/>
      <c r="K369" s="18">
        <f>IF(B369="","",IFERROR(MONTH(B369),""))</f>
        <v/>
      </c>
      <c r="L369" s="5">
        <f>IF(COUNTA(A369:J369)=0,"",IF(E369="","Mangler motkonto",IF((F369="")=(G369=""),"Fyll ut enten Inn eller Ut",IF(OR(IFERROR(INDEX('Kontoplan'!$D$3:$D$302,MATCH(D369,'Kontoplan'!$H$3:$H$302,0))="Støttes ikke",FALSE),IFERROR(INDEX('Kontoplan'!$D$3:$D$302,MATCH(E369,'Kontoplan'!$H$3:$H$302,0))="Støttes ikke",FALSE)),"Kontoen støttes ikke",IF(IFERROR(AND(A369&gt;1,COUNTIF($A$3:$A$2002,A369-1)=0),FALSE),"Nummeret hopper over",IF(OR(NOT(ISNUMBER(B369)),B369&lt;DATE(2027,1,1),B369&gt;DATE(2027,12,31)),"Datoen er ikke i 2027",""))))))</f>
        <v/>
      </c>
    </row>
    <row r="370">
      <c r="A370" s="17" t="n"/>
      <c r="B370" s="9" t="n"/>
      <c r="C370" s="8" t="n"/>
      <c r="D370" s="8" t="n"/>
      <c r="E370" s="8" t="n"/>
      <c r="F370" s="14" t="n"/>
      <c r="G370" s="14" t="n"/>
      <c r="H370" s="8" t="n"/>
      <c r="I370" s="8" t="n"/>
      <c r="J370" s="8" t="n"/>
      <c r="K370" s="18">
        <f>IF(B370="","",IFERROR(MONTH(B370),""))</f>
        <v/>
      </c>
      <c r="L370" s="5">
        <f>IF(COUNTA(A370:J370)=0,"",IF(E370="","Mangler motkonto",IF((F370="")=(G370=""),"Fyll ut enten Inn eller Ut",IF(OR(IFERROR(INDEX('Kontoplan'!$D$3:$D$302,MATCH(D370,'Kontoplan'!$H$3:$H$302,0))="Støttes ikke",FALSE),IFERROR(INDEX('Kontoplan'!$D$3:$D$302,MATCH(E370,'Kontoplan'!$H$3:$H$302,0))="Støttes ikke",FALSE)),"Kontoen støttes ikke",IF(IFERROR(AND(A370&gt;1,COUNTIF($A$3:$A$2002,A370-1)=0),FALSE),"Nummeret hopper over",IF(OR(NOT(ISNUMBER(B370)),B370&lt;DATE(2027,1,1),B370&gt;DATE(2027,12,31)),"Datoen er ikke i 2027",""))))))</f>
        <v/>
      </c>
    </row>
    <row r="371">
      <c r="A371" s="17" t="n"/>
      <c r="B371" s="9" t="n"/>
      <c r="C371" s="8" t="n"/>
      <c r="D371" s="8" t="n"/>
      <c r="E371" s="8" t="n"/>
      <c r="F371" s="14" t="n"/>
      <c r="G371" s="14" t="n"/>
      <c r="H371" s="8" t="n"/>
      <c r="I371" s="8" t="n"/>
      <c r="J371" s="8" t="n"/>
      <c r="K371" s="18">
        <f>IF(B371="","",IFERROR(MONTH(B371),""))</f>
        <v/>
      </c>
      <c r="L371" s="5">
        <f>IF(COUNTA(A371:J371)=0,"",IF(E371="","Mangler motkonto",IF((F371="")=(G371=""),"Fyll ut enten Inn eller Ut",IF(OR(IFERROR(INDEX('Kontoplan'!$D$3:$D$302,MATCH(D371,'Kontoplan'!$H$3:$H$302,0))="Støttes ikke",FALSE),IFERROR(INDEX('Kontoplan'!$D$3:$D$302,MATCH(E371,'Kontoplan'!$H$3:$H$302,0))="Støttes ikke",FALSE)),"Kontoen støttes ikke",IF(IFERROR(AND(A371&gt;1,COUNTIF($A$3:$A$2002,A371-1)=0),FALSE),"Nummeret hopper over",IF(OR(NOT(ISNUMBER(B371)),B371&lt;DATE(2027,1,1),B371&gt;DATE(2027,12,31)),"Datoen er ikke i 2027",""))))))</f>
        <v/>
      </c>
    </row>
    <row r="372">
      <c r="A372" s="17" t="n"/>
      <c r="B372" s="9" t="n"/>
      <c r="C372" s="8" t="n"/>
      <c r="D372" s="8" t="n"/>
      <c r="E372" s="8" t="n"/>
      <c r="F372" s="14" t="n"/>
      <c r="G372" s="14" t="n"/>
      <c r="H372" s="8" t="n"/>
      <c r="I372" s="8" t="n"/>
      <c r="J372" s="8" t="n"/>
      <c r="K372" s="18">
        <f>IF(B372="","",IFERROR(MONTH(B372),""))</f>
        <v/>
      </c>
      <c r="L372" s="5">
        <f>IF(COUNTA(A372:J372)=0,"",IF(E372="","Mangler motkonto",IF((F372="")=(G372=""),"Fyll ut enten Inn eller Ut",IF(OR(IFERROR(INDEX('Kontoplan'!$D$3:$D$302,MATCH(D372,'Kontoplan'!$H$3:$H$302,0))="Støttes ikke",FALSE),IFERROR(INDEX('Kontoplan'!$D$3:$D$302,MATCH(E372,'Kontoplan'!$H$3:$H$302,0))="Støttes ikke",FALSE)),"Kontoen støttes ikke",IF(IFERROR(AND(A372&gt;1,COUNTIF($A$3:$A$2002,A372-1)=0),FALSE),"Nummeret hopper over",IF(OR(NOT(ISNUMBER(B372)),B372&lt;DATE(2027,1,1),B372&gt;DATE(2027,12,31)),"Datoen er ikke i 2027",""))))))</f>
        <v/>
      </c>
    </row>
    <row r="373">
      <c r="A373" s="17" t="n"/>
      <c r="B373" s="9" t="n"/>
      <c r="C373" s="8" t="n"/>
      <c r="D373" s="8" t="n"/>
      <c r="E373" s="8" t="n"/>
      <c r="F373" s="14" t="n"/>
      <c r="G373" s="14" t="n"/>
      <c r="H373" s="8" t="n"/>
      <c r="I373" s="8" t="n"/>
      <c r="J373" s="8" t="n"/>
      <c r="K373" s="18">
        <f>IF(B373="","",IFERROR(MONTH(B373),""))</f>
        <v/>
      </c>
      <c r="L373" s="5">
        <f>IF(COUNTA(A373:J373)=0,"",IF(E373="","Mangler motkonto",IF((F373="")=(G373=""),"Fyll ut enten Inn eller Ut",IF(OR(IFERROR(INDEX('Kontoplan'!$D$3:$D$302,MATCH(D373,'Kontoplan'!$H$3:$H$302,0))="Støttes ikke",FALSE),IFERROR(INDEX('Kontoplan'!$D$3:$D$302,MATCH(E373,'Kontoplan'!$H$3:$H$302,0))="Støttes ikke",FALSE)),"Kontoen støttes ikke",IF(IFERROR(AND(A373&gt;1,COUNTIF($A$3:$A$2002,A373-1)=0),FALSE),"Nummeret hopper over",IF(OR(NOT(ISNUMBER(B373)),B373&lt;DATE(2027,1,1),B373&gt;DATE(2027,12,31)),"Datoen er ikke i 2027",""))))))</f>
        <v/>
      </c>
    </row>
    <row r="374">
      <c r="A374" s="17" t="n"/>
      <c r="B374" s="9" t="n"/>
      <c r="C374" s="8" t="n"/>
      <c r="D374" s="8" t="n"/>
      <c r="E374" s="8" t="n"/>
      <c r="F374" s="14" t="n"/>
      <c r="G374" s="14" t="n"/>
      <c r="H374" s="8" t="n"/>
      <c r="I374" s="8" t="n"/>
      <c r="J374" s="8" t="n"/>
      <c r="K374" s="18">
        <f>IF(B374="","",IFERROR(MONTH(B374),""))</f>
        <v/>
      </c>
      <c r="L374" s="5">
        <f>IF(COUNTA(A374:J374)=0,"",IF(E374="","Mangler motkonto",IF((F374="")=(G374=""),"Fyll ut enten Inn eller Ut",IF(OR(IFERROR(INDEX('Kontoplan'!$D$3:$D$302,MATCH(D374,'Kontoplan'!$H$3:$H$302,0))="Støttes ikke",FALSE),IFERROR(INDEX('Kontoplan'!$D$3:$D$302,MATCH(E374,'Kontoplan'!$H$3:$H$302,0))="Støttes ikke",FALSE)),"Kontoen støttes ikke",IF(IFERROR(AND(A374&gt;1,COUNTIF($A$3:$A$2002,A374-1)=0),FALSE),"Nummeret hopper over",IF(OR(NOT(ISNUMBER(B374)),B374&lt;DATE(2027,1,1),B374&gt;DATE(2027,12,31)),"Datoen er ikke i 2027",""))))))</f>
        <v/>
      </c>
    </row>
    <row r="375">
      <c r="A375" s="17" t="n"/>
      <c r="B375" s="9" t="n"/>
      <c r="C375" s="8" t="n"/>
      <c r="D375" s="8" t="n"/>
      <c r="E375" s="8" t="n"/>
      <c r="F375" s="14" t="n"/>
      <c r="G375" s="14" t="n"/>
      <c r="H375" s="8" t="n"/>
      <c r="I375" s="8" t="n"/>
      <c r="J375" s="8" t="n"/>
      <c r="K375" s="18">
        <f>IF(B375="","",IFERROR(MONTH(B375),""))</f>
        <v/>
      </c>
      <c r="L375" s="5">
        <f>IF(COUNTA(A375:J375)=0,"",IF(E375="","Mangler motkonto",IF((F375="")=(G375=""),"Fyll ut enten Inn eller Ut",IF(OR(IFERROR(INDEX('Kontoplan'!$D$3:$D$302,MATCH(D375,'Kontoplan'!$H$3:$H$302,0))="Støttes ikke",FALSE),IFERROR(INDEX('Kontoplan'!$D$3:$D$302,MATCH(E375,'Kontoplan'!$H$3:$H$302,0))="Støttes ikke",FALSE)),"Kontoen støttes ikke",IF(IFERROR(AND(A375&gt;1,COUNTIF($A$3:$A$2002,A375-1)=0),FALSE),"Nummeret hopper over",IF(OR(NOT(ISNUMBER(B375)),B375&lt;DATE(2027,1,1),B375&gt;DATE(2027,12,31)),"Datoen er ikke i 2027",""))))))</f>
        <v/>
      </c>
    </row>
    <row r="376">
      <c r="A376" s="17" t="n"/>
      <c r="B376" s="9" t="n"/>
      <c r="C376" s="8" t="n"/>
      <c r="D376" s="8" t="n"/>
      <c r="E376" s="8" t="n"/>
      <c r="F376" s="14" t="n"/>
      <c r="G376" s="14" t="n"/>
      <c r="H376" s="8" t="n"/>
      <c r="I376" s="8" t="n"/>
      <c r="J376" s="8" t="n"/>
      <c r="K376" s="18">
        <f>IF(B376="","",IFERROR(MONTH(B376),""))</f>
        <v/>
      </c>
      <c r="L376" s="5">
        <f>IF(COUNTA(A376:J376)=0,"",IF(E376="","Mangler motkonto",IF((F376="")=(G376=""),"Fyll ut enten Inn eller Ut",IF(OR(IFERROR(INDEX('Kontoplan'!$D$3:$D$302,MATCH(D376,'Kontoplan'!$H$3:$H$302,0))="Støttes ikke",FALSE),IFERROR(INDEX('Kontoplan'!$D$3:$D$302,MATCH(E376,'Kontoplan'!$H$3:$H$302,0))="Støttes ikke",FALSE)),"Kontoen støttes ikke",IF(IFERROR(AND(A376&gt;1,COUNTIF($A$3:$A$2002,A376-1)=0),FALSE),"Nummeret hopper over",IF(OR(NOT(ISNUMBER(B376)),B376&lt;DATE(2027,1,1),B376&gt;DATE(2027,12,31)),"Datoen er ikke i 2027",""))))))</f>
        <v/>
      </c>
    </row>
    <row r="377">
      <c r="A377" s="17" t="n"/>
      <c r="B377" s="9" t="n"/>
      <c r="C377" s="8" t="n"/>
      <c r="D377" s="8" t="n"/>
      <c r="E377" s="8" t="n"/>
      <c r="F377" s="14" t="n"/>
      <c r="G377" s="14" t="n"/>
      <c r="H377" s="8" t="n"/>
      <c r="I377" s="8" t="n"/>
      <c r="J377" s="8" t="n"/>
      <c r="K377" s="18">
        <f>IF(B377="","",IFERROR(MONTH(B377),""))</f>
        <v/>
      </c>
      <c r="L377" s="5">
        <f>IF(COUNTA(A377:J377)=0,"",IF(E377="","Mangler motkonto",IF((F377="")=(G377=""),"Fyll ut enten Inn eller Ut",IF(OR(IFERROR(INDEX('Kontoplan'!$D$3:$D$302,MATCH(D377,'Kontoplan'!$H$3:$H$302,0))="Støttes ikke",FALSE),IFERROR(INDEX('Kontoplan'!$D$3:$D$302,MATCH(E377,'Kontoplan'!$H$3:$H$302,0))="Støttes ikke",FALSE)),"Kontoen støttes ikke",IF(IFERROR(AND(A377&gt;1,COUNTIF($A$3:$A$2002,A377-1)=0),FALSE),"Nummeret hopper over",IF(OR(NOT(ISNUMBER(B377)),B377&lt;DATE(2027,1,1),B377&gt;DATE(2027,12,31)),"Datoen er ikke i 2027",""))))))</f>
        <v/>
      </c>
    </row>
    <row r="378">
      <c r="A378" s="17" t="n"/>
      <c r="B378" s="9" t="n"/>
      <c r="C378" s="8" t="n"/>
      <c r="D378" s="8" t="n"/>
      <c r="E378" s="8" t="n"/>
      <c r="F378" s="14" t="n"/>
      <c r="G378" s="14" t="n"/>
      <c r="H378" s="8" t="n"/>
      <c r="I378" s="8" t="n"/>
      <c r="J378" s="8" t="n"/>
      <c r="K378" s="18">
        <f>IF(B378="","",IFERROR(MONTH(B378),""))</f>
        <v/>
      </c>
      <c r="L378" s="5">
        <f>IF(COUNTA(A378:J378)=0,"",IF(E378="","Mangler motkonto",IF((F378="")=(G378=""),"Fyll ut enten Inn eller Ut",IF(OR(IFERROR(INDEX('Kontoplan'!$D$3:$D$302,MATCH(D378,'Kontoplan'!$H$3:$H$302,0))="Støttes ikke",FALSE),IFERROR(INDEX('Kontoplan'!$D$3:$D$302,MATCH(E378,'Kontoplan'!$H$3:$H$302,0))="Støttes ikke",FALSE)),"Kontoen støttes ikke",IF(IFERROR(AND(A378&gt;1,COUNTIF($A$3:$A$2002,A378-1)=0),FALSE),"Nummeret hopper over",IF(OR(NOT(ISNUMBER(B378)),B378&lt;DATE(2027,1,1),B378&gt;DATE(2027,12,31)),"Datoen er ikke i 2027",""))))))</f>
        <v/>
      </c>
    </row>
    <row r="379">
      <c r="A379" s="17" t="n"/>
      <c r="B379" s="9" t="n"/>
      <c r="C379" s="8" t="n"/>
      <c r="D379" s="8" t="n"/>
      <c r="E379" s="8" t="n"/>
      <c r="F379" s="14" t="n"/>
      <c r="G379" s="14" t="n"/>
      <c r="H379" s="8" t="n"/>
      <c r="I379" s="8" t="n"/>
      <c r="J379" s="8" t="n"/>
      <c r="K379" s="18">
        <f>IF(B379="","",IFERROR(MONTH(B379),""))</f>
        <v/>
      </c>
      <c r="L379" s="5">
        <f>IF(COUNTA(A379:J379)=0,"",IF(E379="","Mangler motkonto",IF((F379="")=(G379=""),"Fyll ut enten Inn eller Ut",IF(OR(IFERROR(INDEX('Kontoplan'!$D$3:$D$302,MATCH(D379,'Kontoplan'!$H$3:$H$302,0))="Støttes ikke",FALSE),IFERROR(INDEX('Kontoplan'!$D$3:$D$302,MATCH(E379,'Kontoplan'!$H$3:$H$302,0))="Støttes ikke",FALSE)),"Kontoen støttes ikke",IF(IFERROR(AND(A379&gt;1,COUNTIF($A$3:$A$2002,A379-1)=0),FALSE),"Nummeret hopper over",IF(OR(NOT(ISNUMBER(B379)),B379&lt;DATE(2027,1,1),B379&gt;DATE(2027,12,31)),"Datoen er ikke i 2027",""))))))</f>
        <v/>
      </c>
    </row>
    <row r="380">
      <c r="A380" s="17" t="n"/>
      <c r="B380" s="9" t="n"/>
      <c r="C380" s="8" t="n"/>
      <c r="D380" s="8" t="n"/>
      <c r="E380" s="8" t="n"/>
      <c r="F380" s="14" t="n"/>
      <c r="G380" s="14" t="n"/>
      <c r="H380" s="8" t="n"/>
      <c r="I380" s="8" t="n"/>
      <c r="J380" s="8" t="n"/>
      <c r="K380" s="18">
        <f>IF(B380="","",IFERROR(MONTH(B380),""))</f>
        <v/>
      </c>
      <c r="L380" s="5">
        <f>IF(COUNTA(A380:J380)=0,"",IF(E380="","Mangler motkonto",IF((F380="")=(G380=""),"Fyll ut enten Inn eller Ut",IF(OR(IFERROR(INDEX('Kontoplan'!$D$3:$D$302,MATCH(D380,'Kontoplan'!$H$3:$H$302,0))="Støttes ikke",FALSE),IFERROR(INDEX('Kontoplan'!$D$3:$D$302,MATCH(E380,'Kontoplan'!$H$3:$H$302,0))="Støttes ikke",FALSE)),"Kontoen støttes ikke",IF(IFERROR(AND(A380&gt;1,COUNTIF($A$3:$A$2002,A380-1)=0),FALSE),"Nummeret hopper over",IF(OR(NOT(ISNUMBER(B380)),B380&lt;DATE(2027,1,1),B380&gt;DATE(2027,12,31)),"Datoen er ikke i 2027",""))))))</f>
        <v/>
      </c>
    </row>
    <row r="381">
      <c r="A381" s="17" t="n"/>
      <c r="B381" s="9" t="n"/>
      <c r="C381" s="8" t="n"/>
      <c r="D381" s="8" t="n"/>
      <c r="E381" s="8" t="n"/>
      <c r="F381" s="14" t="n"/>
      <c r="G381" s="14" t="n"/>
      <c r="H381" s="8" t="n"/>
      <c r="I381" s="8" t="n"/>
      <c r="J381" s="8" t="n"/>
      <c r="K381" s="18">
        <f>IF(B381="","",IFERROR(MONTH(B381),""))</f>
        <v/>
      </c>
      <c r="L381" s="5">
        <f>IF(COUNTA(A381:J381)=0,"",IF(E381="","Mangler motkonto",IF((F381="")=(G381=""),"Fyll ut enten Inn eller Ut",IF(OR(IFERROR(INDEX('Kontoplan'!$D$3:$D$302,MATCH(D381,'Kontoplan'!$H$3:$H$302,0))="Støttes ikke",FALSE),IFERROR(INDEX('Kontoplan'!$D$3:$D$302,MATCH(E381,'Kontoplan'!$H$3:$H$302,0))="Støttes ikke",FALSE)),"Kontoen støttes ikke",IF(IFERROR(AND(A381&gt;1,COUNTIF($A$3:$A$2002,A381-1)=0),FALSE),"Nummeret hopper over",IF(OR(NOT(ISNUMBER(B381)),B381&lt;DATE(2027,1,1),B381&gt;DATE(2027,12,31)),"Datoen er ikke i 2027",""))))))</f>
        <v/>
      </c>
    </row>
    <row r="382">
      <c r="A382" s="17" t="n"/>
      <c r="B382" s="9" t="n"/>
      <c r="C382" s="8" t="n"/>
      <c r="D382" s="8" t="n"/>
      <c r="E382" s="8" t="n"/>
      <c r="F382" s="14" t="n"/>
      <c r="G382" s="14" t="n"/>
      <c r="H382" s="8" t="n"/>
      <c r="I382" s="8" t="n"/>
      <c r="J382" s="8" t="n"/>
      <c r="K382" s="18">
        <f>IF(B382="","",IFERROR(MONTH(B382),""))</f>
        <v/>
      </c>
      <c r="L382" s="5">
        <f>IF(COUNTA(A382:J382)=0,"",IF(E382="","Mangler motkonto",IF((F382="")=(G382=""),"Fyll ut enten Inn eller Ut",IF(OR(IFERROR(INDEX('Kontoplan'!$D$3:$D$302,MATCH(D382,'Kontoplan'!$H$3:$H$302,0))="Støttes ikke",FALSE),IFERROR(INDEX('Kontoplan'!$D$3:$D$302,MATCH(E382,'Kontoplan'!$H$3:$H$302,0))="Støttes ikke",FALSE)),"Kontoen støttes ikke",IF(IFERROR(AND(A382&gt;1,COUNTIF($A$3:$A$2002,A382-1)=0),FALSE),"Nummeret hopper over",IF(OR(NOT(ISNUMBER(B382)),B382&lt;DATE(2027,1,1),B382&gt;DATE(2027,12,31)),"Datoen er ikke i 2027",""))))))</f>
        <v/>
      </c>
    </row>
    <row r="383">
      <c r="A383" s="17" t="n"/>
      <c r="B383" s="9" t="n"/>
      <c r="C383" s="8" t="n"/>
      <c r="D383" s="8" t="n"/>
      <c r="E383" s="8" t="n"/>
      <c r="F383" s="14" t="n"/>
      <c r="G383" s="14" t="n"/>
      <c r="H383" s="8" t="n"/>
      <c r="I383" s="8" t="n"/>
      <c r="J383" s="8" t="n"/>
      <c r="K383" s="18">
        <f>IF(B383="","",IFERROR(MONTH(B383),""))</f>
        <v/>
      </c>
      <c r="L383" s="5">
        <f>IF(COUNTA(A383:J383)=0,"",IF(E383="","Mangler motkonto",IF((F383="")=(G383=""),"Fyll ut enten Inn eller Ut",IF(OR(IFERROR(INDEX('Kontoplan'!$D$3:$D$302,MATCH(D383,'Kontoplan'!$H$3:$H$302,0))="Støttes ikke",FALSE),IFERROR(INDEX('Kontoplan'!$D$3:$D$302,MATCH(E383,'Kontoplan'!$H$3:$H$302,0))="Støttes ikke",FALSE)),"Kontoen støttes ikke",IF(IFERROR(AND(A383&gt;1,COUNTIF($A$3:$A$2002,A383-1)=0),FALSE),"Nummeret hopper over",IF(OR(NOT(ISNUMBER(B383)),B383&lt;DATE(2027,1,1),B383&gt;DATE(2027,12,31)),"Datoen er ikke i 2027",""))))))</f>
        <v/>
      </c>
    </row>
    <row r="384">
      <c r="A384" s="17" t="n"/>
      <c r="B384" s="9" t="n"/>
      <c r="C384" s="8" t="n"/>
      <c r="D384" s="8" t="n"/>
      <c r="E384" s="8" t="n"/>
      <c r="F384" s="14" t="n"/>
      <c r="G384" s="14" t="n"/>
      <c r="H384" s="8" t="n"/>
      <c r="I384" s="8" t="n"/>
      <c r="J384" s="8" t="n"/>
      <c r="K384" s="18">
        <f>IF(B384="","",IFERROR(MONTH(B384),""))</f>
        <v/>
      </c>
      <c r="L384" s="5">
        <f>IF(COUNTA(A384:J384)=0,"",IF(E384="","Mangler motkonto",IF((F384="")=(G384=""),"Fyll ut enten Inn eller Ut",IF(OR(IFERROR(INDEX('Kontoplan'!$D$3:$D$302,MATCH(D384,'Kontoplan'!$H$3:$H$302,0))="Støttes ikke",FALSE),IFERROR(INDEX('Kontoplan'!$D$3:$D$302,MATCH(E384,'Kontoplan'!$H$3:$H$302,0))="Støttes ikke",FALSE)),"Kontoen støttes ikke",IF(IFERROR(AND(A384&gt;1,COUNTIF($A$3:$A$2002,A384-1)=0),FALSE),"Nummeret hopper over",IF(OR(NOT(ISNUMBER(B384)),B384&lt;DATE(2027,1,1),B384&gt;DATE(2027,12,31)),"Datoen er ikke i 2027",""))))))</f>
        <v/>
      </c>
    </row>
    <row r="385">
      <c r="A385" s="17" t="n"/>
      <c r="B385" s="9" t="n"/>
      <c r="C385" s="8" t="n"/>
      <c r="D385" s="8" t="n"/>
      <c r="E385" s="8" t="n"/>
      <c r="F385" s="14" t="n"/>
      <c r="G385" s="14" t="n"/>
      <c r="H385" s="8" t="n"/>
      <c r="I385" s="8" t="n"/>
      <c r="J385" s="8" t="n"/>
      <c r="K385" s="18">
        <f>IF(B385="","",IFERROR(MONTH(B385),""))</f>
        <v/>
      </c>
      <c r="L385" s="5">
        <f>IF(COUNTA(A385:J385)=0,"",IF(E385="","Mangler motkonto",IF((F385="")=(G385=""),"Fyll ut enten Inn eller Ut",IF(OR(IFERROR(INDEX('Kontoplan'!$D$3:$D$302,MATCH(D385,'Kontoplan'!$H$3:$H$302,0))="Støttes ikke",FALSE),IFERROR(INDEX('Kontoplan'!$D$3:$D$302,MATCH(E385,'Kontoplan'!$H$3:$H$302,0))="Støttes ikke",FALSE)),"Kontoen støttes ikke",IF(IFERROR(AND(A385&gt;1,COUNTIF($A$3:$A$2002,A385-1)=0),FALSE),"Nummeret hopper over",IF(OR(NOT(ISNUMBER(B385)),B385&lt;DATE(2027,1,1),B385&gt;DATE(2027,12,31)),"Datoen er ikke i 2027",""))))))</f>
        <v/>
      </c>
    </row>
    <row r="386">
      <c r="A386" s="17" t="n"/>
      <c r="B386" s="9" t="n"/>
      <c r="C386" s="8" t="n"/>
      <c r="D386" s="8" t="n"/>
      <c r="E386" s="8" t="n"/>
      <c r="F386" s="14" t="n"/>
      <c r="G386" s="14" t="n"/>
      <c r="H386" s="8" t="n"/>
      <c r="I386" s="8" t="n"/>
      <c r="J386" s="8" t="n"/>
      <c r="K386" s="18">
        <f>IF(B386="","",IFERROR(MONTH(B386),""))</f>
        <v/>
      </c>
      <c r="L386" s="5">
        <f>IF(COUNTA(A386:J386)=0,"",IF(E386="","Mangler motkonto",IF((F386="")=(G386=""),"Fyll ut enten Inn eller Ut",IF(OR(IFERROR(INDEX('Kontoplan'!$D$3:$D$302,MATCH(D386,'Kontoplan'!$H$3:$H$302,0))="Støttes ikke",FALSE),IFERROR(INDEX('Kontoplan'!$D$3:$D$302,MATCH(E386,'Kontoplan'!$H$3:$H$302,0))="Støttes ikke",FALSE)),"Kontoen støttes ikke",IF(IFERROR(AND(A386&gt;1,COUNTIF($A$3:$A$2002,A386-1)=0),FALSE),"Nummeret hopper over",IF(OR(NOT(ISNUMBER(B386)),B386&lt;DATE(2027,1,1),B386&gt;DATE(2027,12,31)),"Datoen er ikke i 2027",""))))))</f>
        <v/>
      </c>
    </row>
    <row r="387">
      <c r="A387" s="17" t="n"/>
      <c r="B387" s="9" t="n"/>
      <c r="C387" s="8" t="n"/>
      <c r="D387" s="8" t="n"/>
      <c r="E387" s="8" t="n"/>
      <c r="F387" s="14" t="n"/>
      <c r="G387" s="14" t="n"/>
      <c r="H387" s="8" t="n"/>
      <c r="I387" s="8" t="n"/>
      <c r="J387" s="8" t="n"/>
      <c r="K387" s="18">
        <f>IF(B387="","",IFERROR(MONTH(B387),""))</f>
        <v/>
      </c>
      <c r="L387" s="5">
        <f>IF(COUNTA(A387:J387)=0,"",IF(E387="","Mangler motkonto",IF((F387="")=(G387=""),"Fyll ut enten Inn eller Ut",IF(OR(IFERROR(INDEX('Kontoplan'!$D$3:$D$302,MATCH(D387,'Kontoplan'!$H$3:$H$302,0))="Støttes ikke",FALSE),IFERROR(INDEX('Kontoplan'!$D$3:$D$302,MATCH(E387,'Kontoplan'!$H$3:$H$302,0))="Støttes ikke",FALSE)),"Kontoen støttes ikke",IF(IFERROR(AND(A387&gt;1,COUNTIF($A$3:$A$2002,A387-1)=0),FALSE),"Nummeret hopper over",IF(OR(NOT(ISNUMBER(B387)),B387&lt;DATE(2027,1,1),B387&gt;DATE(2027,12,31)),"Datoen er ikke i 2027",""))))))</f>
        <v/>
      </c>
    </row>
    <row r="388">
      <c r="A388" s="17" t="n"/>
      <c r="B388" s="9" t="n"/>
      <c r="C388" s="8" t="n"/>
      <c r="D388" s="8" t="n"/>
      <c r="E388" s="8" t="n"/>
      <c r="F388" s="14" t="n"/>
      <c r="G388" s="14" t="n"/>
      <c r="H388" s="8" t="n"/>
      <c r="I388" s="8" t="n"/>
      <c r="J388" s="8" t="n"/>
      <c r="K388" s="18">
        <f>IF(B388="","",IFERROR(MONTH(B388),""))</f>
        <v/>
      </c>
      <c r="L388" s="5">
        <f>IF(COUNTA(A388:J388)=0,"",IF(E388="","Mangler motkonto",IF((F388="")=(G388=""),"Fyll ut enten Inn eller Ut",IF(OR(IFERROR(INDEX('Kontoplan'!$D$3:$D$302,MATCH(D388,'Kontoplan'!$H$3:$H$302,0))="Støttes ikke",FALSE),IFERROR(INDEX('Kontoplan'!$D$3:$D$302,MATCH(E388,'Kontoplan'!$H$3:$H$302,0))="Støttes ikke",FALSE)),"Kontoen støttes ikke",IF(IFERROR(AND(A388&gt;1,COUNTIF($A$3:$A$2002,A388-1)=0),FALSE),"Nummeret hopper over",IF(OR(NOT(ISNUMBER(B388)),B388&lt;DATE(2027,1,1),B388&gt;DATE(2027,12,31)),"Datoen er ikke i 2027",""))))))</f>
        <v/>
      </c>
    </row>
    <row r="389">
      <c r="A389" s="17" t="n"/>
      <c r="B389" s="9" t="n"/>
      <c r="C389" s="8" t="n"/>
      <c r="D389" s="8" t="n"/>
      <c r="E389" s="8" t="n"/>
      <c r="F389" s="14" t="n"/>
      <c r="G389" s="14" t="n"/>
      <c r="H389" s="8" t="n"/>
      <c r="I389" s="8" t="n"/>
      <c r="J389" s="8" t="n"/>
      <c r="K389" s="18">
        <f>IF(B389="","",IFERROR(MONTH(B389),""))</f>
        <v/>
      </c>
      <c r="L389" s="5">
        <f>IF(COUNTA(A389:J389)=0,"",IF(E389="","Mangler motkonto",IF((F389="")=(G389=""),"Fyll ut enten Inn eller Ut",IF(OR(IFERROR(INDEX('Kontoplan'!$D$3:$D$302,MATCH(D389,'Kontoplan'!$H$3:$H$302,0))="Støttes ikke",FALSE),IFERROR(INDEX('Kontoplan'!$D$3:$D$302,MATCH(E389,'Kontoplan'!$H$3:$H$302,0))="Støttes ikke",FALSE)),"Kontoen støttes ikke",IF(IFERROR(AND(A389&gt;1,COUNTIF($A$3:$A$2002,A389-1)=0),FALSE),"Nummeret hopper over",IF(OR(NOT(ISNUMBER(B389)),B389&lt;DATE(2027,1,1),B389&gt;DATE(2027,12,31)),"Datoen er ikke i 2027",""))))))</f>
        <v/>
      </c>
    </row>
    <row r="390">
      <c r="A390" s="17" t="n"/>
      <c r="B390" s="9" t="n"/>
      <c r="C390" s="8" t="n"/>
      <c r="D390" s="8" t="n"/>
      <c r="E390" s="8" t="n"/>
      <c r="F390" s="14" t="n"/>
      <c r="G390" s="14" t="n"/>
      <c r="H390" s="8" t="n"/>
      <c r="I390" s="8" t="n"/>
      <c r="J390" s="8" t="n"/>
      <c r="K390" s="18">
        <f>IF(B390="","",IFERROR(MONTH(B390),""))</f>
        <v/>
      </c>
      <c r="L390" s="5">
        <f>IF(COUNTA(A390:J390)=0,"",IF(E390="","Mangler motkonto",IF((F390="")=(G390=""),"Fyll ut enten Inn eller Ut",IF(OR(IFERROR(INDEX('Kontoplan'!$D$3:$D$302,MATCH(D390,'Kontoplan'!$H$3:$H$302,0))="Støttes ikke",FALSE),IFERROR(INDEX('Kontoplan'!$D$3:$D$302,MATCH(E390,'Kontoplan'!$H$3:$H$302,0))="Støttes ikke",FALSE)),"Kontoen støttes ikke",IF(IFERROR(AND(A390&gt;1,COUNTIF($A$3:$A$2002,A390-1)=0),FALSE),"Nummeret hopper over",IF(OR(NOT(ISNUMBER(B390)),B390&lt;DATE(2027,1,1),B390&gt;DATE(2027,12,31)),"Datoen er ikke i 2027",""))))))</f>
        <v/>
      </c>
    </row>
    <row r="391">
      <c r="A391" s="17" t="n"/>
      <c r="B391" s="9" t="n"/>
      <c r="C391" s="8" t="n"/>
      <c r="D391" s="8" t="n"/>
      <c r="E391" s="8" t="n"/>
      <c r="F391" s="14" t="n"/>
      <c r="G391" s="14" t="n"/>
      <c r="H391" s="8" t="n"/>
      <c r="I391" s="8" t="n"/>
      <c r="J391" s="8" t="n"/>
      <c r="K391" s="18">
        <f>IF(B391="","",IFERROR(MONTH(B391),""))</f>
        <v/>
      </c>
      <c r="L391" s="5">
        <f>IF(COUNTA(A391:J391)=0,"",IF(E391="","Mangler motkonto",IF((F391="")=(G391=""),"Fyll ut enten Inn eller Ut",IF(OR(IFERROR(INDEX('Kontoplan'!$D$3:$D$302,MATCH(D391,'Kontoplan'!$H$3:$H$302,0))="Støttes ikke",FALSE),IFERROR(INDEX('Kontoplan'!$D$3:$D$302,MATCH(E391,'Kontoplan'!$H$3:$H$302,0))="Støttes ikke",FALSE)),"Kontoen støttes ikke",IF(IFERROR(AND(A391&gt;1,COUNTIF($A$3:$A$2002,A391-1)=0),FALSE),"Nummeret hopper over",IF(OR(NOT(ISNUMBER(B391)),B391&lt;DATE(2027,1,1),B391&gt;DATE(2027,12,31)),"Datoen er ikke i 2027",""))))))</f>
        <v/>
      </c>
    </row>
    <row r="392">
      <c r="A392" s="17" t="n"/>
      <c r="B392" s="9" t="n"/>
      <c r="C392" s="8" t="n"/>
      <c r="D392" s="8" t="n"/>
      <c r="E392" s="8" t="n"/>
      <c r="F392" s="14" t="n"/>
      <c r="G392" s="14" t="n"/>
      <c r="H392" s="8" t="n"/>
      <c r="I392" s="8" t="n"/>
      <c r="J392" s="8" t="n"/>
      <c r="K392" s="18">
        <f>IF(B392="","",IFERROR(MONTH(B392),""))</f>
        <v/>
      </c>
      <c r="L392" s="5">
        <f>IF(COUNTA(A392:J392)=0,"",IF(E392="","Mangler motkonto",IF((F392="")=(G392=""),"Fyll ut enten Inn eller Ut",IF(OR(IFERROR(INDEX('Kontoplan'!$D$3:$D$302,MATCH(D392,'Kontoplan'!$H$3:$H$302,0))="Støttes ikke",FALSE),IFERROR(INDEX('Kontoplan'!$D$3:$D$302,MATCH(E392,'Kontoplan'!$H$3:$H$302,0))="Støttes ikke",FALSE)),"Kontoen støttes ikke",IF(IFERROR(AND(A392&gt;1,COUNTIF($A$3:$A$2002,A392-1)=0),FALSE),"Nummeret hopper over",IF(OR(NOT(ISNUMBER(B392)),B392&lt;DATE(2027,1,1),B392&gt;DATE(2027,12,31)),"Datoen er ikke i 2027",""))))))</f>
        <v/>
      </c>
    </row>
    <row r="393">
      <c r="A393" s="17" t="n"/>
      <c r="B393" s="9" t="n"/>
      <c r="C393" s="8" t="n"/>
      <c r="D393" s="8" t="n"/>
      <c r="E393" s="8" t="n"/>
      <c r="F393" s="14" t="n"/>
      <c r="G393" s="14" t="n"/>
      <c r="H393" s="8" t="n"/>
      <c r="I393" s="8" t="n"/>
      <c r="J393" s="8" t="n"/>
      <c r="K393" s="18">
        <f>IF(B393="","",IFERROR(MONTH(B393),""))</f>
        <v/>
      </c>
      <c r="L393" s="5">
        <f>IF(COUNTA(A393:J393)=0,"",IF(E393="","Mangler motkonto",IF((F393="")=(G393=""),"Fyll ut enten Inn eller Ut",IF(OR(IFERROR(INDEX('Kontoplan'!$D$3:$D$302,MATCH(D393,'Kontoplan'!$H$3:$H$302,0))="Støttes ikke",FALSE),IFERROR(INDEX('Kontoplan'!$D$3:$D$302,MATCH(E393,'Kontoplan'!$H$3:$H$302,0))="Støttes ikke",FALSE)),"Kontoen støttes ikke",IF(IFERROR(AND(A393&gt;1,COUNTIF($A$3:$A$2002,A393-1)=0),FALSE),"Nummeret hopper over",IF(OR(NOT(ISNUMBER(B393)),B393&lt;DATE(2027,1,1),B393&gt;DATE(2027,12,31)),"Datoen er ikke i 2027",""))))))</f>
        <v/>
      </c>
    </row>
    <row r="394">
      <c r="A394" s="17" t="n"/>
      <c r="B394" s="9" t="n"/>
      <c r="C394" s="8" t="n"/>
      <c r="D394" s="8" t="n"/>
      <c r="E394" s="8" t="n"/>
      <c r="F394" s="14" t="n"/>
      <c r="G394" s="14" t="n"/>
      <c r="H394" s="8" t="n"/>
      <c r="I394" s="8" t="n"/>
      <c r="J394" s="8" t="n"/>
      <c r="K394" s="18">
        <f>IF(B394="","",IFERROR(MONTH(B394),""))</f>
        <v/>
      </c>
      <c r="L394" s="5">
        <f>IF(COUNTA(A394:J394)=0,"",IF(E394="","Mangler motkonto",IF((F394="")=(G394=""),"Fyll ut enten Inn eller Ut",IF(OR(IFERROR(INDEX('Kontoplan'!$D$3:$D$302,MATCH(D394,'Kontoplan'!$H$3:$H$302,0))="Støttes ikke",FALSE),IFERROR(INDEX('Kontoplan'!$D$3:$D$302,MATCH(E394,'Kontoplan'!$H$3:$H$302,0))="Støttes ikke",FALSE)),"Kontoen støttes ikke",IF(IFERROR(AND(A394&gt;1,COUNTIF($A$3:$A$2002,A394-1)=0),FALSE),"Nummeret hopper over",IF(OR(NOT(ISNUMBER(B394)),B394&lt;DATE(2027,1,1),B394&gt;DATE(2027,12,31)),"Datoen er ikke i 2027",""))))))</f>
        <v/>
      </c>
    </row>
    <row r="395">
      <c r="A395" s="17" t="n"/>
      <c r="B395" s="9" t="n"/>
      <c r="C395" s="8" t="n"/>
      <c r="D395" s="8" t="n"/>
      <c r="E395" s="8" t="n"/>
      <c r="F395" s="14" t="n"/>
      <c r="G395" s="14" t="n"/>
      <c r="H395" s="8" t="n"/>
      <c r="I395" s="8" t="n"/>
      <c r="J395" s="8" t="n"/>
      <c r="K395" s="18">
        <f>IF(B395="","",IFERROR(MONTH(B395),""))</f>
        <v/>
      </c>
      <c r="L395" s="5">
        <f>IF(COUNTA(A395:J395)=0,"",IF(E395="","Mangler motkonto",IF((F395="")=(G395=""),"Fyll ut enten Inn eller Ut",IF(OR(IFERROR(INDEX('Kontoplan'!$D$3:$D$302,MATCH(D395,'Kontoplan'!$H$3:$H$302,0))="Støttes ikke",FALSE),IFERROR(INDEX('Kontoplan'!$D$3:$D$302,MATCH(E395,'Kontoplan'!$H$3:$H$302,0))="Støttes ikke",FALSE)),"Kontoen støttes ikke",IF(IFERROR(AND(A395&gt;1,COUNTIF($A$3:$A$2002,A395-1)=0),FALSE),"Nummeret hopper over",IF(OR(NOT(ISNUMBER(B395)),B395&lt;DATE(2027,1,1),B395&gt;DATE(2027,12,31)),"Datoen er ikke i 2027",""))))))</f>
        <v/>
      </c>
    </row>
    <row r="396">
      <c r="A396" s="17" t="n"/>
      <c r="B396" s="9" t="n"/>
      <c r="C396" s="8" t="n"/>
      <c r="D396" s="8" t="n"/>
      <c r="E396" s="8" t="n"/>
      <c r="F396" s="14" t="n"/>
      <c r="G396" s="14" t="n"/>
      <c r="H396" s="8" t="n"/>
      <c r="I396" s="8" t="n"/>
      <c r="J396" s="8" t="n"/>
      <c r="K396" s="18">
        <f>IF(B396="","",IFERROR(MONTH(B396),""))</f>
        <v/>
      </c>
      <c r="L396" s="5">
        <f>IF(COUNTA(A396:J396)=0,"",IF(E396="","Mangler motkonto",IF((F396="")=(G396=""),"Fyll ut enten Inn eller Ut",IF(OR(IFERROR(INDEX('Kontoplan'!$D$3:$D$302,MATCH(D396,'Kontoplan'!$H$3:$H$302,0))="Støttes ikke",FALSE),IFERROR(INDEX('Kontoplan'!$D$3:$D$302,MATCH(E396,'Kontoplan'!$H$3:$H$302,0))="Støttes ikke",FALSE)),"Kontoen støttes ikke",IF(IFERROR(AND(A396&gt;1,COUNTIF($A$3:$A$2002,A396-1)=0),FALSE),"Nummeret hopper over",IF(OR(NOT(ISNUMBER(B396)),B396&lt;DATE(2027,1,1),B396&gt;DATE(2027,12,31)),"Datoen er ikke i 2027",""))))))</f>
        <v/>
      </c>
    </row>
    <row r="397">
      <c r="A397" s="17" t="n"/>
      <c r="B397" s="9" t="n"/>
      <c r="C397" s="8" t="n"/>
      <c r="D397" s="8" t="n"/>
      <c r="E397" s="8" t="n"/>
      <c r="F397" s="14" t="n"/>
      <c r="G397" s="14" t="n"/>
      <c r="H397" s="8" t="n"/>
      <c r="I397" s="8" t="n"/>
      <c r="J397" s="8" t="n"/>
      <c r="K397" s="18">
        <f>IF(B397="","",IFERROR(MONTH(B397),""))</f>
        <v/>
      </c>
      <c r="L397" s="5">
        <f>IF(COUNTA(A397:J397)=0,"",IF(E397="","Mangler motkonto",IF((F397="")=(G397=""),"Fyll ut enten Inn eller Ut",IF(OR(IFERROR(INDEX('Kontoplan'!$D$3:$D$302,MATCH(D397,'Kontoplan'!$H$3:$H$302,0))="Støttes ikke",FALSE),IFERROR(INDEX('Kontoplan'!$D$3:$D$302,MATCH(E397,'Kontoplan'!$H$3:$H$302,0))="Støttes ikke",FALSE)),"Kontoen støttes ikke",IF(IFERROR(AND(A397&gt;1,COUNTIF($A$3:$A$2002,A397-1)=0),FALSE),"Nummeret hopper over",IF(OR(NOT(ISNUMBER(B397)),B397&lt;DATE(2027,1,1),B397&gt;DATE(2027,12,31)),"Datoen er ikke i 2027",""))))))</f>
        <v/>
      </c>
    </row>
    <row r="398">
      <c r="A398" s="17" t="n"/>
      <c r="B398" s="9" t="n"/>
      <c r="C398" s="8" t="n"/>
      <c r="D398" s="8" t="n"/>
      <c r="E398" s="8" t="n"/>
      <c r="F398" s="14" t="n"/>
      <c r="G398" s="14" t="n"/>
      <c r="H398" s="8" t="n"/>
      <c r="I398" s="8" t="n"/>
      <c r="J398" s="8" t="n"/>
      <c r="K398" s="18">
        <f>IF(B398="","",IFERROR(MONTH(B398),""))</f>
        <v/>
      </c>
      <c r="L398" s="5">
        <f>IF(COUNTA(A398:J398)=0,"",IF(E398="","Mangler motkonto",IF((F398="")=(G398=""),"Fyll ut enten Inn eller Ut",IF(OR(IFERROR(INDEX('Kontoplan'!$D$3:$D$302,MATCH(D398,'Kontoplan'!$H$3:$H$302,0))="Støttes ikke",FALSE),IFERROR(INDEX('Kontoplan'!$D$3:$D$302,MATCH(E398,'Kontoplan'!$H$3:$H$302,0))="Støttes ikke",FALSE)),"Kontoen støttes ikke",IF(IFERROR(AND(A398&gt;1,COUNTIF($A$3:$A$2002,A398-1)=0),FALSE),"Nummeret hopper over",IF(OR(NOT(ISNUMBER(B398)),B398&lt;DATE(2027,1,1),B398&gt;DATE(2027,12,31)),"Datoen er ikke i 2027",""))))))</f>
        <v/>
      </c>
    </row>
    <row r="399">
      <c r="A399" s="17" t="n"/>
      <c r="B399" s="9" t="n"/>
      <c r="C399" s="8" t="n"/>
      <c r="D399" s="8" t="n"/>
      <c r="E399" s="8" t="n"/>
      <c r="F399" s="14" t="n"/>
      <c r="G399" s="14" t="n"/>
      <c r="H399" s="8" t="n"/>
      <c r="I399" s="8" t="n"/>
      <c r="J399" s="8" t="n"/>
      <c r="K399" s="18">
        <f>IF(B399="","",IFERROR(MONTH(B399),""))</f>
        <v/>
      </c>
      <c r="L399" s="5">
        <f>IF(COUNTA(A399:J399)=0,"",IF(E399="","Mangler motkonto",IF((F399="")=(G399=""),"Fyll ut enten Inn eller Ut",IF(OR(IFERROR(INDEX('Kontoplan'!$D$3:$D$302,MATCH(D399,'Kontoplan'!$H$3:$H$302,0))="Støttes ikke",FALSE),IFERROR(INDEX('Kontoplan'!$D$3:$D$302,MATCH(E399,'Kontoplan'!$H$3:$H$302,0))="Støttes ikke",FALSE)),"Kontoen støttes ikke",IF(IFERROR(AND(A399&gt;1,COUNTIF($A$3:$A$2002,A399-1)=0),FALSE),"Nummeret hopper over",IF(OR(NOT(ISNUMBER(B399)),B399&lt;DATE(2027,1,1),B399&gt;DATE(2027,12,31)),"Datoen er ikke i 2027",""))))))</f>
        <v/>
      </c>
    </row>
    <row r="400">
      <c r="A400" s="17" t="n"/>
      <c r="B400" s="9" t="n"/>
      <c r="C400" s="8" t="n"/>
      <c r="D400" s="8" t="n"/>
      <c r="E400" s="8" t="n"/>
      <c r="F400" s="14" t="n"/>
      <c r="G400" s="14" t="n"/>
      <c r="H400" s="8" t="n"/>
      <c r="I400" s="8" t="n"/>
      <c r="J400" s="8" t="n"/>
      <c r="K400" s="18">
        <f>IF(B400="","",IFERROR(MONTH(B400),""))</f>
        <v/>
      </c>
      <c r="L400" s="5">
        <f>IF(COUNTA(A400:J400)=0,"",IF(E400="","Mangler motkonto",IF((F400="")=(G400=""),"Fyll ut enten Inn eller Ut",IF(OR(IFERROR(INDEX('Kontoplan'!$D$3:$D$302,MATCH(D400,'Kontoplan'!$H$3:$H$302,0))="Støttes ikke",FALSE),IFERROR(INDEX('Kontoplan'!$D$3:$D$302,MATCH(E400,'Kontoplan'!$H$3:$H$302,0))="Støttes ikke",FALSE)),"Kontoen støttes ikke",IF(IFERROR(AND(A400&gt;1,COUNTIF($A$3:$A$2002,A400-1)=0),FALSE),"Nummeret hopper over",IF(OR(NOT(ISNUMBER(B400)),B400&lt;DATE(2027,1,1),B400&gt;DATE(2027,12,31)),"Datoen er ikke i 2027",""))))))</f>
        <v/>
      </c>
    </row>
    <row r="401">
      <c r="A401" s="17" t="n"/>
      <c r="B401" s="9" t="n"/>
      <c r="C401" s="8" t="n"/>
      <c r="D401" s="8" t="n"/>
      <c r="E401" s="8" t="n"/>
      <c r="F401" s="14" t="n"/>
      <c r="G401" s="14" t="n"/>
      <c r="H401" s="8" t="n"/>
      <c r="I401" s="8" t="n"/>
      <c r="J401" s="8" t="n"/>
      <c r="K401" s="18">
        <f>IF(B401="","",IFERROR(MONTH(B401),""))</f>
        <v/>
      </c>
      <c r="L401" s="5">
        <f>IF(COUNTA(A401:J401)=0,"",IF(E401="","Mangler motkonto",IF((F401="")=(G401=""),"Fyll ut enten Inn eller Ut",IF(OR(IFERROR(INDEX('Kontoplan'!$D$3:$D$302,MATCH(D401,'Kontoplan'!$H$3:$H$302,0))="Støttes ikke",FALSE),IFERROR(INDEX('Kontoplan'!$D$3:$D$302,MATCH(E401,'Kontoplan'!$H$3:$H$302,0))="Støttes ikke",FALSE)),"Kontoen støttes ikke",IF(IFERROR(AND(A401&gt;1,COUNTIF($A$3:$A$2002,A401-1)=0),FALSE),"Nummeret hopper over",IF(OR(NOT(ISNUMBER(B401)),B401&lt;DATE(2027,1,1),B401&gt;DATE(2027,12,31)),"Datoen er ikke i 2027",""))))))</f>
        <v/>
      </c>
    </row>
    <row r="402">
      <c r="A402" s="17" t="n"/>
      <c r="B402" s="9" t="n"/>
      <c r="C402" s="8" t="n"/>
      <c r="D402" s="8" t="n"/>
      <c r="E402" s="8" t="n"/>
      <c r="F402" s="14" t="n"/>
      <c r="G402" s="14" t="n"/>
      <c r="H402" s="8" t="n"/>
      <c r="I402" s="8" t="n"/>
      <c r="J402" s="8" t="n"/>
      <c r="K402" s="18">
        <f>IF(B402="","",IFERROR(MONTH(B402),""))</f>
        <v/>
      </c>
      <c r="L402" s="5">
        <f>IF(COUNTA(A402:J402)=0,"",IF(E402="","Mangler motkonto",IF((F402="")=(G402=""),"Fyll ut enten Inn eller Ut",IF(OR(IFERROR(INDEX('Kontoplan'!$D$3:$D$302,MATCH(D402,'Kontoplan'!$H$3:$H$302,0))="Støttes ikke",FALSE),IFERROR(INDEX('Kontoplan'!$D$3:$D$302,MATCH(E402,'Kontoplan'!$H$3:$H$302,0))="Støttes ikke",FALSE)),"Kontoen støttes ikke",IF(IFERROR(AND(A402&gt;1,COUNTIF($A$3:$A$2002,A402-1)=0),FALSE),"Nummeret hopper over",IF(OR(NOT(ISNUMBER(B402)),B402&lt;DATE(2027,1,1),B402&gt;DATE(2027,12,31)),"Datoen er ikke i 2027",""))))))</f>
        <v/>
      </c>
    </row>
    <row r="403">
      <c r="A403" s="17" t="n"/>
      <c r="B403" s="9" t="n"/>
      <c r="C403" s="8" t="n"/>
      <c r="D403" s="8" t="n"/>
      <c r="E403" s="8" t="n"/>
      <c r="F403" s="14" t="n"/>
      <c r="G403" s="14" t="n"/>
      <c r="H403" s="8" t="n"/>
      <c r="I403" s="8" t="n"/>
      <c r="J403" s="8" t="n"/>
      <c r="K403" s="18">
        <f>IF(B403="","",IFERROR(MONTH(B403),""))</f>
        <v/>
      </c>
      <c r="L403" s="5">
        <f>IF(COUNTA(A403:J403)=0,"",IF(E403="","Mangler motkonto",IF((F403="")=(G403=""),"Fyll ut enten Inn eller Ut",IF(OR(IFERROR(INDEX('Kontoplan'!$D$3:$D$302,MATCH(D403,'Kontoplan'!$H$3:$H$302,0))="Støttes ikke",FALSE),IFERROR(INDEX('Kontoplan'!$D$3:$D$302,MATCH(E403,'Kontoplan'!$H$3:$H$302,0))="Støttes ikke",FALSE)),"Kontoen støttes ikke",IF(IFERROR(AND(A403&gt;1,COUNTIF($A$3:$A$2002,A403-1)=0),FALSE),"Nummeret hopper over",IF(OR(NOT(ISNUMBER(B403)),B403&lt;DATE(2027,1,1),B403&gt;DATE(2027,12,31)),"Datoen er ikke i 2027",""))))))</f>
        <v/>
      </c>
    </row>
    <row r="404">
      <c r="A404" s="17" t="n"/>
      <c r="B404" s="9" t="n"/>
      <c r="C404" s="8" t="n"/>
      <c r="D404" s="8" t="n"/>
      <c r="E404" s="8" t="n"/>
      <c r="F404" s="14" t="n"/>
      <c r="G404" s="14" t="n"/>
      <c r="H404" s="8" t="n"/>
      <c r="I404" s="8" t="n"/>
      <c r="J404" s="8" t="n"/>
      <c r="K404" s="18">
        <f>IF(B404="","",IFERROR(MONTH(B404),""))</f>
        <v/>
      </c>
      <c r="L404" s="5">
        <f>IF(COUNTA(A404:J404)=0,"",IF(E404="","Mangler motkonto",IF((F404="")=(G404=""),"Fyll ut enten Inn eller Ut",IF(OR(IFERROR(INDEX('Kontoplan'!$D$3:$D$302,MATCH(D404,'Kontoplan'!$H$3:$H$302,0))="Støttes ikke",FALSE),IFERROR(INDEX('Kontoplan'!$D$3:$D$302,MATCH(E404,'Kontoplan'!$H$3:$H$302,0))="Støttes ikke",FALSE)),"Kontoen støttes ikke",IF(IFERROR(AND(A404&gt;1,COUNTIF($A$3:$A$2002,A404-1)=0),FALSE),"Nummeret hopper over",IF(OR(NOT(ISNUMBER(B404)),B404&lt;DATE(2027,1,1),B404&gt;DATE(2027,12,31)),"Datoen er ikke i 2027",""))))))</f>
        <v/>
      </c>
    </row>
    <row r="405">
      <c r="A405" s="17" t="n"/>
      <c r="B405" s="9" t="n"/>
      <c r="C405" s="8" t="n"/>
      <c r="D405" s="8" t="n"/>
      <c r="E405" s="8" t="n"/>
      <c r="F405" s="14" t="n"/>
      <c r="G405" s="14" t="n"/>
      <c r="H405" s="8" t="n"/>
      <c r="I405" s="8" t="n"/>
      <c r="J405" s="8" t="n"/>
      <c r="K405" s="18">
        <f>IF(B405="","",IFERROR(MONTH(B405),""))</f>
        <v/>
      </c>
      <c r="L405" s="5">
        <f>IF(COUNTA(A405:J405)=0,"",IF(E405="","Mangler motkonto",IF((F405="")=(G405=""),"Fyll ut enten Inn eller Ut",IF(OR(IFERROR(INDEX('Kontoplan'!$D$3:$D$302,MATCH(D405,'Kontoplan'!$H$3:$H$302,0))="Støttes ikke",FALSE),IFERROR(INDEX('Kontoplan'!$D$3:$D$302,MATCH(E405,'Kontoplan'!$H$3:$H$302,0))="Støttes ikke",FALSE)),"Kontoen støttes ikke",IF(IFERROR(AND(A405&gt;1,COUNTIF($A$3:$A$2002,A405-1)=0),FALSE),"Nummeret hopper over",IF(OR(NOT(ISNUMBER(B405)),B405&lt;DATE(2027,1,1),B405&gt;DATE(2027,12,31)),"Datoen er ikke i 2027",""))))))</f>
        <v/>
      </c>
    </row>
    <row r="406">
      <c r="A406" s="17" t="n"/>
      <c r="B406" s="9" t="n"/>
      <c r="C406" s="8" t="n"/>
      <c r="D406" s="8" t="n"/>
      <c r="E406" s="8" t="n"/>
      <c r="F406" s="14" t="n"/>
      <c r="G406" s="14" t="n"/>
      <c r="H406" s="8" t="n"/>
      <c r="I406" s="8" t="n"/>
      <c r="J406" s="8" t="n"/>
      <c r="K406" s="18">
        <f>IF(B406="","",IFERROR(MONTH(B406),""))</f>
        <v/>
      </c>
      <c r="L406" s="5">
        <f>IF(COUNTA(A406:J406)=0,"",IF(E406="","Mangler motkonto",IF((F406="")=(G406=""),"Fyll ut enten Inn eller Ut",IF(OR(IFERROR(INDEX('Kontoplan'!$D$3:$D$302,MATCH(D406,'Kontoplan'!$H$3:$H$302,0))="Støttes ikke",FALSE),IFERROR(INDEX('Kontoplan'!$D$3:$D$302,MATCH(E406,'Kontoplan'!$H$3:$H$302,0))="Støttes ikke",FALSE)),"Kontoen støttes ikke",IF(IFERROR(AND(A406&gt;1,COUNTIF($A$3:$A$2002,A406-1)=0),FALSE),"Nummeret hopper over",IF(OR(NOT(ISNUMBER(B406)),B406&lt;DATE(2027,1,1),B406&gt;DATE(2027,12,31)),"Datoen er ikke i 2027",""))))))</f>
        <v/>
      </c>
    </row>
    <row r="407">
      <c r="A407" s="17" t="n"/>
      <c r="B407" s="9" t="n"/>
      <c r="C407" s="8" t="n"/>
      <c r="D407" s="8" t="n"/>
      <c r="E407" s="8" t="n"/>
      <c r="F407" s="14" t="n"/>
      <c r="G407" s="14" t="n"/>
      <c r="H407" s="8" t="n"/>
      <c r="I407" s="8" t="n"/>
      <c r="J407" s="8" t="n"/>
      <c r="K407" s="18">
        <f>IF(B407="","",IFERROR(MONTH(B407),""))</f>
        <v/>
      </c>
      <c r="L407" s="5">
        <f>IF(COUNTA(A407:J407)=0,"",IF(E407="","Mangler motkonto",IF((F407="")=(G407=""),"Fyll ut enten Inn eller Ut",IF(OR(IFERROR(INDEX('Kontoplan'!$D$3:$D$302,MATCH(D407,'Kontoplan'!$H$3:$H$302,0))="Støttes ikke",FALSE),IFERROR(INDEX('Kontoplan'!$D$3:$D$302,MATCH(E407,'Kontoplan'!$H$3:$H$302,0))="Støttes ikke",FALSE)),"Kontoen støttes ikke",IF(IFERROR(AND(A407&gt;1,COUNTIF($A$3:$A$2002,A407-1)=0),FALSE),"Nummeret hopper over",IF(OR(NOT(ISNUMBER(B407)),B407&lt;DATE(2027,1,1),B407&gt;DATE(2027,12,31)),"Datoen er ikke i 2027",""))))))</f>
        <v/>
      </c>
    </row>
    <row r="408">
      <c r="A408" s="17" t="n"/>
      <c r="B408" s="9" t="n"/>
      <c r="C408" s="8" t="n"/>
      <c r="D408" s="8" t="n"/>
      <c r="E408" s="8" t="n"/>
      <c r="F408" s="14" t="n"/>
      <c r="G408" s="14" t="n"/>
      <c r="H408" s="8" t="n"/>
      <c r="I408" s="8" t="n"/>
      <c r="J408" s="8" t="n"/>
      <c r="K408" s="18">
        <f>IF(B408="","",IFERROR(MONTH(B408),""))</f>
        <v/>
      </c>
      <c r="L408" s="5">
        <f>IF(COUNTA(A408:J408)=0,"",IF(E408="","Mangler motkonto",IF((F408="")=(G408=""),"Fyll ut enten Inn eller Ut",IF(OR(IFERROR(INDEX('Kontoplan'!$D$3:$D$302,MATCH(D408,'Kontoplan'!$H$3:$H$302,0))="Støttes ikke",FALSE),IFERROR(INDEX('Kontoplan'!$D$3:$D$302,MATCH(E408,'Kontoplan'!$H$3:$H$302,0))="Støttes ikke",FALSE)),"Kontoen støttes ikke",IF(IFERROR(AND(A408&gt;1,COUNTIF($A$3:$A$2002,A408-1)=0),FALSE),"Nummeret hopper over",IF(OR(NOT(ISNUMBER(B408)),B408&lt;DATE(2027,1,1),B408&gt;DATE(2027,12,31)),"Datoen er ikke i 2027",""))))))</f>
        <v/>
      </c>
    </row>
    <row r="409">
      <c r="A409" s="17" t="n"/>
      <c r="B409" s="9" t="n"/>
      <c r="C409" s="8" t="n"/>
      <c r="D409" s="8" t="n"/>
      <c r="E409" s="8" t="n"/>
      <c r="F409" s="14" t="n"/>
      <c r="G409" s="14" t="n"/>
      <c r="H409" s="8" t="n"/>
      <c r="I409" s="8" t="n"/>
      <c r="J409" s="8" t="n"/>
      <c r="K409" s="18">
        <f>IF(B409="","",IFERROR(MONTH(B409),""))</f>
        <v/>
      </c>
      <c r="L409" s="5">
        <f>IF(COUNTA(A409:J409)=0,"",IF(E409="","Mangler motkonto",IF((F409="")=(G409=""),"Fyll ut enten Inn eller Ut",IF(OR(IFERROR(INDEX('Kontoplan'!$D$3:$D$302,MATCH(D409,'Kontoplan'!$H$3:$H$302,0))="Støttes ikke",FALSE),IFERROR(INDEX('Kontoplan'!$D$3:$D$302,MATCH(E409,'Kontoplan'!$H$3:$H$302,0))="Støttes ikke",FALSE)),"Kontoen støttes ikke",IF(IFERROR(AND(A409&gt;1,COUNTIF($A$3:$A$2002,A409-1)=0),FALSE),"Nummeret hopper over",IF(OR(NOT(ISNUMBER(B409)),B409&lt;DATE(2027,1,1),B409&gt;DATE(2027,12,31)),"Datoen er ikke i 2027",""))))))</f>
        <v/>
      </c>
    </row>
    <row r="410">
      <c r="A410" s="17" t="n"/>
      <c r="B410" s="9" t="n"/>
      <c r="C410" s="8" t="n"/>
      <c r="D410" s="8" t="n"/>
      <c r="E410" s="8" t="n"/>
      <c r="F410" s="14" t="n"/>
      <c r="G410" s="14" t="n"/>
      <c r="H410" s="8" t="n"/>
      <c r="I410" s="8" t="n"/>
      <c r="J410" s="8" t="n"/>
      <c r="K410" s="18">
        <f>IF(B410="","",IFERROR(MONTH(B410),""))</f>
        <v/>
      </c>
      <c r="L410" s="5">
        <f>IF(COUNTA(A410:J410)=0,"",IF(E410="","Mangler motkonto",IF((F410="")=(G410=""),"Fyll ut enten Inn eller Ut",IF(OR(IFERROR(INDEX('Kontoplan'!$D$3:$D$302,MATCH(D410,'Kontoplan'!$H$3:$H$302,0))="Støttes ikke",FALSE),IFERROR(INDEX('Kontoplan'!$D$3:$D$302,MATCH(E410,'Kontoplan'!$H$3:$H$302,0))="Støttes ikke",FALSE)),"Kontoen støttes ikke",IF(IFERROR(AND(A410&gt;1,COUNTIF($A$3:$A$2002,A410-1)=0),FALSE),"Nummeret hopper over",IF(OR(NOT(ISNUMBER(B410)),B410&lt;DATE(2027,1,1),B410&gt;DATE(2027,12,31)),"Datoen er ikke i 2027",""))))))</f>
        <v/>
      </c>
    </row>
    <row r="411">
      <c r="A411" s="17" t="n"/>
      <c r="B411" s="9" t="n"/>
      <c r="C411" s="8" t="n"/>
      <c r="D411" s="8" t="n"/>
      <c r="E411" s="8" t="n"/>
      <c r="F411" s="14" t="n"/>
      <c r="G411" s="14" t="n"/>
      <c r="H411" s="8" t="n"/>
      <c r="I411" s="8" t="n"/>
      <c r="J411" s="8" t="n"/>
      <c r="K411" s="18">
        <f>IF(B411="","",IFERROR(MONTH(B411),""))</f>
        <v/>
      </c>
      <c r="L411" s="5">
        <f>IF(COUNTA(A411:J411)=0,"",IF(E411="","Mangler motkonto",IF((F411="")=(G411=""),"Fyll ut enten Inn eller Ut",IF(OR(IFERROR(INDEX('Kontoplan'!$D$3:$D$302,MATCH(D411,'Kontoplan'!$H$3:$H$302,0))="Støttes ikke",FALSE),IFERROR(INDEX('Kontoplan'!$D$3:$D$302,MATCH(E411,'Kontoplan'!$H$3:$H$302,0))="Støttes ikke",FALSE)),"Kontoen støttes ikke",IF(IFERROR(AND(A411&gt;1,COUNTIF($A$3:$A$2002,A411-1)=0),FALSE),"Nummeret hopper over",IF(OR(NOT(ISNUMBER(B411)),B411&lt;DATE(2027,1,1),B411&gt;DATE(2027,12,31)),"Datoen er ikke i 2027",""))))))</f>
        <v/>
      </c>
    </row>
    <row r="412">
      <c r="A412" s="17" t="n"/>
      <c r="B412" s="9" t="n"/>
      <c r="C412" s="8" t="n"/>
      <c r="D412" s="8" t="n"/>
      <c r="E412" s="8" t="n"/>
      <c r="F412" s="14" t="n"/>
      <c r="G412" s="14" t="n"/>
      <c r="H412" s="8" t="n"/>
      <c r="I412" s="8" t="n"/>
      <c r="J412" s="8" t="n"/>
      <c r="K412" s="18">
        <f>IF(B412="","",IFERROR(MONTH(B412),""))</f>
        <v/>
      </c>
      <c r="L412" s="5">
        <f>IF(COUNTA(A412:J412)=0,"",IF(E412="","Mangler motkonto",IF((F412="")=(G412=""),"Fyll ut enten Inn eller Ut",IF(OR(IFERROR(INDEX('Kontoplan'!$D$3:$D$302,MATCH(D412,'Kontoplan'!$H$3:$H$302,0))="Støttes ikke",FALSE),IFERROR(INDEX('Kontoplan'!$D$3:$D$302,MATCH(E412,'Kontoplan'!$H$3:$H$302,0))="Støttes ikke",FALSE)),"Kontoen støttes ikke",IF(IFERROR(AND(A412&gt;1,COUNTIF($A$3:$A$2002,A412-1)=0),FALSE),"Nummeret hopper over",IF(OR(NOT(ISNUMBER(B412)),B412&lt;DATE(2027,1,1),B412&gt;DATE(2027,12,31)),"Datoen er ikke i 2027",""))))))</f>
        <v/>
      </c>
    </row>
    <row r="413">
      <c r="A413" s="17" t="n"/>
      <c r="B413" s="9" t="n"/>
      <c r="C413" s="8" t="n"/>
      <c r="D413" s="8" t="n"/>
      <c r="E413" s="8" t="n"/>
      <c r="F413" s="14" t="n"/>
      <c r="G413" s="14" t="n"/>
      <c r="H413" s="8" t="n"/>
      <c r="I413" s="8" t="n"/>
      <c r="J413" s="8" t="n"/>
      <c r="K413" s="18">
        <f>IF(B413="","",IFERROR(MONTH(B413),""))</f>
        <v/>
      </c>
      <c r="L413" s="5">
        <f>IF(COUNTA(A413:J413)=0,"",IF(E413="","Mangler motkonto",IF((F413="")=(G413=""),"Fyll ut enten Inn eller Ut",IF(OR(IFERROR(INDEX('Kontoplan'!$D$3:$D$302,MATCH(D413,'Kontoplan'!$H$3:$H$302,0))="Støttes ikke",FALSE),IFERROR(INDEX('Kontoplan'!$D$3:$D$302,MATCH(E413,'Kontoplan'!$H$3:$H$302,0))="Støttes ikke",FALSE)),"Kontoen støttes ikke",IF(IFERROR(AND(A413&gt;1,COUNTIF($A$3:$A$2002,A413-1)=0),FALSE),"Nummeret hopper over",IF(OR(NOT(ISNUMBER(B413)),B413&lt;DATE(2027,1,1),B413&gt;DATE(2027,12,31)),"Datoen er ikke i 2027",""))))))</f>
        <v/>
      </c>
    </row>
    <row r="414">
      <c r="A414" s="17" t="n"/>
      <c r="B414" s="9" t="n"/>
      <c r="C414" s="8" t="n"/>
      <c r="D414" s="8" t="n"/>
      <c r="E414" s="8" t="n"/>
      <c r="F414" s="14" t="n"/>
      <c r="G414" s="14" t="n"/>
      <c r="H414" s="8" t="n"/>
      <c r="I414" s="8" t="n"/>
      <c r="J414" s="8" t="n"/>
      <c r="K414" s="18">
        <f>IF(B414="","",IFERROR(MONTH(B414),""))</f>
        <v/>
      </c>
      <c r="L414" s="5">
        <f>IF(COUNTA(A414:J414)=0,"",IF(E414="","Mangler motkonto",IF((F414="")=(G414=""),"Fyll ut enten Inn eller Ut",IF(OR(IFERROR(INDEX('Kontoplan'!$D$3:$D$302,MATCH(D414,'Kontoplan'!$H$3:$H$302,0))="Støttes ikke",FALSE),IFERROR(INDEX('Kontoplan'!$D$3:$D$302,MATCH(E414,'Kontoplan'!$H$3:$H$302,0))="Støttes ikke",FALSE)),"Kontoen støttes ikke",IF(IFERROR(AND(A414&gt;1,COUNTIF($A$3:$A$2002,A414-1)=0),FALSE),"Nummeret hopper over",IF(OR(NOT(ISNUMBER(B414)),B414&lt;DATE(2027,1,1),B414&gt;DATE(2027,12,31)),"Datoen er ikke i 2027",""))))))</f>
        <v/>
      </c>
    </row>
    <row r="415">
      <c r="A415" s="17" t="n"/>
      <c r="B415" s="9" t="n"/>
      <c r="C415" s="8" t="n"/>
      <c r="D415" s="8" t="n"/>
      <c r="E415" s="8" t="n"/>
      <c r="F415" s="14" t="n"/>
      <c r="G415" s="14" t="n"/>
      <c r="H415" s="8" t="n"/>
      <c r="I415" s="8" t="n"/>
      <c r="J415" s="8" t="n"/>
      <c r="K415" s="18">
        <f>IF(B415="","",IFERROR(MONTH(B415),""))</f>
        <v/>
      </c>
      <c r="L415" s="5">
        <f>IF(COUNTA(A415:J415)=0,"",IF(E415="","Mangler motkonto",IF((F415="")=(G415=""),"Fyll ut enten Inn eller Ut",IF(OR(IFERROR(INDEX('Kontoplan'!$D$3:$D$302,MATCH(D415,'Kontoplan'!$H$3:$H$302,0))="Støttes ikke",FALSE),IFERROR(INDEX('Kontoplan'!$D$3:$D$302,MATCH(E415,'Kontoplan'!$H$3:$H$302,0))="Støttes ikke",FALSE)),"Kontoen støttes ikke",IF(IFERROR(AND(A415&gt;1,COUNTIF($A$3:$A$2002,A415-1)=0),FALSE),"Nummeret hopper over",IF(OR(NOT(ISNUMBER(B415)),B415&lt;DATE(2027,1,1),B415&gt;DATE(2027,12,31)),"Datoen er ikke i 2027",""))))))</f>
        <v/>
      </c>
    </row>
    <row r="416">
      <c r="A416" s="17" t="n"/>
      <c r="B416" s="9" t="n"/>
      <c r="C416" s="8" t="n"/>
      <c r="D416" s="8" t="n"/>
      <c r="E416" s="8" t="n"/>
      <c r="F416" s="14" t="n"/>
      <c r="G416" s="14" t="n"/>
      <c r="H416" s="8" t="n"/>
      <c r="I416" s="8" t="n"/>
      <c r="J416" s="8" t="n"/>
      <c r="K416" s="18">
        <f>IF(B416="","",IFERROR(MONTH(B416),""))</f>
        <v/>
      </c>
      <c r="L416" s="5">
        <f>IF(COUNTA(A416:J416)=0,"",IF(E416="","Mangler motkonto",IF((F416="")=(G416=""),"Fyll ut enten Inn eller Ut",IF(OR(IFERROR(INDEX('Kontoplan'!$D$3:$D$302,MATCH(D416,'Kontoplan'!$H$3:$H$302,0))="Støttes ikke",FALSE),IFERROR(INDEX('Kontoplan'!$D$3:$D$302,MATCH(E416,'Kontoplan'!$H$3:$H$302,0))="Støttes ikke",FALSE)),"Kontoen støttes ikke",IF(IFERROR(AND(A416&gt;1,COUNTIF($A$3:$A$2002,A416-1)=0),FALSE),"Nummeret hopper over",IF(OR(NOT(ISNUMBER(B416)),B416&lt;DATE(2027,1,1),B416&gt;DATE(2027,12,31)),"Datoen er ikke i 2027",""))))))</f>
        <v/>
      </c>
    </row>
    <row r="417">
      <c r="A417" s="17" t="n"/>
      <c r="B417" s="9" t="n"/>
      <c r="C417" s="8" t="n"/>
      <c r="D417" s="8" t="n"/>
      <c r="E417" s="8" t="n"/>
      <c r="F417" s="14" t="n"/>
      <c r="G417" s="14" t="n"/>
      <c r="H417" s="8" t="n"/>
      <c r="I417" s="8" t="n"/>
      <c r="J417" s="8" t="n"/>
      <c r="K417" s="18">
        <f>IF(B417="","",IFERROR(MONTH(B417),""))</f>
        <v/>
      </c>
      <c r="L417" s="5">
        <f>IF(COUNTA(A417:J417)=0,"",IF(E417="","Mangler motkonto",IF((F417="")=(G417=""),"Fyll ut enten Inn eller Ut",IF(OR(IFERROR(INDEX('Kontoplan'!$D$3:$D$302,MATCH(D417,'Kontoplan'!$H$3:$H$302,0))="Støttes ikke",FALSE),IFERROR(INDEX('Kontoplan'!$D$3:$D$302,MATCH(E417,'Kontoplan'!$H$3:$H$302,0))="Støttes ikke",FALSE)),"Kontoen støttes ikke",IF(IFERROR(AND(A417&gt;1,COUNTIF($A$3:$A$2002,A417-1)=0),FALSE),"Nummeret hopper over",IF(OR(NOT(ISNUMBER(B417)),B417&lt;DATE(2027,1,1),B417&gt;DATE(2027,12,31)),"Datoen er ikke i 2027",""))))))</f>
        <v/>
      </c>
    </row>
    <row r="418">
      <c r="A418" s="17" t="n"/>
      <c r="B418" s="9" t="n"/>
      <c r="C418" s="8" t="n"/>
      <c r="D418" s="8" t="n"/>
      <c r="E418" s="8" t="n"/>
      <c r="F418" s="14" t="n"/>
      <c r="G418" s="14" t="n"/>
      <c r="H418" s="8" t="n"/>
      <c r="I418" s="8" t="n"/>
      <c r="J418" s="8" t="n"/>
      <c r="K418" s="18">
        <f>IF(B418="","",IFERROR(MONTH(B418),""))</f>
        <v/>
      </c>
      <c r="L418" s="5">
        <f>IF(COUNTA(A418:J418)=0,"",IF(E418="","Mangler motkonto",IF((F418="")=(G418=""),"Fyll ut enten Inn eller Ut",IF(OR(IFERROR(INDEX('Kontoplan'!$D$3:$D$302,MATCH(D418,'Kontoplan'!$H$3:$H$302,0))="Støttes ikke",FALSE),IFERROR(INDEX('Kontoplan'!$D$3:$D$302,MATCH(E418,'Kontoplan'!$H$3:$H$302,0))="Støttes ikke",FALSE)),"Kontoen støttes ikke",IF(IFERROR(AND(A418&gt;1,COUNTIF($A$3:$A$2002,A418-1)=0),FALSE),"Nummeret hopper over",IF(OR(NOT(ISNUMBER(B418)),B418&lt;DATE(2027,1,1),B418&gt;DATE(2027,12,31)),"Datoen er ikke i 2027",""))))))</f>
        <v/>
      </c>
    </row>
    <row r="419">
      <c r="A419" s="17" t="n"/>
      <c r="B419" s="9" t="n"/>
      <c r="C419" s="8" t="n"/>
      <c r="D419" s="8" t="n"/>
      <c r="E419" s="8" t="n"/>
      <c r="F419" s="14" t="n"/>
      <c r="G419" s="14" t="n"/>
      <c r="H419" s="8" t="n"/>
      <c r="I419" s="8" t="n"/>
      <c r="J419" s="8" t="n"/>
      <c r="K419" s="18">
        <f>IF(B419="","",IFERROR(MONTH(B419),""))</f>
        <v/>
      </c>
      <c r="L419" s="5">
        <f>IF(COUNTA(A419:J419)=0,"",IF(E419="","Mangler motkonto",IF((F419="")=(G419=""),"Fyll ut enten Inn eller Ut",IF(OR(IFERROR(INDEX('Kontoplan'!$D$3:$D$302,MATCH(D419,'Kontoplan'!$H$3:$H$302,0))="Støttes ikke",FALSE),IFERROR(INDEX('Kontoplan'!$D$3:$D$302,MATCH(E419,'Kontoplan'!$H$3:$H$302,0))="Støttes ikke",FALSE)),"Kontoen støttes ikke",IF(IFERROR(AND(A419&gt;1,COUNTIF($A$3:$A$2002,A419-1)=0),FALSE),"Nummeret hopper over",IF(OR(NOT(ISNUMBER(B419)),B419&lt;DATE(2027,1,1),B419&gt;DATE(2027,12,31)),"Datoen er ikke i 2027",""))))))</f>
        <v/>
      </c>
    </row>
    <row r="420">
      <c r="A420" s="17" t="n"/>
      <c r="B420" s="9" t="n"/>
      <c r="C420" s="8" t="n"/>
      <c r="D420" s="8" t="n"/>
      <c r="E420" s="8" t="n"/>
      <c r="F420" s="14" t="n"/>
      <c r="G420" s="14" t="n"/>
      <c r="H420" s="8" t="n"/>
      <c r="I420" s="8" t="n"/>
      <c r="J420" s="8" t="n"/>
      <c r="K420" s="18">
        <f>IF(B420="","",IFERROR(MONTH(B420),""))</f>
        <v/>
      </c>
      <c r="L420" s="5">
        <f>IF(COUNTA(A420:J420)=0,"",IF(E420="","Mangler motkonto",IF((F420="")=(G420=""),"Fyll ut enten Inn eller Ut",IF(OR(IFERROR(INDEX('Kontoplan'!$D$3:$D$302,MATCH(D420,'Kontoplan'!$H$3:$H$302,0))="Støttes ikke",FALSE),IFERROR(INDEX('Kontoplan'!$D$3:$D$302,MATCH(E420,'Kontoplan'!$H$3:$H$302,0))="Støttes ikke",FALSE)),"Kontoen støttes ikke",IF(IFERROR(AND(A420&gt;1,COUNTIF($A$3:$A$2002,A420-1)=0),FALSE),"Nummeret hopper over",IF(OR(NOT(ISNUMBER(B420)),B420&lt;DATE(2027,1,1),B420&gt;DATE(2027,12,31)),"Datoen er ikke i 2027",""))))))</f>
        <v/>
      </c>
    </row>
    <row r="421">
      <c r="A421" s="17" t="n"/>
      <c r="B421" s="9" t="n"/>
      <c r="C421" s="8" t="n"/>
      <c r="D421" s="8" t="n"/>
      <c r="E421" s="8" t="n"/>
      <c r="F421" s="14" t="n"/>
      <c r="G421" s="14" t="n"/>
      <c r="H421" s="8" t="n"/>
      <c r="I421" s="8" t="n"/>
      <c r="J421" s="8" t="n"/>
      <c r="K421" s="18">
        <f>IF(B421="","",IFERROR(MONTH(B421),""))</f>
        <v/>
      </c>
      <c r="L421" s="5">
        <f>IF(COUNTA(A421:J421)=0,"",IF(E421="","Mangler motkonto",IF((F421="")=(G421=""),"Fyll ut enten Inn eller Ut",IF(OR(IFERROR(INDEX('Kontoplan'!$D$3:$D$302,MATCH(D421,'Kontoplan'!$H$3:$H$302,0))="Støttes ikke",FALSE),IFERROR(INDEX('Kontoplan'!$D$3:$D$302,MATCH(E421,'Kontoplan'!$H$3:$H$302,0))="Støttes ikke",FALSE)),"Kontoen støttes ikke",IF(IFERROR(AND(A421&gt;1,COUNTIF($A$3:$A$2002,A421-1)=0),FALSE),"Nummeret hopper over",IF(OR(NOT(ISNUMBER(B421)),B421&lt;DATE(2027,1,1),B421&gt;DATE(2027,12,31)),"Datoen er ikke i 2027",""))))))</f>
        <v/>
      </c>
    </row>
    <row r="422">
      <c r="A422" s="17" t="n"/>
      <c r="B422" s="9" t="n"/>
      <c r="C422" s="8" t="n"/>
      <c r="D422" s="8" t="n"/>
      <c r="E422" s="8" t="n"/>
      <c r="F422" s="14" t="n"/>
      <c r="G422" s="14" t="n"/>
      <c r="H422" s="8" t="n"/>
      <c r="I422" s="8" t="n"/>
      <c r="J422" s="8" t="n"/>
      <c r="K422" s="18">
        <f>IF(B422="","",IFERROR(MONTH(B422),""))</f>
        <v/>
      </c>
      <c r="L422" s="5">
        <f>IF(COUNTA(A422:J422)=0,"",IF(E422="","Mangler motkonto",IF((F422="")=(G422=""),"Fyll ut enten Inn eller Ut",IF(OR(IFERROR(INDEX('Kontoplan'!$D$3:$D$302,MATCH(D422,'Kontoplan'!$H$3:$H$302,0))="Støttes ikke",FALSE),IFERROR(INDEX('Kontoplan'!$D$3:$D$302,MATCH(E422,'Kontoplan'!$H$3:$H$302,0))="Støttes ikke",FALSE)),"Kontoen støttes ikke",IF(IFERROR(AND(A422&gt;1,COUNTIF($A$3:$A$2002,A422-1)=0),FALSE),"Nummeret hopper over",IF(OR(NOT(ISNUMBER(B422)),B422&lt;DATE(2027,1,1),B422&gt;DATE(2027,12,31)),"Datoen er ikke i 2027",""))))))</f>
        <v/>
      </c>
    </row>
    <row r="423">
      <c r="A423" s="17" t="n"/>
      <c r="B423" s="9" t="n"/>
      <c r="C423" s="8" t="n"/>
      <c r="D423" s="8" t="n"/>
      <c r="E423" s="8" t="n"/>
      <c r="F423" s="14" t="n"/>
      <c r="G423" s="14" t="n"/>
      <c r="H423" s="8" t="n"/>
      <c r="I423" s="8" t="n"/>
      <c r="J423" s="8" t="n"/>
      <c r="K423" s="18">
        <f>IF(B423="","",IFERROR(MONTH(B423),""))</f>
        <v/>
      </c>
      <c r="L423" s="5">
        <f>IF(COUNTA(A423:J423)=0,"",IF(E423="","Mangler motkonto",IF((F423="")=(G423=""),"Fyll ut enten Inn eller Ut",IF(OR(IFERROR(INDEX('Kontoplan'!$D$3:$D$302,MATCH(D423,'Kontoplan'!$H$3:$H$302,0))="Støttes ikke",FALSE),IFERROR(INDEX('Kontoplan'!$D$3:$D$302,MATCH(E423,'Kontoplan'!$H$3:$H$302,0))="Støttes ikke",FALSE)),"Kontoen støttes ikke",IF(IFERROR(AND(A423&gt;1,COUNTIF($A$3:$A$2002,A423-1)=0),FALSE),"Nummeret hopper over",IF(OR(NOT(ISNUMBER(B423)),B423&lt;DATE(2027,1,1),B423&gt;DATE(2027,12,31)),"Datoen er ikke i 2027",""))))))</f>
        <v/>
      </c>
    </row>
    <row r="424">
      <c r="A424" s="17" t="n"/>
      <c r="B424" s="9" t="n"/>
      <c r="C424" s="8" t="n"/>
      <c r="D424" s="8" t="n"/>
      <c r="E424" s="8" t="n"/>
      <c r="F424" s="14" t="n"/>
      <c r="G424" s="14" t="n"/>
      <c r="H424" s="8" t="n"/>
      <c r="I424" s="8" t="n"/>
      <c r="J424" s="8" t="n"/>
      <c r="K424" s="18">
        <f>IF(B424="","",IFERROR(MONTH(B424),""))</f>
        <v/>
      </c>
      <c r="L424" s="5">
        <f>IF(COUNTA(A424:J424)=0,"",IF(E424="","Mangler motkonto",IF((F424="")=(G424=""),"Fyll ut enten Inn eller Ut",IF(OR(IFERROR(INDEX('Kontoplan'!$D$3:$D$302,MATCH(D424,'Kontoplan'!$H$3:$H$302,0))="Støttes ikke",FALSE),IFERROR(INDEX('Kontoplan'!$D$3:$D$302,MATCH(E424,'Kontoplan'!$H$3:$H$302,0))="Støttes ikke",FALSE)),"Kontoen støttes ikke",IF(IFERROR(AND(A424&gt;1,COUNTIF($A$3:$A$2002,A424-1)=0),FALSE),"Nummeret hopper over",IF(OR(NOT(ISNUMBER(B424)),B424&lt;DATE(2027,1,1),B424&gt;DATE(2027,12,31)),"Datoen er ikke i 2027",""))))))</f>
        <v/>
      </c>
    </row>
    <row r="425">
      <c r="A425" s="17" t="n"/>
      <c r="B425" s="9" t="n"/>
      <c r="C425" s="8" t="n"/>
      <c r="D425" s="8" t="n"/>
      <c r="E425" s="8" t="n"/>
      <c r="F425" s="14" t="n"/>
      <c r="G425" s="14" t="n"/>
      <c r="H425" s="8" t="n"/>
      <c r="I425" s="8" t="n"/>
      <c r="J425" s="8" t="n"/>
      <c r="K425" s="18">
        <f>IF(B425="","",IFERROR(MONTH(B425),""))</f>
        <v/>
      </c>
      <c r="L425" s="5">
        <f>IF(COUNTA(A425:J425)=0,"",IF(E425="","Mangler motkonto",IF((F425="")=(G425=""),"Fyll ut enten Inn eller Ut",IF(OR(IFERROR(INDEX('Kontoplan'!$D$3:$D$302,MATCH(D425,'Kontoplan'!$H$3:$H$302,0))="Støttes ikke",FALSE),IFERROR(INDEX('Kontoplan'!$D$3:$D$302,MATCH(E425,'Kontoplan'!$H$3:$H$302,0))="Støttes ikke",FALSE)),"Kontoen støttes ikke",IF(IFERROR(AND(A425&gt;1,COUNTIF($A$3:$A$2002,A425-1)=0),FALSE),"Nummeret hopper over",IF(OR(NOT(ISNUMBER(B425)),B425&lt;DATE(2027,1,1),B425&gt;DATE(2027,12,31)),"Datoen er ikke i 2027",""))))))</f>
        <v/>
      </c>
    </row>
    <row r="426">
      <c r="A426" s="17" t="n"/>
      <c r="B426" s="9" t="n"/>
      <c r="C426" s="8" t="n"/>
      <c r="D426" s="8" t="n"/>
      <c r="E426" s="8" t="n"/>
      <c r="F426" s="14" t="n"/>
      <c r="G426" s="14" t="n"/>
      <c r="H426" s="8" t="n"/>
      <c r="I426" s="8" t="n"/>
      <c r="J426" s="8" t="n"/>
      <c r="K426" s="18">
        <f>IF(B426="","",IFERROR(MONTH(B426),""))</f>
        <v/>
      </c>
      <c r="L426" s="5">
        <f>IF(COUNTA(A426:J426)=0,"",IF(E426="","Mangler motkonto",IF((F426="")=(G426=""),"Fyll ut enten Inn eller Ut",IF(OR(IFERROR(INDEX('Kontoplan'!$D$3:$D$302,MATCH(D426,'Kontoplan'!$H$3:$H$302,0))="Støttes ikke",FALSE),IFERROR(INDEX('Kontoplan'!$D$3:$D$302,MATCH(E426,'Kontoplan'!$H$3:$H$302,0))="Støttes ikke",FALSE)),"Kontoen støttes ikke",IF(IFERROR(AND(A426&gt;1,COUNTIF($A$3:$A$2002,A426-1)=0),FALSE),"Nummeret hopper over",IF(OR(NOT(ISNUMBER(B426)),B426&lt;DATE(2027,1,1),B426&gt;DATE(2027,12,31)),"Datoen er ikke i 2027",""))))))</f>
        <v/>
      </c>
    </row>
    <row r="427">
      <c r="A427" s="17" t="n"/>
      <c r="B427" s="9" t="n"/>
      <c r="C427" s="8" t="n"/>
      <c r="D427" s="8" t="n"/>
      <c r="E427" s="8" t="n"/>
      <c r="F427" s="14" t="n"/>
      <c r="G427" s="14" t="n"/>
      <c r="H427" s="8" t="n"/>
      <c r="I427" s="8" t="n"/>
      <c r="J427" s="8" t="n"/>
      <c r="K427" s="18">
        <f>IF(B427="","",IFERROR(MONTH(B427),""))</f>
        <v/>
      </c>
      <c r="L427" s="5">
        <f>IF(COUNTA(A427:J427)=0,"",IF(E427="","Mangler motkonto",IF((F427="")=(G427=""),"Fyll ut enten Inn eller Ut",IF(OR(IFERROR(INDEX('Kontoplan'!$D$3:$D$302,MATCH(D427,'Kontoplan'!$H$3:$H$302,0))="Støttes ikke",FALSE),IFERROR(INDEX('Kontoplan'!$D$3:$D$302,MATCH(E427,'Kontoplan'!$H$3:$H$302,0))="Støttes ikke",FALSE)),"Kontoen støttes ikke",IF(IFERROR(AND(A427&gt;1,COUNTIF($A$3:$A$2002,A427-1)=0),FALSE),"Nummeret hopper over",IF(OR(NOT(ISNUMBER(B427)),B427&lt;DATE(2027,1,1),B427&gt;DATE(2027,12,31)),"Datoen er ikke i 2027",""))))))</f>
        <v/>
      </c>
    </row>
    <row r="428">
      <c r="A428" s="17" t="n"/>
      <c r="B428" s="9" t="n"/>
      <c r="C428" s="8" t="n"/>
      <c r="D428" s="8" t="n"/>
      <c r="E428" s="8" t="n"/>
      <c r="F428" s="14" t="n"/>
      <c r="G428" s="14" t="n"/>
      <c r="H428" s="8" t="n"/>
      <c r="I428" s="8" t="n"/>
      <c r="J428" s="8" t="n"/>
      <c r="K428" s="18">
        <f>IF(B428="","",IFERROR(MONTH(B428),""))</f>
        <v/>
      </c>
      <c r="L428" s="5">
        <f>IF(COUNTA(A428:J428)=0,"",IF(E428="","Mangler motkonto",IF((F428="")=(G428=""),"Fyll ut enten Inn eller Ut",IF(OR(IFERROR(INDEX('Kontoplan'!$D$3:$D$302,MATCH(D428,'Kontoplan'!$H$3:$H$302,0))="Støttes ikke",FALSE),IFERROR(INDEX('Kontoplan'!$D$3:$D$302,MATCH(E428,'Kontoplan'!$H$3:$H$302,0))="Støttes ikke",FALSE)),"Kontoen støttes ikke",IF(IFERROR(AND(A428&gt;1,COUNTIF($A$3:$A$2002,A428-1)=0),FALSE),"Nummeret hopper over",IF(OR(NOT(ISNUMBER(B428)),B428&lt;DATE(2027,1,1),B428&gt;DATE(2027,12,31)),"Datoen er ikke i 2027",""))))))</f>
        <v/>
      </c>
    </row>
    <row r="429">
      <c r="A429" s="17" t="n"/>
      <c r="B429" s="9" t="n"/>
      <c r="C429" s="8" t="n"/>
      <c r="D429" s="8" t="n"/>
      <c r="E429" s="8" t="n"/>
      <c r="F429" s="14" t="n"/>
      <c r="G429" s="14" t="n"/>
      <c r="H429" s="8" t="n"/>
      <c r="I429" s="8" t="n"/>
      <c r="J429" s="8" t="n"/>
      <c r="K429" s="18">
        <f>IF(B429="","",IFERROR(MONTH(B429),""))</f>
        <v/>
      </c>
      <c r="L429" s="5">
        <f>IF(COUNTA(A429:J429)=0,"",IF(E429="","Mangler motkonto",IF((F429="")=(G429=""),"Fyll ut enten Inn eller Ut",IF(OR(IFERROR(INDEX('Kontoplan'!$D$3:$D$302,MATCH(D429,'Kontoplan'!$H$3:$H$302,0))="Støttes ikke",FALSE),IFERROR(INDEX('Kontoplan'!$D$3:$D$302,MATCH(E429,'Kontoplan'!$H$3:$H$302,0))="Støttes ikke",FALSE)),"Kontoen støttes ikke",IF(IFERROR(AND(A429&gt;1,COUNTIF($A$3:$A$2002,A429-1)=0),FALSE),"Nummeret hopper over",IF(OR(NOT(ISNUMBER(B429)),B429&lt;DATE(2027,1,1),B429&gt;DATE(2027,12,31)),"Datoen er ikke i 2027",""))))))</f>
        <v/>
      </c>
    </row>
    <row r="430">
      <c r="A430" s="17" t="n"/>
      <c r="B430" s="9" t="n"/>
      <c r="C430" s="8" t="n"/>
      <c r="D430" s="8" t="n"/>
      <c r="E430" s="8" t="n"/>
      <c r="F430" s="14" t="n"/>
      <c r="G430" s="14" t="n"/>
      <c r="H430" s="8" t="n"/>
      <c r="I430" s="8" t="n"/>
      <c r="J430" s="8" t="n"/>
      <c r="K430" s="18">
        <f>IF(B430="","",IFERROR(MONTH(B430),""))</f>
        <v/>
      </c>
      <c r="L430" s="5">
        <f>IF(COUNTA(A430:J430)=0,"",IF(E430="","Mangler motkonto",IF((F430="")=(G430=""),"Fyll ut enten Inn eller Ut",IF(OR(IFERROR(INDEX('Kontoplan'!$D$3:$D$302,MATCH(D430,'Kontoplan'!$H$3:$H$302,0))="Støttes ikke",FALSE),IFERROR(INDEX('Kontoplan'!$D$3:$D$302,MATCH(E430,'Kontoplan'!$H$3:$H$302,0))="Støttes ikke",FALSE)),"Kontoen støttes ikke",IF(IFERROR(AND(A430&gt;1,COUNTIF($A$3:$A$2002,A430-1)=0),FALSE),"Nummeret hopper over",IF(OR(NOT(ISNUMBER(B430)),B430&lt;DATE(2027,1,1),B430&gt;DATE(2027,12,31)),"Datoen er ikke i 2027",""))))))</f>
        <v/>
      </c>
    </row>
    <row r="431">
      <c r="A431" s="17" t="n"/>
      <c r="B431" s="9" t="n"/>
      <c r="C431" s="8" t="n"/>
      <c r="D431" s="8" t="n"/>
      <c r="E431" s="8" t="n"/>
      <c r="F431" s="14" t="n"/>
      <c r="G431" s="14" t="n"/>
      <c r="H431" s="8" t="n"/>
      <c r="I431" s="8" t="n"/>
      <c r="J431" s="8" t="n"/>
      <c r="K431" s="18">
        <f>IF(B431="","",IFERROR(MONTH(B431),""))</f>
        <v/>
      </c>
      <c r="L431" s="5">
        <f>IF(COUNTA(A431:J431)=0,"",IF(E431="","Mangler motkonto",IF((F431="")=(G431=""),"Fyll ut enten Inn eller Ut",IF(OR(IFERROR(INDEX('Kontoplan'!$D$3:$D$302,MATCH(D431,'Kontoplan'!$H$3:$H$302,0))="Støttes ikke",FALSE),IFERROR(INDEX('Kontoplan'!$D$3:$D$302,MATCH(E431,'Kontoplan'!$H$3:$H$302,0))="Støttes ikke",FALSE)),"Kontoen støttes ikke",IF(IFERROR(AND(A431&gt;1,COUNTIF($A$3:$A$2002,A431-1)=0),FALSE),"Nummeret hopper over",IF(OR(NOT(ISNUMBER(B431)),B431&lt;DATE(2027,1,1),B431&gt;DATE(2027,12,31)),"Datoen er ikke i 2027",""))))))</f>
        <v/>
      </c>
    </row>
    <row r="432">
      <c r="A432" s="17" t="n"/>
      <c r="B432" s="9" t="n"/>
      <c r="C432" s="8" t="n"/>
      <c r="D432" s="8" t="n"/>
      <c r="E432" s="8" t="n"/>
      <c r="F432" s="14" t="n"/>
      <c r="G432" s="14" t="n"/>
      <c r="H432" s="8" t="n"/>
      <c r="I432" s="8" t="n"/>
      <c r="J432" s="8" t="n"/>
      <c r="K432" s="18">
        <f>IF(B432="","",IFERROR(MONTH(B432),""))</f>
        <v/>
      </c>
      <c r="L432" s="5">
        <f>IF(COUNTA(A432:J432)=0,"",IF(E432="","Mangler motkonto",IF((F432="")=(G432=""),"Fyll ut enten Inn eller Ut",IF(OR(IFERROR(INDEX('Kontoplan'!$D$3:$D$302,MATCH(D432,'Kontoplan'!$H$3:$H$302,0))="Støttes ikke",FALSE),IFERROR(INDEX('Kontoplan'!$D$3:$D$302,MATCH(E432,'Kontoplan'!$H$3:$H$302,0))="Støttes ikke",FALSE)),"Kontoen støttes ikke",IF(IFERROR(AND(A432&gt;1,COUNTIF($A$3:$A$2002,A432-1)=0),FALSE),"Nummeret hopper over",IF(OR(NOT(ISNUMBER(B432)),B432&lt;DATE(2027,1,1),B432&gt;DATE(2027,12,31)),"Datoen er ikke i 2027",""))))))</f>
        <v/>
      </c>
    </row>
    <row r="433">
      <c r="A433" s="17" t="n"/>
      <c r="B433" s="9" t="n"/>
      <c r="C433" s="8" t="n"/>
      <c r="D433" s="8" t="n"/>
      <c r="E433" s="8" t="n"/>
      <c r="F433" s="14" t="n"/>
      <c r="G433" s="14" t="n"/>
      <c r="H433" s="8" t="n"/>
      <c r="I433" s="8" t="n"/>
      <c r="J433" s="8" t="n"/>
      <c r="K433" s="18">
        <f>IF(B433="","",IFERROR(MONTH(B433),""))</f>
        <v/>
      </c>
      <c r="L433" s="5">
        <f>IF(COUNTA(A433:J433)=0,"",IF(E433="","Mangler motkonto",IF((F433="")=(G433=""),"Fyll ut enten Inn eller Ut",IF(OR(IFERROR(INDEX('Kontoplan'!$D$3:$D$302,MATCH(D433,'Kontoplan'!$H$3:$H$302,0))="Støttes ikke",FALSE),IFERROR(INDEX('Kontoplan'!$D$3:$D$302,MATCH(E433,'Kontoplan'!$H$3:$H$302,0))="Støttes ikke",FALSE)),"Kontoen støttes ikke",IF(IFERROR(AND(A433&gt;1,COUNTIF($A$3:$A$2002,A433-1)=0),FALSE),"Nummeret hopper over",IF(OR(NOT(ISNUMBER(B433)),B433&lt;DATE(2027,1,1),B433&gt;DATE(2027,12,31)),"Datoen er ikke i 2027",""))))))</f>
        <v/>
      </c>
    </row>
    <row r="434">
      <c r="A434" s="17" t="n"/>
      <c r="B434" s="9" t="n"/>
      <c r="C434" s="8" t="n"/>
      <c r="D434" s="8" t="n"/>
      <c r="E434" s="8" t="n"/>
      <c r="F434" s="14" t="n"/>
      <c r="G434" s="14" t="n"/>
      <c r="H434" s="8" t="n"/>
      <c r="I434" s="8" t="n"/>
      <c r="J434" s="8" t="n"/>
      <c r="K434" s="18">
        <f>IF(B434="","",IFERROR(MONTH(B434),""))</f>
        <v/>
      </c>
      <c r="L434" s="5">
        <f>IF(COUNTA(A434:J434)=0,"",IF(E434="","Mangler motkonto",IF((F434="")=(G434=""),"Fyll ut enten Inn eller Ut",IF(OR(IFERROR(INDEX('Kontoplan'!$D$3:$D$302,MATCH(D434,'Kontoplan'!$H$3:$H$302,0))="Støttes ikke",FALSE),IFERROR(INDEX('Kontoplan'!$D$3:$D$302,MATCH(E434,'Kontoplan'!$H$3:$H$302,0))="Støttes ikke",FALSE)),"Kontoen støttes ikke",IF(IFERROR(AND(A434&gt;1,COUNTIF($A$3:$A$2002,A434-1)=0),FALSE),"Nummeret hopper over",IF(OR(NOT(ISNUMBER(B434)),B434&lt;DATE(2027,1,1),B434&gt;DATE(2027,12,31)),"Datoen er ikke i 2027",""))))))</f>
        <v/>
      </c>
    </row>
    <row r="435">
      <c r="A435" s="17" t="n"/>
      <c r="B435" s="9" t="n"/>
      <c r="C435" s="8" t="n"/>
      <c r="D435" s="8" t="n"/>
      <c r="E435" s="8" t="n"/>
      <c r="F435" s="14" t="n"/>
      <c r="G435" s="14" t="n"/>
      <c r="H435" s="8" t="n"/>
      <c r="I435" s="8" t="n"/>
      <c r="J435" s="8" t="n"/>
      <c r="K435" s="18">
        <f>IF(B435="","",IFERROR(MONTH(B435),""))</f>
        <v/>
      </c>
      <c r="L435" s="5">
        <f>IF(COUNTA(A435:J435)=0,"",IF(E435="","Mangler motkonto",IF((F435="")=(G435=""),"Fyll ut enten Inn eller Ut",IF(OR(IFERROR(INDEX('Kontoplan'!$D$3:$D$302,MATCH(D435,'Kontoplan'!$H$3:$H$302,0))="Støttes ikke",FALSE),IFERROR(INDEX('Kontoplan'!$D$3:$D$302,MATCH(E435,'Kontoplan'!$H$3:$H$302,0))="Støttes ikke",FALSE)),"Kontoen støttes ikke",IF(IFERROR(AND(A435&gt;1,COUNTIF($A$3:$A$2002,A435-1)=0),FALSE),"Nummeret hopper over",IF(OR(NOT(ISNUMBER(B435)),B435&lt;DATE(2027,1,1),B435&gt;DATE(2027,12,31)),"Datoen er ikke i 2027",""))))))</f>
        <v/>
      </c>
    </row>
    <row r="436">
      <c r="A436" s="17" t="n"/>
      <c r="B436" s="9" t="n"/>
      <c r="C436" s="8" t="n"/>
      <c r="D436" s="8" t="n"/>
      <c r="E436" s="8" t="n"/>
      <c r="F436" s="14" t="n"/>
      <c r="G436" s="14" t="n"/>
      <c r="H436" s="8" t="n"/>
      <c r="I436" s="8" t="n"/>
      <c r="J436" s="8" t="n"/>
      <c r="K436" s="18">
        <f>IF(B436="","",IFERROR(MONTH(B436),""))</f>
        <v/>
      </c>
      <c r="L436" s="5">
        <f>IF(COUNTA(A436:J436)=0,"",IF(E436="","Mangler motkonto",IF((F436="")=(G436=""),"Fyll ut enten Inn eller Ut",IF(OR(IFERROR(INDEX('Kontoplan'!$D$3:$D$302,MATCH(D436,'Kontoplan'!$H$3:$H$302,0))="Støttes ikke",FALSE),IFERROR(INDEX('Kontoplan'!$D$3:$D$302,MATCH(E436,'Kontoplan'!$H$3:$H$302,0))="Støttes ikke",FALSE)),"Kontoen støttes ikke",IF(IFERROR(AND(A436&gt;1,COUNTIF($A$3:$A$2002,A436-1)=0),FALSE),"Nummeret hopper over",IF(OR(NOT(ISNUMBER(B436)),B436&lt;DATE(2027,1,1),B436&gt;DATE(2027,12,31)),"Datoen er ikke i 2027",""))))))</f>
        <v/>
      </c>
    </row>
    <row r="437">
      <c r="A437" s="17" t="n"/>
      <c r="B437" s="9" t="n"/>
      <c r="C437" s="8" t="n"/>
      <c r="D437" s="8" t="n"/>
      <c r="E437" s="8" t="n"/>
      <c r="F437" s="14" t="n"/>
      <c r="G437" s="14" t="n"/>
      <c r="H437" s="8" t="n"/>
      <c r="I437" s="8" t="n"/>
      <c r="J437" s="8" t="n"/>
      <c r="K437" s="18">
        <f>IF(B437="","",IFERROR(MONTH(B437),""))</f>
        <v/>
      </c>
      <c r="L437" s="5">
        <f>IF(COUNTA(A437:J437)=0,"",IF(E437="","Mangler motkonto",IF((F437="")=(G437=""),"Fyll ut enten Inn eller Ut",IF(OR(IFERROR(INDEX('Kontoplan'!$D$3:$D$302,MATCH(D437,'Kontoplan'!$H$3:$H$302,0))="Støttes ikke",FALSE),IFERROR(INDEX('Kontoplan'!$D$3:$D$302,MATCH(E437,'Kontoplan'!$H$3:$H$302,0))="Støttes ikke",FALSE)),"Kontoen støttes ikke",IF(IFERROR(AND(A437&gt;1,COUNTIF($A$3:$A$2002,A437-1)=0),FALSE),"Nummeret hopper over",IF(OR(NOT(ISNUMBER(B437)),B437&lt;DATE(2027,1,1),B437&gt;DATE(2027,12,31)),"Datoen er ikke i 2027",""))))))</f>
        <v/>
      </c>
    </row>
    <row r="438">
      <c r="A438" s="17" t="n"/>
      <c r="B438" s="9" t="n"/>
      <c r="C438" s="8" t="n"/>
      <c r="D438" s="8" t="n"/>
      <c r="E438" s="8" t="n"/>
      <c r="F438" s="14" t="n"/>
      <c r="G438" s="14" t="n"/>
      <c r="H438" s="8" t="n"/>
      <c r="I438" s="8" t="n"/>
      <c r="J438" s="8" t="n"/>
      <c r="K438" s="18">
        <f>IF(B438="","",IFERROR(MONTH(B438),""))</f>
        <v/>
      </c>
      <c r="L438" s="5">
        <f>IF(COUNTA(A438:J438)=0,"",IF(E438="","Mangler motkonto",IF((F438="")=(G438=""),"Fyll ut enten Inn eller Ut",IF(OR(IFERROR(INDEX('Kontoplan'!$D$3:$D$302,MATCH(D438,'Kontoplan'!$H$3:$H$302,0))="Støttes ikke",FALSE),IFERROR(INDEX('Kontoplan'!$D$3:$D$302,MATCH(E438,'Kontoplan'!$H$3:$H$302,0))="Støttes ikke",FALSE)),"Kontoen støttes ikke",IF(IFERROR(AND(A438&gt;1,COUNTIF($A$3:$A$2002,A438-1)=0),FALSE),"Nummeret hopper over",IF(OR(NOT(ISNUMBER(B438)),B438&lt;DATE(2027,1,1),B438&gt;DATE(2027,12,31)),"Datoen er ikke i 2027",""))))))</f>
        <v/>
      </c>
    </row>
    <row r="439">
      <c r="A439" s="17" t="n"/>
      <c r="B439" s="9" t="n"/>
      <c r="C439" s="8" t="n"/>
      <c r="D439" s="8" t="n"/>
      <c r="E439" s="8" t="n"/>
      <c r="F439" s="14" t="n"/>
      <c r="G439" s="14" t="n"/>
      <c r="H439" s="8" t="n"/>
      <c r="I439" s="8" t="n"/>
      <c r="J439" s="8" t="n"/>
      <c r="K439" s="18">
        <f>IF(B439="","",IFERROR(MONTH(B439),""))</f>
        <v/>
      </c>
      <c r="L439" s="5">
        <f>IF(COUNTA(A439:J439)=0,"",IF(E439="","Mangler motkonto",IF((F439="")=(G439=""),"Fyll ut enten Inn eller Ut",IF(OR(IFERROR(INDEX('Kontoplan'!$D$3:$D$302,MATCH(D439,'Kontoplan'!$H$3:$H$302,0))="Støttes ikke",FALSE),IFERROR(INDEX('Kontoplan'!$D$3:$D$302,MATCH(E439,'Kontoplan'!$H$3:$H$302,0))="Støttes ikke",FALSE)),"Kontoen støttes ikke",IF(IFERROR(AND(A439&gt;1,COUNTIF($A$3:$A$2002,A439-1)=0),FALSE),"Nummeret hopper over",IF(OR(NOT(ISNUMBER(B439)),B439&lt;DATE(2027,1,1),B439&gt;DATE(2027,12,31)),"Datoen er ikke i 2027",""))))))</f>
        <v/>
      </c>
    </row>
    <row r="440">
      <c r="A440" s="17" t="n"/>
      <c r="B440" s="9" t="n"/>
      <c r="C440" s="8" t="n"/>
      <c r="D440" s="8" t="n"/>
      <c r="E440" s="8" t="n"/>
      <c r="F440" s="14" t="n"/>
      <c r="G440" s="14" t="n"/>
      <c r="H440" s="8" t="n"/>
      <c r="I440" s="8" t="n"/>
      <c r="J440" s="8" t="n"/>
      <c r="K440" s="18">
        <f>IF(B440="","",IFERROR(MONTH(B440),""))</f>
        <v/>
      </c>
      <c r="L440" s="5">
        <f>IF(COUNTA(A440:J440)=0,"",IF(E440="","Mangler motkonto",IF((F440="")=(G440=""),"Fyll ut enten Inn eller Ut",IF(OR(IFERROR(INDEX('Kontoplan'!$D$3:$D$302,MATCH(D440,'Kontoplan'!$H$3:$H$302,0))="Støttes ikke",FALSE),IFERROR(INDEX('Kontoplan'!$D$3:$D$302,MATCH(E440,'Kontoplan'!$H$3:$H$302,0))="Støttes ikke",FALSE)),"Kontoen støttes ikke",IF(IFERROR(AND(A440&gt;1,COUNTIF($A$3:$A$2002,A440-1)=0),FALSE),"Nummeret hopper over",IF(OR(NOT(ISNUMBER(B440)),B440&lt;DATE(2027,1,1),B440&gt;DATE(2027,12,31)),"Datoen er ikke i 2027",""))))))</f>
        <v/>
      </c>
    </row>
    <row r="441">
      <c r="A441" s="17" t="n"/>
      <c r="B441" s="9" t="n"/>
      <c r="C441" s="8" t="n"/>
      <c r="D441" s="8" t="n"/>
      <c r="E441" s="8" t="n"/>
      <c r="F441" s="14" t="n"/>
      <c r="G441" s="14" t="n"/>
      <c r="H441" s="8" t="n"/>
      <c r="I441" s="8" t="n"/>
      <c r="J441" s="8" t="n"/>
      <c r="K441" s="18">
        <f>IF(B441="","",IFERROR(MONTH(B441),""))</f>
        <v/>
      </c>
      <c r="L441" s="5">
        <f>IF(COUNTA(A441:J441)=0,"",IF(E441="","Mangler motkonto",IF((F441="")=(G441=""),"Fyll ut enten Inn eller Ut",IF(OR(IFERROR(INDEX('Kontoplan'!$D$3:$D$302,MATCH(D441,'Kontoplan'!$H$3:$H$302,0))="Støttes ikke",FALSE),IFERROR(INDEX('Kontoplan'!$D$3:$D$302,MATCH(E441,'Kontoplan'!$H$3:$H$302,0))="Støttes ikke",FALSE)),"Kontoen støttes ikke",IF(IFERROR(AND(A441&gt;1,COUNTIF($A$3:$A$2002,A441-1)=0),FALSE),"Nummeret hopper over",IF(OR(NOT(ISNUMBER(B441)),B441&lt;DATE(2027,1,1),B441&gt;DATE(2027,12,31)),"Datoen er ikke i 2027",""))))))</f>
        <v/>
      </c>
    </row>
    <row r="442">
      <c r="A442" s="17" t="n"/>
      <c r="B442" s="9" t="n"/>
      <c r="C442" s="8" t="n"/>
      <c r="D442" s="8" t="n"/>
      <c r="E442" s="8" t="n"/>
      <c r="F442" s="14" t="n"/>
      <c r="G442" s="14" t="n"/>
      <c r="H442" s="8" t="n"/>
      <c r="I442" s="8" t="n"/>
      <c r="J442" s="8" t="n"/>
      <c r="K442" s="18">
        <f>IF(B442="","",IFERROR(MONTH(B442),""))</f>
        <v/>
      </c>
      <c r="L442" s="5">
        <f>IF(COUNTA(A442:J442)=0,"",IF(E442="","Mangler motkonto",IF((F442="")=(G442=""),"Fyll ut enten Inn eller Ut",IF(OR(IFERROR(INDEX('Kontoplan'!$D$3:$D$302,MATCH(D442,'Kontoplan'!$H$3:$H$302,0))="Støttes ikke",FALSE),IFERROR(INDEX('Kontoplan'!$D$3:$D$302,MATCH(E442,'Kontoplan'!$H$3:$H$302,0))="Støttes ikke",FALSE)),"Kontoen støttes ikke",IF(IFERROR(AND(A442&gt;1,COUNTIF($A$3:$A$2002,A442-1)=0),FALSE),"Nummeret hopper over",IF(OR(NOT(ISNUMBER(B442)),B442&lt;DATE(2027,1,1),B442&gt;DATE(2027,12,31)),"Datoen er ikke i 2027",""))))))</f>
        <v/>
      </c>
    </row>
    <row r="443">
      <c r="A443" s="17" t="n"/>
      <c r="B443" s="9" t="n"/>
      <c r="C443" s="8" t="n"/>
      <c r="D443" s="8" t="n"/>
      <c r="E443" s="8" t="n"/>
      <c r="F443" s="14" t="n"/>
      <c r="G443" s="14" t="n"/>
      <c r="H443" s="8" t="n"/>
      <c r="I443" s="8" t="n"/>
      <c r="J443" s="8" t="n"/>
      <c r="K443" s="18">
        <f>IF(B443="","",IFERROR(MONTH(B443),""))</f>
        <v/>
      </c>
      <c r="L443" s="5">
        <f>IF(COUNTA(A443:J443)=0,"",IF(E443="","Mangler motkonto",IF((F443="")=(G443=""),"Fyll ut enten Inn eller Ut",IF(OR(IFERROR(INDEX('Kontoplan'!$D$3:$D$302,MATCH(D443,'Kontoplan'!$H$3:$H$302,0))="Støttes ikke",FALSE),IFERROR(INDEX('Kontoplan'!$D$3:$D$302,MATCH(E443,'Kontoplan'!$H$3:$H$302,0))="Støttes ikke",FALSE)),"Kontoen støttes ikke",IF(IFERROR(AND(A443&gt;1,COUNTIF($A$3:$A$2002,A443-1)=0),FALSE),"Nummeret hopper over",IF(OR(NOT(ISNUMBER(B443)),B443&lt;DATE(2027,1,1),B443&gt;DATE(2027,12,31)),"Datoen er ikke i 2027",""))))))</f>
        <v/>
      </c>
    </row>
    <row r="444">
      <c r="A444" s="17" t="n"/>
      <c r="B444" s="9" t="n"/>
      <c r="C444" s="8" t="n"/>
      <c r="D444" s="8" t="n"/>
      <c r="E444" s="8" t="n"/>
      <c r="F444" s="14" t="n"/>
      <c r="G444" s="14" t="n"/>
      <c r="H444" s="8" t="n"/>
      <c r="I444" s="8" t="n"/>
      <c r="J444" s="8" t="n"/>
      <c r="K444" s="18">
        <f>IF(B444="","",IFERROR(MONTH(B444),""))</f>
        <v/>
      </c>
      <c r="L444" s="5">
        <f>IF(COUNTA(A444:J444)=0,"",IF(E444="","Mangler motkonto",IF((F444="")=(G444=""),"Fyll ut enten Inn eller Ut",IF(OR(IFERROR(INDEX('Kontoplan'!$D$3:$D$302,MATCH(D444,'Kontoplan'!$H$3:$H$302,0))="Støttes ikke",FALSE),IFERROR(INDEX('Kontoplan'!$D$3:$D$302,MATCH(E444,'Kontoplan'!$H$3:$H$302,0))="Støttes ikke",FALSE)),"Kontoen støttes ikke",IF(IFERROR(AND(A444&gt;1,COUNTIF($A$3:$A$2002,A444-1)=0),FALSE),"Nummeret hopper over",IF(OR(NOT(ISNUMBER(B444)),B444&lt;DATE(2027,1,1),B444&gt;DATE(2027,12,31)),"Datoen er ikke i 2027",""))))))</f>
        <v/>
      </c>
    </row>
    <row r="445">
      <c r="A445" s="17" t="n"/>
      <c r="B445" s="9" t="n"/>
      <c r="C445" s="8" t="n"/>
      <c r="D445" s="8" t="n"/>
      <c r="E445" s="8" t="n"/>
      <c r="F445" s="14" t="n"/>
      <c r="G445" s="14" t="n"/>
      <c r="H445" s="8" t="n"/>
      <c r="I445" s="8" t="n"/>
      <c r="J445" s="8" t="n"/>
      <c r="K445" s="18">
        <f>IF(B445="","",IFERROR(MONTH(B445),""))</f>
        <v/>
      </c>
      <c r="L445" s="5">
        <f>IF(COUNTA(A445:J445)=0,"",IF(E445="","Mangler motkonto",IF((F445="")=(G445=""),"Fyll ut enten Inn eller Ut",IF(OR(IFERROR(INDEX('Kontoplan'!$D$3:$D$302,MATCH(D445,'Kontoplan'!$H$3:$H$302,0))="Støttes ikke",FALSE),IFERROR(INDEX('Kontoplan'!$D$3:$D$302,MATCH(E445,'Kontoplan'!$H$3:$H$302,0))="Støttes ikke",FALSE)),"Kontoen støttes ikke",IF(IFERROR(AND(A445&gt;1,COUNTIF($A$3:$A$2002,A445-1)=0),FALSE),"Nummeret hopper over",IF(OR(NOT(ISNUMBER(B445)),B445&lt;DATE(2027,1,1),B445&gt;DATE(2027,12,31)),"Datoen er ikke i 2027",""))))))</f>
        <v/>
      </c>
    </row>
    <row r="446">
      <c r="A446" s="17" t="n"/>
      <c r="B446" s="9" t="n"/>
      <c r="C446" s="8" t="n"/>
      <c r="D446" s="8" t="n"/>
      <c r="E446" s="8" t="n"/>
      <c r="F446" s="14" t="n"/>
      <c r="G446" s="14" t="n"/>
      <c r="H446" s="8" t="n"/>
      <c r="I446" s="8" t="n"/>
      <c r="J446" s="8" t="n"/>
      <c r="K446" s="18">
        <f>IF(B446="","",IFERROR(MONTH(B446),""))</f>
        <v/>
      </c>
      <c r="L446" s="5">
        <f>IF(COUNTA(A446:J446)=0,"",IF(E446="","Mangler motkonto",IF((F446="")=(G446=""),"Fyll ut enten Inn eller Ut",IF(OR(IFERROR(INDEX('Kontoplan'!$D$3:$D$302,MATCH(D446,'Kontoplan'!$H$3:$H$302,0))="Støttes ikke",FALSE),IFERROR(INDEX('Kontoplan'!$D$3:$D$302,MATCH(E446,'Kontoplan'!$H$3:$H$302,0))="Støttes ikke",FALSE)),"Kontoen støttes ikke",IF(IFERROR(AND(A446&gt;1,COUNTIF($A$3:$A$2002,A446-1)=0),FALSE),"Nummeret hopper over",IF(OR(NOT(ISNUMBER(B446)),B446&lt;DATE(2027,1,1),B446&gt;DATE(2027,12,31)),"Datoen er ikke i 2027",""))))))</f>
        <v/>
      </c>
    </row>
    <row r="447">
      <c r="A447" s="17" t="n"/>
      <c r="B447" s="9" t="n"/>
      <c r="C447" s="8" t="n"/>
      <c r="D447" s="8" t="n"/>
      <c r="E447" s="8" t="n"/>
      <c r="F447" s="14" t="n"/>
      <c r="G447" s="14" t="n"/>
      <c r="H447" s="8" t="n"/>
      <c r="I447" s="8" t="n"/>
      <c r="J447" s="8" t="n"/>
      <c r="K447" s="18">
        <f>IF(B447="","",IFERROR(MONTH(B447),""))</f>
        <v/>
      </c>
      <c r="L447" s="5">
        <f>IF(COUNTA(A447:J447)=0,"",IF(E447="","Mangler motkonto",IF((F447="")=(G447=""),"Fyll ut enten Inn eller Ut",IF(OR(IFERROR(INDEX('Kontoplan'!$D$3:$D$302,MATCH(D447,'Kontoplan'!$H$3:$H$302,0))="Støttes ikke",FALSE),IFERROR(INDEX('Kontoplan'!$D$3:$D$302,MATCH(E447,'Kontoplan'!$H$3:$H$302,0))="Støttes ikke",FALSE)),"Kontoen støttes ikke",IF(IFERROR(AND(A447&gt;1,COUNTIF($A$3:$A$2002,A447-1)=0),FALSE),"Nummeret hopper over",IF(OR(NOT(ISNUMBER(B447)),B447&lt;DATE(2027,1,1),B447&gt;DATE(2027,12,31)),"Datoen er ikke i 2027",""))))))</f>
        <v/>
      </c>
    </row>
    <row r="448">
      <c r="A448" s="17" t="n"/>
      <c r="B448" s="9" t="n"/>
      <c r="C448" s="8" t="n"/>
      <c r="D448" s="8" t="n"/>
      <c r="E448" s="8" t="n"/>
      <c r="F448" s="14" t="n"/>
      <c r="G448" s="14" t="n"/>
      <c r="H448" s="8" t="n"/>
      <c r="I448" s="8" t="n"/>
      <c r="J448" s="8" t="n"/>
      <c r="K448" s="18">
        <f>IF(B448="","",IFERROR(MONTH(B448),""))</f>
        <v/>
      </c>
      <c r="L448" s="5">
        <f>IF(COUNTA(A448:J448)=0,"",IF(E448="","Mangler motkonto",IF((F448="")=(G448=""),"Fyll ut enten Inn eller Ut",IF(OR(IFERROR(INDEX('Kontoplan'!$D$3:$D$302,MATCH(D448,'Kontoplan'!$H$3:$H$302,0))="Støttes ikke",FALSE),IFERROR(INDEX('Kontoplan'!$D$3:$D$302,MATCH(E448,'Kontoplan'!$H$3:$H$302,0))="Støttes ikke",FALSE)),"Kontoen støttes ikke",IF(IFERROR(AND(A448&gt;1,COUNTIF($A$3:$A$2002,A448-1)=0),FALSE),"Nummeret hopper over",IF(OR(NOT(ISNUMBER(B448)),B448&lt;DATE(2027,1,1),B448&gt;DATE(2027,12,31)),"Datoen er ikke i 2027",""))))))</f>
        <v/>
      </c>
    </row>
    <row r="449">
      <c r="A449" s="17" t="n"/>
      <c r="B449" s="9" t="n"/>
      <c r="C449" s="8" t="n"/>
      <c r="D449" s="8" t="n"/>
      <c r="E449" s="8" t="n"/>
      <c r="F449" s="14" t="n"/>
      <c r="G449" s="14" t="n"/>
      <c r="H449" s="8" t="n"/>
      <c r="I449" s="8" t="n"/>
      <c r="J449" s="8" t="n"/>
      <c r="K449" s="18">
        <f>IF(B449="","",IFERROR(MONTH(B449),""))</f>
        <v/>
      </c>
      <c r="L449" s="5">
        <f>IF(COUNTA(A449:J449)=0,"",IF(E449="","Mangler motkonto",IF((F449="")=(G449=""),"Fyll ut enten Inn eller Ut",IF(OR(IFERROR(INDEX('Kontoplan'!$D$3:$D$302,MATCH(D449,'Kontoplan'!$H$3:$H$302,0))="Støttes ikke",FALSE),IFERROR(INDEX('Kontoplan'!$D$3:$D$302,MATCH(E449,'Kontoplan'!$H$3:$H$302,0))="Støttes ikke",FALSE)),"Kontoen støttes ikke",IF(IFERROR(AND(A449&gt;1,COUNTIF($A$3:$A$2002,A449-1)=0),FALSE),"Nummeret hopper over",IF(OR(NOT(ISNUMBER(B449)),B449&lt;DATE(2027,1,1),B449&gt;DATE(2027,12,31)),"Datoen er ikke i 2027",""))))))</f>
        <v/>
      </c>
    </row>
    <row r="450">
      <c r="A450" s="17" t="n"/>
      <c r="B450" s="9" t="n"/>
      <c r="C450" s="8" t="n"/>
      <c r="D450" s="8" t="n"/>
      <c r="E450" s="8" t="n"/>
      <c r="F450" s="14" t="n"/>
      <c r="G450" s="14" t="n"/>
      <c r="H450" s="8" t="n"/>
      <c r="I450" s="8" t="n"/>
      <c r="J450" s="8" t="n"/>
      <c r="K450" s="18">
        <f>IF(B450="","",IFERROR(MONTH(B450),""))</f>
        <v/>
      </c>
      <c r="L450" s="5">
        <f>IF(COUNTA(A450:J450)=0,"",IF(E450="","Mangler motkonto",IF((F450="")=(G450=""),"Fyll ut enten Inn eller Ut",IF(OR(IFERROR(INDEX('Kontoplan'!$D$3:$D$302,MATCH(D450,'Kontoplan'!$H$3:$H$302,0))="Støttes ikke",FALSE),IFERROR(INDEX('Kontoplan'!$D$3:$D$302,MATCH(E450,'Kontoplan'!$H$3:$H$302,0))="Støttes ikke",FALSE)),"Kontoen støttes ikke",IF(IFERROR(AND(A450&gt;1,COUNTIF($A$3:$A$2002,A450-1)=0),FALSE),"Nummeret hopper over",IF(OR(NOT(ISNUMBER(B450)),B450&lt;DATE(2027,1,1),B450&gt;DATE(2027,12,31)),"Datoen er ikke i 2027",""))))))</f>
        <v/>
      </c>
    </row>
    <row r="451">
      <c r="A451" s="17" t="n"/>
      <c r="B451" s="9" t="n"/>
      <c r="C451" s="8" t="n"/>
      <c r="D451" s="8" t="n"/>
      <c r="E451" s="8" t="n"/>
      <c r="F451" s="14" t="n"/>
      <c r="G451" s="14" t="n"/>
      <c r="H451" s="8" t="n"/>
      <c r="I451" s="8" t="n"/>
      <c r="J451" s="8" t="n"/>
      <c r="K451" s="18">
        <f>IF(B451="","",IFERROR(MONTH(B451),""))</f>
        <v/>
      </c>
      <c r="L451" s="5">
        <f>IF(COUNTA(A451:J451)=0,"",IF(E451="","Mangler motkonto",IF((F451="")=(G451=""),"Fyll ut enten Inn eller Ut",IF(OR(IFERROR(INDEX('Kontoplan'!$D$3:$D$302,MATCH(D451,'Kontoplan'!$H$3:$H$302,0))="Støttes ikke",FALSE),IFERROR(INDEX('Kontoplan'!$D$3:$D$302,MATCH(E451,'Kontoplan'!$H$3:$H$302,0))="Støttes ikke",FALSE)),"Kontoen støttes ikke",IF(IFERROR(AND(A451&gt;1,COUNTIF($A$3:$A$2002,A451-1)=0),FALSE),"Nummeret hopper over",IF(OR(NOT(ISNUMBER(B451)),B451&lt;DATE(2027,1,1),B451&gt;DATE(2027,12,31)),"Datoen er ikke i 2027",""))))))</f>
        <v/>
      </c>
    </row>
    <row r="452">
      <c r="A452" s="17" t="n"/>
      <c r="B452" s="9" t="n"/>
      <c r="C452" s="8" t="n"/>
      <c r="D452" s="8" t="n"/>
      <c r="E452" s="8" t="n"/>
      <c r="F452" s="14" t="n"/>
      <c r="G452" s="14" t="n"/>
      <c r="H452" s="8" t="n"/>
      <c r="I452" s="8" t="n"/>
      <c r="J452" s="8" t="n"/>
      <c r="K452" s="18">
        <f>IF(B452="","",IFERROR(MONTH(B452),""))</f>
        <v/>
      </c>
      <c r="L452" s="5">
        <f>IF(COUNTA(A452:J452)=0,"",IF(E452="","Mangler motkonto",IF((F452="")=(G452=""),"Fyll ut enten Inn eller Ut",IF(OR(IFERROR(INDEX('Kontoplan'!$D$3:$D$302,MATCH(D452,'Kontoplan'!$H$3:$H$302,0))="Støttes ikke",FALSE),IFERROR(INDEX('Kontoplan'!$D$3:$D$302,MATCH(E452,'Kontoplan'!$H$3:$H$302,0))="Støttes ikke",FALSE)),"Kontoen støttes ikke",IF(IFERROR(AND(A452&gt;1,COUNTIF($A$3:$A$2002,A452-1)=0),FALSE),"Nummeret hopper over",IF(OR(NOT(ISNUMBER(B452)),B452&lt;DATE(2027,1,1),B452&gt;DATE(2027,12,31)),"Datoen er ikke i 2027",""))))))</f>
        <v/>
      </c>
    </row>
    <row r="453">
      <c r="A453" s="17" t="n"/>
      <c r="B453" s="9" t="n"/>
      <c r="C453" s="8" t="n"/>
      <c r="D453" s="8" t="n"/>
      <c r="E453" s="8" t="n"/>
      <c r="F453" s="14" t="n"/>
      <c r="G453" s="14" t="n"/>
      <c r="H453" s="8" t="n"/>
      <c r="I453" s="8" t="n"/>
      <c r="J453" s="8" t="n"/>
      <c r="K453" s="18">
        <f>IF(B453="","",IFERROR(MONTH(B453),""))</f>
        <v/>
      </c>
      <c r="L453" s="5">
        <f>IF(COUNTA(A453:J453)=0,"",IF(E453="","Mangler motkonto",IF((F453="")=(G453=""),"Fyll ut enten Inn eller Ut",IF(OR(IFERROR(INDEX('Kontoplan'!$D$3:$D$302,MATCH(D453,'Kontoplan'!$H$3:$H$302,0))="Støttes ikke",FALSE),IFERROR(INDEX('Kontoplan'!$D$3:$D$302,MATCH(E453,'Kontoplan'!$H$3:$H$302,0))="Støttes ikke",FALSE)),"Kontoen støttes ikke",IF(IFERROR(AND(A453&gt;1,COUNTIF($A$3:$A$2002,A453-1)=0),FALSE),"Nummeret hopper over",IF(OR(NOT(ISNUMBER(B453)),B453&lt;DATE(2027,1,1),B453&gt;DATE(2027,12,31)),"Datoen er ikke i 2027",""))))))</f>
        <v/>
      </c>
    </row>
    <row r="454">
      <c r="A454" s="17" t="n"/>
      <c r="B454" s="9" t="n"/>
      <c r="C454" s="8" t="n"/>
      <c r="D454" s="8" t="n"/>
      <c r="E454" s="8" t="n"/>
      <c r="F454" s="14" t="n"/>
      <c r="G454" s="14" t="n"/>
      <c r="H454" s="8" t="n"/>
      <c r="I454" s="8" t="n"/>
      <c r="J454" s="8" t="n"/>
      <c r="K454" s="18">
        <f>IF(B454="","",IFERROR(MONTH(B454),""))</f>
        <v/>
      </c>
      <c r="L454" s="5">
        <f>IF(COUNTA(A454:J454)=0,"",IF(E454="","Mangler motkonto",IF((F454="")=(G454=""),"Fyll ut enten Inn eller Ut",IF(OR(IFERROR(INDEX('Kontoplan'!$D$3:$D$302,MATCH(D454,'Kontoplan'!$H$3:$H$302,0))="Støttes ikke",FALSE),IFERROR(INDEX('Kontoplan'!$D$3:$D$302,MATCH(E454,'Kontoplan'!$H$3:$H$302,0))="Støttes ikke",FALSE)),"Kontoen støttes ikke",IF(IFERROR(AND(A454&gt;1,COUNTIF($A$3:$A$2002,A454-1)=0),FALSE),"Nummeret hopper over",IF(OR(NOT(ISNUMBER(B454)),B454&lt;DATE(2027,1,1),B454&gt;DATE(2027,12,31)),"Datoen er ikke i 2027",""))))))</f>
        <v/>
      </c>
    </row>
    <row r="455">
      <c r="A455" s="17" t="n"/>
      <c r="B455" s="9" t="n"/>
      <c r="C455" s="8" t="n"/>
      <c r="D455" s="8" t="n"/>
      <c r="E455" s="8" t="n"/>
      <c r="F455" s="14" t="n"/>
      <c r="G455" s="14" t="n"/>
      <c r="H455" s="8" t="n"/>
      <c r="I455" s="8" t="n"/>
      <c r="J455" s="8" t="n"/>
      <c r="K455" s="18">
        <f>IF(B455="","",IFERROR(MONTH(B455),""))</f>
        <v/>
      </c>
      <c r="L455" s="5">
        <f>IF(COUNTA(A455:J455)=0,"",IF(E455="","Mangler motkonto",IF((F455="")=(G455=""),"Fyll ut enten Inn eller Ut",IF(OR(IFERROR(INDEX('Kontoplan'!$D$3:$D$302,MATCH(D455,'Kontoplan'!$H$3:$H$302,0))="Støttes ikke",FALSE),IFERROR(INDEX('Kontoplan'!$D$3:$D$302,MATCH(E455,'Kontoplan'!$H$3:$H$302,0))="Støttes ikke",FALSE)),"Kontoen støttes ikke",IF(IFERROR(AND(A455&gt;1,COUNTIF($A$3:$A$2002,A455-1)=0),FALSE),"Nummeret hopper over",IF(OR(NOT(ISNUMBER(B455)),B455&lt;DATE(2027,1,1),B455&gt;DATE(2027,12,31)),"Datoen er ikke i 2027",""))))))</f>
        <v/>
      </c>
    </row>
    <row r="456">
      <c r="A456" s="17" t="n"/>
      <c r="B456" s="9" t="n"/>
      <c r="C456" s="8" t="n"/>
      <c r="D456" s="8" t="n"/>
      <c r="E456" s="8" t="n"/>
      <c r="F456" s="14" t="n"/>
      <c r="G456" s="14" t="n"/>
      <c r="H456" s="8" t="n"/>
      <c r="I456" s="8" t="n"/>
      <c r="J456" s="8" t="n"/>
      <c r="K456" s="18">
        <f>IF(B456="","",IFERROR(MONTH(B456),""))</f>
        <v/>
      </c>
      <c r="L456" s="5">
        <f>IF(COUNTA(A456:J456)=0,"",IF(E456="","Mangler motkonto",IF((F456="")=(G456=""),"Fyll ut enten Inn eller Ut",IF(OR(IFERROR(INDEX('Kontoplan'!$D$3:$D$302,MATCH(D456,'Kontoplan'!$H$3:$H$302,0))="Støttes ikke",FALSE),IFERROR(INDEX('Kontoplan'!$D$3:$D$302,MATCH(E456,'Kontoplan'!$H$3:$H$302,0))="Støttes ikke",FALSE)),"Kontoen støttes ikke",IF(IFERROR(AND(A456&gt;1,COUNTIF($A$3:$A$2002,A456-1)=0),FALSE),"Nummeret hopper over",IF(OR(NOT(ISNUMBER(B456)),B456&lt;DATE(2027,1,1),B456&gt;DATE(2027,12,31)),"Datoen er ikke i 2027",""))))))</f>
        <v/>
      </c>
    </row>
    <row r="457">
      <c r="A457" s="17" t="n"/>
      <c r="B457" s="9" t="n"/>
      <c r="C457" s="8" t="n"/>
      <c r="D457" s="8" t="n"/>
      <c r="E457" s="8" t="n"/>
      <c r="F457" s="14" t="n"/>
      <c r="G457" s="14" t="n"/>
      <c r="H457" s="8" t="n"/>
      <c r="I457" s="8" t="n"/>
      <c r="J457" s="8" t="n"/>
      <c r="K457" s="18">
        <f>IF(B457="","",IFERROR(MONTH(B457),""))</f>
        <v/>
      </c>
      <c r="L457" s="5">
        <f>IF(COUNTA(A457:J457)=0,"",IF(E457="","Mangler motkonto",IF((F457="")=(G457=""),"Fyll ut enten Inn eller Ut",IF(OR(IFERROR(INDEX('Kontoplan'!$D$3:$D$302,MATCH(D457,'Kontoplan'!$H$3:$H$302,0))="Støttes ikke",FALSE),IFERROR(INDEX('Kontoplan'!$D$3:$D$302,MATCH(E457,'Kontoplan'!$H$3:$H$302,0))="Støttes ikke",FALSE)),"Kontoen støttes ikke",IF(IFERROR(AND(A457&gt;1,COUNTIF($A$3:$A$2002,A457-1)=0),FALSE),"Nummeret hopper over",IF(OR(NOT(ISNUMBER(B457)),B457&lt;DATE(2027,1,1),B457&gt;DATE(2027,12,31)),"Datoen er ikke i 2027",""))))))</f>
        <v/>
      </c>
    </row>
    <row r="458">
      <c r="A458" s="17" t="n"/>
      <c r="B458" s="9" t="n"/>
      <c r="C458" s="8" t="n"/>
      <c r="D458" s="8" t="n"/>
      <c r="E458" s="8" t="n"/>
      <c r="F458" s="14" t="n"/>
      <c r="G458" s="14" t="n"/>
      <c r="H458" s="8" t="n"/>
      <c r="I458" s="8" t="n"/>
      <c r="J458" s="8" t="n"/>
      <c r="K458" s="18">
        <f>IF(B458="","",IFERROR(MONTH(B458),""))</f>
        <v/>
      </c>
      <c r="L458" s="5">
        <f>IF(COUNTA(A458:J458)=0,"",IF(E458="","Mangler motkonto",IF((F458="")=(G458=""),"Fyll ut enten Inn eller Ut",IF(OR(IFERROR(INDEX('Kontoplan'!$D$3:$D$302,MATCH(D458,'Kontoplan'!$H$3:$H$302,0))="Støttes ikke",FALSE),IFERROR(INDEX('Kontoplan'!$D$3:$D$302,MATCH(E458,'Kontoplan'!$H$3:$H$302,0))="Støttes ikke",FALSE)),"Kontoen støttes ikke",IF(IFERROR(AND(A458&gt;1,COUNTIF($A$3:$A$2002,A458-1)=0),FALSE),"Nummeret hopper over",IF(OR(NOT(ISNUMBER(B458)),B458&lt;DATE(2027,1,1),B458&gt;DATE(2027,12,31)),"Datoen er ikke i 2027",""))))))</f>
        <v/>
      </c>
    </row>
    <row r="459">
      <c r="A459" s="17" t="n"/>
      <c r="B459" s="9" t="n"/>
      <c r="C459" s="8" t="n"/>
      <c r="D459" s="8" t="n"/>
      <c r="E459" s="8" t="n"/>
      <c r="F459" s="14" t="n"/>
      <c r="G459" s="14" t="n"/>
      <c r="H459" s="8" t="n"/>
      <c r="I459" s="8" t="n"/>
      <c r="J459" s="8" t="n"/>
      <c r="K459" s="18">
        <f>IF(B459="","",IFERROR(MONTH(B459),""))</f>
        <v/>
      </c>
      <c r="L459" s="5">
        <f>IF(COUNTA(A459:J459)=0,"",IF(E459="","Mangler motkonto",IF((F459="")=(G459=""),"Fyll ut enten Inn eller Ut",IF(OR(IFERROR(INDEX('Kontoplan'!$D$3:$D$302,MATCH(D459,'Kontoplan'!$H$3:$H$302,0))="Støttes ikke",FALSE),IFERROR(INDEX('Kontoplan'!$D$3:$D$302,MATCH(E459,'Kontoplan'!$H$3:$H$302,0))="Støttes ikke",FALSE)),"Kontoen støttes ikke",IF(IFERROR(AND(A459&gt;1,COUNTIF($A$3:$A$2002,A459-1)=0),FALSE),"Nummeret hopper over",IF(OR(NOT(ISNUMBER(B459)),B459&lt;DATE(2027,1,1),B459&gt;DATE(2027,12,31)),"Datoen er ikke i 2027",""))))))</f>
        <v/>
      </c>
    </row>
    <row r="460">
      <c r="A460" s="17" t="n"/>
      <c r="B460" s="9" t="n"/>
      <c r="C460" s="8" t="n"/>
      <c r="D460" s="8" t="n"/>
      <c r="E460" s="8" t="n"/>
      <c r="F460" s="14" t="n"/>
      <c r="G460" s="14" t="n"/>
      <c r="H460" s="8" t="n"/>
      <c r="I460" s="8" t="n"/>
      <c r="J460" s="8" t="n"/>
      <c r="K460" s="18">
        <f>IF(B460="","",IFERROR(MONTH(B460),""))</f>
        <v/>
      </c>
      <c r="L460" s="5">
        <f>IF(COUNTA(A460:J460)=0,"",IF(E460="","Mangler motkonto",IF((F460="")=(G460=""),"Fyll ut enten Inn eller Ut",IF(OR(IFERROR(INDEX('Kontoplan'!$D$3:$D$302,MATCH(D460,'Kontoplan'!$H$3:$H$302,0))="Støttes ikke",FALSE),IFERROR(INDEX('Kontoplan'!$D$3:$D$302,MATCH(E460,'Kontoplan'!$H$3:$H$302,0))="Støttes ikke",FALSE)),"Kontoen støttes ikke",IF(IFERROR(AND(A460&gt;1,COUNTIF($A$3:$A$2002,A460-1)=0),FALSE),"Nummeret hopper over",IF(OR(NOT(ISNUMBER(B460)),B460&lt;DATE(2027,1,1),B460&gt;DATE(2027,12,31)),"Datoen er ikke i 2027",""))))))</f>
        <v/>
      </c>
    </row>
    <row r="461">
      <c r="A461" s="17" t="n"/>
      <c r="B461" s="9" t="n"/>
      <c r="C461" s="8" t="n"/>
      <c r="D461" s="8" t="n"/>
      <c r="E461" s="8" t="n"/>
      <c r="F461" s="14" t="n"/>
      <c r="G461" s="14" t="n"/>
      <c r="H461" s="8" t="n"/>
      <c r="I461" s="8" t="n"/>
      <c r="J461" s="8" t="n"/>
      <c r="K461" s="18">
        <f>IF(B461="","",IFERROR(MONTH(B461),""))</f>
        <v/>
      </c>
      <c r="L461" s="5">
        <f>IF(COUNTA(A461:J461)=0,"",IF(E461="","Mangler motkonto",IF((F461="")=(G461=""),"Fyll ut enten Inn eller Ut",IF(OR(IFERROR(INDEX('Kontoplan'!$D$3:$D$302,MATCH(D461,'Kontoplan'!$H$3:$H$302,0))="Støttes ikke",FALSE),IFERROR(INDEX('Kontoplan'!$D$3:$D$302,MATCH(E461,'Kontoplan'!$H$3:$H$302,0))="Støttes ikke",FALSE)),"Kontoen støttes ikke",IF(IFERROR(AND(A461&gt;1,COUNTIF($A$3:$A$2002,A461-1)=0),FALSE),"Nummeret hopper over",IF(OR(NOT(ISNUMBER(B461)),B461&lt;DATE(2027,1,1),B461&gt;DATE(2027,12,31)),"Datoen er ikke i 2027",""))))))</f>
        <v/>
      </c>
    </row>
    <row r="462">
      <c r="A462" s="17" t="n"/>
      <c r="B462" s="9" t="n"/>
      <c r="C462" s="8" t="n"/>
      <c r="D462" s="8" t="n"/>
      <c r="E462" s="8" t="n"/>
      <c r="F462" s="14" t="n"/>
      <c r="G462" s="14" t="n"/>
      <c r="H462" s="8" t="n"/>
      <c r="I462" s="8" t="n"/>
      <c r="J462" s="8" t="n"/>
      <c r="K462" s="18">
        <f>IF(B462="","",IFERROR(MONTH(B462),""))</f>
        <v/>
      </c>
      <c r="L462" s="5">
        <f>IF(COUNTA(A462:J462)=0,"",IF(E462="","Mangler motkonto",IF((F462="")=(G462=""),"Fyll ut enten Inn eller Ut",IF(OR(IFERROR(INDEX('Kontoplan'!$D$3:$D$302,MATCH(D462,'Kontoplan'!$H$3:$H$302,0))="Støttes ikke",FALSE),IFERROR(INDEX('Kontoplan'!$D$3:$D$302,MATCH(E462,'Kontoplan'!$H$3:$H$302,0))="Støttes ikke",FALSE)),"Kontoen støttes ikke",IF(IFERROR(AND(A462&gt;1,COUNTIF($A$3:$A$2002,A462-1)=0),FALSE),"Nummeret hopper over",IF(OR(NOT(ISNUMBER(B462)),B462&lt;DATE(2027,1,1),B462&gt;DATE(2027,12,31)),"Datoen er ikke i 2027",""))))))</f>
        <v/>
      </c>
    </row>
    <row r="463">
      <c r="A463" s="17" t="n"/>
      <c r="B463" s="9" t="n"/>
      <c r="C463" s="8" t="n"/>
      <c r="D463" s="8" t="n"/>
      <c r="E463" s="8" t="n"/>
      <c r="F463" s="14" t="n"/>
      <c r="G463" s="14" t="n"/>
      <c r="H463" s="8" t="n"/>
      <c r="I463" s="8" t="n"/>
      <c r="J463" s="8" t="n"/>
      <c r="K463" s="18">
        <f>IF(B463="","",IFERROR(MONTH(B463),""))</f>
        <v/>
      </c>
      <c r="L463" s="5">
        <f>IF(COUNTA(A463:J463)=0,"",IF(E463="","Mangler motkonto",IF((F463="")=(G463=""),"Fyll ut enten Inn eller Ut",IF(OR(IFERROR(INDEX('Kontoplan'!$D$3:$D$302,MATCH(D463,'Kontoplan'!$H$3:$H$302,0))="Støttes ikke",FALSE),IFERROR(INDEX('Kontoplan'!$D$3:$D$302,MATCH(E463,'Kontoplan'!$H$3:$H$302,0))="Støttes ikke",FALSE)),"Kontoen støttes ikke",IF(IFERROR(AND(A463&gt;1,COUNTIF($A$3:$A$2002,A463-1)=0),FALSE),"Nummeret hopper over",IF(OR(NOT(ISNUMBER(B463)),B463&lt;DATE(2027,1,1),B463&gt;DATE(2027,12,31)),"Datoen er ikke i 2027",""))))))</f>
        <v/>
      </c>
    </row>
    <row r="464">
      <c r="A464" s="17" t="n"/>
      <c r="B464" s="9" t="n"/>
      <c r="C464" s="8" t="n"/>
      <c r="D464" s="8" t="n"/>
      <c r="E464" s="8" t="n"/>
      <c r="F464" s="14" t="n"/>
      <c r="G464" s="14" t="n"/>
      <c r="H464" s="8" t="n"/>
      <c r="I464" s="8" t="n"/>
      <c r="J464" s="8" t="n"/>
      <c r="K464" s="18">
        <f>IF(B464="","",IFERROR(MONTH(B464),""))</f>
        <v/>
      </c>
      <c r="L464" s="5">
        <f>IF(COUNTA(A464:J464)=0,"",IF(E464="","Mangler motkonto",IF((F464="")=(G464=""),"Fyll ut enten Inn eller Ut",IF(OR(IFERROR(INDEX('Kontoplan'!$D$3:$D$302,MATCH(D464,'Kontoplan'!$H$3:$H$302,0))="Støttes ikke",FALSE),IFERROR(INDEX('Kontoplan'!$D$3:$D$302,MATCH(E464,'Kontoplan'!$H$3:$H$302,0))="Støttes ikke",FALSE)),"Kontoen støttes ikke",IF(IFERROR(AND(A464&gt;1,COUNTIF($A$3:$A$2002,A464-1)=0),FALSE),"Nummeret hopper over",IF(OR(NOT(ISNUMBER(B464)),B464&lt;DATE(2027,1,1),B464&gt;DATE(2027,12,31)),"Datoen er ikke i 2027",""))))))</f>
        <v/>
      </c>
    </row>
    <row r="465">
      <c r="A465" s="17" t="n"/>
      <c r="B465" s="9" t="n"/>
      <c r="C465" s="8" t="n"/>
      <c r="D465" s="8" t="n"/>
      <c r="E465" s="8" t="n"/>
      <c r="F465" s="14" t="n"/>
      <c r="G465" s="14" t="n"/>
      <c r="H465" s="8" t="n"/>
      <c r="I465" s="8" t="n"/>
      <c r="J465" s="8" t="n"/>
      <c r="K465" s="18">
        <f>IF(B465="","",IFERROR(MONTH(B465),""))</f>
        <v/>
      </c>
      <c r="L465" s="5">
        <f>IF(COUNTA(A465:J465)=0,"",IF(E465="","Mangler motkonto",IF((F465="")=(G465=""),"Fyll ut enten Inn eller Ut",IF(OR(IFERROR(INDEX('Kontoplan'!$D$3:$D$302,MATCH(D465,'Kontoplan'!$H$3:$H$302,0))="Støttes ikke",FALSE),IFERROR(INDEX('Kontoplan'!$D$3:$D$302,MATCH(E465,'Kontoplan'!$H$3:$H$302,0))="Støttes ikke",FALSE)),"Kontoen støttes ikke",IF(IFERROR(AND(A465&gt;1,COUNTIF($A$3:$A$2002,A465-1)=0),FALSE),"Nummeret hopper over",IF(OR(NOT(ISNUMBER(B465)),B465&lt;DATE(2027,1,1),B465&gt;DATE(2027,12,31)),"Datoen er ikke i 2027",""))))))</f>
        <v/>
      </c>
    </row>
    <row r="466">
      <c r="A466" s="17" t="n"/>
      <c r="B466" s="9" t="n"/>
      <c r="C466" s="8" t="n"/>
      <c r="D466" s="8" t="n"/>
      <c r="E466" s="8" t="n"/>
      <c r="F466" s="14" t="n"/>
      <c r="G466" s="14" t="n"/>
      <c r="H466" s="8" t="n"/>
      <c r="I466" s="8" t="n"/>
      <c r="J466" s="8" t="n"/>
      <c r="K466" s="18">
        <f>IF(B466="","",IFERROR(MONTH(B466),""))</f>
        <v/>
      </c>
      <c r="L466" s="5">
        <f>IF(COUNTA(A466:J466)=0,"",IF(E466="","Mangler motkonto",IF((F466="")=(G466=""),"Fyll ut enten Inn eller Ut",IF(OR(IFERROR(INDEX('Kontoplan'!$D$3:$D$302,MATCH(D466,'Kontoplan'!$H$3:$H$302,0))="Støttes ikke",FALSE),IFERROR(INDEX('Kontoplan'!$D$3:$D$302,MATCH(E466,'Kontoplan'!$H$3:$H$302,0))="Støttes ikke",FALSE)),"Kontoen støttes ikke",IF(IFERROR(AND(A466&gt;1,COUNTIF($A$3:$A$2002,A466-1)=0),FALSE),"Nummeret hopper over",IF(OR(NOT(ISNUMBER(B466)),B466&lt;DATE(2027,1,1),B466&gt;DATE(2027,12,31)),"Datoen er ikke i 2027",""))))))</f>
        <v/>
      </c>
    </row>
    <row r="467">
      <c r="A467" s="17" t="n"/>
      <c r="B467" s="9" t="n"/>
      <c r="C467" s="8" t="n"/>
      <c r="D467" s="8" t="n"/>
      <c r="E467" s="8" t="n"/>
      <c r="F467" s="14" t="n"/>
      <c r="G467" s="14" t="n"/>
      <c r="H467" s="8" t="n"/>
      <c r="I467" s="8" t="n"/>
      <c r="J467" s="8" t="n"/>
      <c r="K467" s="18">
        <f>IF(B467="","",IFERROR(MONTH(B467),""))</f>
        <v/>
      </c>
      <c r="L467" s="5">
        <f>IF(COUNTA(A467:J467)=0,"",IF(E467="","Mangler motkonto",IF((F467="")=(G467=""),"Fyll ut enten Inn eller Ut",IF(OR(IFERROR(INDEX('Kontoplan'!$D$3:$D$302,MATCH(D467,'Kontoplan'!$H$3:$H$302,0))="Støttes ikke",FALSE),IFERROR(INDEX('Kontoplan'!$D$3:$D$302,MATCH(E467,'Kontoplan'!$H$3:$H$302,0))="Støttes ikke",FALSE)),"Kontoen støttes ikke",IF(IFERROR(AND(A467&gt;1,COUNTIF($A$3:$A$2002,A467-1)=0),FALSE),"Nummeret hopper over",IF(OR(NOT(ISNUMBER(B467)),B467&lt;DATE(2027,1,1),B467&gt;DATE(2027,12,31)),"Datoen er ikke i 2027",""))))))</f>
        <v/>
      </c>
    </row>
    <row r="468">
      <c r="A468" s="17" t="n"/>
      <c r="B468" s="9" t="n"/>
      <c r="C468" s="8" t="n"/>
      <c r="D468" s="8" t="n"/>
      <c r="E468" s="8" t="n"/>
      <c r="F468" s="14" t="n"/>
      <c r="G468" s="14" t="n"/>
      <c r="H468" s="8" t="n"/>
      <c r="I468" s="8" t="n"/>
      <c r="J468" s="8" t="n"/>
      <c r="K468" s="18">
        <f>IF(B468="","",IFERROR(MONTH(B468),""))</f>
        <v/>
      </c>
      <c r="L468" s="5">
        <f>IF(COUNTA(A468:J468)=0,"",IF(E468="","Mangler motkonto",IF((F468="")=(G468=""),"Fyll ut enten Inn eller Ut",IF(OR(IFERROR(INDEX('Kontoplan'!$D$3:$D$302,MATCH(D468,'Kontoplan'!$H$3:$H$302,0))="Støttes ikke",FALSE),IFERROR(INDEX('Kontoplan'!$D$3:$D$302,MATCH(E468,'Kontoplan'!$H$3:$H$302,0))="Støttes ikke",FALSE)),"Kontoen støttes ikke",IF(IFERROR(AND(A468&gt;1,COUNTIF($A$3:$A$2002,A468-1)=0),FALSE),"Nummeret hopper over",IF(OR(NOT(ISNUMBER(B468)),B468&lt;DATE(2027,1,1),B468&gt;DATE(2027,12,31)),"Datoen er ikke i 2027",""))))))</f>
        <v/>
      </c>
    </row>
    <row r="469">
      <c r="A469" s="17" t="n"/>
      <c r="B469" s="9" t="n"/>
      <c r="C469" s="8" t="n"/>
      <c r="D469" s="8" t="n"/>
      <c r="E469" s="8" t="n"/>
      <c r="F469" s="14" t="n"/>
      <c r="G469" s="14" t="n"/>
      <c r="H469" s="8" t="n"/>
      <c r="I469" s="8" t="n"/>
      <c r="J469" s="8" t="n"/>
      <c r="K469" s="18">
        <f>IF(B469="","",IFERROR(MONTH(B469),""))</f>
        <v/>
      </c>
      <c r="L469" s="5">
        <f>IF(COUNTA(A469:J469)=0,"",IF(E469="","Mangler motkonto",IF((F469="")=(G469=""),"Fyll ut enten Inn eller Ut",IF(OR(IFERROR(INDEX('Kontoplan'!$D$3:$D$302,MATCH(D469,'Kontoplan'!$H$3:$H$302,0))="Støttes ikke",FALSE),IFERROR(INDEX('Kontoplan'!$D$3:$D$302,MATCH(E469,'Kontoplan'!$H$3:$H$302,0))="Støttes ikke",FALSE)),"Kontoen støttes ikke",IF(IFERROR(AND(A469&gt;1,COUNTIF($A$3:$A$2002,A469-1)=0),FALSE),"Nummeret hopper over",IF(OR(NOT(ISNUMBER(B469)),B469&lt;DATE(2027,1,1),B469&gt;DATE(2027,12,31)),"Datoen er ikke i 2027",""))))))</f>
        <v/>
      </c>
    </row>
    <row r="470">
      <c r="A470" s="17" t="n"/>
      <c r="B470" s="9" t="n"/>
      <c r="C470" s="8" t="n"/>
      <c r="D470" s="8" t="n"/>
      <c r="E470" s="8" t="n"/>
      <c r="F470" s="14" t="n"/>
      <c r="G470" s="14" t="n"/>
      <c r="H470" s="8" t="n"/>
      <c r="I470" s="8" t="n"/>
      <c r="J470" s="8" t="n"/>
      <c r="K470" s="18">
        <f>IF(B470="","",IFERROR(MONTH(B470),""))</f>
        <v/>
      </c>
      <c r="L470" s="5">
        <f>IF(COUNTA(A470:J470)=0,"",IF(E470="","Mangler motkonto",IF((F470="")=(G470=""),"Fyll ut enten Inn eller Ut",IF(OR(IFERROR(INDEX('Kontoplan'!$D$3:$D$302,MATCH(D470,'Kontoplan'!$H$3:$H$302,0))="Støttes ikke",FALSE),IFERROR(INDEX('Kontoplan'!$D$3:$D$302,MATCH(E470,'Kontoplan'!$H$3:$H$302,0))="Støttes ikke",FALSE)),"Kontoen støttes ikke",IF(IFERROR(AND(A470&gt;1,COUNTIF($A$3:$A$2002,A470-1)=0),FALSE),"Nummeret hopper over",IF(OR(NOT(ISNUMBER(B470)),B470&lt;DATE(2027,1,1),B470&gt;DATE(2027,12,31)),"Datoen er ikke i 2027",""))))))</f>
        <v/>
      </c>
    </row>
    <row r="471">
      <c r="A471" s="17" t="n"/>
      <c r="B471" s="9" t="n"/>
      <c r="C471" s="8" t="n"/>
      <c r="D471" s="8" t="n"/>
      <c r="E471" s="8" t="n"/>
      <c r="F471" s="14" t="n"/>
      <c r="G471" s="14" t="n"/>
      <c r="H471" s="8" t="n"/>
      <c r="I471" s="8" t="n"/>
      <c r="J471" s="8" t="n"/>
      <c r="K471" s="18">
        <f>IF(B471="","",IFERROR(MONTH(B471),""))</f>
        <v/>
      </c>
      <c r="L471" s="5">
        <f>IF(COUNTA(A471:J471)=0,"",IF(E471="","Mangler motkonto",IF((F471="")=(G471=""),"Fyll ut enten Inn eller Ut",IF(OR(IFERROR(INDEX('Kontoplan'!$D$3:$D$302,MATCH(D471,'Kontoplan'!$H$3:$H$302,0))="Støttes ikke",FALSE),IFERROR(INDEX('Kontoplan'!$D$3:$D$302,MATCH(E471,'Kontoplan'!$H$3:$H$302,0))="Støttes ikke",FALSE)),"Kontoen støttes ikke",IF(IFERROR(AND(A471&gt;1,COUNTIF($A$3:$A$2002,A471-1)=0),FALSE),"Nummeret hopper over",IF(OR(NOT(ISNUMBER(B471)),B471&lt;DATE(2027,1,1),B471&gt;DATE(2027,12,31)),"Datoen er ikke i 2027",""))))))</f>
        <v/>
      </c>
    </row>
    <row r="472">
      <c r="A472" s="17" t="n"/>
      <c r="B472" s="9" t="n"/>
      <c r="C472" s="8" t="n"/>
      <c r="D472" s="8" t="n"/>
      <c r="E472" s="8" t="n"/>
      <c r="F472" s="14" t="n"/>
      <c r="G472" s="14" t="n"/>
      <c r="H472" s="8" t="n"/>
      <c r="I472" s="8" t="n"/>
      <c r="J472" s="8" t="n"/>
      <c r="K472" s="18">
        <f>IF(B472="","",IFERROR(MONTH(B472),""))</f>
        <v/>
      </c>
      <c r="L472" s="5">
        <f>IF(COUNTA(A472:J472)=0,"",IF(E472="","Mangler motkonto",IF((F472="")=(G472=""),"Fyll ut enten Inn eller Ut",IF(OR(IFERROR(INDEX('Kontoplan'!$D$3:$D$302,MATCH(D472,'Kontoplan'!$H$3:$H$302,0))="Støttes ikke",FALSE),IFERROR(INDEX('Kontoplan'!$D$3:$D$302,MATCH(E472,'Kontoplan'!$H$3:$H$302,0))="Støttes ikke",FALSE)),"Kontoen støttes ikke",IF(IFERROR(AND(A472&gt;1,COUNTIF($A$3:$A$2002,A472-1)=0),FALSE),"Nummeret hopper over",IF(OR(NOT(ISNUMBER(B472)),B472&lt;DATE(2027,1,1),B472&gt;DATE(2027,12,31)),"Datoen er ikke i 2027",""))))))</f>
        <v/>
      </c>
    </row>
    <row r="473">
      <c r="A473" s="17" t="n"/>
      <c r="B473" s="9" t="n"/>
      <c r="C473" s="8" t="n"/>
      <c r="D473" s="8" t="n"/>
      <c r="E473" s="8" t="n"/>
      <c r="F473" s="14" t="n"/>
      <c r="G473" s="14" t="n"/>
      <c r="H473" s="8" t="n"/>
      <c r="I473" s="8" t="n"/>
      <c r="J473" s="8" t="n"/>
      <c r="K473" s="18">
        <f>IF(B473="","",IFERROR(MONTH(B473),""))</f>
        <v/>
      </c>
      <c r="L473" s="5">
        <f>IF(COUNTA(A473:J473)=0,"",IF(E473="","Mangler motkonto",IF((F473="")=(G473=""),"Fyll ut enten Inn eller Ut",IF(OR(IFERROR(INDEX('Kontoplan'!$D$3:$D$302,MATCH(D473,'Kontoplan'!$H$3:$H$302,0))="Støttes ikke",FALSE),IFERROR(INDEX('Kontoplan'!$D$3:$D$302,MATCH(E473,'Kontoplan'!$H$3:$H$302,0))="Støttes ikke",FALSE)),"Kontoen støttes ikke",IF(IFERROR(AND(A473&gt;1,COUNTIF($A$3:$A$2002,A473-1)=0),FALSE),"Nummeret hopper over",IF(OR(NOT(ISNUMBER(B473)),B473&lt;DATE(2027,1,1),B473&gt;DATE(2027,12,31)),"Datoen er ikke i 2027",""))))))</f>
        <v/>
      </c>
    </row>
    <row r="474">
      <c r="A474" s="17" t="n"/>
      <c r="B474" s="9" t="n"/>
      <c r="C474" s="8" t="n"/>
      <c r="D474" s="8" t="n"/>
      <c r="E474" s="8" t="n"/>
      <c r="F474" s="14" t="n"/>
      <c r="G474" s="14" t="n"/>
      <c r="H474" s="8" t="n"/>
      <c r="I474" s="8" t="n"/>
      <c r="J474" s="8" t="n"/>
      <c r="K474" s="18">
        <f>IF(B474="","",IFERROR(MONTH(B474),""))</f>
        <v/>
      </c>
      <c r="L474" s="5">
        <f>IF(COUNTA(A474:J474)=0,"",IF(E474="","Mangler motkonto",IF((F474="")=(G474=""),"Fyll ut enten Inn eller Ut",IF(OR(IFERROR(INDEX('Kontoplan'!$D$3:$D$302,MATCH(D474,'Kontoplan'!$H$3:$H$302,0))="Støttes ikke",FALSE),IFERROR(INDEX('Kontoplan'!$D$3:$D$302,MATCH(E474,'Kontoplan'!$H$3:$H$302,0))="Støttes ikke",FALSE)),"Kontoen støttes ikke",IF(IFERROR(AND(A474&gt;1,COUNTIF($A$3:$A$2002,A474-1)=0),FALSE),"Nummeret hopper over",IF(OR(NOT(ISNUMBER(B474)),B474&lt;DATE(2027,1,1),B474&gt;DATE(2027,12,31)),"Datoen er ikke i 2027",""))))))</f>
        <v/>
      </c>
    </row>
    <row r="475">
      <c r="A475" s="17" t="n"/>
      <c r="B475" s="9" t="n"/>
      <c r="C475" s="8" t="n"/>
      <c r="D475" s="8" t="n"/>
      <c r="E475" s="8" t="n"/>
      <c r="F475" s="14" t="n"/>
      <c r="G475" s="14" t="n"/>
      <c r="H475" s="8" t="n"/>
      <c r="I475" s="8" t="n"/>
      <c r="J475" s="8" t="n"/>
      <c r="K475" s="18">
        <f>IF(B475="","",IFERROR(MONTH(B475),""))</f>
        <v/>
      </c>
      <c r="L475" s="5">
        <f>IF(COUNTA(A475:J475)=0,"",IF(E475="","Mangler motkonto",IF((F475="")=(G475=""),"Fyll ut enten Inn eller Ut",IF(OR(IFERROR(INDEX('Kontoplan'!$D$3:$D$302,MATCH(D475,'Kontoplan'!$H$3:$H$302,0))="Støttes ikke",FALSE),IFERROR(INDEX('Kontoplan'!$D$3:$D$302,MATCH(E475,'Kontoplan'!$H$3:$H$302,0))="Støttes ikke",FALSE)),"Kontoen støttes ikke",IF(IFERROR(AND(A475&gt;1,COUNTIF($A$3:$A$2002,A475-1)=0),FALSE),"Nummeret hopper over",IF(OR(NOT(ISNUMBER(B475)),B475&lt;DATE(2027,1,1),B475&gt;DATE(2027,12,31)),"Datoen er ikke i 2027",""))))))</f>
        <v/>
      </c>
    </row>
    <row r="476">
      <c r="A476" s="17" t="n"/>
      <c r="B476" s="9" t="n"/>
      <c r="C476" s="8" t="n"/>
      <c r="D476" s="8" t="n"/>
      <c r="E476" s="8" t="n"/>
      <c r="F476" s="14" t="n"/>
      <c r="G476" s="14" t="n"/>
      <c r="H476" s="8" t="n"/>
      <c r="I476" s="8" t="n"/>
      <c r="J476" s="8" t="n"/>
      <c r="K476" s="18">
        <f>IF(B476="","",IFERROR(MONTH(B476),""))</f>
        <v/>
      </c>
      <c r="L476" s="5">
        <f>IF(COUNTA(A476:J476)=0,"",IF(E476="","Mangler motkonto",IF((F476="")=(G476=""),"Fyll ut enten Inn eller Ut",IF(OR(IFERROR(INDEX('Kontoplan'!$D$3:$D$302,MATCH(D476,'Kontoplan'!$H$3:$H$302,0))="Støttes ikke",FALSE),IFERROR(INDEX('Kontoplan'!$D$3:$D$302,MATCH(E476,'Kontoplan'!$H$3:$H$302,0))="Støttes ikke",FALSE)),"Kontoen støttes ikke",IF(IFERROR(AND(A476&gt;1,COUNTIF($A$3:$A$2002,A476-1)=0),FALSE),"Nummeret hopper over",IF(OR(NOT(ISNUMBER(B476)),B476&lt;DATE(2027,1,1),B476&gt;DATE(2027,12,31)),"Datoen er ikke i 2027",""))))))</f>
        <v/>
      </c>
    </row>
    <row r="477">
      <c r="A477" s="17" t="n"/>
      <c r="B477" s="9" t="n"/>
      <c r="C477" s="8" t="n"/>
      <c r="D477" s="8" t="n"/>
      <c r="E477" s="8" t="n"/>
      <c r="F477" s="14" t="n"/>
      <c r="G477" s="14" t="n"/>
      <c r="H477" s="8" t="n"/>
      <c r="I477" s="8" t="n"/>
      <c r="J477" s="8" t="n"/>
      <c r="K477" s="18">
        <f>IF(B477="","",IFERROR(MONTH(B477),""))</f>
        <v/>
      </c>
      <c r="L477" s="5">
        <f>IF(COUNTA(A477:J477)=0,"",IF(E477="","Mangler motkonto",IF((F477="")=(G477=""),"Fyll ut enten Inn eller Ut",IF(OR(IFERROR(INDEX('Kontoplan'!$D$3:$D$302,MATCH(D477,'Kontoplan'!$H$3:$H$302,0))="Støttes ikke",FALSE),IFERROR(INDEX('Kontoplan'!$D$3:$D$302,MATCH(E477,'Kontoplan'!$H$3:$H$302,0))="Støttes ikke",FALSE)),"Kontoen støttes ikke",IF(IFERROR(AND(A477&gt;1,COUNTIF($A$3:$A$2002,A477-1)=0),FALSE),"Nummeret hopper over",IF(OR(NOT(ISNUMBER(B477)),B477&lt;DATE(2027,1,1),B477&gt;DATE(2027,12,31)),"Datoen er ikke i 2027",""))))))</f>
        <v/>
      </c>
    </row>
    <row r="478">
      <c r="A478" s="17" t="n"/>
      <c r="B478" s="9" t="n"/>
      <c r="C478" s="8" t="n"/>
      <c r="D478" s="8" t="n"/>
      <c r="E478" s="8" t="n"/>
      <c r="F478" s="14" t="n"/>
      <c r="G478" s="14" t="n"/>
      <c r="H478" s="8" t="n"/>
      <c r="I478" s="8" t="n"/>
      <c r="J478" s="8" t="n"/>
      <c r="K478" s="18">
        <f>IF(B478="","",IFERROR(MONTH(B478),""))</f>
        <v/>
      </c>
      <c r="L478" s="5">
        <f>IF(COUNTA(A478:J478)=0,"",IF(E478="","Mangler motkonto",IF((F478="")=(G478=""),"Fyll ut enten Inn eller Ut",IF(OR(IFERROR(INDEX('Kontoplan'!$D$3:$D$302,MATCH(D478,'Kontoplan'!$H$3:$H$302,0))="Støttes ikke",FALSE),IFERROR(INDEX('Kontoplan'!$D$3:$D$302,MATCH(E478,'Kontoplan'!$H$3:$H$302,0))="Støttes ikke",FALSE)),"Kontoen støttes ikke",IF(IFERROR(AND(A478&gt;1,COUNTIF($A$3:$A$2002,A478-1)=0),FALSE),"Nummeret hopper over",IF(OR(NOT(ISNUMBER(B478)),B478&lt;DATE(2027,1,1),B478&gt;DATE(2027,12,31)),"Datoen er ikke i 2027",""))))))</f>
        <v/>
      </c>
    </row>
    <row r="479">
      <c r="A479" s="17" t="n"/>
      <c r="B479" s="9" t="n"/>
      <c r="C479" s="8" t="n"/>
      <c r="D479" s="8" t="n"/>
      <c r="E479" s="8" t="n"/>
      <c r="F479" s="14" t="n"/>
      <c r="G479" s="14" t="n"/>
      <c r="H479" s="8" t="n"/>
      <c r="I479" s="8" t="n"/>
      <c r="J479" s="8" t="n"/>
      <c r="K479" s="18">
        <f>IF(B479="","",IFERROR(MONTH(B479),""))</f>
        <v/>
      </c>
      <c r="L479" s="5">
        <f>IF(COUNTA(A479:J479)=0,"",IF(E479="","Mangler motkonto",IF((F479="")=(G479=""),"Fyll ut enten Inn eller Ut",IF(OR(IFERROR(INDEX('Kontoplan'!$D$3:$D$302,MATCH(D479,'Kontoplan'!$H$3:$H$302,0))="Støttes ikke",FALSE),IFERROR(INDEX('Kontoplan'!$D$3:$D$302,MATCH(E479,'Kontoplan'!$H$3:$H$302,0))="Støttes ikke",FALSE)),"Kontoen støttes ikke",IF(IFERROR(AND(A479&gt;1,COUNTIF($A$3:$A$2002,A479-1)=0),FALSE),"Nummeret hopper over",IF(OR(NOT(ISNUMBER(B479)),B479&lt;DATE(2027,1,1),B479&gt;DATE(2027,12,31)),"Datoen er ikke i 2027",""))))))</f>
        <v/>
      </c>
    </row>
    <row r="480">
      <c r="A480" s="17" t="n"/>
      <c r="B480" s="9" t="n"/>
      <c r="C480" s="8" t="n"/>
      <c r="D480" s="8" t="n"/>
      <c r="E480" s="8" t="n"/>
      <c r="F480" s="14" t="n"/>
      <c r="G480" s="14" t="n"/>
      <c r="H480" s="8" t="n"/>
      <c r="I480" s="8" t="n"/>
      <c r="J480" s="8" t="n"/>
      <c r="K480" s="18">
        <f>IF(B480="","",IFERROR(MONTH(B480),""))</f>
        <v/>
      </c>
      <c r="L480" s="5">
        <f>IF(COUNTA(A480:J480)=0,"",IF(E480="","Mangler motkonto",IF((F480="")=(G480=""),"Fyll ut enten Inn eller Ut",IF(OR(IFERROR(INDEX('Kontoplan'!$D$3:$D$302,MATCH(D480,'Kontoplan'!$H$3:$H$302,0))="Støttes ikke",FALSE),IFERROR(INDEX('Kontoplan'!$D$3:$D$302,MATCH(E480,'Kontoplan'!$H$3:$H$302,0))="Støttes ikke",FALSE)),"Kontoen støttes ikke",IF(IFERROR(AND(A480&gt;1,COUNTIF($A$3:$A$2002,A480-1)=0),FALSE),"Nummeret hopper over",IF(OR(NOT(ISNUMBER(B480)),B480&lt;DATE(2027,1,1),B480&gt;DATE(2027,12,31)),"Datoen er ikke i 2027",""))))))</f>
        <v/>
      </c>
    </row>
    <row r="481">
      <c r="A481" s="17" t="n"/>
      <c r="B481" s="9" t="n"/>
      <c r="C481" s="8" t="n"/>
      <c r="D481" s="8" t="n"/>
      <c r="E481" s="8" t="n"/>
      <c r="F481" s="14" t="n"/>
      <c r="G481" s="14" t="n"/>
      <c r="H481" s="8" t="n"/>
      <c r="I481" s="8" t="n"/>
      <c r="J481" s="8" t="n"/>
      <c r="K481" s="18">
        <f>IF(B481="","",IFERROR(MONTH(B481),""))</f>
        <v/>
      </c>
      <c r="L481" s="5">
        <f>IF(COUNTA(A481:J481)=0,"",IF(E481="","Mangler motkonto",IF((F481="")=(G481=""),"Fyll ut enten Inn eller Ut",IF(OR(IFERROR(INDEX('Kontoplan'!$D$3:$D$302,MATCH(D481,'Kontoplan'!$H$3:$H$302,0))="Støttes ikke",FALSE),IFERROR(INDEX('Kontoplan'!$D$3:$D$302,MATCH(E481,'Kontoplan'!$H$3:$H$302,0))="Støttes ikke",FALSE)),"Kontoen støttes ikke",IF(IFERROR(AND(A481&gt;1,COUNTIF($A$3:$A$2002,A481-1)=0),FALSE),"Nummeret hopper over",IF(OR(NOT(ISNUMBER(B481)),B481&lt;DATE(2027,1,1),B481&gt;DATE(2027,12,31)),"Datoen er ikke i 2027",""))))))</f>
        <v/>
      </c>
    </row>
    <row r="482">
      <c r="A482" s="17" t="n"/>
      <c r="B482" s="9" t="n"/>
      <c r="C482" s="8" t="n"/>
      <c r="D482" s="8" t="n"/>
      <c r="E482" s="8" t="n"/>
      <c r="F482" s="14" t="n"/>
      <c r="G482" s="14" t="n"/>
      <c r="H482" s="8" t="n"/>
      <c r="I482" s="8" t="n"/>
      <c r="J482" s="8" t="n"/>
      <c r="K482" s="18">
        <f>IF(B482="","",IFERROR(MONTH(B482),""))</f>
        <v/>
      </c>
      <c r="L482" s="5">
        <f>IF(COUNTA(A482:J482)=0,"",IF(E482="","Mangler motkonto",IF((F482="")=(G482=""),"Fyll ut enten Inn eller Ut",IF(OR(IFERROR(INDEX('Kontoplan'!$D$3:$D$302,MATCH(D482,'Kontoplan'!$H$3:$H$302,0))="Støttes ikke",FALSE),IFERROR(INDEX('Kontoplan'!$D$3:$D$302,MATCH(E482,'Kontoplan'!$H$3:$H$302,0))="Støttes ikke",FALSE)),"Kontoen støttes ikke",IF(IFERROR(AND(A482&gt;1,COUNTIF($A$3:$A$2002,A482-1)=0),FALSE),"Nummeret hopper over",IF(OR(NOT(ISNUMBER(B482)),B482&lt;DATE(2027,1,1),B482&gt;DATE(2027,12,31)),"Datoen er ikke i 2027",""))))))</f>
        <v/>
      </c>
    </row>
    <row r="483">
      <c r="A483" s="17" t="n"/>
      <c r="B483" s="9" t="n"/>
      <c r="C483" s="8" t="n"/>
      <c r="D483" s="8" t="n"/>
      <c r="E483" s="8" t="n"/>
      <c r="F483" s="14" t="n"/>
      <c r="G483" s="14" t="n"/>
      <c r="H483" s="8" t="n"/>
      <c r="I483" s="8" t="n"/>
      <c r="J483" s="8" t="n"/>
      <c r="K483" s="18">
        <f>IF(B483="","",IFERROR(MONTH(B483),""))</f>
        <v/>
      </c>
      <c r="L483" s="5">
        <f>IF(COUNTA(A483:J483)=0,"",IF(E483="","Mangler motkonto",IF((F483="")=(G483=""),"Fyll ut enten Inn eller Ut",IF(OR(IFERROR(INDEX('Kontoplan'!$D$3:$D$302,MATCH(D483,'Kontoplan'!$H$3:$H$302,0))="Støttes ikke",FALSE),IFERROR(INDEX('Kontoplan'!$D$3:$D$302,MATCH(E483,'Kontoplan'!$H$3:$H$302,0))="Støttes ikke",FALSE)),"Kontoen støttes ikke",IF(IFERROR(AND(A483&gt;1,COUNTIF($A$3:$A$2002,A483-1)=0),FALSE),"Nummeret hopper over",IF(OR(NOT(ISNUMBER(B483)),B483&lt;DATE(2027,1,1),B483&gt;DATE(2027,12,31)),"Datoen er ikke i 2027",""))))))</f>
        <v/>
      </c>
    </row>
    <row r="484">
      <c r="A484" s="17" t="n"/>
      <c r="B484" s="9" t="n"/>
      <c r="C484" s="8" t="n"/>
      <c r="D484" s="8" t="n"/>
      <c r="E484" s="8" t="n"/>
      <c r="F484" s="14" t="n"/>
      <c r="G484" s="14" t="n"/>
      <c r="H484" s="8" t="n"/>
      <c r="I484" s="8" t="n"/>
      <c r="J484" s="8" t="n"/>
      <c r="K484" s="18">
        <f>IF(B484="","",IFERROR(MONTH(B484),""))</f>
        <v/>
      </c>
      <c r="L484" s="5">
        <f>IF(COUNTA(A484:J484)=0,"",IF(E484="","Mangler motkonto",IF((F484="")=(G484=""),"Fyll ut enten Inn eller Ut",IF(OR(IFERROR(INDEX('Kontoplan'!$D$3:$D$302,MATCH(D484,'Kontoplan'!$H$3:$H$302,0))="Støttes ikke",FALSE),IFERROR(INDEX('Kontoplan'!$D$3:$D$302,MATCH(E484,'Kontoplan'!$H$3:$H$302,0))="Støttes ikke",FALSE)),"Kontoen støttes ikke",IF(IFERROR(AND(A484&gt;1,COUNTIF($A$3:$A$2002,A484-1)=0),FALSE),"Nummeret hopper over",IF(OR(NOT(ISNUMBER(B484)),B484&lt;DATE(2027,1,1),B484&gt;DATE(2027,12,31)),"Datoen er ikke i 2027",""))))))</f>
        <v/>
      </c>
    </row>
    <row r="485">
      <c r="A485" s="17" t="n"/>
      <c r="B485" s="9" t="n"/>
      <c r="C485" s="8" t="n"/>
      <c r="D485" s="8" t="n"/>
      <c r="E485" s="8" t="n"/>
      <c r="F485" s="14" t="n"/>
      <c r="G485" s="14" t="n"/>
      <c r="H485" s="8" t="n"/>
      <c r="I485" s="8" t="n"/>
      <c r="J485" s="8" t="n"/>
      <c r="K485" s="18">
        <f>IF(B485="","",IFERROR(MONTH(B485),""))</f>
        <v/>
      </c>
      <c r="L485" s="5">
        <f>IF(COUNTA(A485:J485)=0,"",IF(E485="","Mangler motkonto",IF((F485="")=(G485=""),"Fyll ut enten Inn eller Ut",IF(OR(IFERROR(INDEX('Kontoplan'!$D$3:$D$302,MATCH(D485,'Kontoplan'!$H$3:$H$302,0))="Støttes ikke",FALSE),IFERROR(INDEX('Kontoplan'!$D$3:$D$302,MATCH(E485,'Kontoplan'!$H$3:$H$302,0))="Støttes ikke",FALSE)),"Kontoen støttes ikke",IF(IFERROR(AND(A485&gt;1,COUNTIF($A$3:$A$2002,A485-1)=0),FALSE),"Nummeret hopper over",IF(OR(NOT(ISNUMBER(B485)),B485&lt;DATE(2027,1,1),B485&gt;DATE(2027,12,31)),"Datoen er ikke i 2027",""))))))</f>
        <v/>
      </c>
    </row>
    <row r="486">
      <c r="A486" s="17" t="n"/>
      <c r="B486" s="9" t="n"/>
      <c r="C486" s="8" t="n"/>
      <c r="D486" s="8" t="n"/>
      <c r="E486" s="8" t="n"/>
      <c r="F486" s="14" t="n"/>
      <c r="G486" s="14" t="n"/>
      <c r="H486" s="8" t="n"/>
      <c r="I486" s="8" t="n"/>
      <c r="J486" s="8" t="n"/>
      <c r="K486" s="18">
        <f>IF(B486="","",IFERROR(MONTH(B486),""))</f>
        <v/>
      </c>
      <c r="L486" s="5">
        <f>IF(COUNTA(A486:J486)=0,"",IF(E486="","Mangler motkonto",IF((F486="")=(G486=""),"Fyll ut enten Inn eller Ut",IF(OR(IFERROR(INDEX('Kontoplan'!$D$3:$D$302,MATCH(D486,'Kontoplan'!$H$3:$H$302,0))="Støttes ikke",FALSE),IFERROR(INDEX('Kontoplan'!$D$3:$D$302,MATCH(E486,'Kontoplan'!$H$3:$H$302,0))="Støttes ikke",FALSE)),"Kontoen støttes ikke",IF(IFERROR(AND(A486&gt;1,COUNTIF($A$3:$A$2002,A486-1)=0),FALSE),"Nummeret hopper over",IF(OR(NOT(ISNUMBER(B486)),B486&lt;DATE(2027,1,1),B486&gt;DATE(2027,12,31)),"Datoen er ikke i 2027",""))))))</f>
        <v/>
      </c>
    </row>
    <row r="487">
      <c r="A487" s="17" t="n"/>
      <c r="B487" s="9" t="n"/>
      <c r="C487" s="8" t="n"/>
      <c r="D487" s="8" t="n"/>
      <c r="E487" s="8" t="n"/>
      <c r="F487" s="14" t="n"/>
      <c r="G487" s="14" t="n"/>
      <c r="H487" s="8" t="n"/>
      <c r="I487" s="8" t="n"/>
      <c r="J487" s="8" t="n"/>
      <c r="K487" s="18">
        <f>IF(B487="","",IFERROR(MONTH(B487),""))</f>
        <v/>
      </c>
      <c r="L487" s="5">
        <f>IF(COUNTA(A487:J487)=0,"",IF(E487="","Mangler motkonto",IF((F487="")=(G487=""),"Fyll ut enten Inn eller Ut",IF(OR(IFERROR(INDEX('Kontoplan'!$D$3:$D$302,MATCH(D487,'Kontoplan'!$H$3:$H$302,0))="Støttes ikke",FALSE),IFERROR(INDEX('Kontoplan'!$D$3:$D$302,MATCH(E487,'Kontoplan'!$H$3:$H$302,0))="Støttes ikke",FALSE)),"Kontoen støttes ikke",IF(IFERROR(AND(A487&gt;1,COUNTIF($A$3:$A$2002,A487-1)=0),FALSE),"Nummeret hopper over",IF(OR(NOT(ISNUMBER(B487)),B487&lt;DATE(2027,1,1),B487&gt;DATE(2027,12,31)),"Datoen er ikke i 2027",""))))))</f>
        <v/>
      </c>
    </row>
    <row r="488">
      <c r="A488" s="17" t="n"/>
      <c r="B488" s="9" t="n"/>
      <c r="C488" s="8" t="n"/>
      <c r="D488" s="8" t="n"/>
      <c r="E488" s="8" t="n"/>
      <c r="F488" s="14" t="n"/>
      <c r="G488" s="14" t="n"/>
      <c r="H488" s="8" t="n"/>
      <c r="I488" s="8" t="n"/>
      <c r="J488" s="8" t="n"/>
      <c r="K488" s="18">
        <f>IF(B488="","",IFERROR(MONTH(B488),""))</f>
        <v/>
      </c>
      <c r="L488" s="5">
        <f>IF(COUNTA(A488:J488)=0,"",IF(E488="","Mangler motkonto",IF((F488="")=(G488=""),"Fyll ut enten Inn eller Ut",IF(OR(IFERROR(INDEX('Kontoplan'!$D$3:$D$302,MATCH(D488,'Kontoplan'!$H$3:$H$302,0))="Støttes ikke",FALSE),IFERROR(INDEX('Kontoplan'!$D$3:$D$302,MATCH(E488,'Kontoplan'!$H$3:$H$302,0))="Støttes ikke",FALSE)),"Kontoen støttes ikke",IF(IFERROR(AND(A488&gt;1,COUNTIF($A$3:$A$2002,A488-1)=0),FALSE),"Nummeret hopper over",IF(OR(NOT(ISNUMBER(B488)),B488&lt;DATE(2027,1,1),B488&gt;DATE(2027,12,31)),"Datoen er ikke i 2027",""))))))</f>
        <v/>
      </c>
    </row>
    <row r="489">
      <c r="A489" s="17" t="n"/>
      <c r="B489" s="9" t="n"/>
      <c r="C489" s="8" t="n"/>
      <c r="D489" s="8" t="n"/>
      <c r="E489" s="8" t="n"/>
      <c r="F489" s="14" t="n"/>
      <c r="G489" s="14" t="n"/>
      <c r="H489" s="8" t="n"/>
      <c r="I489" s="8" t="n"/>
      <c r="J489" s="8" t="n"/>
      <c r="K489" s="18">
        <f>IF(B489="","",IFERROR(MONTH(B489),""))</f>
        <v/>
      </c>
      <c r="L489" s="5">
        <f>IF(COUNTA(A489:J489)=0,"",IF(E489="","Mangler motkonto",IF((F489="")=(G489=""),"Fyll ut enten Inn eller Ut",IF(OR(IFERROR(INDEX('Kontoplan'!$D$3:$D$302,MATCH(D489,'Kontoplan'!$H$3:$H$302,0))="Støttes ikke",FALSE),IFERROR(INDEX('Kontoplan'!$D$3:$D$302,MATCH(E489,'Kontoplan'!$H$3:$H$302,0))="Støttes ikke",FALSE)),"Kontoen støttes ikke",IF(IFERROR(AND(A489&gt;1,COUNTIF($A$3:$A$2002,A489-1)=0),FALSE),"Nummeret hopper over",IF(OR(NOT(ISNUMBER(B489)),B489&lt;DATE(2027,1,1),B489&gt;DATE(2027,12,31)),"Datoen er ikke i 2027",""))))))</f>
        <v/>
      </c>
    </row>
    <row r="490">
      <c r="A490" s="17" t="n"/>
      <c r="B490" s="9" t="n"/>
      <c r="C490" s="8" t="n"/>
      <c r="D490" s="8" t="n"/>
      <c r="E490" s="8" t="n"/>
      <c r="F490" s="14" t="n"/>
      <c r="G490" s="14" t="n"/>
      <c r="H490" s="8" t="n"/>
      <c r="I490" s="8" t="n"/>
      <c r="J490" s="8" t="n"/>
      <c r="K490" s="18">
        <f>IF(B490="","",IFERROR(MONTH(B490),""))</f>
        <v/>
      </c>
      <c r="L490" s="5">
        <f>IF(COUNTA(A490:J490)=0,"",IF(E490="","Mangler motkonto",IF((F490="")=(G490=""),"Fyll ut enten Inn eller Ut",IF(OR(IFERROR(INDEX('Kontoplan'!$D$3:$D$302,MATCH(D490,'Kontoplan'!$H$3:$H$302,0))="Støttes ikke",FALSE),IFERROR(INDEX('Kontoplan'!$D$3:$D$302,MATCH(E490,'Kontoplan'!$H$3:$H$302,0))="Støttes ikke",FALSE)),"Kontoen støttes ikke",IF(IFERROR(AND(A490&gt;1,COUNTIF($A$3:$A$2002,A490-1)=0),FALSE),"Nummeret hopper over",IF(OR(NOT(ISNUMBER(B490)),B490&lt;DATE(2027,1,1),B490&gt;DATE(2027,12,31)),"Datoen er ikke i 2027",""))))))</f>
        <v/>
      </c>
    </row>
    <row r="491">
      <c r="A491" s="17" t="n"/>
      <c r="B491" s="9" t="n"/>
      <c r="C491" s="8" t="n"/>
      <c r="D491" s="8" t="n"/>
      <c r="E491" s="8" t="n"/>
      <c r="F491" s="14" t="n"/>
      <c r="G491" s="14" t="n"/>
      <c r="H491" s="8" t="n"/>
      <c r="I491" s="8" t="n"/>
      <c r="J491" s="8" t="n"/>
      <c r="K491" s="18">
        <f>IF(B491="","",IFERROR(MONTH(B491),""))</f>
        <v/>
      </c>
      <c r="L491" s="5">
        <f>IF(COUNTA(A491:J491)=0,"",IF(E491="","Mangler motkonto",IF((F491="")=(G491=""),"Fyll ut enten Inn eller Ut",IF(OR(IFERROR(INDEX('Kontoplan'!$D$3:$D$302,MATCH(D491,'Kontoplan'!$H$3:$H$302,0))="Støttes ikke",FALSE),IFERROR(INDEX('Kontoplan'!$D$3:$D$302,MATCH(E491,'Kontoplan'!$H$3:$H$302,0))="Støttes ikke",FALSE)),"Kontoen støttes ikke",IF(IFERROR(AND(A491&gt;1,COUNTIF($A$3:$A$2002,A491-1)=0),FALSE),"Nummeret hopper over",IF(OR(NOT(ISNUMBER(B491)),B491&lt;DATE(2027,1,1),B491&gt;DATE(2027,12,31)),"Datoen er ikke i 2027",""))))))</f>
        <v/>
      </c>
    </row>
    <row r="492">
      <c r="A492" s="17" t="n"/>
      <c r="B492" s="9" t="n"/>
      <c r="C492" s="8" t="n"/>
      <c r="D492" s="8" t="n"/>
      <c r="E492" s="8" t="n"/>
      <c r="F492" s="14" t="n"/>
      <c r="G492" s="14" t="n"/>
      <c r="H492" s="8" t="n"/>
      <c r="I492" s="8" t="n"/>
      <c r="J492" s="8" t="n"/>
      <c r="K492" s="18">
        <f>IF(B492="","",IFERROR(MONTH(B492),""))</f>
        <v/>
      </c>
      <c r="L492" s="5">
        <f>IF(COUNTA(A492:J492)=0,"",IF(E492="","Mangler motkonto",IF((F492="")=(G492=""),"Fyll ut enten Inn eller Ut",IF(OR(IFERROR(INDEX('Kontoplan'!$D$3:$D$302,MATCH(D492,'Kontoplan'!$H$3:$H$302,0))="Støttes ikke",FALSE),IFERROR(INDEX('Kontoplan'!$D$3:$D$302,MATCH(E492,'Kontoplan'!$H$3:$H$302,0))="Støttes ikke",FALSE)),"Kontoen støttes ikke",IF(IFERROR(AND(A492&gt;1,COUNTIF($A$3:$A$2002,A492-1)=0),FALSE),"Nummeret hopper over",IF(OR(NOT(ISNUMBER(B492)),B492&lt;DATE(2027,1,1),B492&gt;DATE(2027,12,31)),"Datoen er ikke i 2027",""))))))</f>
        <v/>
      </c>
    </row>
    <row r="493">
      <c r="A493" s="17" t="n"/>
      <c r="B493" s="9" t="n"/>
      <c r="C493" s="8" t="n"/>
      <c r="D493" s="8" t="n"/>
      <c r="E493" s="8" t="n"/>
      <c r="F493" s="14" t="n"/>
      <c r="G493" s="14" t="n"/>
      <c r="H493" s="8" t="n"/>
      <c r="I493" s="8" t="n"/>
      <c r="J493" s="8" t="n"/>
      <c r="K493" s="18">
        <f>IF(B493="","",IFERROR(MONTH(B493),""))</f>
        <v/>
      </c>
      <c r="L493" s="5">
        <f>IF(COUNTA(A493:J493)=0,"",IF(E493="","Mangler motkonto",IF((F493="")=(G493=""),"Fyll ut enten Inn eller Ut",IF(OR(IFERROR(INDEX('Kontoplan'!$D$3:$D$302,MATCH(D493,'Kontoplan'!$H$3:$H$302,0))="Støttes ikke",FALSE),IFERROR(INDEX('Kontoplan'!$D$3:$D$302,MATCH(E493,'Kontoplan'!$H$3:$H$302,0))="Støttes ikke",FALSE)),"Kontoen støttes ikke",IF(IFERROR(AND(A493&gt;1,COUNTIF($A$3:$A$2002,A493-1)=0),FALSE),"Nummeret hopper over",IF(OR(NOT(ISNUMBER(B493)),B493&lt;DATE(2027,1,1),B493&gt;DATE(2027,12,31)),"Datoen er ikke i 2027",""))))))</f>
        <v/>
      </c>
    </row>
    <row r="494">
      <c r="A494" s="17" t="n"/>
      <c r="B494" s="9" t="n"/>
      <c r="C494" s="8" t="n"/>
      <c r="D494" s="8" t="n"/>
      <c r="E494" s="8" t="n"/>
      <c r="F494" s="14" t="n"/>
      <c r="G494" s="14" t="n"/>
      <c r="H494" s="8" t="n"/>
      <c r="I494" s="8" t="n"/>
      <c r="J494" s="8" t="n"/>
      <c r="K494" s="18">
        <f>IF(B494="","",IFERROR(MONTH(B494),""))</f>
        <v/>
      </c>
      <c r="L494" s="5">
        <f>IF(COUNTA(A494:J494)=0,"",IF(E494="","Mangler motkonto",IF((F494="")=(G494=""),"Fyll ut enten Inn eller Ut",IF(OR(IFERROR(INDEX('Kontoplan'!$D$3:$D$302,MATCH(D494,'Kontoplan'!$H$3:$H$302,0))="Støttes ikke",FALSE),IFERROR(INDEX('Kontoplan'!$D$3:$D$302,MATCH(E494,'Kontoplan'!$H$3:$H$302,0))="Støttes ikke",FALSE)),"Kontoen støttes ikke",IF(IFERROR(AND(A494&gt;1,COUNTIF($A$3:$A$2002,A494-1)=0),FALSE),"Nummeret hopper over",IF(OR(NOT(ISNUMBER(B494)),B494&lt;DATE(2027,1,1),B494&gt;DATE(2027,12,31)),"Datoen er ikke i 2027",""))))))</f>
        <v/>
      </c>
    </row>
    <row r="495">
      <c r="A495" s="17" t="n"/>
      <c r="B495" s="9" t="n"/>
      <c r="C495" s="8" t="n"/>
      <c r="D495" s="8" t="n"/>
      <c r="E495" s="8" t="n"/>
      <c r="F495" s="14" t="n"/>
      <c r="G495" s="14" t="n"/>
      <c r="H495" s="8" t="n"/>
      <c r="I495" s="8" t="n"/>
      <c r="J495" s="8" t="n"/>
      <c r="K495" s="18">
        <f>IF(B495="","",IFERROR(MONTH(B495),""))</f>
        <v/>
      </c>
      <c r="L495" s="5">
        <f>IF(COUNTA(A495:J495)=0,"",IF(E495="","Mangler motkonto",IF((F495="")=(G495=""),"Fyll ut enten Inn eller Ut",IF(OR(IFERROR(INDEX('Kontoplan'!$D$3:$D$302,MATCH(D495,'Kontoplan'!$H$3:$H$302,0))="Støttes ikke",FALSE),IFERROR(INDEX('Kontoplan'!$D$3:$D$302,MATCH(E495,'Kontoplan'!$H$3:$H$302,0))="Støttes ikke",FALSE)),"Kontoen støttes ikke",IF(IFERROR(AND(A495&gt;1,COUNTIF($A$3:$A$2002,A495-1)=0),FALSE),"Nummeret hopper over",IF(OR(NOT(ISNUMBER(B495)),B495&lt;DATE(2027,1,1),B495&gt;DATE(2027,12,31)),"Datoen er ikke i 2027",""))))))</f>
        <v/>
      </c>
    </row>
    <row r="496">
      <c r="A496" s="17" t="n"/>
      <c r="B496" s="9" t="n"/>
      <c r="C496" s="8" t="n"/>
      <c r="D496" s="8" t="n"/>
      <c r="E496" s="8" t="n"/>
      <c r="F496" s="14" t="n"/>
      <c r="G496" s="14" t="n"/>
      <c r="H496" s="8" t="n"/>
      <c r="I496" s="8" t="n"/>
      <c r="J496" s="8" t="n"/>
      <c r="K496" s="18">
        <f>IF(B496="","",IFERROR(MONTH(B496),""))</f>
        <v/>
      </c>
      <c r="L496" s="5">
        <f>IF(COUNTA(A496:J496)=0,"",IF(E496="","Mangler motkonto",IF((F496="")=(G496=""),"Fyll ut enten Inn eller Ut",IF(OR(IFERROR(INDEX('Kontoplan'!$D$3:$D$302,MATCH(D496,'Kontoplan'!$H$3:$H$302,0))="Støttes ikke",FALSE),IFERROR(INDEX('Kontoplan'!$D$3:$D$302,MATCH(E496,'Kontoplan'!$H$3:$H$302,0))="Støttes ikke",FALSE)),"Kontoen støttes ikke",IF(IFERROR(AND(A496&gt;1,COUNTIF($A$3:$A$2002,A496-1)=0),FALSE),"Nummeret hopper over",IF(OR(NOT(ISNUMBER(B496)),B496&lt;DATE(2027,1,1),B496&gt;DATE(2027,12,31)),"Datoen er ikke i 2027",""))))))</f>
        <v/>
      </c>
    </row>
    <row r="497">
      <c r="A497" s="17" t="n"/>
      <c r="B497" s="9" t="n"/>
      <c r="C497" s="8" t="n"/>
      <c r="D497" s="8" t="n"/>
      <c r="E497" s="8" t="n"/>
      <c r="F497" s="14" t="n"/>
      <c r="G497" s="14" t="n"/>
      <c r="H497" s="8" t="n"/>
      <c r="I497" s="8" t="n"/>
      <c r="J497" s="8" t="n"/>
      <c r="K497" s="18">
        <f>IF(B497="","",IFERROR(MONTH(B497),""))</f>
        <v/>
      </c>
      <c r="L497" s="5">
        <f>IF(COUNTA(A497:J497)=0,"",IF(E497="","Mangler motkonto",IF((F497="")=(G497=""),"Fyll ut enten Inn eller Ut",IF(OR(IFERROR(INDEX('Kontoplan'!$D$3:$D$302,MATCH(D497,'Kontoplan'!$H$3:$H$302,0))="Støttes ikke",FALSE),IFERROR(INDEX('Kontoplan'!$D$3:$D$302,MATCH(E497,'Kontoplan'!$H$3:$H$302,0))="Støttes ikke",FALSE)),"Kontoen støttes ikke",IF(IFERROR(AND(A497&gt;1,COUNTIF($A$3:$A$2002,A497-1)=0),FALSE),"Nummeret hopper over",IF(OR(NOT(ISNUMBER(B497)),B497&lt;DATE(2027,1,1),B497&gt;DATE(2027,12,31)),"Datoen er ikke i 2027",""))))))</f>
        <v/>
      </c>
    </row>
    <row r="498">
      <c r="A498" s="17" t="n"/>
      <c r="B498" s="9" t="n"/>
      <c r="C498" s="8" t="n"/>
      <c r="D498" s="8" t="n"/>
      <c r="E498" s="8" t="n"/>
      <c r="F498" s="14" t="n"/>
      <c r="G498" s="14" t="n"/>
      <c r="H498" s="8" t="n"/>
      <c r="I498" s="8" t="n"/>
      <c r="J498" s="8" t="n"/>
      <c r="K498" s="18">
        <f>IF(B498="","",IFERROR(MONTH(B498),""))</f>
        <v/>
      </c>
      <c r="L498" s="5">
        <f>IF(COUNTA(A498:J498)=0,"",IF(E498="","Mangler motkonto",IF((F498="")=(G498=""),"Fyll ut enten Inn eller Ut",IF(OR(IFERROR(INDEX('Kontoplan'!$D$3:$D$302,MATCH(D498,'Kontoplan'!$H$3:$H$302,0))="Støttes ikke",FALSE),IFERROR(INDEX('Kontoplan'!$D$3:$D$302,MATCH(E498,'Kontoplan'!$H$3:$H$302,0))="Støttes ikke",FALSE)),"Kontoen støttes ikke",IF(IFERROR(AND(A498&gt;1,COUNTIF($A$3:$A$2002,A498-1)=0),FALSE),"Nummeret hopper over",IF(OR(NOT(ISNUMBER(B498)),B498&lt;DATE(2027,1,1),B498&gt;DATE(2027,12,31)),"Datoen er ikke i 2027",""))))))</f>
        <v/>
      </c>
    </row>
    <row r="499">
      <c r="A499" s="17" t="n"/>
      <c r="B499" s="9" t="n"/>
      <c r="C499" s="8" t="n"/>
      <c r="D499" s="8" t="n"/>
      <c r="E499" s="8" t="n"/>
      <c r="F499" s="14" t="n"/>
      <c r="G499" s="14" t="n"/>
      <c r="H499" s="8" t="n"/>
      <c r="I499" s="8" t="n"/>
      <c r="J499" s="8" t="n"/>
      <c r="K499" s="18">
        <f>IF(B499="","",IFERROR(MONTH(B499),""))</f>
        <v/>
      </c>
      <c r="L499" s="5">
        <f>IF(COUNTA(A499:J499)=0,"",IF(E499="","Mangler motkonto",IF((F499="")=(G499=""),"Fyll ut enten Inn eller Ut",IF(OR(IFERROR(INDEX('Kontoplan'!$D$3:$D$302,MATCH(D499,'Kontoplan'!$H$3:$H$302,0))="Støttes ikke",FALSE),IFERROR(INDEX('Kontoplan'!$D$3:$D$302,MATCH(E499,'Kontoplan'!$H$3:$H$302,0))="Støttes ikke",FALSE)),"Kontoen støttes ikke",IF(IFERROR(AND(A499&gt;1,COUNTIF($A$3:$A$2002,A499-1)=0),FALSE),"Nummeret hopper over",IF(OR(NOT(ISNUMBER(B499)),B499&lt;DATE(2027,1,1),B499&gt;DATE(2027,12,31)),"Datoen er ikke i 2027",""))))))</f>
        <v/>
      </c>
    </row>
    <row r="500">
      <c r="A500" s="17" t="n"/>
      <c r="B500" s="9" t="n"/>
      <c r="C500" s="8" t="n"/>
      <c r="D500" s="8" t="n"/>
      <c r="E500" s="8" t="n"/>
      <c r="F500" s="14" t="n"/>
      <c r="G500" s="14" t="n"/>
      <c r="H500" s="8" t="n"/>
      <c r="I500" s="8" t="n"/>
      <c r="J500" s="8" t="n"/>
      <c r="K500" s="18">
        <f>IF(B500="","",IFERROR(MONTH(B500),""))</f>
        <v/>
      </c>
      <c r="L500" s="5">
        <f>IF(COUNTA(A500:J500)=0,"",IF(E500="","Mangler motkonto",IF((F500="")=(G500=""),"Fyll ut enten Inn eller Ut",IF(OR(IFERROR(INDEX('Kontoplan'!$D$3:$D$302,MATCH(D500,'Kontoplan'!$H$3:$H$302,0))="Støttes ikke",FALSE),IFERROR(INDEX('Kontoplan'!$D$3:$D$302,MATCH(E500,'Kontoplan'!$H$3:$H$302,0))="Støttes ikke",FALSE)),"Kontoen støttes ikke",IF(IFERROR(AND(A500&gt;1,COUNTIF($A$3:$A$2002,A500-1)=0),FALSE),"Nummeret hopper over",IF(OR(NOT(ISNUMBER(B500)),B500&lt;DATE(2027,1,1),B500&gt;DATE(2027,12,31)),"Datoen er ikke i 2027",""))))))</f>
        <v/>
      </c>
    </row>
    <row r="501">
      <c r="A501" s="17" t="n"/>
      <c r="B501" s="9" t="n"/>
      <c r="C501" s="8" t="n"/>
      <c r="D501" s="8" t="n"/>
      <c r="E501" s="8" t="n"/>
      <c r="F501" s="14" t="n"/>
      <c r="G501" s="14" t="n"/>
      <c r="H501" s="8" t="n"/>
      <c r="I501" s="8" t="n"/>
      <c r="J501" s="8" t="n"/>
      <c r="K501" s="18">
        <f>IF(B501="","",IFERROR(MONTH(B501),""))</f>
        <v/>
      </c>
      <c r="L501" s="5">
        <f>IF(COUNTA(A501:J501)=0,"",IF(E501="","Mangler motkonto",IF((F501="")=(G501=""),"Fyll ut enten Inn eller Ut",IF(OR(IFERROR(INDEX('Kontoplan'!$D$3:$D$302,MATCH(D501,'Kontoplan'!$H$3:$H$302,0))="Støttes ikke",FALSE),IFERROR(INDEX('Kontoplan'!$D$3:$D$302,MATCH(E501,'Kontoplan'!$H$3:$H$302,0))="Støttes ikke",FALSE)),"Kontoen støttes ikke",IF(IFERROR(AND(A501&gt;1,COUNTIF($A$3:$A$2002,A501-1)=0),FALSE),"Nummeret hopper over",IF(OR(NOT(ISNUMBER(B501)),B501&lt;DATE(2027,1,1),B501&gt;DATE(2027,12,31)),"Datoen er ikke i 2027",""))))))</f>
        <v/>
      </c>
    </row>
    <row r="502">
      <c r="A502" s="17" t="n"/>
      <c r="B502" s="9" t="n"/>
      <c r="C502" s="8" t="n"/>
      <c r="D502" s="8" t="n"/>
      <c r="E502" s="8" t="n"/>
      <c r="F502" s="14" t="n"/>
      <c r="G502" s="14" t="n"/>
      <c r="H502" s="8" t="n"/>
      <c r="I502" s="8" t="n"/>
      <c r="J502" s="8" t="n"/>
      <c r="K502" s="18">
        <f>IF(B502="","",IFERROR(MONTH(B502),""))</f>
        <v/>
      </c>
      <c r="L502" s="5">
        <f>IF(COUNTA(A502:J502)=0,"",IF(E502="","Mangler motkonto",IF((F502="")=(G502=""),"Fyll ut enten Inn eller Ut",IF(OR(IFERROR(INDEX('Kontoplan'!$D$3:$D$302,MATCH(D502,'Kontoplan'!$H$3:$H$302,0))="Støttes ikke",FALSE),IFERROR(INDEX('Kontoplan'!$D$3:$D$302,MATCH(E502,'Kontoplan'!$H$3:$H$302,0))="Støttes ikke",FALSE)),"Kontoen støttes ikke",IF(IFERROR(AND(A502&gt;1,COUNTIF($A$3:$A$2002,A502-1)=0),FALSE),"Nummeret hopper over",IF(OR(NOT(ISNUMBER(B502)),B502&lt;DATE(2027,1,1),B502&gt;DATE(2027,12,31)),"Datoen er ikke i 2027",""))))))</f>
        <v/>
      </c>
    </row>
    <row r="503">
      <c r="A503" s="17" t="n"/>
      <c r="B503" s="9" t="n"/>
      <c r="C503" s="8" t="n"/>
      <c r="D503" s="8" t="n"/>
      <c r="E503" s="8" t="n"/>
      <c r="F503" s="14" t="n"/>
      <c r="G503" s="14" t="n"/>
      <c r="H503" s="8" t="n"/>
      <c r="I503" s="8" t="n"/>
      <c r="J503" s="8" t="n"/>
      <c r="K503" s="18">
        <f>IF(B503="","",IFERROR(MONTH(B503),""))</f>
        <v/>
      </c>
      <c r="L503" s="5">
        <f>IF(COUNTA(A503:J503)=0,"",IF(E503="","Mangler motkonto",IF((F503="")=(G503=""),"Fyll ut enten Inn eller Ut",IF(OR(IFERROR(INDEX('Kontoplan'!$D$3:$D$302,MATCH(D503,'Kontoplan'!$H$3:$H$302,0))="Støttes ikke",FALSE),IFERROR(INDEX('Kontoplan'!$D$3:$D$302,MATCH(E503,'Kontoplan'!$H$3:$H$302,0))="Støttes ikke",FALSE)),"Kontoen støttes ikke",IF(IFERROR(AND(A503&gt;1,COUNTIF($A$3:$A$2002,A503-1)=0),FALSE),"Nummeret hopper over",IF(OR(NOT(ISNUMBER(B503)),B503&lt;DATE(2027,1,1),B503&gt;DATE(2027,12,31)),"Datoen er ikke i 2027",""))))))</f>
        <v/>
      </c>
    </row>
    <row r="504">
      <c r="A504" s="17" t="n"/>
      <c r="B504" s="9" t="n"/>
      <c r="C504" s="8" t="n"/>
      <c r="D504" s="8" t="n"/>
      <c r="E504" s="8" t="n"/>
      <c r="F504" s="14" t="n"/>
      <c r="G504" s="14" t="n"/>
      <c r="H504" s="8" t="n"/>
      <c r="I504" s="8" t="n"/>
      <c r="J504" s="8" t="n"/>
      <c r="K504" s="18">
        <f>IF(B504="","",IFERROR(MONTH(B504),""))</f>
        <v/>
      </c>
      <c r="L504" s="5">
        <f>IF(COUNTA(A504:J504)=0,"",IF(E504="","Mangler motkonto",IF((F504="")=(G504=""),"Fyll ut enten Inn eller Ut",IF(OR(IFERROR(INDEX('Kontoplan'!$D$3:$D$302,MATCH(D504,'Kontoplan'!$H$3:$H$302,0))="Støttes ikke",FALSE),IFERROR(INDEX('Kontoplan'!$D$3:$D$302,MATCH(E504,'Kontoplan'!$H$3:$H$302,0))="Støttes ikke",FALSE)),"Kontoen støttes ikke",IF(IFERROR(AND(A504&gt;1,COUNTIF($A$3:$A$2002,A504-1)=0),FALSE),"Nummeret hopper over",IF(OR(NOT(ISNUMBER(B504)),B504&lt;DATE(2027,1,1),B504&gt;DATE(2027,12,31)),"Datoen er ikke i 2027",""))))))</f>
        <v/>
      </c>
    </row>
    <row r="505">
      <c r="A505" s="17" t="n"/>
      <c r="B505" s="9" t="n"/>
      <c r="C505" s="8" t="n"/>
      <c r="D505" s="8" t="n"/>
      <c r="E505" s="8" t="n"/>
      <c r="F505" s="14" t="n"/>
      <c r="G505" s="14" t="n"/>
      <c r="H505" s="8" t="n"/>
      <c r="I505" s="8" t="n"/>
      <c r="J505" s="8" t="n"/>
      <c r="K505" s="18">
        <f>IF(B505="","",IFERROR(MONTH(B505),""))</f>
        <v/>
      </c>
      <c r="L505" s="5">
        <f>IF(COUNTA(A505:J505)=0,"",IF(E505="","Mangler motkonto",IF((F505="")=(G505=""),"Fyll ut enten Inn eller Ut",IF(OR(IFERROR(INDEX('Kontoplan'!$D$3:$D$302,MATCH(D505,'Kontoplan'!$H$3:$H$302,0))="Støttes ikke",FALSE),IFERROR(INDEX('Kontoplan'!$D$3:$D$302,MATCH(E505,'Kontoplan'!$H$3:$H$302,0))="Støttes ikke",FALSE)),"Kontoen støttes ikke",IF(IFERROR(AND(A505&gt;1,COUNTIF($A$3:$A$2002,A505-1)=0),FALSE),"Nummeret hopper over",IF(OR(NOT(ISNUMBER(B505)),B505&lt;DATE(2027,1,1),B505&gt;DATE(2027,12,31)),"Datoen er ikke i 2027",""))))))</f>
        <v/>
      </c>
    </row>
    <row r="506">
      <c r="A506" s="17" t="n"/>
      <c r="B506" s="9" t="n"/>
      <c r="C506" s="8" t="n"/>
      <c r="D506" s="8" t="n"/>
      <c r="E506" s="8" t="n"/>
      <c r="F506" s="14" t="n"/>
      <c r="G506" s="14" t="n"/>
      <c r="H506" s="8" t="n"/>
      <c r="I506" s="8" t="n"/>
      <c r="J506" s="8" t="n"/>
      <c r="K506" s="18">
        <f>IF(B506="","",IFERROR(MONTH(B506),""))</f>
        <v/>
      </c>
      <c r="L506" s="5">
        <f>IF(COUNTA(A506:J506)=0,"",IF(E506="","Mangler motkonto",IF((F506="")=(G506=""),"Fyll ut enten Inn eller Ut",IF(OR(IFERROR(INDEX('Kontoplan'!$D$3:$D$302,MATCH(D506,'Kontoplan'!$H$3:$H$302,0))="Støttes ikke",FALSE),IFERROR(INDEX('Kontoplan'!$D$3:$D$302,MATCH(E506,'Kontoplan'!$H$3:$H$302,0))="Støttes ikke",FALSE)),"Kontoen støttes ikke",IF(IFERROR(AND(A506&gt;1,COUNTIF($A$3:$A$2002,A506-1)=0),FALSE),"Nummeret hopper over",IF(OR(NOT(ISNUMBER(B506)),B506&lt;DATE(2027,1,1),B506&gt;DATE(2027,12,31)),"Datoen er ikke i 2027",""))))))</f>
        <v/>
      </c>
    </row>
    <row r="507">
      <c r="A507" s="17" t="n"/>
      <c r="B507" s="9" t="n"/>
      <c r="C507" s="8" t="n"/>
      <c r="D507" s="8" t="n"/>
      <c r="E507" s="8" t="n"/>
      <c r="F507" s="14" t="n"/>
      <c r="G507" s="14" t="n"/>
      <c r="H507" s="8" t="n"/>
      <c r="I507" s="8" t="n"/>
      <c r="J507" s="8" t="n"/>
      <c r="K507" s="18">
        <f>IF(B507="","",IFERROR(MONTH(B507),""))</f>
        <v/>
      </c>
      <c r="L507" s="5">
        <f>IF(COUNTA(A507:J507)=0,"",IF(E507="","Mangler motkonto",IF((F507="")=(G507=""),"Fyll ut enten Inn eller Ut",IF(OR(IFERROR(INDEX('Kontoplan'!$D$3:$D$302,MATCH(D507,'Kontoplan'!$H$3:$H$302,0))="Støttes ikke",FALSE),IFERROR(INDEX('Kontoplan'!$D$3:$D$302,MATCH(E507,'Kontoplan'!$H$3:$H$302,0))="Støttes ikke",FALSE)),"Kontoen støttes ikke",IF(IFERROR(AND(A507&gt;1,COUNTIF($A$3:$A$2002,A507-1)=0),FALSE),"Nummeret hopper over",IF(OR(NOT(ISNUMBER(B507)),B507&lt;DATE(2027,1,1),B507&gt;DATE(2027,12,31)),"Datoen er ikke i 2027",""))))))</f>
        <v/>
      </c>
    </row>
    <row r="508">
      <c r="A508" s="17" t="n"/>
      <c r="B508" s="9" t="n"/>
      <c r="C508" s="8" t="n"/>
      <c r="D508" s="8" t="n"/>
      <c r="E508" s="8" t="n"/>
      <c r="F508" s="14" t="n"/>
      <c r="G508" s="14" t="n"/>
      <c r="H508" s="8" t="n"/>
      <c r="I508" s="8" t="n"/>
      <c r="J508" s="8" t="n"/>
      <c r="K508" s="18">
        <f>IF(B508="","",IFERROR(MONTH(B508),""))</f>
        <v/>
      </c>
      <c r="L508" s="5">
        <f>IF(COUNTA(A508:J508)=0,"",IF(E508="","Mangler motkonto",IF((F508="")=(G508=""),"Fyll ut enten Inn eller Ut",IF(OR(IFERROR(INDEX('Kontoplan'!$D$3:$D$302,MATCH(D508,'Kontoplan'!$H$3:$H$302,0))="Støttes ikke",FALSE),IFERROR(INDEX('Kontoplan'!$D$3:$D$302,MATCH(E508,'Kontoplan'!$H$3:$H$302,0))="Støttes ikke",FALSE)),"Kontoen støttes ikke",IF(IFERROR(AND(A508&gt;1,COUNTIF($A$3:$A$2002,A508-1)=0),FALSE),"Nummeret hopper over",IF(OR(NOT(ISNUMBER(B508)),B508&lt;DATE(2027,1,1),B508&gt;DATE(2027,12,31)),"Datoen er ikke i 2027",""))))))</f>
        <v/>
      </c>
    </row>
    <row r="509">
      <c r="A509" s="17" t="n"/>
      <c r="B509" s="9" t="n"/>
      <c r="C509" s="8" t="n"/>
      <c r="D509" s="8" t="n"/>
      <c r="E509" s="8" t="n"/>
      <c r="F509" s="14" t="n"/>
      <c r="G509" s="14" t="n"/>
      <c r="H509" s="8" t="n"/>
      <c r="I509" s="8" t="n"/>
      <c r="J509" s="8" t="n"/>
      <c r="K509" s="18">
        <f>IF(B509="","",IFERROR(MONTH(B509),""))</f>
        <v/>
      </c>
      <c r="L509" s="5">
        <f>IF(COUNTA(A509:J509)=0,"",IF(E509="","Mangler motkonto",IF((F509="")=(G509=""),"Fyll ut enten Inn eller Ut",IF(OR(IFERROR(INDEX('Kontoplan'!$D$3:$D$302,MATCH(D509,'Kontoplan'!$H$3:$H$302,0))="Støttes ikke",FALSE),IFERROR(INDEX('Kontoplan'!$D$3:$D$302,MATCH(E509,'Kontoplan'!$H$3:$H$302,0))="Støttes ikke",FALSE)),"Kontoen støttes ikke",IF(IFERROR(AND(A509&gt;1,COUNTIF($A$3:$A$2002,A509-1)=0),FALSE),"Nummeret hopper over",IF(OR(NOT(ISNUMBER(B509)),B509&lt;DATE(2027,1,1),B509&gt;DATE(2027,12,31)),"Datoen er ikke i 2027",""))))))</f>
        <v/>
      </c>
    </row>
    <row r="510">
      <c r="A510" s="17" t="n"/>
      <c r="B510" s="9" t="n"/>
      <c r="C510" s="8" t="n"/>
      <c r="D510" s="8" t="n"/>
      <c r="E510" s="8" t="n"/>
      <c r="F510" s="14" t="n"/>
      <c r="G510" s="14" t="n"/>
      <c r="H510" s="8" t="n"/>
      <c r="I510" s="8" t="n"/>
      <c r="J510" s="8" t="n"/>
      <c r="K510" s="18">
        <f>IF(B510="","",IFERROR(MONTH(B510),""))</f>
        <v/>
      </c>
      <c r="L510" s="5">
        <f>IF(COUNTA(A510:J510)=0,"",IF(E510="","Mangler motkonto",IF((F510="")=(G510=""),"Fyll ut enten Inn eller Ut",IF(OR(IFERROR(INDEX('Kontoplan'!$D$3:$D$302,MATCH(D510,'Kontoplan'!$H$3:$H$302,0))="Støttes ikke",FALSE),IFERROR(INDEX('Kontoplan'!$D$3:$D$302,MATCH(E510,'Kontoplan'!$H$3:$H$302,0))="Støttes ikke",FALSE)),"Kontoen støttes ikke",IF(IFERROR(AND(A510&gt;1,COUNTIF($A$3:$A$2002,A510-1)=0),FALSE),"Nummeret hopper over",IF(OR(NOT(ISNUMBER(B510)),B510&lt;DATE(2027,1,1),B510&gt;DATE(2027,12,31)),"Datoen er ikke i 2027",""))))))</f>
        <v/>
      </c>
    </row>
    <row r="511">
      <c r="A511" s="17" t="n"/>
      <c r="B511" s="9" t="n"/>
      <c r="C511" s="8" t="n"/>
      <c r="D511" s="8" t="n"/>
      <c r="E511" s="8" t="n"/>
      <c r="F511" s="14" t="n"/>
      <c r="G511" s="14" t="n"/>
      <c r="H511" s="8" t="n"/>
      <c r="I511" s="8" t="n"/>
      <c r="J511" s="8" t="n"/>
      <c r="K511" s="18">
        <f>IF(B511="","",IFERROR(MONTH(B511),""))</f>
        <v/>
      </c>
      <c r="L511" s="5">
        <f>IF(COUNTA(A511:J511)=0,"",IF(E511="","Mangler motkonto",IF((F511="")=(G511=""),"Fyll ut enten Inn eller Ut",IF(OR(IFERROR(INDEX('Kontoplan'!$D$3:$D$302,MATCH(D511,'Kontoplan'!$H$3:$H$302,0))="Støttes ikke",FALSE),IFERROR(INDEX('Kontoplan'!$D$3:$D$302,MATCH(E511,'Kontoplan'!$H$3:$H$302,0))="Støttes ikke",FALSE)),"Kontoen støttes ikke",IF(IFERROR(AND(A511&gt;1,COUNTIF($A$3:$A$2002,A511-1)=0),FALSE),"Nummeret hopper over",IF(OR(NOT(ISNUMBER(B511)),B511&lt;DATE(2027,1,1),B511&gt;DATE(2027,12,31)),"Datoen er ikke i 2027",""))))))</f>
        <v/>
      </c>
    </row>
    <row r="512">
      <c r="A512" s="17" t="n"/>
      <c r="B512" s="9" t="n"/>
      <c r="C512" s="8" t="n"/>
      <c r="D512" s="8" t="n"/>
      <c r="E512" s="8" t="n"/>
      <c r="F512" s="14" t="n"/>
      <c r="G512" s="14" t="n"/>
      <c r="H512" s="8" t="n"/>
      <c r="I512" s="8" t="n"/>
      <c r="J512" s="8" t="n"/>
      <c r="K512" s="18">
        <f>IF(B512="","",IFERROR(MONTH(B512),""))</f>
        <v/>
      </c>
      <c r="L512" s="5">
        <f>IF(COUNTA(A512:J512)=0,"",IF(E512="","Mangler motkonto",IF((F512="")=(G512=""),"Fyll ut enten Inn eller Ut",IF(OR(IFERROR(INDEX('Kontoplan'!$D$3:$D$302,MATCH(D512,'Kontoplan'!$H$3:$H$302,0))="Støttes ikke",FALSE),IFERROR(INDEX('Kontoplan'!$D$3:$D$302,MATCH(E512,'Kontoplan'!$H$3:$H$302,0))="Støttes ikke",FALSE)),"Kontoen støttes ikke",IF(IFERROR(AND(A512&gt;1,COUNTIF($A$3:$A$2002,A512-1)=0),FALSE),"Nummeret hopper over",IF(OR(NOT(ISNUMBER(B512)),B512&lt;DATE(2027,1,1),B512&gt;DATE(2027,12,31)),"Datoen er ikke i 2027",""))))))</f>
        <v/>
      </c>
    </row>
    <row r="513">
      <c r="A513" s="17" t="n"/>
      <c r="B513" s="9" t="n"/>
      <c r="C513" s="8" t="n"/>
      <c r="D513" s="8" t="n"/>
      <c r="E513" s="8" t="n"/>
      <c r="F513" s="14" t="n"/>
      <c r="G513" s="14" t="n"/>
      <c r="H513" s="8" t="n"/>
      <c r="I513" s="8" t="n"/>
      <c r="J513" s="8" t="n"/>
      <c r="K513" s="18">
        <f>IF(B513="","",IFERROR(MONTH(B513),""))</f>
        <v/>
      </c>
      <c r="L513" s="5">
        <f>IF(COUNTA(A513:J513)=0,"",IF(E513="","Mangler motkonto",IF((F513="")=(G513=""),"Fyll ut enten Inn eller Ut",IF(OR(IFERROR(INDEX('Kontoplan'!$D$3:$D$302,MATCH(D513,'Kontoplan'!$H$3:$H$302,0))="Støttes ikke",FALSE),IFERROR(INDEX('Kontoplan'!$D$3:$D$302,MATCH(E513,'Kontoplan'!$H$3:$H$302,0))="Støttes ikke",FALSE)),"Kontoen støttes ikke",IF(IFERROR(AND(A513&gt;1,COUNTIF($A$3:$A$2002,A513-1)=0),FALSE),"Nummeret hopper over",IF(OR(NOT(ISNUMBER(B513)),B513&lt;DATE(2027,1,1),B513&gt;DATE(2027,12,31)),"Datoen er ikke i 2027",""))))))</f>
        <v/>
      </c>
    </row>
    <row r="514">
      <c r="A514" s="17" t="n"/>
      <c r="B514" s="9" t="n"/>
      <c r="C514" s="8" t="n"/>
      <c r="D514" s="8" t="n"/>
      <c r="E514" s="8" t="n"/>
      <c r="F514" s="14" t="n"/>
      <c r="G514" s="14" t="n"/>
      <c r="H514" s="8" t="n"/>
      <c r="I514" s="8" t="n"/>
      <c r="J514" s="8" t="n"/>
      <c r="K514" s="18">
        <f>IF(B514="","",IFERROR(MONTH(B514),""))</f>
        <v/>
      </c>
      <c r="L514" s="5">
        <f>IF(COUNTA(A514:J514)=0,"",IF(E514="","Mangler motkonto",IF((F514="")=(G514=""),"Fyll ut enten Inn eller Ut",IF(OR(IFERROR(INDEX('Kontoplan'!$D$3:$D$302,MATCH(D514,'Kontoplan'!$H$3:$H$302,0))="Støttes ikke",FALSE),IFERROR(INDEX('Kontoplan'!$D$3:$D$302,MATCH(E514,'Kontoplan'!$H$3:$H$302,0))="Støttes ikke",FALSE)),"Kontoen støttes ikke",IF(IFERROR(AND(A514&gt;1,COUNTIF($A$3:$A$2002,A514-1)=0),FALSE),"Nummeret hopper over",IF(OR(NOT(ISNUMBER(B514)),B514&lt;DATE(2027,1,1),B514&gt;DATE(2027,12,31)),"Datoen er ikke i 2027",""))))))</f>
        <v/>
      </c>
    </row>
    <row r="515">
      <c r="A515" s="17" t="n"/>
      <c r="B515" s="9" t="n"/>
      <c r="C515" s="8" t="n"/>
      <c r="D515" s="8" t="n"/>
      <c r="E515" s="8" t="n"/>
      <c r="F515" s="14" t="n"/>
      <c r="G515" s="14" t="n"/>
      <c r="H515" s="8" t="n"/>
      <c r="I515" s="8" t="n"/>
      <c r="J515" s="8" t="n"/>
      <c r="K515" s="18">
        <f>IF(B515="","",IFERROR(MONTH(B515),""))</f>
        <v/>
      </c>
      <c r="L515" s="5">
        <f>IF(COUNTA(A515:J515)=0,"",IF(E515="","Mangler motkonto",IF((F515="")=(G515=""),"Fyll ut enten Inn eller Ut",IF(OR(IFERROR(INDEX('Kontoplan'!$D$3:$D$302,MATCH(D515,'Kontoplan'!$H$3:$H$302,0))="Støttes ikke",FALSE),IFERROR(INDEX('Kontoplan'!$D$3:$D$302,MATCH(E515,'Kontoplan'!$H$3:$H$302,0))="Støttes ikke",FALSE)),"Kontoen støttes ikke",IF(IFERROR(AND(A515&gt;1,COUNTIF($A$3:$A$2002,A515-1)=0),FALSE),"Nummeret hopper over",IF(OR(NOT(ISNUMBER(B515)),B515&lt;DATE(2027,1,1),B515&gt;DATE(2027,12,31)),"Datoen er ikke i 2027",""))))))</f>
        <v/>
      </c>
    </row>
    <row r="516">
      <c r="A516" s="17" t="n"/>
      <c r="B516" s="9" t="n"/>
      <c r="C516" s="8" t="n"/>
      <c r="D516" s="8" t="n"/>
      <c r="E516" s="8" t="n"/>
      <c r="F516" s="14" t="n"/>
      <c r="G516" s="14" t="n"/>
      <c r="H516" s="8" t="n"/>
      <c r="I516" s="8" t="n"/>
      <c r="J516" s="8" t="n"/>
      <c r="K516" s="18">
        <f>IF(B516="","",IFERROR(MONTH(B516),""))</f>
        <v/>
      </c>
      <c r="L516" s="5">
        <f>IF(COUNTA(A516:J516)=0,"",IF(E516="","Mangler motkonto",IF((F516="")=(G516=""),"Fyll ut enten Inn eller Ut",IF(OR(IFERROR(INDEX('Kontoplan'!$D$3:$D$302,MATCH(D516,'Kontoplan'!$H$3:$H$302,0))="Støttes ikke",FALSE),IFERROR(INDEX('Kontoplan'!$D$3:$D$302,MATCH(E516,'Kontoplan'!$H$3:$H$302,0))="Støttes ikke",FALSE)),"Kontoen støttes ikke",IF(IFERROR(AND(A516&gt;1,COUNTIF($A$3:$A$2002,A516-1)=0),FALSE),"Nummeret hopper over",IF(OR(NOT(ISNUMBER(B516)),B516&lt;DATE(2027,1,1),B516&gt;DATE(2027,12,31)),"Datoen er ikke i 2027",""))))))</f>
        <v/>
      </c>
    </row>
    <row r="517">
      <c r="A517" s="17" t="n"/>
      <c r="B517" s="9" t="n"/>
      <c r="C517" s="8" t="n"/>
      <c r="D517" s="8" t="n"/>
      <c r="E517" s="8" t="n"/>
      <c r="F517" s="14" t="n"/>
      <c r="G517" s="14" t="n"/>
      <c r="H517" s="8" t="n"/>
      <c r="I517" s="8" t="n"/>
      <c r="J517" s="8" t="n"/>
      <c r="K517" s="18">
        <f>IF(B517="","",IFERROR(MONTH(B517),""))</f>
        <v/>
      </c>
      <c r="L517" s="5">
        <f>IF(COUNTA(A517:J517)=0,"",IF(E517="","Mangler motkonto",IF((F517="")=(G517=""),"Fyll ut enten Inn eller Ut",IF(OR(IFERROR(INDEX('Kontoplan'!$D$3:$D$302,MATCH(D517,'Kontoplan'!$H$3:$H$302,0))="Støttes ikke",FALSE),IFERROR(INDEX('Kontoplan'!$D$3:$D$302,MATCH(E517,'Kontoplan'!$H$3:$H$302,0))="Støttes ikke",FALSE)),"Kontoen støttes ikke",IF(IFERROR(AND(A517&gt;1,COUNTIF($A$3:$A$2002,A517-1)=0),FALSE),"Nummeret hopper over",IF(OR(NOT(ISNUMBER(B517)),B517&lt;DATE(2027,1,1),B517&gt;DATE(2027,12,31)),"Datoen er ikke i 2027",""))))))</f>
        <v/>
      </c>
    </row>
    <row r="518">
      <c r="A518" s="17" t="n"/>
      <c r="B518" s="9" t="n"/>
      <c r="C518" s="8" t="n"/>
      <c r="D518" s="8" t="n"/>
      <c r="E518" s="8" t="n"/>
      <c r="F518" s="14" t="n"/>
      <c r="G518" s="14" t="n"/>
      <c r="H518" s="8" t="n"/>
      <c r="I518" s="8" t="n"/>
      <c r="J518" s="8" t="n"/>
      <c r="K518" s="18">
        <f>IF(B518="","",IFERROR(MONTH(B518),""))</f>
        <v/>
      </c>
      <c r="L518" s="5">
        <f>IF(COUNTA(A518:J518)=0,"",IF(E518="","Mangler motkonto",IF((F518="")=(G518=""),"Fyll ut enten Inn eller Ut",IF(OR(IFERROR(INDEX('Kontoplan'!$D$3:$D$302,MATCH(D518,'Kontoplan'!$H$3:$H$302,0))="Støttes ikke",FALSE),IFERROR(INDEX('Kontoplan'!$D$3:$D$302,MATCH(E518,'Kontoplan'!$H$3:$H$302,0))="Støttes ikke",FALSE)),"Kontoen støttes ikke",IF(IFERROR(AND(A518&gt;1,COUNTIF($A$3:$A$2002,A518-1)=0),FALSE),"Nummeret hopper over",IF(OR(NOT(ISNUMBER(B518)),B518&lt;DATE(2027,1,1),B518&gt;DATE(2027,12,31)),"Datoen er ikke i 2027",""))))))</f>
        <v/>
      </c>
    </row>
    <row r="519">
      <c r="A519" s="17" t="n"/>
      <c r="B519" s="9" t="n"/>
      <c r="C519" s="8" t="n"/>
      <c r="D519" s="8" t="n"/>
      <c r="E519" s="8" t="n"/>
      <c r="F519" s="14" t="n"/>
      <c r="G519" s="14" t="n"/>
      <c r="H519" s="8" t="n"/>
      <c r="I519" s="8" t="n"/>
      <c r="J519" s="8" t="n"/>
      <c r="K519" s="18">
        <f>IF(B519="","",IFERROR(MONTH(B519),""))</f>
        <v/>
      </c>
      <c r="L519" s="5">
        <f>IF(COUNTA(A519:J519)=0,"",IF(E519="","Mangler motkonto",IF((F519="")=(G519=""),"Fyll ut enten Inn eller Ut",IF(OR(IFERROR(INDEX('Kontoplan'!$D$3:$D$302,MATCH(D519,'Kontoplan'!$H$3:$H$302,0))="Støttes ikke",FALSE),IFERROR(INDEX('Kontoplan'!$D$3:$D$302,MATCH(E519,'Kontoplan'!$H$3:$H$302,0))="Støttes ikke",FALSE)),"Kontoen støttes ikke",IF(IFERROR(AND(A519&gt;1,COUNTIF($A$3:$A$2002,A519-1)=0),FALSE),"Nummeret hopper over",IF(OR(NOT(ISNUMBER(B519)),B519&lt;DATE(2027,1,1),B519&gt;DATE(2027,12,31)),"Datoen er ikke i 2027",""))))))</f>
        <v/>
      </c>
    </row>
    <row r="520">
      <c r="A520" s="17" t="n"/>
      <c r="B520" s="9" t="n"/>
      <c r="C520" s="8" t="n"/>
      <c r="D520" s="8" t="n"/>
      <c r="E520" s="8" t="n"/>
      <c r="F520" s="14" t="n"/>
      <c r="G520" s="14" t="n"/>
      <c r="H520" s="8" t="n"/>
      <c r="I520" s="8" t="n"/>
      <c r="J520" s="8" t="n"/>
      <c r="K520" s="18">
        <f>IF(B520="","",IFERROR(MONTH(B520),""))</f>
        <v/>
      </c>
      <c r="L520" s="5">
        <f>IF(COUNTA(A520:J520)=0,"",IF(E520="","Mangler motkonto",IF((F520="")=(G520=""),"Fyll ut enten Inn eller Ut",IF(OR(IFERROR(INDEX('Kontoplan'!$D$3:$D$302,MATCH(D520,'Kontoplan'!$H$3:$H$302,0))="Støttes ikke",FALSE),IFERROR(INDEX('Kontoplan'!$D$3:$D$302,MATCH(E520,'Kontoplan'!$H$3:$H$302,0))="Støttes ikke",FALSE)),"Kontoen støttes ikke",IF(IFERROR(AND(A520&gt;1,COUNTIF($A$3:$A$2002,A520-1)=0),FALSE),"Nummeret hopper over",IF(OR(NOT(ISNUMBER(B520)),B520&lt;DATE(2027,1,1),B520&gt;DATE(2027,12,31)),"Datoen er ikke i 2027",""))))))</f>
        <v/>
      </c>
    </row>
    <row r="521">
      <c r="A521" s="17" t="n"/>
      <c r="B521" s="9" t="n"/>
      <c r="C521" s="8" t="n"/>
      <c r="D521" s="8" t="n"/>
      <c r="E521" s="8" t="n"/>
      <c r="F521" s="14" t="n"/>
      <c r="G521" s="14" t="n"/>
      <c r="H521" s="8" t="n"/>
      <c r="I521" s="8" t="n"/>
      <c r="J521" s="8" t="n"/>
      <c r="K521" s="18">
        <f>IF(B521="","",IFERROR(MONTH(B521),""))</f>
        <v/>
      </c>
      <c r="L521" s="5">
        <f>IF(COUNTA(A521:J521)=0,"",IF(E521="","Mangler motkonto",IF((F521="")=(G521=""),"Fyll ut enten Inn eller Ut",IF(OR(IFERROR(INDEX('Kontoplan'!$D$3:$D$302,MATCH(D521,'Kontoplan'!$H$3:$H$302,0))="Støttes ikke",FALSE),IFERROR(INDEX('Kontoplan'!$D$3:$D$302,MATCH(E521,'Kontoplan'!$H$3:$H$302,0))="Støttes ikke",FALSE)),"Kontoen støttes ikke",IF(IFERROR(AND(A521&gt;1,COUNTIF($A$3:$A$2002,A521-1)=0),FALSE),"Nummeret hopper over",IF(OR(NOT(ISNUMBER(B521)),B521&lt;DATE(2027,1,1),B521&gt;DATE(2027,12,31)),"Datoen er ikke i 2027",""))))))</f>
        <v/>
      </c>
    </row>
    <row r="522">
      <c r="A522" s="17" t="n"/>
      <c r="B522" s="9" t="n"/>
      <c r="C522" s="8" t="n"/>
      <c r="D522" s="8" t="n"/>
      <c r="E522" s="8" t="n"/>
      <c r="F522" s="14" t="n"/>
      <c r="G522" s="14" t="n"/>
      <c r="H522" s="8" t="n"/>
      <c r="I522" s="8" t="n"/>
      <c r="J522" s="8" t="n"/>
      <c r="K522" s="18">
        <f>IF(B522="","",IFERROR(MONTH(B522),""))</f>
        <v/>
      </c>
      <c r="L522" s="5">
        <f>IF(COUNTA(A522:J522)=0,"",IF(E522="","Mangler motkonto",IF((F522="")=(G522=""),"Fyll ut enten Inn eller Ut",IF(OR(IFERROR(INDEX('Kontoplan'!$D$3:$D$302,MATCH(D522,'Kontoplan'!$H$3:$H$302,0))="Støttes ikke",FALSE),IFERROR(INDEX('Kontoplan'!$D$3:$D$302,MATCH(E522,'Kontoplan'!$H$3:$H$302,0))="Støttes ikke",FALSE)),"Kontoen støttes ikke",IF(IFERROR(AND(A522&gt;1,COUNTIF($A$3:$A$2002,A522-1)=0),FALSE),"Nummeret hopper over",IF(OR(NOT(ISNUMBER(B522)),B522&lt;DATE(2027,1,1),B522&gt;DATE(2027,12,31)),"Datoen er ikke i 2027",""))))))</f>
        <v/>
      </c>
    </row>
    <row r="523">
      <c r="A523" s="17" t="n"/>
      <c r="B523" s="9" t="n"/>
      <c r="C523" s="8" t="n"/>
      <c r="D523" s="8" t="n"/>
      <c r="E523" s="8" t="n"/>
      <c r="F523" s="14" t="n"/>
      <c r="G523" s="14" t="n"/>
      <c r="H523" s="8" t="n"/>
      <c r="I523" s="8" t="n"/>
      <c r="J523" s="8" t="n"/>
      <c r="K523" s="18">
        <f>IF(B523="","",IFERROR(MONTH(B523),""))</f>
        <v/>
      </c>
      <c r="L523" s="5">
        <f>IF(COUNTA(A523:J523)=0,"",IF(E523="","Mangler motkonto",IF((F523="")=(G523=""),"Fyll ut enten Inn eller Ut",IF(OR(IFERROR(INDEX('Kontoplan'!$D$3:$D$302,MATCH(D523,'Kontoplan'!$H$3:$H$302,0))="Støttes ikke",FALSE),IFERROR(INDEX('Kontoplan'!$D$3:$D$302,MATCH(E523,'Kontoplan'!$H$3:$H$302,0))="Støttes ikke",FALSE)),"Kontoen støttes ikke",IF(IFERROR(AND(A523&gt;1,COUNTIF($A$3:$A$2002,A523-1)=0),FALSE),"Nummeret hopper over",IF(OR(NOT(ISNUMBER(B523)),B523&lt;DATE(2027,1,1),B523&gt;DATE(2027,12,31)),"Datoen er ikke i 2027",""))))))</f>
        <v/>
      </c>
    </row>
    <row r="524">
      <c r="A524" s="17" t="n"/>
      <c r="B524" s="9" t="n"/>
      <c r="C524" s="8" t="n"/>
      <c r="D524" s="8" t="n"/>
      <c r="E524" s="8" t="n"/>
      <c r="F524" s="14" t="n"/>
      <c r="G524" s="14" t="n"/>
      <c r="H524" s="8" t="n"/>
      <c r="I524" s="8" t="n"/>
      <c r="J524" s="8" t="n"/>
      <c r="K524" s="18">
        <f>IF(B524="","",IFERROR(MONTH(B524),""))</f>
        <v/>
      </c>
      <c r="L524" s="5">
        <f>IF(COUNTA(A524:J524)=0,"",IF(E524="","Mangler motkonto",IF((F524="")=(G524=""),"Fyll ut enten Inn eller Ut",IF(OR(IFERROR(INDEX('Kontoplan'!$D$3:$D$302,MATCH(D524,'Kontoplan'!$H$3:$H$302,0))="Støttes ikke",FALSE),IFERROR(INDEX('Kontoplan'!$D$3:$D$302,MATCH(E524,'Kontoplan'!$H$3:$H$302,0))="Støttes ikke",FALSE)),"Kontoen støttes ikke",IF(IFERROR(AND(A524&gt;1,COUNTIF($A$3:$A$2002,A524-1)=0),FALSE),"Nummeret hopper over",IF(OR(NOT(ISNUMBER(B524)),B524&lt;DATE(2027,1,1),B524&gt;DATE(2027,12,31)),"Datoen er ikke i 2027",""))))))</f>
        <v/>
      </c>
    </row>
    <row r="525">
      <c r="A525" s="17" t="n"/>
      <c r="B525" s="9" t="n"/>
      <c r="C525" s="8" t="n"/>
      <c r="D525" s="8" t="n"/>
      <c r="E525" s="8" t="n"/>
      <c r="F525" s="14" t="n"/>
      <c r="G525" s="14" t="n"/>
      <c r="H525" s="8" t="n"/>
      <c r="I525" s="8" t="n"/>
      <c r="J525" s="8" t="n"/>
      <c r="K525" s="18">
        <f>IF(B525="","",IFERROR(MONTH(B525),""))</f>
        <v/>
      </c>
      <c r="L525" s="5">
        <f>IF(COUNTA(A525:J525)=0,"",IF(E525="","Mangler motkonto",IF((F525="")=(G525=""),"Fyll ut enten Inn eller Ut",IF(OR(IFERROR(INDEX('Kontoplan'!$D$3:$D$302,MATCH(D525,'Kontoplan'!$H$3:$H$302,0))="Støttes ikke",FALSE),IFERROR(INDEX('Kontoplan'!$D$3:$D$302,MATCH(E525,'Kontoplan'!$H$3:$H$302,0))="Støttes ikke",FALSE)),"Kontoen støttes ikke",IF(IFERROR(AND(A525&gt;1,COUNTIF($A$3:$A$2002,A525-1)=0),FALSE),"Nummeret hopper over",IF(OR(NOT(ISNUMBER(B525)),B525&lt;DATE(2027,1,1),B525&gt;DATE(2027,12,31)),"Datoen er ikke i 2027",""))))))</f>
        <v/>
      </c>
    </row>
    <row r="526">
      <c r="A526" s="17" t="n"/>
      <c r="B526" s="9" t="n"/>
      <c r="C526" s="8" t="n"/>
      <c r="D526" s="8" t="n"/>
      <c r="E526" s="8" t="n"/>
      <c r="F526" s="14" t="n"/>
      <c r="G526" s="14" t="n"/>
      <c r="H526" s="8" t="n"/>
      <c r="I526" s="8" t="n"/>
      <c r="J526" s="8" t="n"/>
      <c r="K526" s="18">
        <f>IF(B526="","",IFERROR(MONTH(B526),""))</f>
        <v/>
      </c>
      <c r="L526" s="5">
        <f>IF(COUNTA(A526:J526)=0,"",IF(E526="","Mangler motkonto",IF((F526="")=(G526=""),"Fyll ut enten Inn eller Ut",IF(OR(IFERROR(INDEX('Kontoplan'!$D$3:$D$302,MATCH(D526,'Kontoplan'!$H$3:$H$302,0))="Støttes ikke",FALSE),IFERROR(INDEX('Kontoplan'!$D$3:$D$302,MATCH(E526,'Kontoplan'!$H$3:$H$302,0))="Støttes ikke",FALSE)),"Kontoen støttes ikke",IF(IFERROR(AND(A526&gt;1,COUNTIF($A$3:$A$2002,A526-1)=0),FALSE),"Nummeret hopper over",IF(OR(NOT(ISNUMBER(B526)),B526&lt;DATE(2027,1,1),B526&gt;DATE(2027,12,31)),"Datoen er ikke i 2027",""))))))</f>
        <v/>
      </c>
    </row>
    <row r="527">
      <c r="A527" s="17" t="n"/>
      <c r="B527" s="9" t="n"/>
      <c r="C527" s="8" t="n"/>
      <c r="D527" s="8" t="n"/>
      <c r="E527" s="8" t="n"/>
      <c r="F527" s="14" t="n"/>
      <c r="G527" s="14" t="n"/>
      <c r="H527" s="8" t="n"/>
      <c r="I527" s="8" t="n"/>
      <c r="J527" s="8" t="n"/>
      <c r="K527" s="18">
        <f>IF(B527="","",IFERROR(MONTH(B527),""))</f>
        <v/>
      </c>
      <c r="L527" s="5">
        <f>IF(COUNTA(A527:J527)=0,"",IF(E527="","Mangler motkonto",IF((F527="")=(G527=""),"Fyll ut enten Inn eller Ut",IF(OR(IFERROR(INDEX('Kontoplan'!$D$3:$D$302,MATCH(D527,'Kontoplan'!$H$3:$H$302,0))="Støttes ikke",FALSE),IFERROR(INDEX('Kontoplan'!$D$3:$D$302,MATCH(E527,'Kontoplan'!$H$3:$H$302,0))="Støttes ikke",FALSE)),"Kontoen støttes ikke",IF(IFERROR(AND(A527&gt;1,COUNTIF($A$3:$A$2002,A527-1)=0),FALSE),"Nummeret hopper over",IF(OR(NOT(ISNUMBER(B527)),B527&lt;DATE(2027,1,1),B527&gt;DATE(2027,12,31)),"Datoen er ikke i 2027",""))))))</f>
        <v/>
      </c>
    </row>
    <row r="528">
      <c r="A528" s="17" t="n"/>
      <c r="B528" s="9" t="n"/>
      <c r="C528" s="8" t="n"/>
      <c r="D528" s="8" t="n"/>
      <c r="E528" s="8" t="n"/>
      <c r="F528" s="14" t="n"/>
      <c r="G528" s="14" t="n"/>
      <c r="H528" s="8" t="n"/>
      <c r="I528" s="8" t="n"/>
      <c r="J528" s="8" t="n"/>
      <c r="K528" s="18">
        <f>IF(B528="","",IFERROR(MONTH(B528),""))</f>
        <v/>
      </c>
      <c r="L528" s="5">
        <f>IF(COUNTA(A528:J528)=0,"",IF(E528="","Mangler motkonto",IF((F528="")=(G528=""),"Fyll ut enten Inn eller Ut",IF(OR(IFERROR(INDEX('Kontoplan'!$D$3:$D$302,MATCH(D528,'Kontoplan'!$H$3:$H$302,0))="Støttes ikke",FALSE),IFERROR(INDEX('Kontoplan'!$D$3:$D$302,MATCH(E528,'Kontoplan'!$H$3:$H$302,0))="Støttes ikke",FALSE)),"Kontoen støttes ikke",IF(IFERROR(AND(A528&gt;1,COUNTIF($A$3:$A$2002,A528-1)=0),FALSE),"Nummeret hopper over",IF(OR(NOT(ISNUMBER(B528)),B528&lt;DATE(2027,1,1),B528&gt;DATE(2027,12,31)),"Datoen er ikke i 2027",""))))))</f>
        <v/>
      </c>
    </row>
    <row r="529">
      <c r="A529" s="17" t="n"/>
      <c r="B529" s="9" t="n"/>
      <c r="C529" s="8" t="n"/>
      <c r="D529" s="8" t="n"/>
      <c r="E529" s="8" t="n"/>
      <c r="F529" s="14" t="n"/>
      <c r="G529" s="14" t="n"/>
      <c r="H529" s="8" t="n"/>
      <c r="I529" s="8" t="n"/>
      <c r="J529" s="8" t="n"/>
      <c r="K529" s="18">
        <f>IF(B529="","",IFERROR(MONTH(B529),""))</f>
        <v/>
      </c>
      <c r="L529" s="5">
        <f>IF(COUNTA(A529:J529)=0,"",IF(E529="","Mangler motkonto",IF((F529="")=(G529=""),"Fyll ut enten Inn eller Ut",IF(OR(IFERROR(INDEX('Kontoplan'!$D$3:$D$302,MATCH(D529,'Kontoplan'!$H$3:$H$302,0))="Støttes ikke",FALSE),IFERROR(INDEX('Kontoplan'!$D$3:$D$302,MATCH(E529,'Kontoplan'!$H$3:$H$302,0))="Støttes ikke",FALSE)),"Kontoen støttes ikke",IF(IFERROR(AND(A529&gt;1,COUNTIF($A$3:$A$2002,A529-1)=0),FALSE),"Nummeret hopper over",IF(OR(NOT(ISNUMBER(B529)),B529&lt;DATE(2027,1,1),B529&gt;DATE(2027,12,31)),"Datoen er ikke i 2027",""))))))</f>
        <v/>
      </c>
    </row>
    <row r="530">
      <c r="A530" s="17" t="n"/>
      <c r="B530" s="9" t="n"/>
      <c r="C530" s="8" t="n"/>
      <c r="D530" s="8" t="n"/>
      <c r="E530" s="8" t="n"/>
      <c r="F530" s="14" t="n"/>
      <c r="G530" s="14" t="n"/>
      <c r="H530" s="8" t="n"/>
      <c r="I530" s="8" t="n"/>
      <c r="J530" s="8" t="n"/>
      <c r="K530" s="18">
        <f>IF(B530="","",IFERROR(MONTH(B530),""))</f>
        <v/>
      </c>
      <c r="L530" s="5">
        <f>IF(COUNTA(A530:J530)=0,"",IF(E530="","Mangler motkonto",IF((F530="")=(G530=""),"Fyll ut enten Inn eller Ut",IF(OR(IFERROR(INDEX('Kontoplan'!$D$3:$D$302,MATCH(D530,'Kontoplan'!$H$3:$H$302,0))="Støttes ikke",FALSE),IFERROR(INDEX('Kontoplan'!$D$3:$D$302,MATCH(E530,'Kontoplan'!$H$3:$H$302,0))="Støttes ikke",FALSE)),"Kontoen støttes ikke",IF(IFERROR(AND(A530&gt;1,COUNTIF($A$3:$A$2002,A530-1)=0),FALSE),"Nummeret hopper over",IF(OR(NOT(ISNUMBER(B530)),B530&lt;DATE(2027,1,1),B530&gt;DATE(2027,12,31)),"Datoen er ikke i 2027",""))))))</f>
        <v/>
      </c>
    </row>
    <row r="531">
      <c r="A531" s="17" t="n"/>
      <c r="B531" s="9" t="n"/>
      <c r="C531" s="8" t="n"/>
      <c r="D531" s="8" t="n"/>
      <c r="E531" s="8" t="n"/>
      <c r="F531" s="14" t="n"/>
      <c r="G531" s="14" t="n"/>
      <c r="H531" s="8" t="n"/>
      <c r="I531" s="8" t="n"/>
      <c r="J531" s="8" t="n"/>
      <c r="K531" s="18">
        <f>IF(B531="","",IFERROR(MONTH(B531),""))</f>
        <v/>
      </c>
      <c r="L531" s="5">
        <f>IF(COUNTA(A531:J531)=0,"",IF(E531="","Mangler motkonto",IF((F531="")=(G531=""),"Fyll ut enten Inn eller Ut",IF(OR(IFERROR(INDEX('Kontoplan'!$D$3:$D$302,MATCH(D531,'Kontoplan'!$H$3:$H$302,0))="Støttes ikke",FALSE),IFERROR(INDEX('Kontoplan'!$D$3:$D$302,MATCH(E531,'Kontoplan'!$H$3:$H$302,0))="Støttes ikke",FALSE)),"Kontoen støttes ikke",IF(IFERROR(AND(A531&gt;1,COUNTIF($A$3:$A$2002,A531-1)=0),FALSE),"Nummeret hopper over",IF(OR(NOT(ISNUMBER(B531)),B531&lt;DATE(2027,1,1),B531&gt;DATE(2027,12,31)),"Datoen er ikke i 2027",""))))))</f>
        <v/>
      </c>
    </row>
    <row r="532">
      <c r="A532" s="17" t="n"/>
      <c r="B532" s="9" t="n"/>
      <c r="C532" s="8" t="n"/>
      <c r="D532" s="8" t="n"/>
      <c r="E532" s="8" t="n"/>
      <c r="F532" s="14" t="n"/>
      <c r="G532" s="14" t="n"/>
      <c r="H532" s="8" t="n"/>
      <c r="I532" s="8" t="n"/>
      <c r="J532" s="8" t="n"/>
      <c r="K532" s="18">
        <f>IF(B532="","",IFERROR(MONTH(B532),""))</f>
        <v/>
      </c>
      <c r="L532" s="5">
        <f>IF(COUNTA(A532:J532)=0,"",IF(E532="","Mangler motkonto",IF((F532="")=(G532=""),"Fyll ut enten Inn eller Ut",IF(OR(IFERROR(INDEX('Kontoplan'!$D$3:$D$302,MATCH(D532,'Kontoplan'!$H$3:$H$302,0))="Støttes ikke",FALSE),IFERROR(INDEX('Kontoplan'!$D$3:$D$302,MATCH(E532,'Kontoplan'!$H$3:$H$302,0))="Støttes ikke",FALSE)),"Kontoen støttes ikke",IF(IFERROR(AND(A532&gt;1,COUNTIF($A$3:$A$2002,A532-1)=0),FALSE),"Nummeret hopper over",IF(OR(NOT(ISNUMBER(B532)),B532&lt;DATE(2027,1,1),B532&gt;DATE(2027,12,31)),"Datoen er ikke i 2027",""))))))</f>
        <v/>
      </c>
    </row>
    <row r="533">
      <c r="A533" s="17" t="n"/>
      <c r="B533" s="9" t="n"/>
      <c r="C533" s="8" t="n"/>
      <c r="D533" s="8" t="n"/>
      <c r="E533" s="8" t="n"/>
      <c r="F533" s="14" t="n"/>
      <c r="G533" s="14" t="n"/>
      <c r="H533" s="8" t="n"/>
      <c r="I533" s="8" t="n"/>
      <c r="J533" s="8" t="n"/>
      <c r="K533" s="18">
        <f>IF(B533="","",IFERROR(MONTH(B533),""))</f>
        <v/>
      </c>
      <c r="L533" s="5">
        <f>IF(COUNTA(A533:J533)=0,"",IF(E533="","Mangler motkonto",IF((F533="")=(G533=""),"Fyll ut enten Inn eller Ut",IF(OR(IFERROR(INDEX('Kontoplan'!$D$3:$D$302,MATCH(D533,'Kontoplan'!$H$3:$H$302,0))="Støttes ikke",FALSE),IFERROR(INDEX('Kontoplan'!$D$3:$D$302,MATCH(E533,'Kontoplan'!$H$3:$H$302,0))="Støttes ikke",FALSE)),"Kontoen støttes ikke",IF(IFERROR(AND(A533&gt;1,COUNTIF($A$3:$A$2002,A533-1)=0),FALSE),"Nummeret hopper over",IF(OR(NOT(ISNUMBER(B533)),B533&lt;DATE(2027,1,1),B533&gt;DATE(2027,12,31)),"Datoen er ikke i 2027",""))))))</f>
        <v/>
      </c>
    </row>
    <row r="534">
      <c r="A534" s="17" t="n"/>
      <c r="B534" s="9" t="n"/>
      <c r="C534" s="8" t="n"/>
      <c r="D534" s="8" t="n"/>
      <c r="E534" s="8" t="n"/>
      <c r="F534" s="14" t="n"/>
      <c r="G534" s="14" t="n"/>
      <c r="H534" s="8" t="n"/>
      <c r="I534" s="8" t="n"/>
      <c r="J534" s="8" t="n"/>
      <c r="K534" s="18">
        <f>IF(B534="","",IFERROR(MONTH(B534),""))</f>
        <v/>
      </c>
      <c r="L534" s="5">
        <f>IF(COUNTA(A534:J534)=0,"",IF(E534="","Mangler motkonto",IF((F534="")=(G534=""),"Fyll ut enten Inn eller Ut",IF(OR(IFERROR(INDEX('Kontoplan'!$D$3:$D$302,MATCH(D534,'Kontoplan'!$H$3:$H$302,0))="Støttes ikke",FALSE),IFERROR(INDEX('Kontoplan'!$D$3:$D$302,MATCH(E534,'Kontoplan'!$H$3:$H$302,0))="Støttes ikke",FALSE)),"Kontoen støttes ikke",IF(IFERROR(AND(A534&gt;1,COUNTIF($A$3:$A$2002,A534-1)=0),FALSE),"Nummeret hopper over",IF(OR(NOT(ISNUMBER(B534)),B534&lt;DATE(2027,1,1),B534&gt;DATE(2027,12,31)),"Datoen er ikke i 2027",""))))))</f>
        <v/>
      </c>
    </row>
    <row r="535">
      <c r="A535" s="17" t="n"/>
      <c r="B535" s="9" t="n"/>
      <c r="C535" s="8" t="n"/>
      <c r="D535" s="8" t="n"/>
      <c r="E535" s="8" t="n"/>
      <c r="F535" s="14" t="n"/>
      <c r="G535" s="14" t="n"/>
      <c r="H535" s="8" t="n"/>
      <c r="I535" s="8" t="n"/>
      <c r="J535" s="8" t="n"/>
      <c r="K535" s="18">
        <f>IF(B535="","",IFERROR(MONTH(B535),""))</f>
        <v/>
      </c>
      <c r="L535" s="5">
        <f>IF(COUNTA(A535:J535)=0,"",IF(E535="","Mangler motkonto",IF((F535="")=(G535=""),"Fyll ut enten Inn eller Ut",IF(OR(IFERROR(INDEX('Kontoplan'!$D$3:$D$302,MATCH(D535,'Kontoplan'!$H$3:$H$302,0))="Støttes ikke",FALSE),IFERROR(INDEX('Kontoplan'!$D$3:$D$302,MATCH(E535,'Kontoplan'!$H$3:$H$302,0))="Støttes ikke",FALSE)),"Kontoen støttes ikke",IF(IFERROR(AND(A535&gt;1,COUNTIF($A$3:$A$2002,A535-1)=0),FALSE),"Nummeret hopper over",IF(OR(NOT(ISNUMBER(B535)),B535&lt;DATE(2027,1,1),B535&gt;DATE(2027,12,31)),"Datoen er ikke i 2027",""))))))</f>
        <v/>
      </c>
    </row>
    <row r="536">
      <c r="A536" s="17" t="n"/>
      <c r="B536" s="9" t="n"/>
      <c r="C536" s="8" t="n"/>
      <c r="D536" s="8" t="n"/>
      <c r="E536" s="8" t="n"/>
      <c r="F536" s="14" t="n"/>
      <c r="G536" s="14" t="n"/>
      <c r="H536" s="8" t="n"/>
      <c r="I536" s="8" t="n"/>
      <c r="J536" s="8" t="n"/>
      <c r="K536" s="18">
        <f>IF(B536="","",IFERROR(MONTH(B536),""))</f>
        <v/>
      </c>
      <c r="L536" s="5">
        <f>IF(COUNTA(A536:J536)=0,"",IF(E536="","Mangler motkonto",IF((F536="")=(G536=""),"Fyll ut enten Inn eller Ut",IF(OR(IFERROR(INDEX('Kontoplan'!$D$3:$D$302,MATCH(D536,'Kontoplan'!$H$3:$H$302,0))="Støttes ikke",FALSE),IFERROR(INDEX('Kontoplan'!$D$3:$D$302,MATCH(E536,'Kontoplan'!$H$3:$H$302,0))="Støttes ikke",FALSE)),"Kontoen støttes ikke",IF(IFERROR(AND(A536&gt;1,COUNTIF($A$3:$A$2002,A536-1)=0),FALSE),"Nummeret hopper over",IF(OR(NOT(ISNUMBER(B536)),B536&lt;DATE(2027,1,1),B536&gt;DATE(2027,12,31)),"Datoen er ikke i 2027",""))))))</f>
        <v/>
      </c>
    </row>
    <row r="537">
      <c r="A537" s="17" t="n"/>
      <c r="B537" s="9" t="n"/>
      <c r="C537" s="8" t="n"/>
      <c r="D537" s="8" t="n"/>
      <c r="E537" s="8" t="n"/>
      <c r="F537" s="14" t="n"/>
      <c r="G537" s="14" t="n"/>
      <c r="H537" s="8" t="n"/>
      <c r="I537" s="8" t="n"/>
      <c r="J537" s="8" t="n"/>
      <c r="K537" s="18">
        <f>IF(B537="","",IFERROR(MONTH(B537),""))</f>
        <v/>
      </c>
      <c r="L537" s="5">
        <f>IF(COUNTA(A537:J537)=0,"",IF(E537="","Mangler motkonto",IF((F537="")=(G537=""),"Fyll ut enten Inn eller Ut",IF(OR(IFERROR(INDEX('Kontoplan'!$D$3:$D$302,MATCH(D537,'Kontoplan'!$H$3:$H$302,0))="Støttes ikke",FALSE),IFERROR(INDEX('Kontoplan'!$D$3:$D$302,MATCH(E537,'Kontoplan'!$H$3:$H$302,0))="Støttes ikke",FALSE)),"Kontoen støttes ikke",IF(IFERROR(AND(A537&gt;1,COUNTIF($A$3:$A$2002,A537-1)=0),FALSE),"Nummeret hopper over",IF(OR(NOT(ISNUMBER(B537)),B537&lt;DATE(2027,1,1),B537&gt;DATE(2027,12,31)),"Datoen er ikke i 2027",""))))))</f>
        <v/>
      </c>
    </row>
    <row r="538">
      <c r="A538" s="17" t="n"/>
      <c r="B538" s="9" t="n"/>
      <c r="C538" s="8" t="n"/>
      <c r="D538" s="8" t="n"/>
      <c r="E538" s="8" t="n"/>
      <c r="F538" s="14" t="n"/>
      <c r="G538" s="14" t="n"/>
      <c r="H538" s="8" t="n"/>
      <c r="I538" s="8" t="n"/>
      <c r="J538" s="8" t="n"/>
      <c r="K538" s="18">
        <f>IF(B538="","",IFERROR(MONTH(B538),""))</f>
        <v/>
      </c>
      <c r="L538" s="5">
        <f>IF(COUNTA(A538:J538)=0,"",IF(E538="","Mangler motkonto",IF((F538="")=(G538=""),"Fyll ut enten Inn eller Ut",IF(OR(IFERROR(INDEX('Kontoplan'!$D$3:$D$302,MATCH(D538,'Kontoplan'!$H$3:$H$302,0))="Støttes ikke",FALSE),IFERROR(INDEX('Kontoplan'!$D$3:$D$302,MATCH(E538,'Kontoplan'!$H$3:$H$302,0))="Støttes ikke",FALSE)),"Kontoen støttes ikke",IF(IFERROR(AND(A538&gt;1,COUNTIF($A$3:$A$2002,A538-1)=0),FALSE),"Nummeret hopper over",IF(OR(NOT(ISNUMBER(B538)),B538&lt;DATE(2027,1,1),B538&gt;DATE(2027,12,31)),"Datoen er ikke i 2027",""))))))</f>
        <v/>
      </c>
    </row>
    <row r="539">
      <c r="A539" s="17" t="n"/>
      <c r="B539" s="9" t="n"/>
      <c r="C539" s="8" t="n"/>
      <c r="D539" s="8" t="n"/>
      <c r="E539" s="8" t="n"/>
      <c r="F539" s="14" t="n"/>
      <c r="G539" s="14" t="n"/>
      <c r="H539" s="8" t="n"/>
      <c r="I539" s="8" t="n"/>
      <c r="J539" s="8" t="n"/>
      <c r="K539" s="18">
        <f>IF(B539="","",IFERROR(MONTH(B539),""))</f>
        <v/>
      </c>
      <c r="L539" s="5">
        <f>IF(COUNTA(A539:J539)=0,"",IF(E539="","Mangler motkonto",IF((F539="")=(G539=""),"Fyll ut enten Inn eller Ut",IF(OR(IFERROR(INDEX('Kontoplan'!$D$3:$D$302,MATCH(D539,'Kontoplan'!$H$3:$H$302,0))="Støttes ikke",FALSE),IFERROR(INDEX('Kontoplan'!$D$3:$D$302,MATCH(E539,'Kontoplan'!$H$3:$H$302,0))="Støttes ikke",FALSE)),"Kontoen støttes ikke",IF(IFERROR(AND(A539&gt;1,COUNTIF($A$3:$A$2002,A539-1)=0),FALSE),"Nummeret hopper over",IF(OR(NOT(ISNUMBER(B539)),B539&lt;DATE(2027,1,1),B539&gt;DATE(2027,12,31)),"Datoen er ikke i 2027",""))))))</f>
        <v/>
      </c>
    </row>
    <row r="540">
      <c r="A540" s="17" t="n"/>
      <c r="B540" s="9" t="n"/>
      <c r="C540" s="8" t="n"/>
      <c r="D540" s="8" t="n"/>
      <c r="E540" s="8" t="n"/>
      <c r="F540" s="14" t="n"/>
      <c r="G540" s="14" t="n"/>
      <c r="H540" s="8" t="n"/>
      <c r="I540" s="8" t="n"/>
      <c r="J540" s="8" t="n"/>
      <c r="K540" s="18">
        <f>IF(B540="","",IFERROR(MONTH(B540),""))</f>
        <v/>
      </c>
      <c r="L540" s="5">
        <f>IF(COUNTA(A540:J540)=0,"",IF(E540="","Mangler motkonto",IF((F540="")=(G540=""),"Fyll ut enten Inn eller Ut",IF(OR(IFERROR(INDEX('Kontoplan'!$D$3:$D$302,MATCH(D540,'Kontoplan'!$H$3:$H$302,0))="Støttes ikke",FALSE),IFERROR(INDEX('Kontoplan'!$D$3:$D$302,MATCH(E540,'Kontoplan'!$H$3:$H$302,0))="Støttes ikke",FALSE)),"Kontoen støttes ikke",IF(IFERROR(AND(A540&gt;1,COUNTIF($A$3:$A$2002,A540-1)=0),FALSE),"Nummeret hopper over",IF(OR(NOT(ISNUMBER(B540)),B540&lt;DATE(2027,1,1),B540&gt;DATE(2027,12,31)),"Datoen er ikke i 2027",""))))))</f>
        <v/>
      </c>
    </row>
    <row r="541">
      <c r="A541" s="17" t="n"/>
      <c r="B541" s="9" t="n"/>
      <c r="C541" s="8" t="n"/>
      <c r="D541" s="8" t="n"/>
      <c r="E541" s="8" t="n"/>
      <c r="F541" s="14" t="n"/>
      <c r="G541" s="14" t="n"/>
      <c r="H541" s="8" t="n"/>
      <c r="I541" s="8" t="n"/>
      <c r="J541" s="8" t="n"/>
      <c r="K541" s="18">
        <f>IF(B541="","",IFERROR(MONTH(B541),""))</f>
        <v/>
      </c>
      <c r="L541" s="5">
        <f>IF(COUNTA(A541:J541)=0,"",IF(E541="","Mangler motkonto",IF((F541="")=(G541=""),"Fyll ut enten Inn eller Ut",IF(OR(IFERROR(INDEX('Kontoplan'!$D$3:$D$302,MATCH(D541,'Kontoplan'!$H$3:$H$302,0))="Støttes ikke",FALSE),IFERROR(INDEX('Kontoplan'!$D$3:$D$302,MATCH(E541,'Kontoplan'!$H$3:$H$302,0))="Støttes ikke",FALSE)),"Kontoen støttes ikke",IF(IFERROR(AND(A541&gt;1,COUNTIF($A$3:$A$2002,A541-1)=0),FALSE),"Nummeret hopper over",IF(OR(NOT(ISNUMBER(B541)),B541&lt;DATE(2027,1,1),B541&gt;DATE(2027,12,31)),"Datoen er ikke i 2027",""))))))</f>
        <v/>
      </c>
    </row>
    <row r="542">
      <c r="A542" s="17" t="n"/>
      <c r="B542" s="9" t="n"/>
      <c r="C542" s="8" t="n"/>
      <c r="D542" s="8" t="n"/>
      <c r="E542" s="8" t="n"/>
      <c r="F542" s="14" t="n"/>
      <c r="G542" s="14" t="n"/>
      <c r="H542" s="8" t="n"/>
      <c r="I542" s="8" t="n"/>
      <c r="J542" s="8" t="n"/>
      <c r="K542" s="18">
        <f>IF(B542="","",IFERROR(MONTH(B542),""))</f>
        <v/>
      </c>
      <c r="L542" s="5">
        <f>IF(COUNTA(A542:J542)=0,"",IF(E542="","Mangler motkonto",IF((F542="")=(G542=""),"Fyll ut enten Inn eller Ut",IF(OR(IFERROR(INDEX('Kontoplan'!$D$3:$D$302,MATCH(D542,'Kontoplan'!$H$3:$H$302,0))="Støttes ikke",FALSE),IFERROR(INDEX('Kontoplan'!$D$3:$D$302,MATCH(E542,'Kontoplan'!$H$3:$H$302,0))="Støttes ikke",FALSE)),"Kontoen støttes ikke",IF(IFERROR(AND(A542&gt;1,COUNTIF($A$3:$A$2002,A542-1)=0),FALSE),"Nummeret hopper over",IF(OR(NOT(ISNUMBER(B542)),B542&lt;DATE(2027,1,1),B542&gt;DATE(2027,12,31)),"Datoen er ikke i 2027",""))))))</f>
        <v/>
      </c>
    </row>
    <row r="543">
      <c r="A543" s="17" t="n"/>
      <c r="B543" s="9" t="n"/>
      <c r="C543" s="8" t="n"/>
      <c r="D543" s="8" t="n"/>
      <c r="E543" s="8" t="n"/>
      <c r="F543" s="14" t="n"/>
      <c r="G543" s="14" t="n"/>
      <c r="H543" s="8" t="n"/>
      <c r="I543" s="8" t="n"/>
      <c r="J543" s="8" t="n"/>
      <c r="K543" s="18">
        <f>IF(B543="","",IFERROR(MONTH(B543),""))</f>
        <v/>
      </c>
      <c r="L543" s="5">
        <f>IF(COUNTA(A543:J543)=0,"",IF(E543="","Mangler motkonto",IF((F543="")=(G543=""),"Fyll ut enten Inn eller Ut",IF(OR(IFERROR(INDEX('Kontoplan'!$D$3:$D$302,MATCH(D543,'Kontoplan'!$H$3:$H$302,0))="Støttes ikke",FALSE),IFERROR(INDEX('Kontoplan'!$D$3:$D$302,MATCH(E543,'Kontoplan'!$H$3:$H$302,0))="Støttes ikke",FALSE)),"Kontoen støttes ikke",IF(IFERROR(AND(A543&gt;1,COUNTIF($A$3:$A$2002,A543-1)=0),FALSE),"Nummeret hopper over",IF(OR(NOT(ISNUMBER(B543)),B543&lt;DATE(2027,1,1),B543&gt;DATE(2027,12,31)),"Datoen er ikke i 2027",""))))))</f>
        <v/>
      </c>
    </row>
    <row r="544">
      <c r="A544" s="17" t="n"/>
      <c r="B544" s="9" t="n"/>
      <c r="C544" s="8" t="n"/>
      <c r="D544" s="8" t="n"/>
      <c r="E544" s="8" t="n"/>
      <c r="F544" s="14" t="n"/>
      <c r="G544" s="14" t="n"/>
      <c r="H544" s="8" t="n"/>
      <c r="I544" s="8" t="n"/>
      <c r="J544" s="8" t="n"/>
      <c r="K544" s="18">
        <f>IF(B544="","",IFERROR(MONTH(B544),""))</f>
        <v/>
      </c>
      <c r="L544" s="5">
        <f>IF(COUNTA(A544:J544)=0,"",IF(E544="","Mangler motkonto",IF((F544="")=(G544=""),"Fyll ut enten Inn eller Ut",IF(OR(IFERROR(INDEX('Kontoplan'!$D$3:$D$302,MATCH(D544,'Kontoplan'!$H$3:$H$302,0))="Støttes ikke",FALSE),IFERROR(INDEX('Kontoplan'!$D$3:$D$302,MATCH(E544,'Kontoplan'!$H$3:$H$302,0))="Støttes ikke",FALSE)),"Kontoen støttes ikke",IF(IFERROR(AND(A544&gt;1,COUNTIF($A$3:$A$2002,A544-1)=0),FALSE),"Nummeret hopper over",IF(OR(NOT(ISNUMBER(B544)),B544&lt;DATE(2027,1,1),B544&gt;DATE(2027,12,31)),"Datoen er ikke i 2027",""))))))</f>
        <v/>
      </c>
    </row>
    <row r="545">
      <c r="A545" s="17" t="n"/>
      <c r="B545" s="9" t="n"/>
      <c r="C545" s="8" t="n"/>
      <c r="D545" s="8" t="n"/>
      <c r="E545" s="8" t="n"/>
      <c r="F545" s="14" t="n"/>
      <c r="G545" s="14" t="n"/>
      <c r="H545" s="8" t="n"/>
      <c r="I545" s="8" t="n"/>
      <c r="J545" s="8" t="n"/>
      <c r="K545" s="18">
        <f>IF(B545="","",IFERROR(MONTH(B545),""))</f>
        <v/>
      </c>
      <c r="L545" s="5">
        <f>IF(COUNTA(A545:J545)=0,"",IF(E545="","Mangler motkonto",IF((F545="")=(G545=""),"Fyll ut enten Inn eller Ut",IF(OR(IFERROR(INDEX('Kontoplan'!$D$3:$D$302,MATCH(D545,'Kontoplan'!$H$3:$H$302,0))="Støttes ikke",FALSE),IFERROR(INDEX('Kontoplan'!$D$3:$D$302,MATCH(E545,'Kontoplan'!$H$3:$H$302,0))="Støttes ikke",FALSE)),"Kontoen støttes ikke",IF(IFERROR(AND(A545&gt;1,COUNTIF($A$3:$A$2002,A545-1)=0),FALSE),"Nummeret hopper over",IF(OR(NOT(ISNUMBER(B545)),B545&lt;DATE(2027,1,1),B545&gt;DATE(2027,12,31)),"Datoen er ikke i 2027",""))))))</f>
        <v/>
      </c>
    </row>
    <row r="546">
      <c r="A546" s="17" t="n"/>
      <c r="B546" s="9" t="n"/>
      <c r="C546" s="8" t="n"/>
      <c r="D546" s="8" t="n"/>
      <c r="E546" s="8" t="n"/>
      <c r="F546" s="14" t="n"/>
      <c r="G546" s="14" t="n"/>
      <c r="H546" s="8" t="n"/>
      <c r="I546" s="8" t="n"/>
      <c r="J546" s="8" t="n"/>
      <c r="K546" s="18">
        <f>IF(B546="","",IFERROR(MONTH(B546),""))</f>
        <v/>
      </c>
      <c r="L546" s="5">
        <f>IF(COUNTA(A546:J546)=0,"",IF(E546="","Mangler motkonto",IF((F546="")=(G546=""),"Fyll ut enten Inn eller Ut",IF(OR(IFERROR(INDEX('Kontoplan'!$D$3:$D$302,MATCH(D546,'Kontoplan'!$H$3:$H$302,0))="Støttes ikke",FALSE),IFERROR(INDEX('Kontoplan'!$D$3:$D$302,MATCH(E546,'Kontoplan'!$H$3:$H$302,0))="Støttes ikke",FALSE)),"Kontoen støttes ikke",IF(IFERROR(AND(A546&gt;1,COUNTIF($A$3:$A$2002,A546-1)=0),FALSE),"Nummeret hopper over",IF(OR(NOT(ISNUMBER(B546)),B546&lt;DATE(2027,1,1),B546&gt;DATE(2027,12,31)),"Datoen er ikke i 2027",""))))))</f>
        <v/>
      </c>
    </row>
    <row r="547">
      <c r="A547" s="17" t="n"/>
      <c r="B547" s="9" t="n"/>
      <c r="C547" s="8" t="n"/>
      <c r="D547" s="8" t="n"/>
      <c r="E547" s="8" t="n"/>
      <c r="F547" s="14" t="n"/>
      <c r="G547" s="14" t="n"/>
      <c r="H547" s="8" t="n"/>
      <c r="I547" s="8" t="n"/>
      <c r="J547" s="8" t="n"/>
      <c r="K547" s="18">
        <f>IF(B547="","",IFERROR(MONTH(B547),""))</f>
        <v/>
      </c>
      <c r="L547" s="5">
        <f>IF(COUNTA(A547:J547)=0,"",IF(E547="","Mangler motkonto",IF((F547="")=(G547=""),"Fyll ut enten Inn eller Ut",IF(OR(IFERROR(INDEX('Kontoplan'!$D$3:$D$302,MATCH(D547,'Kontoplan'!$H$3:$H$302,0))="Støttes ikke",FALSE),IFERROR(INDEX('Kontoplan'!$D$3:$D$302,MATCH(E547,'Kontoplan'!$H$3:$H$302,0))="Støttes ikke",FALSE)),"Kontoen støttes ikke",IF(IFERROR(AND(A547&gt;1,COUNTIF($A$3:$A$2002,A547-1)=0),FALSE),"Nummeret hopper over",IF(OR(NOT(ISNUMBER(B547)),B547&lt;DATE(2027,1,1),B547&gt;DATE(2027,12,31)),"Datoen er ikke i 2027",""))))))</f>
        <v/>
      </c>
    </row>
    <row r="548">
      <c r="A548" s="17" t="n"/>
      <c r="B548" s="9" t="n"/>
      <c r="C548" s="8" t="n"/>
      <c r="D548" s="8" t="n"/>
      <c r="E548" s="8" t="n"/>
      <c r="F548" s="14" t="n"/>
      <c r="G548" s="14" t="n"/>
      <c r="H548" s="8" t="n"/>
      <c r="I548" s="8" t="n"/>
      <c r="J548" s="8" t="n"/>
      <c r="K548" s="18">
        <f>IF(B548="","",IFERROR(MONTH(B548),""))</f>
        <v/>
      </c>
      <c r="L548" s="5">
        <f>IF(COUNTA(A548:J548)=0,"",IF(E548="","Mangler motkonto",IF((F548="")=(G548=""),"Fyll ut enten Inn eller Ut",IF(OR(IFERROR(INDEX('Kontoplan'!$D$3:$D$302,MATCH(D548,'Kontoplan'!$H$3:$H$302,0))="Støttes ikke",FALSE),IFERROR(INDEX('Kontoplan'!$D$3:$D$302,MATCH(E548,'Kontoplan'!$H$3:$H$302,0))="Støttes ikke",FALSE)),"Kontoen støttes ikke",IF(IFERROR(AND(A548&gt;1,COUNTIF($A$3:$A$2002,A548-1)=0),FALSE),"Nummeret hopper over",IF(OR(NOT(ISNUMBER(B548)),B548&lt;DATE(2027,1,1),B548&gt;DATE(2027,12,31)),"Datoen er ikke i 2027",""))))))</f>
        <v/>
      </c>
    </row>
    <row r="549">
      <c r="A549" s="17" t="n"/>
      <c r="B549" s="9" t="n"/>
      <c r="C549" s="8" t="n"/>
      <c r="D549" s="8" t="n"/>
      <c r="E549" s="8" t="n"/>
      <c r="F549" s="14" t="n"/>
      <c r="G549" s="14" t="n"/>
      <c r="H549" s="8" t="n"/>
      <c r="I549" s="8" t="n"/>
      <c r="J549" s="8" t="n"/>
      <c r="K549" s="18">
        <f>IF(B549="","",IFERROR(MONTH(B549),""))</f>
        <v/>
      </c>
      <c r="L549" s="5">
        <f>IF(COUNTA(A549:J549)=0,"",IF(E549="","Mangler motkonto",IF((F549="")=(G549=""),"Fyll ut enten Inn eller Ut",IF(OR(IFERROR(INDEX('Kontoplan'!$D$3:$D$302,MATCH(D549,'Kontoplan'!$H$3:$H$302,0))="Støttes ikke",FALSE),IFERROR(INDEX('Kontoplan'!$D$3:$D$302,MATCH(E549,'Kontoplan'!$H$3:$H$302,0))="Støttes ikke",FALSE)),"Kontoen støttes ikke",IF(IFERROR(AND(A549&gt;1,COUNTIF($A$3:$A$2002,A549-1)=0),FALSE),"Nummeret hopper over",IF(OR(NOT(ISNUMBER(B549)),B549&lt;DATE(2027,1,1),B549&gt;DATE(2027,12,31)),"Datoen er ikke i 2027",""))))))</f>
        <v/>
      </c>
    </row>
    <row r="550">
      <c r="A550" s="17" t="n"/>
      <c r="B550" s="9" t="n"/>
      <c r="C550" s="8" t="n"/>
      <c r="D550" s="8" t="n"/>
      <c r="E550" s="8" t="n"/>
      <c r="F550" s="14" t="n"/>
      <c r="G550" s="14" t="n"/>
      <c r="H550" s="8" t="n"/>
      <c r="I550" s="8" t="n"/>
      <c r="J550" s="8" t="n"/>
      <c r="K550" s="18">
        <f>IF(B550="","",IFERROR(MONTH(B550),""))</f>
        <v/>
      </c>
      <c r="L550" s="5">
        <f>IF(COUNTA(A550:J550)=0,"",IF(E550="","Mangler motkonto",IF((F550="")=(G550=""),"Fyll ut enten Inn eller Ut",IF(OR(IFERROR(INDEX('Kontoplan'!$D$3:$D$302,MATCH(D550,'Kontoplan'!$H$3:$H$302,0))="Støttes ikke",FALSE),IFERROR(INDEX('Kontoplan'!$D$3:$D$302,MATCH(E550,'Kontoplan'!$H$3:$H$302,0))="Støttes ikke",FALSE)),"Kontoen støttes ikke",IF(IFERROR(AND(A550&gt;1,COUNTIF($A$3:$A$2002,A550-1)=0),FALSE),"Nummeret hopper over",IF(OR(NOT(ISNUMBER(B550)),B550&lt;DATE(2027,1,1),B550&gt;DATE(2027,12,31)),"Datoen er ikke i 2027",""))))))</f>
        <v/>
      </c>
    </row>
    <row r="551">
      <c r="A551" s="17" t="n"/>
      <c r="B551" s="9" t="n"/>
      <c r="C551" s="8" t="n"/>
      <c r="D551" s="8" t="n"/>
      <c r="E551" s="8" t="n"/>
      <c r="F551" s="14" t="n"/>
      <c r="G551" s="14" t="n"/>
      <c r="H551" s="8" t="n"/>
      <c r="I551" s="8" t="n"/>
      <c r="J551" s="8" t="n"/>
      <c r="K551" s="18">
        <f>IF(B551="","",IFERROR(MONTH(B551),""))</f>
        <v/>
      </c>
      <c r="L551" s="5">
        <f>IF(COUNTA(A551:J551)=0,"",IF(E551="","Mangler motkonto",IF((F551="")=(G551=""),"Fyll ut enten Inn eller Ut",IF(OR(IFERROR(INDEX('Kontoplan'!$D$3:$D$302,MATCH(D551,'Kontoplan'!$H$3:$H$302,0))="Støttes ikke",FALSE),IFERROR(INDEX('Kontoplan'!$D$3:$D$302,MATCH(E551,'Kontoplan'!$H$3:$H$302,0))="Støttes ikke",FALSE)),"Kontoen støttes ikke",IF(IFERROR(AND(A551&gt;1,COUNTIF($A$3:$A$2002,A551-1)=0),FALSE),"Nummeret hopper over",IF(OR(NOT(ISNUMBER(B551)),B551&lt;DATE(2027,1,1),B551&gt;DATE(2027,12,31)),"Datoen er ikke i 2027",""))))))</f>
        <v/>
      </c>
    </row>
    <row r="552">
      <c r="A552" s="17" t="n"/>
      <c r="B552" s="9" t="n"/>
      <c r="C552" s="8" t="n"/>
      <c r="D552" s="8" t="n"/>
      <c r="E552" s="8" t="n"/>
      <c r="F552" s="14" t="n"/>
      <c r="G552" s="14" t="n"/>
      <c r="H552" s="8" t="n"/>
      <c r="I552" s="8" t="n"/>
      <c r="J552" s="8" t="n"/>
      <c r="K552" s="18">
        <f>IF(B552="","",IFERROR(MONTH(B552),""))</f>
        <v/>
      </c>
      <c r="L552" s="5">
        <f>IF(COUNTA(A552:J552)=0,"",IF(E552="","Mangler motkonto",IF((F552="")=(G552=""),"Fyll ut enten Inn eller Ut",IF(OR(IFERROR(INDEX('Kontoplan'!$D$3:$D$302,MATCH(D552,'Kontoplan'!$H$3:$H$302,0))="Støttes ikke",FALSE),IFERROR(INDEX('Kontoplan'!$D$3:$D$302,MATCH(E552,'Kontoplan'!$H$3:$H$302,0))="Støttes ikke",FALSE)),"Kontoen støttes ikke",IF(IFERROR(AND(A552&gt;1,COUNTIF($A$3:$A$2002,A552-1)=0),FALSE),"Nummeret hopper over",IF(OR(NOT(ISNUMBER(B552)),B552&lt;DATE(2027,1,1),B552&gt;DATE(2027,12,31)),"Datoen er ikke i 2027",""))))))</f>
        <v/>
      </c>
    </row>
    <row r="553">
      <c r="A553" s="17" t="n"/>
      <c r="B553" s="9" t="n"/>
      <c r="C553" s="8" t="n"/>
      <c r="D553" s="8" t="n"/>
      <c r="E553" s="8" t="n"/>
      <c r="F553" s="14" t="n"/>
      <c r="G553" s="14" t="n"/>
      <c r="H553" s="8" t="n"/>
      <c r="I553" s="8" t="n"/>
      <c r="J553" s="8" t="n"/>
      <c r="K553" s="18">
        <f>IF(B553="","",IFERROR(MONTH(B553),""))</f>
        <v/>
      </c>
      <c r="L553" s="5">
        <f>IF(COUNTA(A553:J553)=0,"",IF(E553="","Mangler motkonto",IF((F553="")=(G553=""),"Fyll ut enten Inn eller Ut",IF(OR(IFERROR(INDEX('Kontoplan'!$D$3:$D$302,MATCH(D553,'Kontoplan'!$H$3:$H$302,0))="Støttes ikke",FALSE),IFERROR(INDEX('Kontoplan'!$D$3:$D$302,MATCH(E553,'Kontoplan'!$H$3:$H$302,0))="Støttes ikke",FALSE)),"Kontoen støttes ikke",IF(IFERROR(AND(A553&gt;1,COUNTIF($A$3:$A$2002,A553-1)=0),FALSE),"Nummeret hopper over",IF(OR(NOT(ISNUMBER(B553)),B553&lt;DATE(2027,1,1),B553&gt;DATE(2027,12,31)),"Datoen er ikke i 2027",""))))))</f>
        <v/>
      </c>
    </row>
    <row r="554">
      <c r="A554" s="17" t="n"/>
      <c r="B554" s="9" t="n"/>
      <c r="C554" s="8" t="n"/>
      <c r="D554" s="8" t="n"/>
      <c r="E554" s="8" t="n"/>
      <c r="F554" s="14" t="n"/>
      <c r="G554" s="14" t="n"/>
      <c r="H554" s="8" t="n"/>
      <c r="I554" s="8" t="n"/>
      <c r="J554" s="8" t="n"/>
      <c r="K554" s="18">
        <f>IF(B554="","",IFERROR(MONTH(B554),""))</f>
        <v/>
      </c>
      <c r="L554" s="5">
        <f>IF(COUNTA(A554:J554)=0,"",IF(E554="","Mangler motkonto",IF((F554="")=(G554=""),"Fyll ut enten Inn eller Ut",IF(OR(IFERROR(INDEX('Kontoplan'!$D$3:$D$302,MATCH(D554,'Kontoplan'!$H$3:$H$302,0))="Støttes ikke",FALSE),IFERROR(INDEX('Kontoplan'!$D$3:$D$302,MATCH(E554,'Kontoplan'!$H$3:$H$302,0))="Støttes ikke",FALSE)),"Kontoen støttes ikke",IF(IFERROR(AND(A554&gt;1,COUNTIF($A$3:$A$2002,A554-1)=0),FALSE),"Nummeret hopper over",IF(OR(NOT(ISNUMBER(B554)),B554&lt;DATE(2027,1,1),B554&gt;DATE(2027,12,31)),"Datoen er ikke i 2027",""))))))</f>
        <v/>
      </c>
    </row>
    <row r="555">
      <c r="A555" s="17" t="n"/>
      <c r="B555" s="9" t="n"/>
      <c r="C555" s="8" t="n"/>
      <c r="D555" s="8" t="n"/>
      <c r="E555" s="8" t="n"/>
      <c r="F555" s="14" t="n"/>
      <c r="G555" s="14" t="n"/>
      <c r="H555" s="8" t="n"/>
      <c r="I555" s="8" t="n"/>
      <c r="J555" s="8" t="n"/>
      <c r="K555" s="18">
        <f>IF(B555="","",IFERROR(MONTH(B555),""))</f>
        <v/>
      </c>
      <c r="L555" s="5">
        <f>IF(COUNTA(A555:J555)=0,"",IF(E555="","Mangler motkonto",IF((F555="")=(G555=""),"Fyll ut enten Inn eller Ut",IF(OR(IFERROR(INDEX('Kontoplan'!$D$3:$D$302,MATCH(D555,'Kontoplan'!$H$3:$H$302,0))="Støttes ikke",FALSE),IFERROR(INDEX('Kontoplan'!$D$3:$D$302,MATCH(E555,'Kontoplan'!$H$3:$H$302,0))="Støttes ikke",FALSE)),"Kontoen støttes ikke",IF(IFERROR(AND(A555&gt;1,COUNTIF($A$3:$A$2002,A555-1)=0),FALSE),"Nummeret hopper over",IF(OR(NOT(ISNUMBER(B555)),B555&lt;DATE(2027,1,1),B555&gt;DATE(2027,12,31)),"Datoen er ikke i 2027",""))))))</f>
        <v/>
      </c>
    </row>
    <row r="556">
      <c r="A556" s="17" t="n"/>
      <c r="B556" s="9" t="n"/>
      <c r="C556" s="8" t="n"/>
      <c r="D556" s="8" t="n"/>
      <c r="E556" s="8" t="n"/>
      <c r="F556" s="14" t="n"/>
      <c r="G556" s="14" t="n"/>
      <c r="H556" s="8" t="n"/>
      <c r="I556" s="8" t="n"/>
      <c r="J556" s="8" t="n"/>
      <c r="K556" s="18">
        <f>IF(B556="","",IFERROR(MONTH(B556),""))</f>
        <v/>
      </c>
      <c r="L556" s="5">
        <f>IF(COUNTA(A556:J556)=0,"",IF(E556="","Mangler motkonto",IF((F556="")=(G556=""),"Fyll ut enten Inn eller Ut",IF(OR(IFERROR(INDEX('Kontoplan'!$D$3:$D$302,MATCH(D556,'Kontoplan'!$H$3:$H$302,0))="Støttes ikke",FALSE),IFERROR(INDEX('Kontoplan'!$D$3:$D$302,MATCH(E556,'Kontoplan'!$H$3:$H$302,0))="Støttes ikke",FALSE)),"Kontoen støttes ikke",IF(IFERROR(AND(A556&gt;1,COUNTIF($A$3:$A$2002,A556-1)=0),FALSE),"Nummeret hopper over",IF(OR(NOT(ISNUMBER(B556)),B556&lt;DATE(2027,1,1),B556&gt;DATE(2027,12,31)),"Datoen er ikke i 2027",""))))))</f>
        <v/>
      </c>
    </row>
    <row r="557">
      <c r="A557" s="17" t="n"/>
      <c r="B557" s="9" t="n"/>
      <c r="C557" s="8" t="n"/>
      <c r="D557" s="8" t="n"/>
      <c r="E557" s="8" t="n"/>
      <c r="F557" s="14" t="n"/>
      <c r="G557" s="14" t="n"/>
      <c r="H557" s="8" t="n"/>
      <c r="I557" s="8" t="n"/>
      <c r="J557" s="8" t="n"/>
      <c r="K557" s="18">
        <f>IF(B557="","",IFERROR(MONTH(B557),""))</f>
        <v/>
      </c>
      <c r="L557" s="5">
        <f>IF(COUNTA(A557:J557)=0,"",IF(E557="","Mangler motkonto",IF((F557="")=(G557=""),"Fyll ut enten Inn eller Ut",IF(OR(IFERROR(INDEX('Kontoplan'!$D$3:$D$302,MATCH(D557,'Kontoplan'!$H$3:$H$302,0))="Støttes ikke",FALSE),IFERROR(INDEX('Kontoplan'!$D$3:$D$302,MATCH(E557,'Kontoplan'!$H$3:$H$302,0))="Støttes ikke",FALSE)),"Kontoen støttes ikke",IF(IFERROR(AND(A557&gt;1,COUNTIF($A$3:$A$2002,A557-1)=0),FALSE),"Nummeret hopper over",IF(OR(NOT(ISNUMBER(B557)),B557&lt;DATE(2027,1,1),B557&gt;DATE(2027,12,31)),"Datoen er ikke i 2027",""))))))</f>
        <v/>
      </c>
    </row>
    <row r="558">
      <c r="A558" s="17" t="n"/>
      <c r="B558" s="9" t="n"/>
      <c r="C558" s="8" t="n"/>
      <c r="D558" s="8" t="n"/>
      <c r="E558" s="8" t="n"/>
      <c r="F558" s="14" t="n"/>
      <c r="G558" s="14" t="n"/>
      <c r="H558" s="8" t="n"/>
      <c r="I558" s="8" t="n"/>
      <c r="J558" s="8" t="n"/>
      <c r="K558" s="18">
        <f>IF(B558="","",IFERROR(MONTH(B558),""))</f>
        <v/>
      </c>
      <c r="L558" s="5">
        <f>IF(COUNTA(A558:J558)=0,"",IF(E558="","Mangler motkonto",IF((F558="")=(G558=""),"Fyll ut enten Inn eller Ut",IF(OR(IFERROR(INDEX('Kontoplan'!$D$3:$D$302,MATCH(D558,'Kontoplan'!$H$3:$H$302,0))="Støttes ikke",FALSE),IFERROR(INDEX('Kontoplan'!$D$3:$D$302,MATCH(E558,'Kontoplan'!$H$3:$H$302,0))="Støttes ikke",FALSE)),"Kontoen støttes ikke",IF(IFERROR(AND(A558&gt;1,COUNTIF($A$3:$A$2002,A558-1)=0),FALSE),"Nummeret hopper over",IF(OR(NOT(ISNUMBER(B558)),B558&lt;DATE(2027,1,1),B558&gt;DATE(2027,12,31)),"Datoen er ikke i 2027",""))))))</f>
        <v/>
      </c>
    </row>
    <row r="559">
      <c r="A559" s="17" t="n"/>
      <c r="B559" s="9" t="n"/>
      <c r="C559" s="8" t="n"/>
      <c r="D559" s="8" t="n"/>
      <c r="E559" s="8" t="n"/>
      <c r="F559" s="14" t="n"/>
      <c r="G559" s="14" t="n"/>
      <c r="H559" s="8" t="n"/>
      <c r="I559" s="8" t="n"/>
      <c r="J559" s="8" t="n"/>
      <c r="K559" s="18">
        <f>IF(B559="","",IFERROR(MONTH(B559),""))</f>
        <v/>
      </c>
      <c r="L559" s="5">
        <f>IF(COUNTA(A559:J559)=0,"",IF(E559="","Mangler motkonto",IF((F559="")=(G559=""),"Fyll ut enten Inn eller Ut",IF(OR(IFERROR(INDEX('Kontoplan'!$D$3:$D$302,MATCH(D559,'Kontoplan'!$H$3:$H$302,0))="Støttes ikke",FALSE),IFERROR(INDEX('Kontoplan'!$D$3:$D$302,MATCH(E559,'Kontoplan'!$H$3:$H$302,0))="Støttes ikke",FALSE)),"Kontoen støttes ikke",IF(IFERROR(AND(A559&gt;1,COUNTIF($A$3:$A$2002,A559-1)=0),FALSE),"Nummeret hopper over",IF(OR(NOT(ISNUMBER(B559)),B559&lt;DATE(2027,1,1),B559&gt;DATE(2027,12,31)),"Datoen er ikke i 2027",""))))))</f>
        <v/>
      </c>
    </row>
    <row r="560">
      <c r="A560" s="17" t="n"/>
      <c r="B560" s="9" t="n"/>
      <c r="C560" s="8" t="n"/>
      <c r="D560" s="8" t="n"/>
      <c r="E560" s="8" t="n"/>
      <c r="F560" s="14" t="n"/>
      <c r="G560" s="14" t="n"/>
      <c r="H560" s="8" t="n"/>
      <c r="I560" s="8" t="n"/>
      <c r="J560" s="8" t="n"/>
      <c r="K560" s="18">
        <f>IF(B560="","",IFERROR(MONTH(B560),""))</f>
        <v/>
      </c>
      <c r="L560" s="5">
        <f>IF(COUNTA(A560:J560)=0,"",IF(E560="","Mangler motkonto",IF((F560="")=(G560=""),"Fyll ut enten Inn eller Ut",IF(OR(IFERROR(INDEX('Kontoplan'!$D$3:$D$302,MATCH(D560,'Kontoplan'!$H$3:$H$302,0))="Støttes ikke",FALSE),IFERROR(INDEX('Kontoplan'!$D$3:$D$302,MATCH(E560,'Kontoplan'!$H$3:$H$302,0))="Støttes ikke",FALSE)),"Kontoen støttes ikke",IF(IFERROR(AND(A560&gt;1,COUNTIF($A$3:$A$2002,A560-1)=0),FALSE),"Nummeret hopper over",IF(OR(NOT(ISNUMBER(B560)),B560&lt;DATE(2027,1,1),B560&gt;DATE(2027,12,31)),"Datoen er ikke i 2027",""))))))</f>
        <v/>
      </c>
    </row>
    <row r="561">
      <c r="A561" s="17" t="n"/>
      <c r="B561" s="9" t="n"/>
      <c r="C561" s="8" t="n"/>
      <c r="D561" s="8" t="n"/>
      <c r="E561" s="8" t="n"/>
      <c r="F561" s="14" t="n"/>
      <c r="G561" s="14" t="n"/>
      <c r="H561" s="8" t="n"/>
      <c r="I561" s="8" t="n"/>
      <c r="J561" s="8" t="n"/>
      <c r="K561" s="18">
        <f>IF(B561="","",IFERROR(MONTH(B561),""))</f>
        <v/>
      </c>
      <c r="L561" s="5">
        <f>IF(COUNTA(A561:J561)=0,"",IF(E561="","Mangler motkonto",IF((F561="")=(G561=""),"Fyll ut enten Inn eller Ut",IF(OR(IFERROR(INDEX('Kontoplan'!$D$3:$D$302,MATCH(D561,'Kontoplan'!$H$3:$H$302,0))="Støttes ikke",FALSE),IFERROR(INDEX('Kontoplan'!$D$3:$D$302,MATCH(E561,'Kontoplan'!$H$3:$H$302,0))="Støttes ikke",FALSE)),"Kontoen støttes ikke",IF(IFERROR(AND(A561&gt;1,COUNTIF($A$3:$A$2002,A561-1)=0),FALSE),"Nummeret hopper over",IF(OR(NOT(ISNUMBER(B561)),B561&lt;DATE(2027,1,1),B561&gt;DATE(2027,12,31)),"Datoen er ikke i 2027",""))))))</f>
        <v/>
      </c>
    </row>
    <row r="562">
      <c r="A562" s="17" t="n"/>
      <c r="B562" s="9" t="n"/>
      <c r="C562" s="8" t="n"/>
      <c r="D562" s="8" t="n"/>
      <c r="E562" s="8" t="n"/>
      <c r="F562" s="14" t="n"/>
      <c r="G562" s="14" t="n"/>
      <c r="H562" s="8" t="n"/>
      <c r="I562" s="8" t="n"/>
      <c r="J562" s="8" t="n"/>
      <c r="K562" s="18">
        <f>IF(B562="","",IFERROR(MONTH(B562),""))</f>
        <v/>
      </c>
      <c r="L562" s="5">
        <f>IF(COUNTA(A562:J562)=0,"",IF(E562="","Mangler motkonto",IF((F562="")=(G562=""),"Fyll ut enten Inn eller Ut",IF(OR(IFERROR(INDEX('Kontoplan'!$D$3:$D$302,MATCH(D562,'Kontoplan'!$H$3:$H$302,0))="Støttes ikke",FALSE),IFERROR(INDEX('Kontoplan'!$D$3:$D$302,MATCH(E562,'Kontoplan'!$H$3:$H$302,0))="Støttes ikke",FALSE)),"Kontoen støttes ikke",IF(IFERROR(AND(A562&gt;1,COUNTIF($A$3:$A$2002,A562-1)=0),FALSE),"Nummeret hopper over",IF(OR(NOT(ISNUMBER(B562)),B562&lt;DATE(2027,1,1),B562&gt;DATE(2027,12,31)),"Datoen er ikke i 2027",""))))))</f>
        <v/>
      </c>
    </row>
    <row r="563">
      <c r="A563" s="17" t="n"/>
      <c r="B563" s="9" t="n"/>
      <c r="C563" s="8" t="n"/>
      <c r="D563" s="8" t="n"/>
      <c r="E563" s="8" t="n"/>
      <c r="F563" s="14" t="n"/>
      <c r="G563" s="14" t="n"/>
      <c r="H563" s="8" t="n"/>
      <c r="I563" s="8" t="n"/>
      <c r="J563" s="8" t="n"/>
      <c r="K563" s="18">
        <f>IF(B563="","",IFERROR(MONTH(B563),""))</f>
        <v/>
      </c>
      <c r="L563" s="5">
        <f>IF(COUNTA(A563:J563)=0,"",IF(E563="","Mangler motkonto",IF((F563="")=(G563=""),"Fyll ut enten Inn eller Ut",IF(OR(IFERROR(INDEX('Kontoplan'!$D$3:$D$302,MATCH(D563,'Kontoplan'!$H$3:$H$302,0))="Støttes ikke",FALSE),IFERROR(INDEX('Kontoplan'!$D$3:$D$302,MATCH(E563,'Kontoplan'!$H$3:$H$302,0))="Støttes ikke",FALSE)),"Kontoen støttes ikke",IF(IFERROR(AND(A563&gt;1,COUNTIF($A$3:$A$2002,A563-1)=0),FALSE),"Nummeret hopper over",IF(OR(NOT(ISNUMBER(B563)),B563&lt;DATE(2027,1,1),B563&gt;DATE(2027,12,31)),"Datoen er ikke i 2027",""))))))</f>
        <v/>
      </c>
    </row>
    <row r="564">
      <c r="A564" s="17" t="n"/>
      <c r="B564" s="9" t="n"/>
      <c r="C564" s="8" t="n"/>
      <c r="D564" s="8" t="n"/>
      <c r="E564" s="8" t="n"/>
      <c r="F564" s="14" t="n"/>
      <c r="G564" s="14" t="n"/>
      <c r="H564" s="8" t="n"/>
      <c r="I564" s="8" t="n"/>
      <c r="J564" s="8" t="n"/>
      <c r="K564" s="18">
        <f>IF(B564="","",IFERROR(MONTH(B564),""))</f>
        <v/>
      </c>
      <c r="L564" s="5">
        <f>IF(COUNTA(A564:J564)=0,"",IF(E564="","Mangler motkonto",IF((F564="")=(G564=""),"Fyll ut enten Inn eller Ut",IF(OR(IFERROR(INDEX('Kontoplan'!$D$3:$D$302,MATCH(D564,'Kontoplan'!$H$3:$H$302,0))="Støttes ikke",FALSE),IFERROR(INDEX('Kontoplan'!$D$3:$D$302,MATCH(E564,'Kontoplan'!$H$3:$H$302,0))="Støttes ikke",FALSE)),"Kontoen støttes ikke",IF(IFERROR(AND(A564&gt;1,COUNTIF($A$3:$A$2002,A564-1)=0),FALSE),"Nummeret hopper over",IF(OR(NOT(ISNUMBER(B564)),B564&lt;DATE(2027,1,1),B564&gt;DATE(2027,12,31)),"Datoen er ikke i 2027",""))))))</f>
        <v/>
      </c>
    </row>
    <row r="565">
      <c r="A565" s="17" t="n"/>
      <c r="B565" s="9" t="n"/>
      <c r="C565" s="8" t="n"/>
      <c r="D565" s="8" t="n"/>
      <c r="E565" s="8" t="n"/>
      <c r="F565" s="14" t="n"/>
      <c r="G565" s="14" t="n"/>
      <c r="H565" s="8" t="n"/>
      <c r="I565" s="8" t="n"/>
      <c r="J565" s="8" t="n"/>
      <c r="K565" s="18">
        <f>IF(B565="","",IFERROR(MONTH(B565),""))</f>
        <v/>
      </c>
      <c r="L565" s="5">
        <f>IF(COUNTA(A565:J565)=0,"",IF(E565="","Mangler motkonto",IF((F565="")=(G565=""),"Fyll ut enten Inn eller Ut",IF(OR(IFERROR(INDEX('Kontoplan'!$D$3:$D$302,MATCH(D565,'Kontoplan'!$H$3:$H$302,0))="Støttes ikke",FALSE),IFERROR(INDEX('Kontoplan'!$D$3:$D$302,MATCH(E565,'Kontoplan'!$H$3:$H$302,0))="Støttes ikke",FALSE)),"Kontoen støttes ikke",IF(IFERROR(AND(A565&gt;1,COUNTIF($A$3:$A$2002,A565-1)=0),FALSE),"Nummeret hopper over",IF(OR(NOT(ISNUMBER(B565)),B565&lt;DATE(2027,1,1),B565&gt;DATE(2027,12,31)),"Datoen er ikke i 2027",""))))))</f>
        <v/>
      </c>
    </row>
    <row r="566">
      <c r="A566" s="17" t="n"/>
      <c r="B566" s="9" t="n"/>
      <c r="C566" s="8" t="n"/>
      <c r="D566" s="8" t="n"/>
      <c r="E566" s="8" t="n"/>
      <c r="F566" s="14" t="n"/>
      <c r="G566" s="14" t="n"/>
      <c r="H566" s="8" t="n"/>
      <c r="I566" s="8" t="n"/>
      <c r="J566" s="8" t="n"/>
      <c r="K566" s="18">
        <f>IF(B566="","",IFERROR(MONTH(B566),""))</f>
        <v/>
      </c>
      <c r="L566" s="5">
        <f>IF(COUNTA(A566:J566)=0,"",IF(E566="","Mangler motkonto",IF((F566="")=(G566=""),"Fyll ut enten Inn eller Ut",IF(OR(IFERROR(INDEX('Kontoplan'!$D$3:$D$302,MATCH(D566,'Kontoplan'!$H$3:$H$302,0))="Støttes ikke",FALSE),IFERROR(INDEX('Kontoplan'!$D$3:$D$302,MATCH(E566,'Kontoplan'!$H$3:$H$302,0))="Støttes ikke",FALSE)),"Kontoen støttes ikke",IF(IFERROR(AND(A566&gt;1,COUNTIF($A$3:$A$2002,A566-1)=0),FALSE),"Nummeret hopper over",IF(OR(NOT(ISNUMBER(B566)),B566&lt;DATE(2027,1,1),B566&gt;DATE(2027,12,31)),"Datoen er ikke i 2027",""))))))</f>
        <v/>
      </c>
    </row>
    <row r="567">
      <c r="A567" s="17" t="n"/>
      <c r="B567" s="9" t="n"/>
      <c r="C567" s="8" t="n"/>
      <c r="D567" s="8" t="n"/>
      <c r="E567" s="8" t="n"/>
      <c r="F567" s="14" t="n"/>
      <c r="G567" s="14" t="n"/>
      <c r="H567" s="8" t="n"/>
      <c r="I567" s="8" t="n"/>
      <c r="J567" s="8" t="n"/>
      <c r="K567" s="18">
        <f>IF(B567="","",IFERROR(MONTH(B567),""))</f>
        <v/>
      </c>
      <c r="L567" s="5">
        <f>IF(COUNTA(A567:J567)=0,"",IF(E567="","Mangler motkonto",IF((F567="")=(G567=""),"Fyll ut enten Inn eller Ut",IF(OR(IFERROR(INDEX('Kontoplan'!$D$3:$D$302,MATCH(D567,'Kontoplan'!$H$3:$H$302,0))="Støttes ikke",FALSE),IFERROR(INDEX('Kontoplan'!$D$3:$D$302,MATCH(E567,'Kontoplan'!$H$3:$H$302,0))="Støttes ikke",FALSE)),"Kontoen støttes ikke",IF(IFERROR(AND(A567&gt;1,COUNTIF($A$3:$A$2002,A567-1)=0),FALSE),"Nummeret hopper over",IF(OR(NOT(ISNUMBER(B567)),B567&lt;DATE(2027,1,1),B567&gt;DATE(2027,12,31)),"Datoen er ikke i 2027",""))))))</f>
        <v/>
      </c>
    </row>
    <row r="568">
      <c r="A568" s="17" t="n"/>
      <c r="B568" s="9" t="n"/>
      <c r="C568" s="8" t="n"/>
      <c r="D568" s="8" t="n"/>
      <c r="E568" s="8" t="n"/>
      <c r="F568" s="14" t="n"/>
      <c r="G568" s="14" t="n"/>
      <c r="H568" s="8" t="n"/>
      <c r="I568" s="8" t="n"/>
      <c r="J568" s="8" t="n"/>
      <c r="K568" s="18">
        <f>IF(B568="","",IFERROR(MONTH(B568),""))</f>
        <v/>
      </c>
      <c r="L568" s="5">
        <f>IF(COUNTA(A568:J568)=0,"",IF(E568="","Mangler motkonto",IF((F568="")=(G568=""),"Fyll ut enten Inn eller Ut",IF(OR(IFERROR(INDEX('Kontoplan'!$D$3:$D$302,MATCH(D568,'Kontoplan'!$H$3:$H$302,0))="Støttes ikke",FALSE),IFERROR(INDEX('Kontoplan'!$D$3:$D$302,MATCH(E568,'Kontoplan'!$H$3:$H$302,0))="Støttes ikke",FALSE)),"Kontoen støttes ikke",IF(IFERROR(AND(A568&gt;1,COUNTIF($A$3:$A$2002,A568-1)=0),FALSE),"Nummeret hopper over",IF(OR(NOT(ISNUMBER(B568)),B568&lt;DATE(2027,1,1),B568&gt;DATE(2027,12,31)),"Datoen er ikke i 2027",""))))))</f>
        <v/>
      </c>
    </row>
    <row r="569">
      <c r="A569" s="17" t="n"/>
      <c r="B569" s="9" t="n"/>
      <c r="C569" s="8" t="n"/>
      <c r="D569" s="8" t="n"/>
      <c r="E569" s="8" t="n"/>
      <c r="F569" s="14" t="n"/>
      <c r="G569" s="14" t="n"/>
      <c r="H569" s="8" t="n"/>
      <c r="I569" s="8" t="n"/>
      <c r="J569" s="8" t="n"/>
      <c r="K569" s="18">
        <f>IF(B569="","",IFERROR(MONTH(B569),""))</f>
        <v/>
      </c>
      <c r="L569" s="5">
        <f>IF(COUNTA(A569:J569)=0,"",IF(E569="","Mangler motkonto",IF((F569="")=(G569=""),"Fyll ut enten Inn eller Ut",IF(OR(IFERROR(INDEX('Kontoplan'!$D$3:$D$302,MATCH(D569,'Kontoplan'!$H$3:$H$302,0))="Støttes ikke",FALSE),IFERROR(INDEX('Kontoplan'!$D$3:$D$302,MATCH(E569,'Kontoplan'!$H$3:$H$302,0))="Støttes ikke",FALSE)),"Kontoen støttes ikke",IF(IFERROR(AND(A569&gt;1,COUNTIF($A$3:$A$2002,A569-1)=0),FALSE),"Nummeret hopper over",IF(OR(NOT(ISNUMBER(B569)),B569&lt;DATE(2027,1,1),B569&gt;DATE(2027,12,31)),"Datoen er ikke i 2027",""))))))</f>
        <v/>
      </c>
    </row>
    <row r="570">
      <c r="A570" s="17" t="n"/>
      <c r="B570" s="9" t="n"/>
      <c r="C570" s="8" t="n"/>
      <c r="D570" s="8" t="n"/>
      <c r="E570" s="8" t="n"/>
      <c r="F570" s="14" t="n"/>
      <c r="G570" s="14" t="n"/>
      <c r="H570" s="8" t="n"/>
      <c r="I570" s="8" t="n"/>
      <c r="J570" s="8" t="n"/>
      <c r="K570" s="18">
        <f>IF(B570="","",IFERROR(MONTH(B570),""))</f>
        <v/>
      </c>
      <c r="L570" s="5">
        <f>IF(COUNTA(A570:J570)=0,"",IF(E570="","Mangler motkonto",IF((F570="")=(G570=""),"Fyll ut enten Inn eller Ut",IF(OR(IFERROR(INDEX('Kontoplan'!$D$3:$D$302,MATCH(D570,'Kontoplan'!$H$3:$H$302,0))="Støttes ikke",FALSE),IFERROR(INDEX('Kontoplan'!$D$3:$D$302,MATCH(E570,'Kontoplan'!$H$3:$H$302,0))="Støttes ikke",FALSE)),"Kontoen støttes ikke",IF(IFERROR(AND(A570&gt;1,COUNTIF($A$3:$A$2002,A570-1)=0),FALSE),"Nummeret hopper over",IF(OR(NOT(ISNUMBER(B570)),B570&lt;DATE(2027,1,1),B570&gt;DATE(2027,12,31)),"Datoen er ikke i 2027",""))))))</f>
        <v/>
      </c>
    </row>
    <row r="571">
      <c r="A571" s="17" t="n"/>
      <c r="B571" s="9" t="n"/>
      <c r="C571" s="8" t="n"/>
      <c r="D571" s="8" t="n"/>
      <c r="E571" s="8" t="n"/>
      <c r="F571" s="14" t="n"/>
      <c r="G571" s="14" t="n"/>
      <c r="H571" s="8" t="n"/>
      <c r="I571" s="8" t="n"/>
      <c r="J571" s="8" t="n"/>
      <c r="K571" s="18">
        <f>IF(B571="","",IFERROR(MONTH(B571),""))</f>
        <v/>
      </c>
      <c r="L571" s="5">
        <f>IF(COUNTA(A571:J571)=0,"",IF(E571="","Mangler motkonto",IF((F571="")=(G571=""),"Fyll ut enten Inn eller Ut",IF(OR(IFERROR(INDEX('Kontoplan'!$D$3:$D$302,MATCH(D571,'Kontoplan'!$H$3:$H$302,0))="Støttes ikke",FALSE),IFERROR(INDEX('Kontoplan'!$D$3:$D$302,MATCH(E571,'Kontoplan'!$H$3:$H$302,0))="Støttes ikke",FALSE)),"Kontoen støttes ikke",IF(IFERROR(AND(A571&gt;1,COUNTIF($A$3:$A$2002,A571-1)=0),FALSE),"Nummeret hopper over",IF(OR(NOT(ISNUMBER(B571)),B571&lt;DATE(2027,1,1),B571&gt;DATE(2027,12,31)),"Datoen er ikke i 2027",""))))))</f>
        <v/>
      </c>
    </row>
    <row r="572">
      <c r="A572" s="17" t="n"/>
      <c r="B572" s="9" t="n"/>
      <c r="C572" s="8" t="n"/>
      <c r="D572" s="8" t="n"/>
      <c r="E572" s="8" t="n"/>
      <c r="F572" s="14" t="n"/>
      <c r="G572" s="14" t="n"/>
      <c r="H572" s="8" t="n"/>
      <c r="I572" s="8" t="n"/>
      <c r="J572" s="8" t="n"/>
      <c r="K572" s="18">
        <f>IF(B572="","",IFERROR(MONTH(B572),""))</f>
        <v/>
      </c>
      <c r="L572" s="5">
        <f>IF(COUNTA(A572:J572)=0,"",IF(E572="","Mangler motkonto",IF((F572="")=(G572=""),"Fyll ut enten Inn eller Ut",IF(OR(IFERROR(INDEX('Kontoplan'!$D$3:$D$302,MATCH(D572,'Kontoplan'!$H$3:$H$302,0))="Støttes ikke",FALSE),IFERROR(INDEX('Kontoplan'!$D$3:$D$302,MATCH(E572,'Kontoplan'!$H$3:$H$302,0))="Støttes ikke",FALSE)),"Kontoen støttes ikke",IF(IFERROR(AND(A572&gt;1,COUNTIF($A$3:$A$2002,A572-1)=0),FALSE),"Nummeret hopper over",IF(OR(NOT(ISNUMBER(B572)),B572&lt;DATE(2027,1,1),B572&gt;DATE(2027,12,31)),"Datoen er ikke i 2027",""))))))</f>
        <v/>
      </c>
    </row>
    <row r="573">
      <c r="A573" s="17" t="n"/>
      <c r="B573" s="9" t="n"/>
      <c r="C573" s="8" t="n"/>
      <c r="D573" s="8" t="n"/>
      <c r="E573" s="8" t="n"/>
      <c r="F573" s="14" t="n"/>
      <c r="G573" s="14" t="n"/>
      <c r="H573" s="8" t="n"/>
      <c r="I573" s="8" t="n"/>
      <c r="J573" s="8" t="n"/>
      <c r="K573" s="18">
        <f>IF(B573="","",IFERROR(MONTH(B573),""))</f>
        <v/>
      </c>
      <c r="L573" s="5">
        <f>IF(COUNTA(A573:J573)=0,"",IF(E573="","Mangler motkonto",IF((F573="")=(G573=""),"Fyll ut enten Inn eller Ut",IF(OR(IFERROR(INDEX('Kontoplan'!$D$3:$D$302,MATCH(D573,'Kontoplan'!$H$3:$H$302,0))="Støttes ikke",FALSE),IFERROR(INDEX('Kontoplan'!$D$3:$D$302,MATCH(E573,'Kontoplan'!$H$3:$H$302,0))="Støttes ikke",FALSE)),"Kontoen støttes ikke",IF(IFERROR(AND(A573&gt;1,COUNTIF($A$3:$A$2002,A573-1)=0),FALSE),"Nummeret hopper over",IF(OR(NOT(ISNUMBER(B573)),B573&lt;DATE(2027,1,1),B573&gt;DATE(2027,12,31)),"Datoen er ikke i 2027",""))))))</f>
        <v/>
      </c>
    </row>
    <row r="574">
      <c r="A574" s="17" t="n"/>
      <c r="B574" s="9" t="n"/>
      <c r="C574" s="8" t="n"/>
      <c r="D574" s="8" t="n"/>
      <c r="E574" s="8" t="n"/>
      <c r="F574" s="14" t="n"/>
      <c r="G574" s="14" t="n"/>
      <c r="H574" s="8" t="n"/>
      <c r="I574" s="8" t="n"/>
      <c r="J574" s="8" t="n"/>
      <c r="K574" s="18">
        <f>IF(B574="","",IFERROR(MONTH(B574),""))</f>
        <v/>
      </c>
      <c r="L574" s="5">
        <f>IF(COUNTA(A574:J574)=0,"",IF(E574="","Mangler motkonto",IF((F574="")=(G574=""),"Fyll ut enten Inn eller Ut",IF(OR(IFERROR(INDEX('Kontoplan'!$D$3:$D$302,MATCH(D574,'Kontoplan'!$H$3:$H$302,0))="Støttes ikke",FALSE),IFERROR(INDEX('Kontoplan'!$D$3:$D$302,MATCH(E574,'Kontoplan'!$H$3:$H$302,0))="Støttes ikke",FALSE)),"Kontoen støttes ikke",IF(IFERROR(AND(A574&gt;1,COUNTIF($A$3:$A$2002,A574-1)=0),FALSE),"Nummeret hopper over",IF(OR(NOT(ISNUMBER(B574)),B574&lt;DATE(2027,1,1),B574&gt;DATE(2027,12,31)),"Datoen er ikke i 2027",""))))))</f>
        <v/>
      </c>
    </row>
    <row r="575">
      <c r="A575" s="17" t="n"/>
      <c r="B575" s="9" t="n"/>
      <c r="C575" s="8" t="n"/>
      <c r="D575" s="8" t="n"/>
      <c r="E575" s="8" t="n"/>
      <c r="F575" s="14" t="n"/>
      <c r="G575" s="14" t="n"/>
      <c r="H575" s="8" t="n"/>
      <c r="I575" s="8" t="n"/>
      <c r="J575" s="8" t="n"/>
      <c r="K575" s="18">
        <f>IF(B575="","",IFERROR(MONTH(B575),""))</f>
        <v/>
      </c>
      <c r="L575" s="5">
        <f>IF(COUNTA(A575:J575)=0,"",IF(E575="","Mangler motkonto",IF((F575="")=(G575=""),"Fyll ut enten Inn eller Ut",IF(OR(IFERROR(INDEX('Kontoplan'!$D$3:$D$302,MATCH(D575,'Kontoplan'!$H$3:$H$302,0))="Støttes ikke",FALSE),IFERROR(INDEX('Kontoplan'!$D$3:$D$302,MATCH(E575,'Kontoplan'!$H$3:$H$302,0))="Støttes ikke",FALSE)),"Kontoen støttes ikke",IF(IFERROR(AND(A575&gt;1,COUNTIF($A$3:$A$2002,A575-1)=0),FALSE),"Nummeret hopper over",IF(OR(NOT(ISNUMBER(B575)),B575&lt;DATE(2027,1,1),B575&gt;DATE(2027,12,31)),"Datoen er ikke i 2027",""))))))</f>
        <v/>
      </c>
    </row>
    <row r="576">
      <c r="A576" s="17" t="n"/>
      <c r="B576" s="9" t="n"/>
      <c r="C576" s="8" t="n"/>
      <c r="D576" s="8" t="n"/>
      <c r="E576" s="8" t="n"/>
      <c r="F576" s="14" t="n"/>
      <c r="G576" s="14" t="n"/>
      <c r="H576" s="8" t="n"/>
      <c r="I576" s="8" t="n"/>
      <c r="J576" s="8" t="n"/>
      <c r="K576" s="18">
        <f>IF(B576="","",IFERROR(MONTH(B576),""))</f>
        <v/>
      </c>
      <c r="L576" s="5">
        <f>IF(COUNTA(A576:J576)=0,"",IF(E576="","Mangler motkonto",IF((F576="")=(G576=""),"Fyll ut enten Inn eller Ut",IF(OR(IFERROR(INDEX('Kontoplan'!$D$3:$D$302,MATCH(D576,'Kontoplan'!$H$3:$H$302,0))="Støttes ikke",FALSE),IFERROR(INDEX('Kontoplan'!$D$3:$D$302,MATCH(E576,'Kontoplan'!$H$3:$H$302,0))="Støttes ikke",FALSE)),"Kontoen støttes ikke",IF(IFERROR(AND(A576&gt;1,COUNTIF($A$3:$A$2002,A576-1)=0),FALSE),"Nummeret hopper over",IF(OR(NOT(ISNUMBER(B576)),B576&lt;DATE(2027,1,1),B576&gt;DATE(2027,12,31)),"Datoen er ikke i 2027",""))))))</f>
        <v/>
      </c>
    </row>
    <row r="577">
      <c r="A577" s="17" t="n"/>
      <c r="B577" s="9" t="n"/>
      <c r="C577" s="8" t="n"/>
      <c r="D577" s="8" t="n"/>
      <c r="E577" s="8" t="n"/>
      <c r="F577" s="14" t="n"/>
      <c r="G577" s="14" t="n"/>
      <c r="H577" s="8" t="n"/>
      <c r="I577" s="8" t="n"/>
      <c r="J577" s="8" t="n"/>
      <c r="K577" s="18">
        <f>IF(B577="","",IFERROR(MONTH(B577),""))</f>
        <v/>
      </c>
      <c r="L577" s="5">
        <f>IF(COUNTA(A577:J577)=0,"",IF(E577="","Mangler motkonto",IF((F577="")=(G577=""),"Fyll ut enten Inn eller Ut",IF(OR(IFERROR(INDEX('Kontoplan'!$D$3:$D$302,MATCH(D577,'Kontoplan'!$H$3:$H$302,0))="Støttes ikke",FALSE),IFERROR(INDEX('Kontoplan'!$D$3:$D$302,MATCH(E577,'Kontoplan'!$H$3:$H$302,0))="Støttes ikke",FALSE)),"Kontoen støttes ikke",IF(IFERROR(AND(A577&gt;1,COUNTIF($A$3:$A$2002,A577-1)=0),FALSE),"Nummeret hopper over",IF(OR(NOT(ISNUMBER(B577)),B577&lt;DATE(2027,1,1),B577&gt;DATE(2027,12,31)),"Datoen er ikke i 2027",""))))))</f>
        <v/>
      </c>
    </row>
    <row r="578">
      <c r="A578" s="17" t="n"/>
      <c r="B578" s="9" t="n"/>
      <c r="C578" s="8" t="n"/>
      <c r="D578" s="8" t="n"/>
      <c r="E578" s="8" t="n"/>
      <c r="F578" s="14" t="n"/>
      <c r="G578" s="14" t="n"/>
      <c r="H578" s="8" t="n"/>
      <c r="I578" s="8" t="n"/>
      <c r="J578" s="8" t="n"/>
      <c r="K578" s="18">
        <f>IF(B578="","",IFERROR(MONTH(B578),""))</f>
        <v/>
      </c>
      <c r="L578" s="5">
        <f>IF(COUNTA(A578:J578)=0,"",IF(E578="","Mangler motkonto",IF((F578="")=(G578=""),"Fyll ut enten Inn eller Ut",IF(OR(IFERROR(INDEX('Kontoplan'!$D$3:$D$302,MATCH(D578,'Kontoplan'!$H$3:$H$302,0))="Støttes ikke",FALSE),IFERROR(INDEX('Kontoplan'!$D$3:$D$302,MATCH(E578,'Kontoplan'!$H$3:$H$302,0))="Støttes ikke",FALSE)),"Kontoen støttes ikke",IF(IFERROR(AND(A578&gt;1,COUNTIF($A$3:$A$2002,A578-1)=0),FALSE),"Nummeret hopper over",IF(OR(NOT(ISNUMBER(B578)),B578&lt;DATE(2027,1,1),B578&gt;DATE(2027,12,31)),"Datoen er ikke i 2027",""))))))</f>
        <v/>
      </c>
    </row>
    <row r="579">
      <c r="A579" s="17" t="n"/>
      <c r="B579" s="9" t="n"/>
      <c r="C579" s="8" t="n"/>
      <c r="D579" s="8" t="n"/>
      <c r="E579" s="8" t="n"/>
      <c r="F579" s="14" t="n"/>
      <c r="G579" s="14" t="n"/>
      <c r="H579" s="8" t="n"/>
      <c r="I579" s="8" t="n"/>
      <c r="J579" s="8" t="n"/>
      <c r="K579" s="18">
        <f>IF(B579="","",IFERROR(MONTH(B579),""))</f>
        <v/>
      </c>
      <c r="L579" s="5">
        <f>IF(COUNTA(A579:J579)=0,"",IF(E579="","Mangler motkonto",IF((F579="")=(G579=""),"Fyll ut enten Inn eller Ut",IF(OR(IFERROR(INDEX('Kontoplan'!$D$3:$D$302,MATCH(D579,'Kontoplan'!$H$3:$H$302,0))="Støttes ikke",FALSE),IFERROR(INDEX('Kontoplan'!$D$3:$D$302,MATCH(E579,'Kontoplan'!$H$3:$H$302,0))="Støttes ikke",FALSE)),"Kontoen støttes ikke",IF(IFERROR(AND(A579&gt;1,COUNTIF($A$3:$A$2002,A579-1)=0),FALSE),"Nummeret hopper over",IF(OR(NOT(ISNUMBER(B579)),B579&lt;DATE(2027,1,1),B579&gt;DATE(2027,12,31)),"Datoen er ikke i 2027",""))))))</f>
        <v/>
      </c>
    </row>
    <row r="580">
      <c r="A580" s="17" t="n"/>
      <c r="B580" s="9" t="n"/>
      <c r="C580" s="8" t="n"/>
      <c r="D580" s="8" t="n"/>
      <c r="E580" s="8" t="n"/>
      <c r="F580" s="14" t="n"/>
      <c r="G580" s="14" t="n"/>
      <c r="H580" s="8" t="n"/>
      <c r="I580" s="8" t="n"/>
      <c r="J580" s="8" t="n"/>
      <c r="K580" s="18">
        <f>IF(B580="","",IFERROR(MONTH(B580),""))</f>
        <v/>
      </c>
      <c r="L580" s="5">
        <f>IF(COUNTA(A580:J580)=0,"",IF(E580="","Mangler motkonto",IF((F580="")=(G580=""),"Fyll ut enten Inn eller Ut",IF(OR(IFERROR(INDEX('Kontoplan'!$D$3:$D$302,MATCH(D580,'Kontoplan'!$H$3:$H$302,0))="Støttes ikke",FALSE),IFERROR(INDEX('Kontoplan'!$D$3:$D$302,MATCH(E580,'Kontoplan'!$H$3:$H$302,0))="Støttes ikke",FALSE)),"Kontoen støttes ikke",IF(IFERROR(AND(A580&gt;1,COUNTIF($A$3:$A$2002,A580-1)=0),FALSE),"Nummeret hopper over",IF(OR(NOT(ISNUMBER(B580)),B580&lt;DATE(2027,1,1),B580&gt;DATE(2027,12,31)),"Datoen er ikke i 2027",""))))))</f>
        <v/>
      </c>
    </row>
    <row r="581">
      <c r="A581" s="17" t="n"/>
      <c r="B581" s="9" t="n"/>
      <c r="C581" s="8" t="n"/>
      <c r="D581" s="8" t="n"/>
      <c r="E581" s="8" t="n"/>
      <c r="F581" s="14" t="n"/>
      <c r="G581" s="14" t="n"/>
      <c r="H581" s="8" t="n"/>
      <c r="I581" s="8" t="n"/>
      <c r="J581" s="8" t="n"/>
      <c r="K581" s="18">
        <f>IF(B581="","",IFERROR(MONTH(B581),""))</f>
        <v/>
      </c>
      <c r="L581" s="5">
        <f>IF(COUNTA(A581:J581)=0,"",IF(E581="","Mangler motkonto",IF((F581="")=(G581=""),"Fyll ut enten Inn eller Ut",IF(OR(IFERROR(INDEX('Kontoplan'!$D$3:$D$302,MATCH(D581,'Kontoplan'!$H$3:$H$302,0))="Støttes ikke",FALSE),IFERROR(INDEX('Kontoplan'!$D$3:$D$302,MATCH(E581,'Kontoplan'!$H$3:$H$302,0))="Støttes ikke",FALSE)),"Kontoen støttes ikke",IF(IFERROR(AND(A581&gt;1,COUNTIF($A$3:$A$2002,A581-1)=0),FALSE),"Nummeret hopper over",IF(OR(NOT(ISNUMBER(B581)),B581&lt;DATE(2027,1,1),B581&gt;DATE(2027,12,31)),"Datoen er ikke i 2027",""))))))</f>
        <v/>
      </c>
    </row>
    <row r="582">
      <c r="A582" s="17" t="n"/>
      <c r="B582" s="9" t="n"/>
      <c r="C582" s="8" t="n"/>
      <c r="D582" s="8" t="n"/>
      <c r="E582" s="8" t="n"/>
      <c r="F582" s="14" t="n"/>
      <c r="G582" s="14" t="n"/>
      <c r="H582" s="8" t="n"/>
      <c r="I582" s="8" t="n"/>
      <c r="J582" s="8" t="n"/>
      <c r="K582" s="18">
        <f>IF(B582="","",IFERROR(MONTH(B582),""))</f>
        <v/>
      </c>
      <c r="L582" s="5">
        <f>IF(COUNTA(A582:J582)=0,"",IF(E582="","Mangler motkonto",IF((F582="")=(G582=""),"Fyll ut enten Inn eller Ut",IF(OR(IFERROR(INDEX('Kontoplan'!$D$3:$D$302,MATCH(D582,'Kontoplan'!$H$3:$H$302,0))="Støttes ikke",FALSE),IFERROR(INDEX('Kontoplan'!$D$3:$D$302,MATCH(E582,'Kontoplan'!$H$3:$H$302,0))="Støttes ikke",FALSE)),"Kontoen støttes ikke",IF(IFERROR(AND(A582&gt;1,COUNTIF($A$3:$A$2002,A582-1)=0),FALSE),"Nummeret hopper over",IF(OR(NOT(ISNUMBER(B582)),B582&lt;DATE(2027,1,1),B582&gt;DATE(2027,12,31)),"Datoen er ikke i 2027",""))))))</f>
        <v/>
      </c>
    </row>
    <row r="583">
      <c r="A583" s="17" t="n"/>
      <c r="B583" s="9" t="n"/>
      <c r="C583" s="8" t="n"/>
      <c r="D583" s="8" t="n"/>
      <c r="E583" s="8" t="n"/>
      <c r="F583" s="14" t="n"/>
      <c r="G583" s="14" t="n"/>
      <c r="H583" s="8" t="n"/>
      <c r="I583" s="8" t="n"/>
      <c r="J583" s="8" t="n"/>
      <c r="K583" s="18">
        <f>IF(B583="","",IFERROR(MONTH(B583),""))</f>
        <v/>
      </c>
      <c r="L583" s="5">
        <f>IF(COUNTA(A583:J583)=0,"",IF(E583="","Mangler motkonto",IF((F583="")=(G583=""),"Fyll ut enten Inn eller Ut",IF(OR(IFERROR(INDEX('Kontoplan'!$D$3:$D$302,MATCH(D583,'Kontoplan'!$H$3:$H$302,0))="Støttes ikke",FALSE),IFERROR(INDEX('Kontoplan'!$D$3:$D$302,MATCH(E583,'Kontoplan'!$H$3:$H$302,0))="Støttes ikke",FALSE)),"Kontoen støttes ikke",IF(IFERROR(AND(A583&gt;1,COUNTIF($A$3:$A$2002,A583-1)=0),FALSE),"Nummeret hopper over",IF(OR(NOT(ISNUMBER(B583)),B583&lt;DATE(2027,1,1),B583&gt;DATE(2027,12,31)),"Datoen er ikke i 2027",""))))))</f>
        <v/>
      </c>
    </row>
    <row r="584">
      <c r="A584" s="17" t="n"/>
      <c r="B584" s="9" t="n"/>
      <c r="C584" s="8" t="n"/>
      <c r="D584" s="8" t="n"/>
      <c r="E584" s="8" t="n"/>
      <c r="F584" s="14" t="n"/>
      <c r="G584" s="14" t="n"/>
      <c r="H584" s="8" t="n"/>
      <c r="I584" s="8" t="n"/>
      <c r="J584" s="8" t="n"/>
      <c r="K584" s="18">
        <f>IF(B584="","",IFERROR(MONTH(B584),""))</f>
        <v/>
      </c>
      <c r="L584" s="5">
        <f>IF(COUNTA(A584:J584)=0,"",IF(E584="","Mangler motkonto",IF((F584="")=(G584=""),"Fyll ut enten Inn eller Ut",IF(OR(IFERROR(INDEX('Kontoplan'!$D$3:$D$302,MATCH(D584,'Kontoplan'!$H$3:$H$302,0))="Støttes ikke",FALSE),IFERROR(INDEX('Kontoplan'!$D$3:$D$302,MATCH(E584,'Kontoplan'!$H$3:$H$302,0))="Støttes ikke",FALSE)),"Kontoen støttes ikke",IF(IFERROR(AND(A584&gt;1,COUNTIF($A$3:$A$2002,A584-1)=0),FALSE),"Nummeret hopper over",IF(OR(NOT(ISNUMBER(B584)),B584&lt;DATE(2027,1,1),B584&gt;DATE(2027,12,31)),"Datoen er ikke i 2027",""))))))</f>
        <v/>
      </c>
    </row>
    <row r="585">
      <c r="A585" s="17" t="n"/>
      <c r="B585" s="9" t="n"/>
      <c r="C585" s="8" t="n"/>
      <c r="D585" s="8" t="n"/>
      <c r="E585" s="8" t="n"/>
      <c r="F585" s="14" t="n"/>
      <c r="G585" s="14" t="n"/>
      <c r="H585" s="8" t="n"/>
      <c r="I585" s="8" t="n"/>
      <c r="J585" s="8" t="n"/>
      <c r="K585" s="18">
        <f>IF(B585="","",IFERROR(MONTH(B585),""))</f>
        <v/>
      </c>
      <c r="L585" s="5">
        <f>IF(COUNTA(A585:J585)=0,"",IF(E585="","Mangler motkonto",IF((F585="")=(G585=""),"Fyll ut enten Inn eller Ut",IF(OR(IFERROR(INDEX('Kontoplan'!$D$3:$D$302,MATCH(D585,'Kontoplan'!$H$3:$H$302,0))="Støttes ikke",FALSE),IFERROR(INDEX('Kontoplan'!$D$3:$D$302,MATCH(E585,'Kontoplan'!$H$3:$H$302,0))="Støttes ikke",FALSE)),"Kontoen støttes ikke",IF(IFERROR(AND(A585&gt;1,COUNTIF($A$3:$A$2002,A585-1)=0),FALSE),"Nummeret hopper over",IF(OR(NOT(ISNUMBER(B585)),B585&lt;DATE(2027,1,1),B585&gt;DATE(2027,12,31)),"Datoen er ikke i 2027",""))))))</f>
        <v/>
      </c>
    </row>
    <row r="586">
      <c r="A586" s="17" t="n"/>
      <c r="B586" s="9" t="n"/>
      <c r="C586" s="8" t="n"/>
      <c r="D586" s="8" t="n"/>
      <c r="E586" s="8" t="n"/>
      <c r="F586" s="14" t="n"/>
      <c r="G586" s="14" t="n"/>
      <c r="H586" s="8" t="n"/>
      <c r="I586" s="8" t="n"/>
      <c r="J586" s="8" t="n"/>
      <c r="K586" s="18">
        <f>IF(B586="","",IFERROR(MONTH(B586),""))</f>
        <v/>
      </c>
      <c r="L586" s="5">
        <f>IF(COUNTA(A586:J586)=0,"",IF(E586="","Mangler motkonto",IF((F586="")=(G586=""),"Fyll ut enten Inn eller Ut",IF(OR(IFERROR(INDEX('Kontoplan'!$D$3:$D$302,MATCH(D586,'Kontoplan'!$H$3:$H$302,0))="Støttes ikke",FALSE),IFERROR(INDEX('Kontoplan'!$D$3:$D$302,MATCH(E586,'Kontoplan'!$H$3:$H$302,0))="Støttes ikke",FALSE)),"Kontoen støttes ikke",IF(IFERROR(AND(A586&gt;1,COUNTIF($A$3:$A$2002,A586-1)=0),FALSE),"Nummeret hopper over",IF(OR(NOT(ISNUMBER(B586)),B586&lt;DATE(2027,1,1),B586&gt;DATE(2027,12,31)),"Datoen er ikke i 2027",""))))))</f>
        <v/>
      </c>
    </row>
    <row r="587">
      <c r="A587" s="17" t="n"/>
      <c r="B587" s="9" t="n"/>
      <c r="C587" s="8" t="n"/>
      <c r="D587" s="8" t="n"/>
      <c r="E587" s="8" t="n"/>
      <c r="F587" s="14" t="n"/>
      <c r="G587" s="14" t="n"/>
      <c r="H587" s="8" t="n"/>
      <c r="I587" s="8" t="n"/>
      <c r="J587" s="8" t="n"/>
      <c r="K587" s="18">
        <f>IF(B587="","",IFERROR(MONTH(B587),""))</f>
        <v/>
      </c>
      <c r="L587" s="5">
        <f>IF(COUNTA(A587:J587)=0,"",IF(E587="","Mangler motkonto",IF((F587="")=(G587=""),"Fyll ut enten Inn eller Ut",IF(OR(IFERROR(INDEX('Kontoplan'!$D$3:$D$302,MATCH(D587,'Kontoplan'!$H$3:$H$302,0))="Støttes ikke",FALSE),IFERROR(INDEX('Kontoplan'!$D$3:$D$302,MATCH(E587,'Kontoplan'!$H$3:$H$302,0))="Støttes ikke",FALSE)),"Kontoen støttes ikke",IF(IFERROR(AND(A587&gt;1,COUNTIF($A$3:$A$2002,A587-1)=0),FALSE),"Nummeret hopper over",IF(OR(NOT(ISNUMBER(B587)),B587&lt;DATE(2027,1,1),B587&gt;DATE(2027,12,31)),"Datoen er ikke i 2027",""))))))</f>
        <v/>
      </c>
    </row>
    <row r="588">
      <c r="A588" s="17" t="n"/>
      <c r="B588" s="9" t="n"/>
      <c r="C588" s="8" t="n"/>
      <c r="D588" s="8" t="n"/>
      <c r="E588" s="8" t="n"/>
      <c r="F588" s="14" t="n"/>
      <c r="G588" s="14" t="n"/>
      <c r="H588" s="8" t="n"/>
      <c r="I588" s="8" t="n"/>
      <c r="J588" s="8" t="n"/>
      <c r="K588" s="18">
        <f>IF(B588="","",IFERROR(MONTH(B588),""))</f>
        <v/>
      </c>
      <c r="L588" s="5">
        <f>IF(COUNTA(A588:J588)=0,"",IF(E588="","Mangler motkonto",IF((F588="")=(G588=""),"Fyll ut enten Inn eller Ut",IF(OR(IFERROR(INDEX('Kontoplan'!$D$3:$D$302,MATCH(D588,'Kontoplan'!$H$3:$H$302,0))="Støttes ikke",FALSE),IFERROR(INDEX('Kontoplan'!$D$3:$D$302,MATCH(E588,'Kontoplan'!$H$3:$H$302,0))="Støttes ikke",FALSE)),"Kontoen støttes ikke",IF(IFERROR(AND(A588&gt;1,COUNTIF($A$3:$A$2002,A588-1)=0),FALSE),"Nummeret hopper over",IF(OR(NOT(ISNUMBER(B588)),B588&lt;DATE(2027,1,1),B588&gt;DATE(2027,12,31)),"Datoen er ikke i 2027",""))))))</f>
        <v/>
      </c>
    </row>
    <row r="589">
      <c r="A589" s="17" t="n"/>
      <c r="B589" s="9" t="n"/>
      <c r="C589" s="8" t="n"/>
      <c r="D589" s="8" t="n"/>
      <c r="E589" s="8" t="n"/>
      <c r="F589" s="14" t="n"/>
      <c r="G589" s="14" t="n"/>
      <c r="H589" s="8" t="n"/>
      <c r="I589" s="8" t="n"/>
      <c r="J589" s="8" t="n"/>
      <c r="K589" s="18">
        <f>IF(B589="","",IFERROR(MONTH(B589),""))</f>
        <v/>
      </c>
      <c r="L589" s="5">
        <f>IF(COUNTA(A589:J589)=0,"",IF(E589="","Mangler motkonto",IF((F589="")=(G589=""),"Fyll ut enten Inn eller Ut",IF(OR(IFERROR(INDEX('Kontoplan'!$D$3:$D$302,MATCH(D589,'Kontoplan'!$H$3:$H$302,0))="Støttes ikke",FALSE),IFERROR(INDEX('Kontoplan'!$D$3:$D$302,MATCH(E589,'Kontoplan'!$H$3:$H$302,0))="Støttes ikke",FALSE)),"Kontoen støttes ikke",IF(IFERROR(AND(A589&gt;1,COUNTIF($A$3:$A$2002,A589-1)=0),FALSE),"Nummeret hopper over",IF(OR(NOT(ISNUMBER(B589)),B589&lt;DATE(2027,1,1),B589&gt;DATE(2027,12,31)),"Datoen er ikke i 2027",""))))))</f>
        <v/>
      </c>
    </row>
    <row r="590">
      <c r="A590" s="17" t="n"/>
      <c r="B590" s="9" t="n"/>
      <c r="C590" s="8" t="n"/>
      <c r="D590" s="8" t="n"/>
      <c r="E590" s="8" t="n"/>
      <c r="F590" s="14" t="n"/>
      <c r="G590" s="14" t="n"/>
      <c r="H590" s="8" t="n"/>
      <c r="I590" s="8" t="n"/>
      <c r="J590" s="8" t="n"/>
      <c r="K590" s="18">
        <f>IF(B590="","",IFERROR(MONTH(B590),""))</f>
        <v/>
      </c>
      <c r="L590" s="5">
        <f>IF(COUNTA(A590:J590)=0,"",IF(E590="","Mangler motkonto",IF((F590="")=(G590=""),"Fyll ut enten Inn eller Ut",IF(OR(IFERROR(INDEX('Kontoplan'!$D$3:$D$302,MATCH(D590,'Kontoplan'!$H$3:$H$302,0))="Støttes ikke",FALSE),IFERROR(INDEX('Kontoplan'!$D$3:$D$302,MATCH(E590,'Kontoplan'!$H$3:$H$302,0))="Støttes ikke",FALSE)),"Kontoen støttes ikke",IF(IFERROR(AND(A590&gt;1,COUNTIF($A$3:$A$2002,A590-1)=0),FALSE),"Nummeret hopper over",IF(OR(NOT(ISNUMBER(B590)),B590&lt;DATE(2027,1,1),B590&gt;DATE(2027,12,31)),"Datoen er ikke i 2027",""))))))</f>
        <v/>
      </c>
    </row>
    <row r="591">
      <c r="A591" s="17" t="n"/>
      <c r="B591" s="9" t="n"/>
      <c r="C591" s="8" t="n"/>
      <c r="D591" s="8" t="n"/>
      <c r="E591" s="8" t="n"/>
      <c r="F591" s="14" t="n"/>
      <c r="G591" s="14" t="n"/>
      <c r="H591" s="8" t="n"/>
      <c r="I591" s="8" t="n"/>
      <c r="J591" s="8" t="n"/>
      <c r="K591" s="18">
        <f>IF(B591="","",IFERROR(MONTH(B591),""))</f>
        <v/>
      </c>
      <c r="L591" s="5">
        <f>IF(COUNTA(A591:J591)=0,"",IF(E591="","Mangler motkonto",IF((F591="")=(G591=""),"Fyll ut enten Inn eller Ut",IF(OR(IFERROR(INDEX('Kontoplan'!$D$3:$D$302,MATCH(D591,'Kontoplan'!$H$3:$H$302,0))="Støttes ikke",FALSE),IFERROR(INDEX('Kontoplan'!$D$3:$D$302,MATCH(E591,'Kontoplan'!$H$3:$H$302,0))="Støttes ikke",FALSE)),"Kontoen støttes ikke",IF(IFERROR(AND(A591&gt;1,COUNTIF($A$3:$A$2002,A591-1)=0),FALSE),"Nummeret hopper over",IF(OR(NOT(ISNUMBER(B591)),B591&lt;DATE(2027,1,1),B591&gt;DATE(2027,12,31)),"Datoen er ikke i 2027",""))))))</f>
        <v/>
      </c>
    </row>
    <row r="592">
      <c r="A592" s="17" t="n"/>
      <c r="B592" s="9" t="n"/>
      <c r="C592" s="8" t="n"/>
      <c r="D592" s="8" t="n"/>
      <c r="E592" s="8" t="n"/>
      <c r="F592" s="14" t="n"/>
      <c r="G592" s="14" t="n"/>
      <c r="H592" s="8" t="n"/>
      <c r="I592" s="8" t="n"/>
      <c r="J592" s="8" t="n"/>
      <c r="K592" s="18">
        <f>IF(B592="","",IFERROR(MONTH(B592),""))</f>
        <v/>
      </c>
      <c r="L592" s="5">
        <f>IF(COUNTA(A592:J592)=0,"",IF(E592="","Mangler motkonto",IF((F592="")=(G592=""),"Fyll ut enten Inn eller Ut",IF(OR(IFERROR(INDEX('Kontoplan'!$D$3:$D$302,MATCH(D592,'Kontoplan'!$H$3:$H$302,0))="Støttes ikke",FALSE),IFERROR(INDEX('Kontoplan'!$D$3:$D$302,MATCH(E592,'Kontoplan'!$H$3:$H$302,0))="Støttes ikke",FALSE)),"Kontoen støttes ikke",IF(IFERROR(AND(A592&gt;1,COUNTIF($A$3:$A$2002,A592-1)=0),FALSE),"Nummeret hopper over",IF(OR(NOT(ISNUMBER(B592)),B592&lt;DATE(2027,1,1),B592&gt;DATE(2027,12,31)),"Datoen er ikke i 2027",""))))))</f>
        <v/>
      </c>
    </row>
    <row r="593">
      <c r="A593" s="17" t="n"/>
      <c r="B593" s="9" t="n"/>
      <c r="C593" s="8" t="n"/>
      <c r="D593" s="8" t="n"/>
      <c r="E593" s="8" t="n"/>
      <c r="F593" s="14" t="n"/>
      <c r="G593" s="14" t="n"/>
      <c r="H593" s="8" t="n"/>
      <c r="I593" s="8" t="n"/>
      <c r="J593" s="8" t="n"/>
      <c r="K593" s="18">
        <f>IF(B593="","",IFERROR(MONTH(B593),""))</f>
        <v/>
      </c>
      <c r="L593" s="5">
        <f>IF(COUNTA(A593:J593)=0,"",IF(E593="","Mangler motkonto",IF((F593="")=(G593=""),"Fyll ut enten Inn eller Ut",IF(OR(IFERROR(INDEX('Kontoplan'!$D$3:$D$302,MATCH(D593,'Kontoplan'!$H$3:$H$302,0))="Støttes ikke",FALSE),IFERROR(INDEX('Kontoplan'!$D$3:$D$302,MATCH(E593,'Kontoplan'!$H$3:$H$302,0))="Støttes ikke",FALSE)),"Kontoen støttes ikke",IF(IFERROR(AND(A593&gt;1,COUNTIF($A$3:$A$2002,A593-1)=0),FALSE),"Nummeret hopper over",IF(OR(NOT(ISNUMBER(B593)),B593&lt;DATE(2027,1,1),B593&gt;DATE(2027,12,31)),"Datoen er ikke i 2027",""))))))</f>
        <v/>
      </c>
    </row>
    <row r="594">
      <c r="A594" s="17" t="n"/>
      <c r="B594" s="9" t="n"/>
      <c r="C594" s="8" t="n"/>
      <c r="D594" s="8" t="n"/>
      <c r="E594" s="8" t="n"/>
      <c r="F594" s="14" t="n"/>
      <c r="G594" s="14" t="n"/>
      <c r="H594" s="8" t="n"/>
      <c r="I594" s="8" t="n"/>
      <c r="J594" s="8" t="n"/>
      <c r="K594" s="18">
        <f>IF(B594="","",IFERROR(MONTH(B594),""))</f>
        <v/>
      </c>
      <c r="L594" s="5">
        <f>IF(COUNTA(A594:J594)=0,"",IF(E594="","Mangler motkonto",IF((F594="")=(G594=""),"Fyll ut enten Inn eller Ut",IF(OR(IFERROR(INDEX('Kontoplan'!$D$3:$D$302,MATCH(D594,'Kontoplan'!$H$3:$H$302,0))="Støttes ikke",FALSE),IFERROR(INDEX('Kontoplan'!$D$3:$D$302,MATCH(E594,'Kontoplan'!$H$3:$H$302,0))="Støttes ikke",FALSE)),"Kontoen støttes ikke",IF(IFERROR(AND(A594&gt;1,COUNTIF($A$3:$A$2002,A594-1)=0),FALSE),"Nummeret hopper over",IF(OR(NOT(ISNUMBER(B594)),B594&lt;DATE(2027,1,1),B594&gt;DATE(2027,12,31)),"Datoen er ikke i 2027",""))))))</f>
        <v/>
      </c>
    </row>
    <row r="595">
      <c r="A595" s="17" t="n"/>
      <c r="B595" s="9" t="n"/>
      <c r="C595" s="8" t="n"/>
      <c r="D595" s="8" t="n"/>
      <c r="E595" s="8" t="n"/>
      <c r="F595" s="14" t="n"/>
      <c r="G595" s="14" t="n"/>
      <c r="H595" s="8" t="n"/>
      <c r="I595" s="8" t="n"/>
      <c r="J595" s="8" t="n"/>
      <c r="K595" s="18">
        <f>IF(B595="","",IFERROR(MONTH(B595),""))</f>
        <v/>
      </c>
      <c r="L595" s="5">
        <f>IF(COUNTA(A595:J595)=0,"",IF(E595="","Mangler motkonto",IF((F595="")=(G595=""),"Fyll ut enten Inn eller Ut",IF(OR(IFERROR(INDEX('Kontoplan'!$D$3:$D$302,MATCH(D595,'Kontoplan'!$H$3:$H$302,0))="Støttes ikke",FALSE),IFERROR(INDEX('Kontoplan'!$D$3:$D$302,MATCH(E595,'Kontoplan'!$H$3:$H$302,0))="Støttes ikke",FALSE)),"Kontoen støttes ikke",IF(IFERROR(AND(A595&gt;1,COUNTIF($A$3:$A$2002,A595-1)=0),FALSE),"Nummeret hopper over",IF(OR(NOT(ISNUMBER(B595)),B595&lt;DATE(2027,1,1),B595&gt;DATE(2027,12,31)),"Datoen er ikke i 2027",""))))))</f>
        <v/>
      </c>
    </row>
    <row r="596">
      <c r="A596" s="17" t="n"/>
      <c r="B596" s="9" t="n"/>
      <c r="C596" s="8" t="n"/>
      <c r="D596" s="8" t="n"/>
      <c r="E596" s="8" t="n"/>
      <c r="F596" s="14" t="n"/>
      <c r="G596" s="14" t="n"/>
      <c r="H596" s="8" t="n"/>
      <c r="I596" s="8" t="n"/>
      <c r="J596" s="8" t="n"/>
      <c r="K596" s="18">
        <f>IF(B596="","",IFERROR(MONTH(B596),""))</f>
        <v/>
      </c>
      <c r="L596" s="5">
        <f>IF(COUNTA(A596:J596)=0,"",IF(E596="","Mangler motkonto",IF((F596="")=(G596=""),"Fyll ut enten Inn eller Ut",IF(OR(IFERROR(INDEX('Kontoplan'!$D$3:$D$302,MATCH(D596,'Kontoplan'!$H$3:$H$302,0))="Støttes ikke",FALSE),IFERROR(INDEX('Kontoplan'!$D$3:$D$302,MATCH(E596,'Kontoplan'!$H$3:$H$302,0))="Støttes ikke",FALSE)),"Kontoen støttes ikke",IF(IFERROR(AND(A596&gt;1,COUNTIF($A$3:$A$2002,A596-1)=0),FALSE),"Nummeret hopper over",IF(OR(NOT(ISNUMBER(B596)),B596&lt;DATE(2027,1,1),B596&gt;DATE(2027,12,31)),"Datoen er ikke i 2027",""))))))</f>
        <v/>
      </c>
    </row>
    <row r="597">
      <c r="A597" s="17" t="n"/>
      <c r="B597" s="9" t="n"/>
      <c r="C597" s="8" t="n"/>
      <c r="D597" s="8" t="n"/>
      <c r="E597" s="8" t="n"/>
      <c r="F597" s="14" t="n"/>
      <c r="G597" s="14" t="n"/>
      <c r="H597" s="8" t="n"/>
      <c r="I597" s="8" t="n"/>
      <c r="J597" s="8" t="n"/>
      <c r="K597" s="18">
        <f>IF(B597="","",IFERROR(MONTH(B597),""))</f>
        <v/>
      </c>
      <c r="L597" s="5">
        <f>IF(COUNTA(A597:J597)=0,"",IF(E597="","Mangler motkonto",IF((F597="")=(G597=""),"Fyll ut enten Inn eller Ut",IF(OR(IFERROR(INDEX('Kontoplan'!$D$3:$D$302,MATCH(D597,'Kontoplan'!$H$3:$H$302,0))="Støttes ikke",FALSE),IFERROR(INDEX('Kontoplan'!$D$3:$D$302,MATCH(E597,'Kontoplan'!$H$3:$H$302,0))="Støttes ikke",FALSE)),"Kontoen støttes ikke",IF(IFERROR(AND(A597&gt;1,COUNTIF($A$3:$A$2002,A597-1)=0),FALSE),"Nummeret hopper over",IF(OR(NOT(ISNUMBER(B597)),B597&lt;DATE(2027,1,1),B597&gt;DATE(2027,12,31)),"Datoen er ikke i 2027",""))))))</f>
        <v/>
      </c>
    </row>
    <row r="598">
      <c r="A598" s="17" t="n"/>
      <c r="B598" s="9" t="n"/>
      <c r="C598" s="8" t="n"/>
      <c r="D598" s="8" t="n"/>
      <c r="E598" s="8" t="n"/>
      <c r="F598" s="14" t="n"/>
      <c r="G598" s="14" t="n"/>
      <c r="H598" s="8" t="n"/>
      <c r="I598" s="8" t="n"/>
      <c r="J598" s="8" t="n"/>
      <c r="K598" s="18">
        <f>IF(B598="","",IFERROR(MONTH(B598),""))</f>
        <v/>
      </c>
      <c r="L598" s="5">
        <f>IF(COUNTA(A598:J598)=0,"",IF(E598="","Mangler motkonto",IF((F598="")=(G598=""),"Fyll ut enten Inn eller Ut",IF(OR(IFERROR(INDEX('Kontoplan'!$D$3:$D$302,MATCH(D598,'Kontoplan'!$H$3:$H$302,0))="Støttes ikke",FALSE),IFERROR(INDEX('Kontoplan'!$D$3:$D$302,MATCH(E598,'Kontoplan'!$H$3:$H$302,0))="Støttes ikke",FALSE)),"Kontoen støttes ikke",IF(IFERROR(AND(A598&gt;1,COUNTIF($A$3:$A$2002,A598-1)=0),FALSE),"Nummeret hopper over",IF(OR(NOT(ISNUMBER(B598)),B598&lt;DATE(2027,1,1),B598&gt;DATE(2027,12,31)),"Datoen er ikke i 2027",""))))))</f>
        <v/>
      </c>
    </row>
    <row r="599">
      <c r="A599" s="17" t="n"/>
      <c r="B599" s="9" t="n"/>
      <c r="C599" s="8" t="n"/>
      <c r="D599" s="8" t="n"/>
      <c r="E599" s="8" t="n"/>
      <c r="F599" s="14" t="n"/>
      <c r="G599" s="14" t="n"/>
      <c r="H599" s="8" t="n"/>
      <c r="I599" s="8" t="n"/>
      <c r="J599" s="8" t="n"/>
      <c r="K599" s="18">
        <f>IF(B599="","",IFERROR(MONTH(B599),""))</f>
        <v/>
      </c>
      <c r="L599" s="5">
        <f>IF(COUNTA(A599:J599)=0,"",IF(E599="","Mangler motkonto",IF((F599="")=(G599=""),"Fyll ut enten Inn eller Ut",IF(OR(IFERROR(INDEX('Kontoplan'!$D$3:$D$302,MATCH(D599,'Kontoplan'!$H$3:$H$302,0))="Støttes ikke",FALSE),IFERROR(INDEX('Kontoplan'!$D$3:$D$302,MATCH(E599,'Kontoplan'!$H$3:$H$302,0))="Støttes ikke",FALSE)),"Kontoen støttes ikke",IF(IFERROR(AND(A599&gt;1,COUNTIF($A$3:$A$2002,A599-1)=0),FALSE),"Nummeret hopper over",IF(OR(NOT(ISNUMBER(B599)),B599&lt;DATE(2027,1,1),B599&gt;DATE(2027,12,31)),"Datoen er ikke i 2027",""))))))</f>
        <v/>
      </c>
    </row>
    <row r="600">
      <c r="A600" s="17" t="n"/>
      <c r="B600" s="9" t="n"/>
      <c r="C600" s="8" t="n"/>
      <c r="D600" s="8" t="n"/>
      <c r="E600" s="8" t="n"/>
      <c r="F600" s="14" t="n"/>
      <c r="G600" s="14" t="n"/>
      <c r="H600" s="8" t="n"/>
      <c r="I600" s="8" t="n"/>
      <c r="J600" s="8" t="n"/>
      <c r="K600" s="18">
        <f>IF(B600="","",IFERROR(MONTH(B600),""))</f>
        <v/>
      </c>
      <c r="L600" s="5">
        <f>IF(COUNTA(A600:J600)=0,"",IF(E600="","Mangler motkonto",IF((F600="")=(G600=""),"Fyll ut enten Inn eller Ut",IF(OR(IFERROR(INDEX('Kontoplan'!$D$3:$D$302,MATCH(D600,'Kontoplan'!$H$3:$H$302,0))="Støttes ikke",FALSE),IFERROR(INDEX('Kontoplan'!$D$3:$D$302,MATCH(E600,'Kontoplan'!$H$3:$H$302,0))="Støttes ikke",FALSE)),"Kontoen støttes ikke",IF(IFERROR(AND(A600&gt;1,COUNTIF($A$3:$A$2002,A600-1)=0),FALSE),"Nummeret hopper over",IF(OR(NOT(ISNUMBER(B600)),B600&lt;DATE(2027,1,1),B600&gt;DATE(2027,12,31)),"Datoen er ikke i 2027",""))))))</f>
        <v/>
      </c>
    </row>
    <row r="601">
      <c r="A601" s="17" t="n"/>
      <c r="B601" s="9" t="n"/>
      <c r="C601" s="8" t="n"/>
      <c r="D601" s="8" t="n"/>
      <c r="E601" s="8" t="n"/>
      <c r="F601" s="14" t="n"/>
      <c r="G601" s="14" t="n"/>
      <c r="H601" s="8" t="n"/>
      <c r="I601" s="8" t="n"/>
      <c r="J601" s="8" t="n"/>
      <c r="K601" s="18">
        <f>IF(B601="","",IFERROR(MONTH(B601),""))</f>
        <v/>
      </c>
      <c r="L601" s="5">
        <f>IF(COUNTA(A601:J601)=0,"",IF(E601="","Mangler motkonto",IF((F601="")=(G601=""),"Fyll ut enten Inn eller Ut",IF(OR(IFERROR(INDEX('Kontoplan'!$D$3:$D$302,MATCH(D601,'Kontoplan'!$H$3:$H$302,0))="Støttes ikke",FALSE),IFERROR(INDEX('Kontoplan'!$D$3:$D$302,MATCH(E601,'Kontoplan'!$H$3:$H$302,0))="Støttes ikke",FALSE)),"Kontoen støttes ikke",IF(IFERROR(AND(A601&gt;1,COUNTIF($A$3:$A$2002,A601-1)=0),FALSE),"Nummeret hopper over",IF(OR(NOT(ISNUMBER(B601)),B601&lt;DATE(2027,1,1),B601&gt;DATE(2027,12,31)),"Datoen er ikke i 2027",""))))))</f>
        <v/>
      </c>
    </row>
    <row r="602">
      <c r="A602" s="17" t="n"/>
      <c r="B602" s="9" t="n"/>
      <c r="C602" s="8" t="n"/>
      <c r="D602" s="8" t="n"/>
      <c r="E602" s="8" t="n"/>
      <c r="F602" s="14" t="n"/>
      <c r="G602" s="14" t="n"/>
      <c r="H602" s="8" t="n"/>
      <c r="I602" s="8" t="n"/>
      <c r="J602" s="8" t="n"/>
      <c r="K602" s="18">
        <f>IF(B602="","",IFERROR(MONTH(B602),""))</f>
        <v/>
      </c>
      <c r="L602" s="5">
        <f>IF(COUNTA(A602:J602)=0,"",IF(E602="","Mangler motkonto",IF((F602="")=(G602=""),"Fyll ut enten Inn eller Ut",IF(OR(IFERROR(INDEX('Kontoplan'!$D$3:$D$302,MATCH(D602,'Kontoplan'!$H$3:$H$302,0))="Støttes ikke",FALSE),IFERROR(INDEX('Kontoplan'!$D$3:$D$302,MATCH(E602,'Kontoplan'!$H$3:$H$302,0))="Støttes ikke",FALSE)),"Kontoen støttes ikke",IF(IFERROR(AND(A602&gt;1,COUNTIF($A$3:$A$2002,A602-1)=0),FALSE),"Nummeret hopper over",IF(OR(NOT(ISNUMBER(B602)),B602&lt;DATE(2027,1,1),B602&gt;DATE(2027,12,31)),"Datoen er ikke i 2027",""))))))</f>
        <v/>
      </c>
    </row>
    <row r="603">
      <c r="A603" s="17" t="n"/>
      <c r="B603" s="9" t="n"/>
      <c r="C603" s="8" t="n"/>
      <c r="D603" s="8" t="n"/>
      <c r="E603" s="8" t="n"/>
      <c r="F603" s="14" t="n"/>
      <c r="G603" s="14" t="n"/>
      <c r="H603" s="8" t="n"/>
      <c r="I603" s="8" t="n"/>
      <c r="J603" s="8" t="n"/>
      <c r="K603" s="18">
        <f>IF(B603="","",IFERROR(MONTH(B603),""))</f>
        <v/>
      </c>
      <c r="L603" s="5">
        <f>IF(COUNTA(A603:J603)=0,"",IF(E603="","Mangler motkonto",IF((F603="")=(G603=""),"Fyll ut enten Inn eller Ut",IF(OR(IFERROR(INDEX('Kontoplan'!$D$3:$D$302,MATCH(D603,'Kontoplan'!$H$3:$H$302,0))="Støttes ikke",FALSE),IFERROR(INDEX('Kontoplan'!$D$3:$D$302,MATCH(E603,'Kontoplan'!$H$3:$H$302,0))="Støttes ikke",FALSE)),"Kontoen støttes ikke",IF(IFERROR(AND(A603&gt;1,COUNTIF($A$3:$A$2002,A603-1)=0),FALSE),"Nummeret hopper over",IF(OR(NOT(ISNUMBER(B603)),B603&lt;DATE(2027,1,1),B603&gt;DATE(2027,12,31)),"Datoen er ikke i 2027",""))))))</f>
        <v/>
      </c>
    </row>
    <row r="604">
      <c r="A604" s="17" t="n"/>
      <c r="B604" s="9" t="n"/>
      <c r="C604" s="8" t="n"/>
      <c r="D604" s="8" t="n"/>
      <c r="E604" s="8" t="n"/>
      <c r="F604" s="14" t="n"/>
      <c r="G604" s="14" t="n"/>
      <c r="H604" s="8" t="n"/>
      <c r="I604" s="8" t="n"/>
      <c r="J604" s="8" t="n"/>
      <c r="K604" s="18">
        <f>IF(B604="","",IFERROR(MONTH(B604),""))</f>
        <v/>
      </c>
      <c r="L604" s="5">
        <f>IF(COUNTA(A604:J604)=0,"",IF(E604="","Mangler motkonto",IF((F604="")=(G604=""),"Fyll ut enten Inn eller Ut",IF(OR(IFERROR(INDEX('Kontoplan'!$D$3:$D$302,MATCH(D604,'Kontoplan'!$H$3:$H$302,0))="Støttes ikke",FALSE),IFERROR(INDEX('Kontoplan'!$D$3:$D$302,MATCH(E604,'Kontoplan'!$H$3:$H$302,0))="Støttes ikke",FALSE)),"Kontoen støttes ikke",IF(IFERROR(AND(A604&gt;1,COUNTIF($A$3:$A$2002,A604-1)=0),FALSE),"Nummeret hopper over",IF(OR(NOT(ISNUMBER(B604)),B604&lt;DATE(2027,1,1),B604&gt;DATE(2027,12,31)),"Datoen er ikke i 2027",""))))))</f>
        <v/>
      </c>
    </row>
    <row r="605">
      <c r="A605" s="17" t="n"/>
      <c r="B605" s="9" t="n"/>
      <c r="C605" s="8" t="n"/>
      <c r="D605" s="8" t="n"/>
      <c r="E605" s="8" t="n"/>
      <c r="F605" s="14" t="n"/>
      <c r="G605" s="14" t="n"/>
      <c r="H605" s="8" t="n"/>
      <c r="I605" s="8" t="n"/>
      <c r="J605" s="8" t="n"/>
      <c r="K605" s="18">
        <f>IF(B605="","",IFERROR(MONTH(B605),""))</f>
        <v/>
      </c>
      <c r="L605" s="5">
        <f>IF(COUNTA(A605:J605)=0,"",IF(E605="","Mangler motkonto",IF((F605="")=(G605=""),"Fyll ut enten Inn eller Ut",IF(OR(IFERROR(INDEX('Kontoplan'!$D$3:$D$302,MATCH(D605,'Kontoplan'!$H$3:$H$302,0))="Støttes ikke",FALSE),IFERROR(INDEX('Kontoplan'!$D$3:$D$302,MATCH(E605,'Kontoplan'!$H$3:$H$302,0))="Støttes ikke",FALSE)),"Kontoen støttes ikke",IF(IFERROR(AND(A605&gt;1,COUNTIF($A$3:$A$2002,A605-1)=0),FALSE),"Nummeret hopper over",IF(OR(NOT(ISNUMBER(B605)),B605&lt;DATE(2027,1,1),B605&gt;DATE(2027,12,31)),"Datoen er ikke i 2027",""))))))</f>
        <v/>
      </c>
    </row>
    <row r="606">
      <c r="A606" s="17" t="n"/>
      <c r="B606" s="9" t="n"/>
      <c r="C606" s="8" t="n"/>
      <c r="D606" s="8" t="n"/>
      <c r="E606" s="8" t="n"/>
      <c r="F606" s="14" t="n"/>
      <c r="G606" s="14" t="n"/>
      <c r="H606" s="8" t="n"/>
      <c r="I606" s="8" t="n"/>
      <c r="J606" s="8" t="n"/>
      <c r="K606" s="18">
        <f>IF(B606="","",IFERROR(MONTH(B606),""))</f>
        <v/>
      </c>
      <c r="L606" s="5">
        <f>IF(COUNTA(A606:J606)=0,"",IF(E606="","Mangler motkonto",IF((F606="")=(G606=""),"Fyll ut enten Inn eller Ut",IF(OR(IFERROR(INDEX('Kontoplan'!$D$3:$D$302,MATCH(D606,'Kontoplan'!$H$3:$H$302,0))="Støttes ikke",FALSE),IFERROR(INDEX('Kontoplan'!$D$3:$D$302,MATCH(E606,'Kontoplan'!$H$3:$H$302,0))="Støttes ikke",FALSE)),"Kontoen støttes ikke",IF(IFERROR(AND(A606&gt;1,COUNTIF($A$3:$A$2002,A606-1)=0),FALSE),"Nummeret hopper over",IF(OR(NOT(ISNUMBER(B606)),B606&lt;DATE(2027,1,1),B606&gt;DATE(2027,12,31)),"Datoen er ikke i 2027",""))))))</f>
        <v/>
      </c>
    </row>
    <row r="607">
      <c r="A607" s="17" t="n"/>
      <c r="B607" s="9" t="n"/>
      <c r="C607" s="8" t="n"/>
      <c r="D607" s="8" t="n"/>
      <c r="E607" s="8" t="n"/>
      <c r="F607" s="14" t="n"/>
      <c r="G607" s="14" t="n"/>
      <c r="H607" s="8" t="n"/>
      <c r="I607" s="8" t="n"/>
      <c r="J607" s="8" t="n"/>
      <c r="K607" s="18">
        <f>IF(B607="","",IFERROR(MONTH(B607),""))</f>
        <v/>
      </c>
      <c r="L607" s="5">
        <f>IF(COUNTA(A607:J607)=0,"",IF(E607="","Mangler motkonto",IF((F607="")=(G607=""),"Fyll ut enten Inn eller Ut",IF(OR(IFERROR(INDEX('Kontoplan'!$D$3:$D$302,MATCH(D607,'Kontoplan'!$H$3:$H$302,0))="Støttes ikke",FALSE),IFERROR(INDEX('Kontoplan'!$D$3:$D$302,MATCH(E607,'Kontoplan'!$H$3:$H$302,0))="Støttes ikke",FALSE)),"Kontoen støttes ikke",IF(IFERROR(AND(A607&gt;1,COUNTIF($A$3:$A$2002,A607-1)=0),FALSE),"Nummeret hopper over",IF(OR(NOT(ISNUMBER(B607)),B607&lt;DATE(2027,1,1),B607&gt;DATE(2027,12,31)),"Datoen er ikke i 2027",""))))))</f>
        <v/>
      </c>
    </row>
    <row r="608">
      <c r="A608" s="17" t="n"/>
      <c r="B608" s="9" t="n"/>
      <c r="C608" s="8" t="n"/>
      <c r="D608" s="8" t="n"/>
      <c r="E608" s="8" t="n"/>
      <c r="F608" s="14" t="n"/>
      <c r="G608" s="14" t="n"/>
      <c r="H608" s="8" t="n"/>
      <c r="I608" s="8" t="n"/>
      <c r="J608" s="8" t="n"/>
      <c r="K608" s="18">
        <f>IF(B608="","",IFERROR(MONTH(B608),""))</f>
        <v/>
      </c>
      <c r="L608" s="5">
        <f>IF(COUNTA(A608:J608)=0,"",IF(E608="","Mangler motkonto",IF((F608="")=(G608=""),"Fyll ut enten Inn eller Ut",IF(OR(IFERROR(INDEX('Kontoplan'!$D$3:$D$302,MATCH(D608,'Kontoplan'!$H$3:$H$302,0))="Støttes ikke",FALSE),IFERROR(INDEX('Kontoplan'!$D$3:$D$302,MATCH(E608,'Kontoplan'!$H$3:$H$302,0))="Støttes ikke",FALSE)),"Kontoen støttes ikke",IF(IFERROR(AND(A608&gt;1,COUNTIF($A$3:$A$2002,A608-1)=0),FALSE),"Nummeret hopper over",IF(OR(NOT(ISNUMBER(B608)),B608&lt;DATE(2027,1,1),B608&gt;DATE(2027,12,31)),"Datoen er ikke i 2027",""))))))</f>
        <v/>
      </c>
    </row>
    <row r="609">
      <c r="A609" s="17" t="n"/>
      <c r="B609" s="9" t="n"/>
      <c r="C609" s="8" t="n"/>
      <c r="D609" s="8" t="n"/>
      <c r="E609" s="8" t="n"/>
      <c r="F609" s="14" t="n"/>
      <c r="G609" s="14" t="n"/>
      <c r="H609" s="8" t="n"/>
      <c r="I609" s="8" t="n"/>
      <c r="J609" s="8" t="n"/>
      <c r="K609" s="18">
        <f>IF(B609="","",IFERROR(MONTH(B609),""))</f>
        <v/>
      </c>
      <c r="L609" s="5">
        <f>IF(COUNTA(A609:J609)=0,"",IF(E609="","Mangler motkonto",IF((F609="")=(G609=""),"Fyll ut enten Inn eller Ut",IF(OR(IFERROR(INDEX('Kontoplan'!$D$3:$D$302,MATCH(D609,'Kontoplan'!$H$3:$H$302,0))="Støttes ikke",FALSE),IFERROR(INDEX('Kontoplan'!$D$3:$D$302,MATCH(E609,'Kontoplan'!$H$3:$H$302,0))="Støttes ikke",FALSE)),"Kontoen støttes ikke",IF(IFERROR(AND(A609&gt;1,COUNTIF($A$3:$A$2002,A609-1)=0),FALSE),"Nummeret hopper over",IF(OR(NOT(ISNUMBER(B609)),B609&lt;DATE(2027,1,1),B609&gt;DATE(2027,12,31)),"Datoen er ikke i 2027",""))))))</f>
        <v/>
      </c>
    </row>
    <row r="610">
      <c r="A610" s="17" t="n"/>
      <c r="B610" s="9" t="n"/>
      <c r="C610" s="8" t="n"/>
      <c r="D610" s="8" t="n"/>
      <c r="E610" s="8" t="n"/>
      <c r="F610" s="14" t="n"/>
      <c r="G610" s="14" t="n"/>
      <c r="H610" s="8" t="n"/>
      <c r="I610" s="8" t="n"/>
      <c r="J610" s="8" t="n"/>
      <c r="K610" s="18">
        <f>IF(B610="","",IFERROR(MONTH(B610),""))</f>
        <v/>
      </c>
      <c r="L610" s="5">
        <f>IF(COUNTA(A610:J610)=0,"",IF(E610="","Mangler motkonto",IF((F610="")=(G610=""),"Fyll ut enten Inn eller Ut",IF(OR(IFERROR(INDEX('Kontoplan'!$D$3:$D$302,MATCH(D610,'Kontoplan'!$H$3:$H$302,0))="Støttes ikke",FALSE),IFERROR(INDEX('Kontoplan'!$D$3:$D$302,MATCH(E610,'Kontoplan'!$H$3:$H$302,0))="Støttes ikke",FALSE)),"Kontoen støttes ikke",IF(IFERROR(AND(A610&gt;1,COUNTIF($A$3:$A$2002,A610-1)=0),FALSE),"Nummeret hopper over",IF(OR(NOT(ISNUMBER(B610)),B610&lt;DATE(2027,1,1),B610&gt;DATE(2027,12,31)),"Datoen er ikke i 2027",""))))))</f>
        <v/>
      </c>
    </row>
    <row r="611">
      <c r="A611" s="17" t="n"/>
      <c r="B611" s="9" t="n"/>
      <c r="C611" s="8" t="n"/>
      <c r="D611" s="8" t="n"/>
      <c r="E611" s="8" t="n"/>
      <c r="F611" s="14" t="n"/>
      <c r="G611" s="14" t="n"/>
      <c r="H611" s="8" t="n"/>
      <c r="I611" s="8" t="n"/>
      <c r="J611" s="8" t="n"/>
      <c r="K611" s="18">
        <f>IF(B611="","",IFERROR(MONTH(B611),""))</f>
        <v/>
      </c>
      <c r="L611" s="5">
        <f>IF(COUNTA(A611:J611)=0,"",IF(E611="","Mangler motkonto",IF((F611="")=(G611=""),"Fyll ut enten Inn eller Ut",IF(OR(IFERROR(INDEX('Kontoplan'!$D$3:$D$302,MATCH(D611,'Kontoplan'!$H$3:$H$302,0))="Støttes ikke",FALSE),IFERROR(INDEX('Kontoplan'!$D$3:$D$302,MATCH(E611,'Kontoplan'!$H$3:$H$302,0))="Støttes ikke",FALSE)),"Kontoen støttes ikke",IF(IFERROR(AND(A611&gt;1,COUNTIF($A$3:$A$2002,A611-1)=0),FALSE),"Nummeret hopper over",IF(OR(NOT(ISNUMBER(B611)),B611&lt;DATE(2027,1,1),B611&gt;DATE(2027,12,31)),"Datoen er ikke i 2027",""))))))</f>
        <v/>
      </c>
    </row>
    <row r="612">
      <c r="A612" s="17" t="n"/>
      <c r="B612" s="9" t="n"/>
      <c r="C612" s="8" t="n"/>
      <c r="D612" s="8" t="n"/>
      <c r="E612" s="8" t="n"/>
      <c r="F612" s="14" t="n"/>
      <c r="G612" s="14" t="n"/>
      <c r="H612" s="8" t="n"/>
      <c r="I612" s="8" t="n"/>
      <c r="J612" s="8" t="n"/>
      <c r="K612" s="18">
        <f>IF(B612="","",IFERROR(MONTH(B612),""))</f>
        <v/>
      </c>
      <c r="L612" s="5">
        <f>IF(COUNTA(A612:J612)=0,"",IF(E612="","Mangler motkonto",IF((F612="")=(G612=""),"Fyll ut enten Inn eller Ut",IF(OR(IFERROR(INDEX('Kontoplan'!$D$3:$D$302,MATCH(D612,'Kontoplan'!$H$3:$H$302,0))="Støttes ikke",FALSE),IFERROR(INDEX('Kontoplan'!$D$3:$D$302,MATCH(E612,'Kontoplan'!$H$3:$H$302,0))="Støttes ikke",FALSE)),"Kontoen støttes ikke",IF(IFERROR(AND(A612&gt;1,COUNTIF($A$3:$A$2002,A612-1)=0),FALSE),"Nummeret hopper over",IF(OR(NOT(ISNUMBER(B612)),B612&lt;DATE(2027,1,1),B612&gt;DATE(2027,12,31)),"Datoen er ikke i 2027",""))))))</f>
        <v/>
      </c>
    </row>
    <row r="613">
      <c r="A613" s="17" t="n"/>
      <c r="B613" s="9" t="n"/>
      <c r="C613" s="8" t="n"/>
      <c r="D613" s="8" t="n"/>
      <c r="E613" s="8" t="n"/>
      <c r="F613" s="14" t="n"/>
      <c r="G613" s="14" t="n"/>
      <c r="H613" s="8" t="n"/>
      <c r="I613" s="8" t="n"/>
      <c r="J613" s="8" t="n"/>
      <c r="K613" s="18">
        <f>IF(B613="","",IFERROR(MONTH(B613),""))</f>
        <v/>
      </c>
      <c r="L613" s="5">
        <f>IF(COUNTA(A613:J613)=0,"",IF(E613="","Mangler motkonto",IF((F613="")=(G613=""),"Fyll ut enten Inn eller Ut",IF(OR(IFERROR(INDEX('Kontoplan'!$D$3:$D$302,MATCH(D613,'Kontoplan'!$H$3:$H$302,0))="Støttes ikke",FALSE),IFERROR(INDEX('Kontoplan'!$D$3:$D$302,MATCH(E613,'Kontoplan'!$H$3:$H$302,0))="Støttes ikke",FALSE)),"Kontoen støttes ikke",IF(IFERROR(AND(A613&gt;1,COUNTIF($A$3:$A$2002,A613-1)=0),FALSE),"Nummeret hopper over",IF(OR(NOT(ISNUMBER(B613)),B613&lt;DATE(2027,1,1),B613&gt;DATE(2027,12,31)),"Datoen er ikke i 2027",""))))))</f>
        <v/>
      </c>
    </row>
    <row r="614">
      <c r="A614" s="17" t="n"/>
      <c r="B614" s="9" t="n"/>
      <c r="C614" s="8" t="n"/>
      <c r="D614" s="8" t="n"/>
      <c r="E614" s="8" t="n"/>
      <c r="F614" s="14" t="n"/>
      <c r="G614" s="14" t="n"/>
      <c r="H614" s="8" t="n"/>
      <c r="I614" s="8" t="n"/>
      <c r="J614" s="8" t="n"/>
      <c r="K614" s="18">
        <f>IF(B614="","",IFERROR(MONTH(B614),""))</f>
        <v/>
      </c>
      <c r="L614" s="5">
        <f>IF(COUNTA(A614:J614)=0,"",IF(E614="","Mangler motkonto",IF((F614="")=(G614=""),"Fyll ut enten Inn eller Ut",IF(OR(IFERROR(INDEX('Kontoplan'!$D$3:$D$302,MATCH(D614,'Kontoplan'!$H$3:$H$302,0))="Støttes ikke",FALSE),IFERROR(INDEX('Kontoplan'!$D$3:$D$302,MATCH(E614,'Kontoplan'!$H$3:$H$302,0))="Støttes ikke",FALSE)),"Kontoen støttes ikke",IF(IFERROR(AND(A614&gt;1,COUNTIF($A$3:$A$2002,A614-1)=0),FALSE),"Nummeret hopper over",IF(OR(NOT(ISNUMBER(B614)),B614&lt;DATE(2027,1,1),B614&gt;DATE(2027,12,31)),"Datoen er ikke i 2027",""))))))</f>
        <v/>
      </c>
    </row>
    <row r="615">
      <c r="A615" s="17" t="n"/>
      <c r="B615" s="9" t="n"/>
      <c r="C615" s="8" t="n"/>
      <c r="D615" s="8" t="n"/>
      <c r="E615" s="8" t="n"/>
      <c r="F615" s="14" t="n"/>
      <c r="G615" s="14" t="n"/>
      <c r="H615" s="8" t="n"/>
      <c r="I615" s="8" t="n"/>
      <c r="J615" s="8" t="n"/>
      <c r="K615" s="18">
        <f>IF(B615="","",IFERROR(MONTH(B615),""))</f>
        <v/>
      </c>
      <c r="L615" s="5">
        <f>IF(COUNTA(A615:J615)=0,"",IF(E615="","Mangler motkonto",IF((F615="")=(G615=""),"Fyll ut enten Inn eller Ut",IF(OR(IFERROR(INDEX('Kontoplan'!$D$3:$D$302,MATCH(D615,'Kontoplan'!$H$3:$H$302,0))="Støttes ikke",FALSE),IFERROR(INDEX('Kontoplan'!$D$3:$D$302,MATCH(E615,'Kontoplan'!$H$3:$H$302,0))="Støttes ikke",FALSE)),"Kontoen støttes ikke",IF(IFERROR(AND(A615&gt;1,COUNTIF($A$3:$A$2002,A615-1)=0),FALSE),"Nummeret hopper over",IF(OR(NOT(ISNUMBER(B615)),B615&lt;DATE(2027,1,1),B615&gt;DATE(2027,12,31)),"Datoen er ikke i 2027",""))))))</f>
        <v/>
      </c>
    </row>
    <row r="616">
      <c r="A616" s="17" t="n"/>
      <c r="B616" s="9" t="n"/>
      <c r="C616" s="8" t="n"/>
      <c r="D616" s="8" t="n"/>
      <c r="E616" s="8" t="n"/>
      <c r="F616" s="14" t="n"/>
      <c r="G616" s="14" t="n"/>
      <c r="H616" s="8" t="n"/>
      <c r="I616" s="8" t="n"/>
      <c r="J616" s="8" t="n"/>
      <c r="K616" s="18">
        <f>IF(B616="","",IFERROR(MONTH(B616),""))</f>
        <v/>
      </c>
      <c r="L616" s="5">
        <f>IF(COUNTA(A616:J616)=0,"",IF(E616="","Mangler motkonto",IF((F616="")=(G616=""),"Fyll ut enten Inn eller Ut",IF(OR(IFERROR(INDEX('Kontoplan'!$D$3:$D$302,MATCH(D616,'Kontoplan'!$H$3:$H$302,0))="Støttes ikke",FALSE),IFERROR(INDEX('Kontoplan'!$D$3:$D$302,MATCH(E616,'Kontoplan'!$H$3:$H$302,0))="Støttes ikke",FALSE)),"Kontoen støttes ikke",IF(IFERROR(AND(A616&gt;1,COUNTIF($A$3:$A$2002,A616-1)=0),FALSE),"Nummeret hopper over",IF(OR(NOT(ISNUMBER(B616)),B616&lt;DATE(2027,1,1),B616&gt;DATE(2027,12,31)),"Datoen er ikke i 2027",""))))))</f>
        <v/>
      </c>
    </row>
    <row r="617">
      <c r="A617" s="17" t="n"/>
      <c r="B617" s="9" t="n"/>
      <c r="C617" s="8" t="n"/>
      <c r="D617" s="8" t="n"/>
      <c r="E617" s="8" t="n"/>
      <c r="F617" s="14" t="n"/>
      <c r="G617" s="14" t="n"/>
      <c r="H617" s="8" t="n"/>
      <c r="I617" s="8" t="n"/>
      <c r="J617" s="8" t="n"/>
      <c r="K617" s="18">
        <f>IF(B617="","",IFERROR(MONTH(B617),""))</f>
        <v/>
      </c>
      <c r="L617" s="5">
        <f>IF(COUNTA(A617:J617)=0,"",IF(E617="","Mangler motkonto",IF((F617="")=(G617=""),"Fyll ut enten Inn eller Ut",IF(OR(IFERROR(INDEX('Kontoplan'!$D$3:$D$302,MATCH(D617,'Kontoplan'!$H$3:$H$302,0))="Støttes ikke",FALSE),IFERROR(INDEX('Kontoplan'!$D$3:$D$302,MATCH(E617,'Kontoplan'!$H$3:$H$302,0))="Støttes ikke",FALSE)),"Kontoen støttes ikke",IF(IFERROR(AND(A617&gt;1,COUNTIF($A$3:$A$2002,A617-1)=0),FALSE),"Nummeret hopper over",IF(OR(NOT(ISNUMBER(B617)),B617&lt;DATE(2027,1,1),B617&gt;DATE(2027,12,31)),"Datoen er ikke i 2027",""))))))</f>
        <v/>
      </c>
    </row>
    <row r="618">
      <c r="A618" s="17" t="n"/>
      <c r="B618" s="9" t="n"/>
      <c r="C618" s="8" t="n"/>
      <c r="D618" s="8" t="n"/>
      <c r="E618" s="8" t="n"/>
      <c r="F618" s="14" t="n"/>
      <c r="G618" s="14" t="n"/>
      <c r="H618" s="8" t="n"/>
      <c r="I618" s="8" t="n"/>
      <c r="J618" s="8" t="n"/>
      <c r="K618" s="18">
        <f>IF(B618="","",IFERROR(MONTH(B618),""))</f>
        <v/>
      </c>
      <c r="L618" s="5">
        <f>IF(COUNTA(A618:J618)=0,"",IF(E618="","Mangler motkonto",IF((F618="")=(G618=""),"Fyll ut enten Inn eller Ut",IF(OR(IFERROR(INDEX('Kontoplan'!$D$3:$D$302,MATCH(D618,'Kontoplan'!$H$3:$H$302,0))="Støttes ikke",FALSE),IFERROR(INDEX('Kontoplan'!$D$3:$D$302,MATCH(E618,'Kontoplan'!$H$3:$H$302,0))="Støttes ikke",FALSE)),"Kontoen støttes ikke",IF(IFERROR(AND(A618&gt;1,COUNTIF($A$3:$A$2002,A618-1)=0),FALSE),"Nummeret hopper over",IF(OR(NOT(ISNUMBER(B618)),B618&lt;DATE(2027,1,1),B618&gt;DATE(2027,12,31)),"Datoen er ikke i 2027",""))))))</f>
        <v/>
      </c>
    </row>
    <row r="619">
      <c r="A619" s="17" t="n"/>
      <c r="B619" s="9" t="n"/>
      <c r="C619" s="8" t="n"/>
      <c r="D619" s="8" t="n"/>
      <c r="E619" s="8" t="n"/>
      <c r="F619" s="14" t="n"/>
      <c r="G619" s="14" t="n"/>
      <c r="H619" s="8" t="n"/>
      <c r="I619" s="8" t="n"/>
      <c r="J619" s="8" t="n"/>
      <c r="K619" s="18">
        <f>IF(B619="","",IFERROR(MONTH(B619),""))</f>
        <v/>
      </c>
      <c r="L619" s="5">
        <f>IF(COUNTA(A619:J619)=0,"",IF(E619="","Mangler motkonto",IF((F619="")=(G619=""),"Fyll ut enten Inn eller Ut",IF(OR(IFERROR(INDEX('Kontoplan'!$D$3:$D$302,MATCH(D619,'Kontoplan'!$H$3:$H$302,0))="Støttes ikke",FALSE),IFERROR(INDEX('Kontoplan'!$D$3:$D$302,MATCH(E619,'Kontoplan'!$H$3:$H$302,0))="Støttes ikke",FALSE)),"Kontoen støttes ikke",IF(IFERROR(AND(A619&gt;1,COUNTIF($A$3:$A$2002,A619-1)=0),FALSE),"Nummeret hopper over",IF(OR(NOT(ISNUMBER(B619)),B619&lt;DATE(2027,1,1),B619&gt;DATE(2027,12,31)),"Datoen er ikke i 2027",""))))))</f>
        <v/>
      </c>
    </row>
    <row r="620">
      <c r="A620" s="17" t="n"/>
      <c r="B620" s="9" t="n"/>
      <c r="C620" s="8" t="n"/>
      <c r="D620" s="8" t="n"/>
      <c r="E620" s="8" t="n"/>
      <c r="F620" s="14" t="n"/>
      <c r="G620" s="14" t="n"/>
      <c r="H620" s="8" t="n"/>
      <c r="I620" s="8" t="n"/>
      <c r="J620" s="8" t="n"/>
      <c r="K620" s="18">
        <f>IF(B620="","",IFERROR(MONTH(B620),""))</f>
        <v/>
      </c>
      <c r="L620" s="5">
        <f>IF(COUNTA(A620:J620)=0,"",IF(E620="","Mangler motkonto",IF((F620="")=(G620=""),"Fyll ut enten Inn eller Ut",IF(OR(IFERROR(INDEX('Kontoplan'!$D$3:$D$302,MATCH(D620,'Kontoplan'!$H$3:$H$302,0))="Støttes ikke",FALSE),IFERROR(INDEX('Kontoplan'!$D$3:$D$302,MATCH(E620,'Kontoplan'!$H$3:$H$302,0))="Støttes ikke",FALSE)),"Kontoen støttes ikke",IF(IFERROR(AND(A620&gt;1,COUNTIF($A$3:$A$2002,A620-1)=0),FALSE),"Nummeret hopper over",IF(OR(NOT(ISNUMBER(B620)),B620&lt;DATE(2027,1,1),B620&gt;DATE(2027,12,31)),"Datoen er ikke i 2027",""))))))</f>
        <v/>
      </c>
    </row>
    <row r="621">
      <c r="A621" s="17" t="n"/>
      <c r="B621" s="9" t="n"/>
      <c r="C621" s="8" t="n"/>
      <c r="D621" s="8" t="n"/>
      <c r="E621" s="8" t="n"/>
      <c r="F621" s="14" t="n"/>
      <c r="G621" s="14" t="n"/>
      <c r="H621" s="8" t="n"/>
      <c r="I621" s="8" t="n"/>
      <c r="J621" s="8" t="n"/>
      <c r="K621" s="18">
        <f>IF(B621="","",IFERROR(MONTH(B621),""))</f>
        <v/>
      </c>
      <c r="L621" s="5">
        <f>IF(COUNTA(A621:J621)=0,"",IF(E621="","Mangler motkonto",IF((F621="")=(G621=""),"Fyll ut enten Inn eller Ut",IF(OR(IFERROR(INDEX('Kontoplan'!$D$3:$D$302,MATCH(D621,'Kontoplan'!$H$3:$H$302,0))="Støttes ikke",FALSE),IFERROR(INDEX('Kontoplan'!$D$3:$D$302,MATCH(E621,'Kontoplan'!$H$3:$H$302,0))="Støttes ikke",FALSE)),"Kontoen støttes ikke",IF(IFERROR(AND(A621&gt;1,COUNTIF($A$3:$A$2002,A621-1)=0),FALSE),"Nummeret hopper over",IF(OR(NOT(ISNUMBER(B621)),B621&lt;DATE(2027,1,1),B621&gt;DATE(2027,12,31)),"Datoen er ikke i 2027",""))))))</f>
        <v/>
      </c>
    </row>
    <row r="622">
      <c r="A622" s="17" t="n"/>
      <c r="B622" s="9" t="n"/>
      <c r="C622" s="8" t="n"/>
      <c r="D622" s="8" t="n"/>
      <c r="E622" s="8" t="n"/>
      <c r="F622" s="14" t="n"/>
      <c r="G622" s="14" t="n"/>
      <c r="H622" s="8" t="n"/>
      <c r="I622" s="8" t="n"/>
      <c r="J622" s="8" t="n"/>
      <c r="K622" s="18">
        <f>IF(B622="","",IFERROR(MONTH(B622),""))</f>
        <v/>
      </c>
      <c r="L622" s="5">
        <f>IF(COUNTA(A622:J622)=0,"",IF(E622="","Mangler motkonto",IF((F622="")=(G622=""),"Fyll ut enten Inn eller Ut",IF(OR(IFERROR(INDEX('Kontoplan'!$D$3:$D$302,MATCH(D622,'Kontoplan'!$H$3:$H$302,0))="Støttes ikke",FALSE),IFERROR(INDEX('Kontoplan'!$D$3:$D$302,MATCH(E622,'Kontoplan'!$H$3:$H$302,0))="Støttes ikke",FALSE)),"Kontoen støttes ikke",IF(IFERROR(AND(A622&gt;1,COUNTIF($A$3:$A$2002,A622-1)=0),FALSE),"Nummeret hopper over",IF(OR(NOT(ISNUMBER(B622)),B622&lt;DATE(2027,1,1),B622&gt;DATE(2027,12,31)),"Datoen er ikke i 2027",""))))))</f>
        <v/>
      </c>
    </row>
    <row r="623">
      <c r="A623" s="17" t="n"/>
      <c r="B623" s="9" t="n"/>
      <c r="C623" s="8" t="n"/>
      <c r="D623" s="8" t="n"/>
      <c r="E623" s="8" t="n"/>
      <c r="F623" s="14" t="n"/>
      <c r="G623" s="14" t="n"/>
      <c r="H623" s="8" t="n"/>
      <c r="I623" s="8" t="n"/>
      <c r="J623" s="8" t="n"/>
      <c r="K623" s="18">
        <f>IF(B623="","",IFERROR(MONTH(B623),""))</f>
        <v/>
      </c>
      <c r="L623" s="5">
        <f>IF(COUNTA(A623:J623)=0,"",IF(E623="","Mangler motkonto",IF((F623="")=(G623=""),"Fyll ut enten Inn eller Ut",IF(OR(IFERROR(INDEX('Kontoplan'!$D$3:$D$302,MATCH(D623,'Kontoplan'!$H$3:$H$302,0))="Støttes ikke",FALSE),IFERROR(INDEX('Kontoplan'!$D$3:$D$302,MATCH(E623,'Kontoplan'!$H$3:$H$302,0))="Støttes ikke",FALSE)),"Kontoen støttes ikke",IF(IFERROR(AND(A623&gt;1,COUNTIF($A$3:$A$2002,A623-1)=0),FALSE),"Nummeret hopper over",IF(OR(NOT(ISNUMBER(B623)),B623&lt;DATE(2027,1,1),B623&gt;DATE(2027,12,31)),"Datoen er ikke i 2027",""))))))</f>
        <v/>
      </c>
    </row>
    <row r="624">
      <c r="A624" s="17" t="n"/>
      <c r="B624" s="9" t="n"/>
      <c r="C624" s="8" t="n"/>
      <c r="D624" s="8" t="n"/>
      <c r="E624" s="8" t="n"/>
      <c r="F624" s="14" t="n"/>
      <c r="G624" s="14" t="n"/>
      <c r="H624" s="8" t="n"/>
      <c r="I624" s="8" t="n"/>
      <c r="J624" s="8" t="n"/>
      <c r="K624" s="18">
        <f>IF(B624="","",IFERROR(MONTH(B624),""))</f>
        <v/>
      </c>
      <c r="L624" s="5">
        <f>IF(COUNTA(A624:J624)=0,"",IF(E624="","Mangler motkonto",IF((F624="")=(G624=""),"Fyll ut enten Inn eller Ut",IF(OR(IFERROR(INDEX('Kontoplan'!$D$3:$D$302,MATCH(D624,'Kontoplan'!$H$3:$H$302,0))="Støttes ikke",FALSE),IFERROR(INDEX('Kontoplan'!$D$3:$D$302,MATCH(E624,'Kontoplan'!$H$3:$H$302,0))="Støttes ikke",FALSE)),"Kontoen støttes ikke",IF(IFERROR(AND(A624&gt;1,COUNTIF($A$3:$A$2002,A624-1)=0),FALSE),"Nummeret hopper over",IF(OR(NOT(ISNUMBER(B624)),B624&lt;DATE(2027,1,1),B624&gt;DATE(2027,12,31)),"Datoen er ikke i 2027",""))))))</f>
        <v/>
      </c>
    </row>
    <row r="625">
      <c r="A625" s="17" t="n"/>
      <c r="B625" s="9" t="n"/>
      <c r="C625" s="8" t="n"/>
      <c r="D625" s="8" t="n"/>
      <c r="E625" s="8" t="n"/>
      <c r="F625" s="14" t="n"/>
      <c r="G625" s="14" t="n"/>
      <c r="H625" s="8" t="n"/>
      <c r="I625" s="8" t="n"/>
      <c r="J625" s="8" t="n"/>
      <c r="K625" s="18">
        <f>IF(B625="","",IFERROR(MONTH(B625),""))</f>
        <v/>
      </c>
      <c r="L625" s="5">
        <f>IF(COUNTA(A625:J625)=0,"",IF(E625="","Mangler motkonto",IF((F625="")=(G625=""),"Fyll ut enten Inn eller Ut",IF(OR(IFERROR(INDEX('Kontoplan'!$D$3:$D$302,MATCH(D625,'Kontoplan'!$H$3:$H$302,0))="Støttes ikke",FALSE),IFERROR(INDEX('Kontoplan'!$D$3:$D$302,MATCH(E625,'Kontoplan'!$H$3:$H$302,0))="Støttes ikke",FALSE)),"Kontoen støttes ikke",IF(IFERROR(AND(A625&gt;1,COUNTIF($A$3:$A$2002,A625-1)=0),FALSE),"Nummeret hopper over",IF(OR(NOT(ISNUMBER(B625)),B625&lt;DATE(2027,1,1),B625&gt;DATE(2027,12,31)),"Datoen er ikke i 2027",""))))))</f>
        <v/>
      </c>
    </row>
    <row r="626">
      <c r="A626" s="17" t="n"/>
      <c r="B626" s="9" t="n"/>
      <c r="C626" s="8" t="n"/>
      <c r="D626" s="8" t="n"/>
      <c r="E626" s="8" t="n"/>
      <c r="F626" s="14" t="n"/>
      <c r="G626" s="14" t="n"/>
      <c r="H626" s="8" t="n"/>
      <c r="I626" s="8" t="n"/>
      <c r="J626" s="8" t="n"/>
      <c r="K626" s="18">
        <f>IF(B626="","",IFERROR(MONTH(B626),""))</f>
        <v/>
      </c>
      <c r="L626" s="5">
        <f>IF(COUNTA(A626:J626)=0,"",IF(E626="","Mangler motkonto",IF((F626="")=(G626=""),"Fyll ut enten Inn eller Ut",IF(OR(IFERROR(INDEX('Kontoplan'!$D$3:$D$302,MATCH(D626,'Kontoplan'!$H$3:$H$302,0))="Støttes ikke",FALSE),IFERROR(INDEX('Kontoplan'!$D$3:$D$302,MATCH(E626,'Kontoplan'!$H$3:$H$302,0))="Støttes ikke",FALSE)),"Kontoen støttes ikke",IF(IFERROR(AND(A626&gt;1,COUNTIF($A$3:$A$2002,A626-1)=0),FALSE),"Nummeret hopper over",IF(OR(NOT(ISNUMBER(B626)),B626&lt;DATE(2027,1,1),B626&gt;DATE(2027,12,31)),"Datoen er ikke i 2027",""))))))</f>
        <v/>
      </c>
    </row>
    <row r="627">
      <c r="A627" s="17" t="n"/>
      <c r="B627" s="9" t="n"/>
      <c r="C627" s="8" t="n"/>
      <c r="D627" s="8" t="n"/>
      <c r="E627" s="8" t="n"/>
      <c r="F627" s="14" t="n"/>
      <c r="G627" s="14" t="n"/>
      <c r="H627" s="8" t="n"/>
      <c r="I627" s="8" t="n"/>
      <c r="J627" s="8" t="n"/>
      <c r="K627" s="18">
        <f>IF(B627="","",IFERROR(MONTH(B627),""))</f>
        <v/>
      </c>
      <c r="L627" s="5">
        <f>IF(COUNTA(A627:J627)=0,"",IF(E627="","Mangler motkonto",IF((F627="")=(G627=""),"Fyll ut enten Inn eller Ut",IF(OR(IFERROR(INDEX('Kontoplan'!$D$3:$D$302,MATCH(D627,'Kontoplan'!$H$3:$H$302,0))="Støttes ikke",FALSE),IFERROR(INDEX('Kontoplan'!$D$3:$D$302,MATCH(E627,'Kontoplan'!$H$3:$H$302,0))="Støttes ikke",FALSE)),"Kontoen støttes ikke",IF(IFERROR(AND(A627&gt;1,COUNTIF($A$3:$A$2002,A627-1)=0),FALSE),"Nummeret hopper over",IF(OR(NOT(ISNUMBER(B627)),B627&lt;DATE(2027,1,1),B627&gt;DATE(2027,12,31)),"Datoen er ikke i 2027",""))))))</f>
        <v/>
      </c>
    </row>
    <row r="628">
      <c r="A628" s="17" t="n"/>
      <c r="B628" s="9" t="n"/>
      <c r="C628" s="8" t="n"/>
      <c r="D628" s="8" t="n"/>
      <c r="E628" s="8" t="n"/>
      <c r="F628" s="14" t="n"/>
      <c r="G628" s="14" t="n"/>
      <c r="H628" s="8" t="n"/>
      <c r="I628" s="8" t="n"/>
      <c r="J628" s="8" t="n"/>
      <c r="K628" s="18">
        <f>IF(B628="","",IFERROR(MONTH(B628),""))</f>
        <v/>
      </c>
      <c r="L628" s="5">
        <f>IF(COUNTA(A628:J628)=0,"",IF(E628="","Mangler motkonto",IF((F628="")=(G628=""),"Fyll ut enten Inn eller Ut",IF(OR(IFERROR(INDEX('Kontoplan'!$D$3:$D$302,MATCH(D628,'Kontoplan'!$H$3:$H$302,0))="Støttes ikke",FALSE),IFERROR(INDEX('Kontoplan'!$D$3:$D$302,MATCH(E628,'Kontoplan'!$H$3:$H$302,0))="Støttes ikke",FALSE)),"Kontoen støttes ikke",IF(IFERROR(AND(A628&gt;1,COUNTIF($A$3:$A$2002,A628-1)=0),FALSE),"Nummeret hopper over",IF(OR(NOT(ISNUMBER(B628)),B628&lt;DATE(2027,1,1),B628&gt;DATE(2027,12,31)),"Datoen er ikke i 2027",""))))))</f>
        <v/>
      </c>
    </row>
    <row r="629">
      <c r="A629" s="17" t="n"/>
      <c r="B629" s="9" t="n"/>
      <c r="C629" s="8" t="n"/>
      <c r="D629" s="8" t="n"/>
      <c r="E629" s="8" t="n"/>
      <c r="F629" s="14" t="n"/>
      <c r="G629" s="14" t="n"/>
      <c r="H629" s="8" t="n"/>
      <c r="I629" s="8" t="n"/>
      <c r="J629" s="8" t="n"/>
      <c r="K629" s="18">
        <f>IF(B629="","",IFERROR(MONTH(B629),""))</f>
        <v/>
      </c>
      <c r="L629" s="5">
        <f>IF(COUNTA(A629:J629)=0,"",IF(E629="","Mangler motkonto",IF((F629="")=(G629=""),"Fyll ut enten Inn eller Ut",IF(OR(IFERROR(INDEX('Kontoplan'!$D$3:$D$302,MATCH(D629,'Kontoplan'!$H$3:$H$302,0))="Støttes ikke",FALSE),IFERROR(INDEX('Kontoplan'!$D$3:$D$302,MATCH(E629,'Kontoplan'!$H$3:$H$302,0))="Støttes ikke",FALSE)),"Kontoen støttes ikke",IF(IFERROR(AND(A629&gt;1,COUNTIF($A$3:$A$2002,A629-1)=0),FALSE),"Nummeret hopper over",IF(OR(NOT(ISNUMBER(B629)),B629&lt;DATE(2027,1,1),B629&gt;DATE(2027,12,31)),"Datoen er ikke i 2027",""))))))</f>
        <v/>
      </c>
    </row>
    <row r="630">
      <c r="A630" s="17" t="n"/>
      <c r="B630" s="9" t="n"/>
      <c r="C630" s="8" t="n"/>
      <c r="D630" s="8" t="n"/>
      <c r="E630" s="8" t="n"/>
      <c r="F630" s="14" t="n"/>
      <c r="G630" s="14" t="n"/>
      <c r="H630" s="8" t="n"/>
      <c r="I630" s="8" t="n"/>
      <c r="J630" s="8" t="n"/>
      <c r="K630" s="18">
        <f>IF(B630="","",IFERROR(MONTH(B630),""))</f>
        <v/>
      </c>
      <c r="L630" s="5">
        <f>IF(COUNTA(A630:J630)=0,"",IF(E630="","Mangler motkonto",IF((F630="")=(G630=""),"Fyll ut enten Inn eller Ut",IF(OR(IFERROR(INDEX('Kontoplan'!$D$3:$D$302,MATCH(D630,'Kontoplan'!$H$3:$H$302,0))="Støttes ikke",FALSE),IFERROR(INDEX('Kontoplan'!$D$3:$D$302,MATCH(E630,'Kontoplan'!$H$3:$H$302,0))="Støttes ikke",FALSE)),"Kontoen støttes ikke",IF(IFERROR(AND(A630&gt;1,COUNTIF($A$3:$A$2002,A630-1)=0),FALSE),"Nummeret hopper over",IF(OR(NOT(ISNUMBER(B630)),B630&lt;DATE(2027,1,1),B630&gt;DATE(2027,12,31)),"Datoen er ikke i 2027",""))))))</f>
        <v/>
      </c>
    </row>
    <row r="631">
      <c r="A631" s="17" t="n"/>
      <c r="B631" s="9" t="n"/>
      <c r="C631" s="8" t="n"/>
      <c r="D631" s="8" t="n"/>
      <c r="E631" s="8" t="n"/>
      <c r="F631" s="14" t="n"/>
      <c r="G631" s="14" t="n"/>
      <c r="H631" s="8" t="n"/>
      <c r="I631" s="8" t="n"/>
      <c r="J631" s="8" t="n"/>
      <c r="K631" s="18">
        <f>IF(B631="","",IFERROR(MONTH(B631),""))</f>
        <v/>
      </c>
      <c r="L631" s="5">
        <f>IF(COUNTA(A631:J631)=0,"",IF(E631="","Mangler motkonto",IF((F631="")=(G631=""),"Fyll ut enten Inn eller Ut",IF(OR(IFERROR(INDEX('Kontoplan'!$D$3:$D$302,MATCH(D631,'Kontoplan'!$H$3:$H$302,0))="Støttes ikke",FALSE),IFERROR(INDEX('Kontoplan'!$D$3:$D$302,MATCH(E631,'Kontoplan'!$H$3:$H$302,0))="Støttes ikke",FALSE)),"Kontoen støttes ikke",IF(IFERROR(AND(A631&gt;1,COUNTIF($A$3:$A$2002,A631-1)=0),FALSE),"Nummeret hopper over",IF(OR(NOT(ISNUMBER(B631)),B631&lt;DATE(2027,1,1),B631&gt;DATE(2027,12,31)),"Datoen er ikke i 2027",""))))))</f>
        <v/>
      </c>
    </row>
    <row r="632">
      <c r="A632" s="17" t="n"/>
      <c r="B632" s="9" t="n"/>
      <c r="C632" s="8" t="n"/>
      <c r="D632" s="8" t="n"/>
      <c r="E632" s="8" t="n"/>
      <c r="F632" s="14" t="n"/>
      <c r="G632" s="14" t="n"/>
      <c r="H632" s="8" t="n"/>
      <c r="I632" s="8" t="n"/>
      <c r="J632" s="8" t="n"/>
      <c r="K632" s="18">
        <f>IF(B632="","",IFERROR(MONTH(B632),""))</f>
        <v/>
      </c>
      <c r="L632" s="5">
        <f>IF(COUNTA(A632:J632)=0,"",IF(E632="","Mangler motkonto",IF((F632="")=(G632=""),"Fyll ut enten Inn eller Ut",IF(OR(IFERROR(INDEX('Kontoplan'!$D$3:$D$302,MATCH(D632,'Kontoplan'!$H$3:$H$302,0))="Støttes ikke",FALSE),IFERROR(INDEX('Kontoplan'!$D$3:$D$302,MATCH(E632,'Kontoplan'!$H$3:$H$302,0))="Støttes ikke",FALSE)),"Kontoen støttes ikke",IF(IFERROR(AND(A632&gt;1,COUNTIF($A$3:$A$2002,A632-1)=0),FALSE),"Nummeret hopper over",IF(OR(NOT(ISNUMBER(B632)),B632&lt;DATE(2027,1,1),B632&gt;DATE(2027,12,31)),"Datoen er ikke i 2027",""))))))</f>
        <v/>
      </c>
    </row>
    <row r="633">
      <c r="A633" s="17" t="n"/>
      <c r="B633" s="9" t="n"/>
      <c r="C633" s="8" t="n"/>
      <c r="D633" s="8" t="n"/>
      <c r="E633" s="8" t="n"/>
      <c r="F633" s="14" t="n"/>
      <c r="G633" s="14" t="n"/>
      <c r="H633" s="8" t="n"/>
      <c r="I633" s="8" t="n"/>
      <c r="J633" s="8" t="n"/>
      <c r="K633" s="18">
        <f>IF(B633="","",IFERROR(MONTH(B633),""))</f>
        <v/>
      </c>
      <c r="L633" s="5">
        <f>IF(COUNTA(A633:J633)=0,"",IF(E633="","Mangler motkonto",IF((F633="")=(G633=""),"Fyll ut enten Inn eller Ut",IF(OR(IFERROR(INDEX('Kontoplan'!$D$3:$D$302,MATCH(D633,'Kontoplan'!$H$3:$H$302,0))="Støttes ikke",FALSE),IFERROR(INDEX('Kontoplan'!$D$3:$D$302,MATCH(E633,'Kontoplan'!$H$3:$H$302,0))="Støttes ikke",FALSE)),"Kontoen støttes ikke",IF(IFERROR(AND(A633&gt;1,COUNTIF($A$3:$A$2002,A633-1)=0),FALSE),"Nummeret hopper over",IF(OR(NOT(ISNUMBER(B633)),B633&lt;DATE(2027,1,1),B633&gt;DATE(2027,12,31)),"Datoen er ikke i 2027",""))))))</f>
        <v/>
      </c>
    </row>
    <row r="634">
      <c r="A634" s="17" t="n"/>
      <c r="B634" s="9" t="n"/>
      <c r="C634" s="8" t="n"/>
      <c r="D634" s="8" t="n"/>
      <c r="E634" s="8" t="n"/>
      <c r="F634" s="14" t="n"/>
      <c r="G634" s="14" t="n"/>
      <c r="H634" s="8" t="n"/>
      <c r="I634" s="8" t="n"/>
      <c r="J634" s="8" t="n"/>
      <c r="K634" s="18">
        <f>IF(B634="","",IFERROR(MONTH(B634),""))</f>
        <v/>
      </c>
      <c r="L634" s="5">
        <f>IF(COUNTA(A634:J634)=0,"",IF(E634="","Mangler motkonto",IF((F634="")=(G634=""),"Fyll ut enten Inn eller Ut",IF(OR(IFERROR(INDEX('Kontoplan'!$D$3:$D$302,MATCH(D634,'Kontoplan'!$H$3:$H$302,0))="Støttes ikke",FALSE),IFERROR(INDEX('Kontoplan'!$D$3:$D$302,MATCH(E634,'Kontoplan'!$H$3:$H$302,0))="Støttes ikke",FALSE)),"Kontoen støttes ikke",IF(IFERROR(AND(A634&gt;1,COUNTIF($A$3:$A$2002,A634-1)=0),FALSE),"Nummeret hopper over",IF(OR(NOT(ISNUMBER(B634)),B634&lt;DATE(2027,1,1),B634&gt;DATE(2027,12,31)),"Datoen er ikke i 2027",""))))))</f>
        <v/>
      </c>
    </row>
    <row r="635">
      <c r="A635" s="17" t="n"/>
      <c r="B635" s="9" t="n"/>
      <c r="C635" s="8" t="n"/>
      <c r="D635" s="8" t="n"/>
      <c r="E635" s="8" t="n"/>
      <c r="F635" s="14" t="n"/>
      <c r="G635" s="14" t="n"/>
      <c r="H635" s="8" t="n"/>
      <c r="I635" s="8" t="n"/>
      <c r="J635" s="8" t="n"/>
      <c r="K635" s="18">
        <f>IF(B635="","",IFERROR(MONTH(B635),""))</f>
        <v/>
      </c>
      <c r="L635" s="5">
        <f>IF(COUNTA(A635:J635)=0,"",IF(E635="","Mangler motkonto",IF((F635="")=(G635=""),"Fyll ut enten Inn eller Ut",IF(OR(IFERROR(INDEX('Kontoplan'!$D$3:$D$302,MATCH(D635,'Kontoplan'!$H$3:$H$302,0))="Støttes ikke",FALSE),IFERROR(INDEX('Kontoplan'!$D$3:$D$302,MATCH(E635,'Kontoplan'!$H$3:$H$302,0))="Støttes ikke",FALSE)),"Kontoen støttes ikke",IF(IFERROR(AND(A635&gt;1,COUNTIF($A$3:$A$2002,A635-1)=0),FALSE),"Nummeret hopper over",IF(OR(NOT(ISNUMBER(B635)),B635&lt;DATE(2027,1,1),B635&gt;DATE(2027,12,31)),"Datoen er ikke i 2027",""))))))</f>
        <v/>
      </c>
    </row>
    <row r="636">
      <c r="A636" s="17" t="n"/>
      <c r="B636" s="9" t="n"/>
      <c r="C636" s="8" t="n"/>
      <c r="D636" s="8" t="n"/>
      <c r="E636" s="8" t="n"/>
      <c r="F636" s="14" t="n"/>
      <c r="G636" s="14" t="n"/>
      <c r="H636" s="8" t="n"/>
      <c r="I636" s="8" t="n"/>
      <c r="J636" s="8" t="n"/>
      <c r="K636" s="18">
        <f>IF(B636="","",IFERROR(MONTH(B636),""))</f>
        <v/>
      </c>
      <c r="L636" s="5">
        <f>IF(COUNTA(A636:J636)=0,"",IF(E636="","Mangler motkonto",IF((F636="")=(G636=""),"Fyll ut enten Inn eller Ut",IF(OR(IFERROR(INDEX('Kontoplan'!$D$3:$D$302,MATCH(D636,'Kontoplan'!$H$3:$H$302,0))="Støttes ikke",FALSE),IFERROR(INDEX('Kontoplan'!$D$3:$D$302,MATCH(E636,'Kontoplan'!$H$3:$H$302,0))="Støttes ikke",FALSE)),"Kontoen støttes ikke",IF(IFERROR(AND(A636&gt;1,COUNTIF($A$3:$A$2002,A636-1)=0),FALSE),"Nummeret hopper over",IF(OR(NOT(ISNUMBER(B636)),B636&lt;DATE(2027,1,1),B636&gt;DATE(2027,12,31)),"Datoen er ikke i 2027",""))))))</f>
        <v/>
      </c>
    </row>
    <row r="637">
      <c r="A637" s="17" t="n"/>
      <c r="B637" s="9" t="n"/>
      <c r="C637" s="8" t="n"/>
      <c r="D637" s="8" t="n"/>
      <c r="E637" s="8" t="n"/>
      <c r="F637" s="14" t="n"/>
      <c r="G637" s="14" t="n"/>
      <c r="H637" s="8" t="n"/>
      <c r="I637" s="8" t="n"/>
      <c r="J637" s="8" t="n"/>
      <c r="K637" s="18">
        <f>IF(B637="","",IFERROR(MONTH(B637),""))</f>
        <v/>
      </c>
      <c r="L637" s="5">
        <f>IF(COUNTA(A637:J637)=0,"",IF(E637="","Mangler motkonto",IF((F637="")=(G637=""),"Fyll ut enten Inn eller Ut",IF(OR(IFERROR(INDEX('Kontoplan'!$D$3:$D$302,MATCH(D637,'Kontoplan'!$H$3:$H$302,0))="Støttes ikke",FALSE),IFERROR(INDEX('Kontoplan'!$D$3:$D$302,MATCH(E637,'Kontoplan'!$H$3:$H$302,0))="Støttes ikke",FALSE)),"Kontoen støttes ikke",IF(IFERROR(AND(A637&gt;1,COUNTIF($A$3:$A$2002,A637-1)=0),FALSE),"Nummeret hopper over",IF(OR(NOT(ISNUMBER(B637)),B637&lt;DATE(2027,1,1),B637&gt;DATE(2027,12,31)),"Datoen er ikke i 2027",""))))))</f>
        <v/>
      </c>
    </row>
    <row r="638">
      <c r="A638" s="17" t="n"/>
      <c r="B638" s="9" t="n"/>
      <c r="C638" s="8" t="n"/>
      <c r="D638" s="8" t="n"/>
      <c r="E638" s="8" t="n"/>
      <c r="F638" s="14" t="n"/>
      <c r="G638" s="14" t="n"/>
      <c r="H638" s="8" t="n"/>
      <c r="I638" s="8" t="n"/>
      <c r="J638" s="8" t="n"/>
      <c r="K638" s="18">
        <f>IF(B638="","",IFERROR(MONTH(B638),""))</f>
        <v/>
      </c>
      <c r="L638" s="5">
        <f>IF(COUNTA(A638:J638)=0,"",IF(E638="","Mangler motkonto",IF((F638="")=(G638=""),"Fyll ut enten Inn eller Ut",IF(OR(IFERROR(INDEX('Kontoplan'!$D$3:$D$302,MATCH(D638,'Kontoplan'!$H$3:$H$302,0))="Støttes ikke",FALSE),IFERROR(INDEX('Kontoplan'!$D$3:$D$302,MATCH(E638,'Kontoplan'!$H$3:$H$302,0))="Støttes ikke",FALSE)),"Kontoen støttes ikke",IF(IFERROR(AND(A638&gt;1,COUNTIF($A$3:$A$2002,A638-1)=0),FALSE),"Nummeret hopper over",IF(OR(NOT(ISNUMBER(B638)),B638&lt;DATE(2027,1,1),B638&gt;DATE(2027,12,31)),"Datoen er ikke i 2027",""))))))</f>
        <v/>
      </c>
    </row>
    <row r="639">
      <c r="A639" s="17" t="n"/>
      <c r="B639" s="9" t="n"/>
      <c r="C639" s="8" t="n"/>
      <c r="D639" s="8" t="n"/>
      <c r="E639" s="8" t="n"/>
      <c r="F639" s="14" t="n"/>
      <c r="G639" s="14" t="n"/>
      <c r="H639" s="8" t="n"/>
      <c r="I639" s="8" t="n"/>
      <c r="J639" s="8" t="n"/>
      <c r="K639" s="18">
        <f>IF(B639="","",IFERROR(MONTH(B639),""))</f>
        <v/>
      </c>
      <c r="L639" s="5">
        <f>IF(COUNTA(A639:J639)=0,"",IF(E639="","Mangler motkonto",IF((F639="")=(G639=""),"Fyll ut enten Inn eller Ut",IF(OR(IFERROR(INDEX('Kontoplan'!$D$3:$D$302,MATCH(D639,'Kontoplan'!$H$3:$H$302,0))="Støttes ikke",FALSE),IFERROR(INDEX('Kontoplan'!$D$3:$D$302,MATCH(E639,'Kontoplan'!$H$3:$H$302,0))="Støttes ikke",FALSE)),"Kontoen støttes ikke",IF(IFERROR(AND(A639&gt;1,COUNTIF($A$3:$A$2002,A639-1)=0),FALSE),"Nummeret hopper over",IF(OR(NOT(ISNUMBER(B639)),B639&lt;DATE(2027,1,1),B639&gt;DATE(2027,12,31)),"Datoen er ikke i 2027",""))))))</f>
        <v/>
      </c>
    </row>
    <row r="640">
      <c r="A640" s="17" t="n"/>
      <c r="B640" s="9" t="n"/>
      <c r="C640" s="8" t="n"/>
      <c r="D640" s="8" t="n"/>
      <c r="E640" s="8" t="n"/>
      <c r="F640" s="14" t="n"/>
      <c r="G640" s="14" t="n"/>
      <c r="H640" s="8" t="n"/>
      <c r="I640" s="8" t="n"/>
      <c r="J640" s="8" t="n"/>
      <c r="K640" s="18">
        <f>IF(B640="","",IFERROR(MONTH(B640),""))</f>
        <v/>
      </c>
      <c r="L640" s="5">
        <f>IF(COUNTA(A640:J640)=0,"",IF(E640="","Mangler motkonto",IF((F640="")=(G640=""),"Fyll ut enten Inn eller Ut",IF(OR(IFERROR(INDEX('Kontoplan'!$D$3:$D$302,MATCH(D640,'Kontoplan'!$H$3:$H$302,0))="Støttes ikke",FALSE),IFERROR(INDEX('Kontoplan'!$D$3:$D$302,MATCH(E640,'Kontoplan'!$H$3:$H$302,0))="Støttes ikke",FALSE)),"Kontoen støttes ikke",IF(IFERROR(AND(A640&gt;1,COUNTIF($A$3:$A$2002,A640-1)=0),FALSE),"Nummeret hopper over",IF(OR(NOT(ISNUMBER(B640)),B640&lt;DATE(2027,1,1),B640&gt;DATE(2027,12,31)),"Datoen er ikke i 2027",""))))))</f>
        <v/>
      </c>
    </row>
    <row r="641">
      <c r="A641" s="17" t="n"/>
      <c r="B641" s="9" t="n"/>
      <c r="C641" s="8" t="n"/>
      <c r="D641" s="8" t="n"/>
      <c r="E641" s="8" t="n"/>
      <c r="F641" s="14" t="n"/>
      <c r="G641" s="14" t="n"/>
      <c r="H641" s="8" t="n"/>
      <c r="I641" s="8" t="n"/>
      <c r="J641" s="8" t="n"/>
      <c r="K641" s="18">
        <f>IF(B641="","",IFERROR(MONTH(B641),""))</f>
        <v/>
      </c>
      <c r="L641" s="5">
        <f>IF(COUNTA(A641:J641)=0,"",IF(E641="","Mangler motkonto",IF((F641="")=(G641=""),"Fyll ut enten Inn eller Ut",IF(OR(IFERROR(INDEX('Kontoplan'!$D$3:$D$302,MATCH(D641,'Kontoplan'!$H$3:$H$302,0))="Støttes ikke",FALSE),IFERROR(INDEX('Kontoplan'!$D$3:$D$302,MATCH(E641,'Kontoplan'!$H$3:$H$302,0))="Støttes ikke",FALSE)),"Kontoen støttes ikke",IF(IFERROR(AND(A641&gt;1,COUNTIF($A$3:$A$2002,A641-1)=0),FALSE),"Nummeret hopper over",IF(OR(NOT(ISNUMBER(B641)),B641&lt;DATE(2027,1,1),B641&gt;DATE(2027,12,31)),"Datoen er ikke i 2027",""))))))</f>
        <v/>
      </c>
    </row>
    <row r="642">
      <c r="A642" s="17" t="n"/>
      <c r="B642" s="9" t="n"/>
      <c r="C642" s="8" t="n"/>
      <c r="D642" s="8" t="n"/>
      <c r="E642" s="8" t="n"/>
      <c r="F642" s="14" t="n"/>
      <c r="G642" s="14" t="n"/>
      <c r="H642" s="8" t="n"/>
      <c r="I642" s="8" t="n"/>
      <c r="J642" s="8" t="n"/>
      <c r="K642" s="18">
        <f>IF(B642="","",IFERROR(MONTH(B642),""))</f>
        <v/>
      </c>
      <c r="L642" s="5">
        <f>IF(COUNTA(A642:J642)=0,"",IF(E642="","Mangler motkonto",IF((F642="")=(G642=""),"Fyll ut enten Inn eller Ut",IF(OR(IFERROR(INDEX('Kontoplan'!$D$3:$D$302,MATCH(D642,'Kontoplan'!$H$3:$H$302,0))="Støttes ikke",FALSE),IFERROR(INDEX('Kontoplan'!$D$3:$D$302,MATCH(E642,'Kontoplan'!$H$3:$H$302,0))="Støttes ikke",FALSE)),"Kontoen støttes ikke",IF(IFERROR(AND(A642&gt;1,COUNTIF($A$3:$A$2002,A642-1)=0),FALSE),"Nummeret hopper over",IF(OR(NOT(ISNUMBER(B642)),B642&lt;DATE(2027,1,1),B642&gt;DATE(2027,12,31)),"Datoen er ikke i 2027",""))))))</f>
        <v/>
      </c>
    </row>
    <row r="643">
      <c r="A643" s="17" t="n"/>
      <c r="B643" s="9" t="n"/>
      <c r="C643" s="8" t="n"/>
      <c r="D643" s="8" t="n"/>
      <c r="E643" s="8" t="n"/>
      <c r="F643" s="14" t="n"/>
      <c r="G643" s="14" t="n"/>
      <c r="H643" s="8" t="n"/>
      <c r="I643" s="8" t="n"/>
      <c r="J643" s="8" t="n"/>
      <c r="K643" s="18">
        <f>IF(B643="","",IFERROR(MONTH(B643),""))</f>
        <v/>
      </c>
      <c r="L643" s="5">
        <f>IF(COUNTA(A643:J643)=0,"",IF(E643="","Mangler motkonto",IF((F643="")=(G643=""),"Fyll ut enten Inn eller Ut",IF(OR(IFERROR(INDEX('Kontoplan'!$D$3:$D$302,MATCH(D643,'Kontoplan'!$H$3:$H$302,0))="Støttes ikke",FALSE),IFERROR(INDEX('Kontoplan'!$D$3:$D$302,MATCH(E643,'Kontoplan'!$H$3:$H$302,0))="Støttes ikke",FALSE)),"Kontoen støttes ikke",IF(IFERROR(AND(A643&gt;1,COUNTIF($A$3:$A$2002,A643-1)=0),FALSE),"Nummeret hopper over",IF(OR(NOT(ISNUMBER(B643)),B643&lt;DATE(2027,1,1),B643&gt;DATE(2027,12,31)),"Datoen er ikke i 2027",""))))))</f>
        <v/>
      </c>
    </row>
    <row r="644">
      <c r="A644" s="17" t="n"/>
      <c r="B644" s="9" t="n"/>
      <c r="C644" s="8" t="n"/>
      <c r="D644" s="8" t="n"/>
      <c r="E644" s="8" t="n"/>
      <c r="F644" s="14" t="n"/>
      <c r="G644" s="14" t="n"/>
      <c r="H644" s="8" t="n"/>
      <c r="I644" s="8" t="n"/>
      <c r="J644" s="8" t="n"/>
      <c r="K644" s="18">
        <f>IF(B644="","",IFERROR(MONTH(B644),""))</f>
        <v/>
      </c>
      <c r="L644" s="5">
        <f>IF(COUNTA(A644:J644)=0,"",IF(E644="","Mangler motkonto",IF((F644="")=(G644=""),"Fyll ut enten Inn eller Ut",IF(OR(IFERROR(INDEX('Kontoplan'!$D$3:$D$302,MATCH(D644,'Kontoplan'!$H$3:$H$302,0))="Støttes ikke",FALSE),IFERROR(INDEX('Kontoplan'!$D$3:$D$302,MATCH(E644,'Kontoplan'!$H$3:$H$302,0))="Støttes ikke",FALSE)),"Kontoen støttes ikke",IF(IFERROR(AND(A644&gt;1,COUNTIF($A$3:$A$2002,A644-1)=0),FALSE),"Nummeret hopper over",IF(OR(NOT(ISNUMBER(B644)),B644&lt;DATE(2027,1,1),B644&gt;DATE(2027,12,31)),"Datoen er ikke i 2027",""))))))</f>
        <v/>
      </c>
    </row>
    <row r="645">
      <c r="A645" s="17" t="n"/>
      <c r="B645" s="9" t="n"/>
      <c r="C645" s="8" t="n"/>
      <c r="D645" s="8" t="n"/>
      <c r="E645" s="8" t="n"/>
      <c r="F645" s="14" t="n"/>
      <c r="G645" s="14" t="n"/>
      <c r="H645" s="8" t="n"/>
      <c r="I645" s="8" t="n"/>
      <c r="J645" s="8" t="n"/>
      <c r="K645" s="18">
        <f>IF(B645="","",IFERROR(MONTH(B645),""))</f>
        <v/>
      </c>
      <c r="L645" s="5">
        <f>IF(COUNTA(A645:J645)=0,"",IF(E645="","Mangler motkonto",IF((F645="")=(G645=""),"Fyll ut enten Inn eller Ut",IF(OR(IFERROR(INDEX('Kontoplan'!$D$3:$D$302,MATCH(D645,'Kontoplan'!$H$3:$H$302,0))="Støttes ikke",FALSE),IFERROR(INDEX('Kontoplan'!$D$3:$D$302,MATCH(E645,'Kontoplan'!$H$3:$H$302,0))="Støttes ikke",FALSE)),"Kontoen støttes ikke",IF(IFERROR(AND(A645&gt;1,COUNTIF($A$3:$A$2002,A645-1)=0),FALSE),"Nummeret hopper over",IF(OR(NOT(ISNUMBER(B645)),B645&lt;DATE(2027,1,1),B645&gt;DATE(2027,12,31)),"Datoen er ikke i 2027",""))))))</f>
        <v/>
      </c>
    </row>
    <row r="646">
      <c r="A646" s="17" t="n"/>
      <c r="B646" s="9" t="n"/>
      <c r="C646" s="8" t="n"/>
      <c r="D646" s="8" t="n"/>
      <c r="E646" s="8" t="n"/>
      <c r="F646" s="14" t="n"/>
      <c r="G646" s="14" t="n"/>
      <c r="H646" s="8" t="n"/>
      <c r="I646" s="8" t="n"/>
      <c r="J646" s="8" t="n"/>
      <c r="K646" s="18">
        <f>IF(B646="","",IFERROR(MONTH(B646),""))</f>
        <v/>
      </c>
      <c r="L646" s="5">
        <f>IF(COUNTA(A646:J646)=0,"",IF(E646="","Mangler motkonto",IF((F646="")=(G646=""),"Fyll ut enten Inn eller Ut",IF(OR(IFERROR(INDEX('Kontoplan'!$D$3:$D$302,MATCH(D646,'Kontoplan'!$H$3:$H$302,0))="Støttes ikke",FALSE),IFERROR(INDEX('Kontoplan'!$D$3:$D$302,MATCH(E646,'Kontoplan'!$H$3:$H$302,0))="Støttes ikke",FALSE)),"Kontoen støttes ikke",IF(IFERROR(AND(A646&gt;1,COUNTIF($A$3:$A$2002,A646-1)=0),FALSE),"Nummeret hopper over",IF(OR(NOT(ISNUMBER(B646)),B646&lt;DATE(2027,1,1),B646&gt;DATE(2027,12,31)),"Datoen er ikke i 2027",""))))))</f>
        <v/>
      </c>
    </row>
    <row r="647">
      <c r="A647" s="17" t="n"/>
      <c r="B647" s="9" t="n"/>
      <c r="C647" s="8" t="n"/>
      <c r="D647" s="8" t="n"/>
      <c r="E647" s="8" t="n"/>
      <c r="F647" s="14" t="n"/>
      <c r="G647" s="14" t="n"/>
      <c r="H647" s="8" t="n"/>
      <c r="I647" s="8" t="n"/>
      <c r="J647" s="8" t="n"/>
      <c r="K647" s="18">
        <f>IF(B647="","",IFERROR(MONTH(B647),""))</f>
        <v/>
      </c>
      <c r="L647" s="5">
        <f>IF(COUNTA(A647:J647)=0,"",IF(E647="","Mangler motkonto",IF((F647="")=(G647=""),"Fyll ut enten Inn eller Ut",IF(OR(IFERROR(INDEX('Kontoplan'!$D$3:$D$302,MATCH(D647,'Kontoplan'!$H$3:$H$302,0))="Støttes ikke",FALSE),IFERROR(INDEX('Kontoplan'!$D$3:$D$302,MATCH(E647,'Kontoplan'!$H$3:$H$302,0))="Støttes ikke",FALSE)),"Kontoen støttes ikke",IF(IFERROR(AND(A647&gt;1,COUNTIF($A$3:$A$2002,A647-1)=0),FALSE),"Nummeret hopper over",IF(OR(NOT(ISNUMBER(B647)),B647&lt;DATE(2027,1,1),B647&gt;DATE(2027,12,31)),"Datoen er ikke i 2027",""))))))</f>
        <v/>
      </c>
    </row>
    <row r="648">
      <c r="A648" s="17" t="n"/>
      <c r="B648" s="9" t="n"/>
      <c r="C648" s="8" t="n"/>
      <c r="D648" s="8" t="n"/>
      <c r="E648" s="8" t="n"/>
      <c r="F648" s="14" t="n"/>
      <c r="G648" s="14" t="n"/>
      <c r="H648" s="8" t="n"/>
      <c r="I648" s="8" t="n"/>
      <c r="J648" s="8" t="n"/>
      <c r="K648" s="18">
        <f>IF(B648="","",IFERROR(MONTH(B648),""))</f>
        <v/>
      </c>
      <c r="L648" s="5">
        <f>IF(COUNTA(A648:J648)=0,"",IF(E648="","Mangler motkonto",IF((F648="")=(G648=""),"Fyll ut enten Inn eller Ut",IF(OR(IFERROR(INDEX('Kontoplan'!$D$3:$D$302,MATCH(D648,'Kontoplan'!$H$3:$H$302,0))="Støttes ikke",FALSE),IFERROR(INDEX('Kontoplan'!$D$3:$D$302,MATCH(E648,'Kontoplan'!$H$3:$H$302,0))="Støttes ikke",FALSE)),"Kontoen støttes ikke",IF(IFERROR(AND(A648&gt;1,COUNTIF($A$3:$A$2002,A648-1)=0),FALSE),"Nummeret hopper over",IF(OR(NOT(ISNUMBER(B648)),B648&lt;DATE(2027,1,1),B648&gt;DATE(2027,12,31)),"Datoen er ikke i 2027",""))))))</f>
        <v/>
      </c>
    </row>
    <row r="649">
      <c r="A649" s="17" t="n"/>
      <c r="B649" s="9" t="n"/>
      <c r="C649" s="8" t="n"/>
      <c r="D649" s="8" t="n"/>
      <c r="E649" s="8" t="n"/>
      <c r="F649" s="14" t="n"/>
      <c r="G649" s="14" t="n"/>
      <c r="H649" s="8" t="n"/>
      <c r="I649" s="8" t="n"/>
      <c r="J649" s="8" t="n"/>
      <c r="K649" s="18">
        <f>IF(B649="","",IFERROR(MONTH(B649),""))</f>
        <v/>
      </c>
      <c r="L649" s="5">
        <f>IF(COUNTA(A649:J649)=0,"",IF(E649="","Mangler motkonto",IF((F649="")=(G649=""),"Fyll ut enten Inn eller Ut",IF(OR(IFERROR(INDEX('Kontoplan'!$D$3:$D$302,MATCH(D649,'Kontoplan'!$H$3:$H$302,0))="Støttes ikke",FALSE),IFERROR(INDEX('Kontoplan'!$D$3:$D$302,MATCH(E649,'Kontoplan'!$H$3:$H$302,0))="Støttes ikke",FALSE)),"Kontoen støttes ikke",IF(IFERROR(AND(A649&gt;1,COUNTIF($A$3:$A$2002,A649-1)=0),FALSE),"Nummeret hopper over",IF(OR(NOT(ISNUMBER(B649)),B649&lt;DATE(2027,1,1),B649&gt;DATE(2027,12,31)),"Datoen er ikke i 2027",""))))))</f>
        <v/>
      </c>
    </row>
    <row r="650">
      <c r="A650" s="17" t="n"/>
      <c r="B650" s="9" t="n"/>
      <c r="C650" s="8" t="n"/>
      <c r="D650" s="8" t="n"/>
      <c r="E650" s="8" t="n"/>
      <c r="F650" s="14" t="n"/>
      <c r="G650" s="14" t="n"/>
      <c r="H650" s="8" t="n"/>
      <c r="I650" s="8" t="n"/>
      <c r="J650" s="8" t="n"/>
      <c r="K650" s="18">
        <f>IF(B650="","",IFERROR(MONTH(B650),""))</f>
        <v/>
      </c>
      <c r="L650" s="5">
        <f>IF(COUNTA(A650:J650)=0,"",IF(E650="","Mangler motkonto",IF((F650="")=(G650=""),"Fyll ut enten Inn eller Ut",IF(OR(IFERROR(INDEX('Kontoplan'!$D$3:$D$302,MATCH(D650,'Kontoplan'!$H$3:$H$302,0))="Støttes ikke",FALSE),IFERROR(INDEX('Kontoplan'!$D$3:$D$302,MATCH(E650,'Kontoplan'!$H$3:$H$302,0))="Støttes ikke",FALSE)),"Kontoen støttes ikke",IF(IFERROR(AND(A650&gt;1,COUNTIF($A$3:$A$2002,A650-1)=0),FALSE),"Nummeret hopper over",IF(OR(NOT(ISNUMBER(B650)),B650&lt;DATE(2027,1,1),B650&gt;DATE(2027,12,31)),"Datoen er ikke i 2027",""))))))</f>
        <v/>
      </c>
    </row>
    <row r="651">
      <c r="A651" s="17" t="n"/>
      <c r="B651" s="9" t="n"/>
      <c r="C651" s="8" t="n"/>
      <c r="D651" s="8" t="n"/>
      <c r="E651" s="8" t="n"/>
      <c r="F651" s="14" t="n"/>
      <c r="G651" s="14" t="n"/>
      <c r="H651" s="8" t="n"/>
      <c r="I651" s="8" t="n"/>
      <c r="J651" s="8" t="n"/>
      <c r="K651" s="18">
        <f>IF(B651="","",IFERROR(MONTH(B651),""))</f>
        <v/>
      </c>
      <c r="L651" s="5">
        <f>IF(COUNTA(A651:J651)=0,"",IF(E651="","Mangler motkonto",IF((F651="")=(G651=""),"Fyll ut enten Inn eller Ut",IF(OR(IFERROR(INDEX('Kontoplan'!$D$3:$D$302,MATCH(D651,'Kontoplan'!$H$3:$H$302,0))="Støttes ikke",FALSE),IFERROR(INDEX('Kontoplan'!$D$3:$D$302,MATCH(E651,'Kontoplan'!$H$3:$H$302,0))="Støttes ikke",FALSE)),"Kontoen støttes ikke",IF(IFERROR(AND(A651&gt;1,COUNTIF($A$3:$A$2002,A651-1)=0),FALSE),"Nummeret hopper over",IF(OR(NOT(ISNUMBER(B651)),B651&lt;DATE(2027,1,1),B651&gt;DATE(2027,12,31)),"Datoen er ikke i 2027",""))))))</f>
        <v/>
      </c>
    </row>
    <row r="652">
      <c r="A652" s="17" t="n"/>
      <c r="B652" s="9" t="n"/>
      <c r="C652" s="8" t="n"/>
      <c r="D652" s="8" t="n"/>
      <c r="E652" s="8" t="n"/>
      <c r="F652" s="14" t="n"/>
      <c r="G652" s="14" t="n"/>
      <c r="H652" s="8" t="n"/>
      <c r="I652" s="8" t="n"/>
      <c r="J652" s="8" t="n"/>
      <c r="K652" s="18">
        <f>IF(B652="","",IFERROR(MONTH(B652),""))</f>
        <v/>
      </c>
      <c r="L652" s="5">
        <f>IF(COUNTA(A652:J652)=0,"",IF(E652="","Mangler motkonto",IF((F652="")=(G652=""),"Fyll ut enten Inn eller Ut",IF(OR(IFERROR(INDEX('Kontoplan'!$D$3:$D$302,MATCH(D652,'Kontoplan'!$H$3:$H$302,0))="Støttes ikke",FALSE),IFERROR(INDEX('Kontoplan'!$D$3:$D$302,MATCH(E652,'Kontoplan'!$H$3:$H$302,0))="Støttes ikke",FALSE)),"Kontoen støttes ikke",IF(IFERROR(AND(A652&gt;1,COUNTIF($A$3:$A$2002,A652-1)=0),FALSE),"Nummeret hopper over",IF(OR(NOT(ISNUMBER(B652)),B652&lt;DATE(2027,1,1),B652&gt;DATE(2027,12,31)),"Datoen er ikke i 2027",""))))))</f>
        <v/>
      </c>
    </row>
    <row r="653">
      <c r="A653" s="17" t="n"/>
      <c r="B653" s="9" t="n"/>
      <c r="C653" s="8" t="n"/>
      <c r="D653" s="8" t="n"/>
      <c r="E653" s="8" t="n"/>
      <c r="F653" s="14" t="n"/>
      <c r="G653" s="14" t="n"/>
      <c r="H653" s="8" t="n"/>
      <c r="I653" s="8" t="n"/>
      <c r="J653" s="8" t="n"/>
      <c r="K653" s="18">
        <f>IF(B653="","",IFERROR(MONTH(B653),""))</f>
        <v/>
      </c>
      <c r="L653" s="5">
        <f>IF(COUNTA(A653:J653)=0,"",IF(E653="","Mangler motkonto",IF((F653="")=(G653=""),"Fyll ut enten Inn eller Ut",IF(OR(IFERROR(INDEX('Kontoplan'!$D$3:$D$302,MATCH(D653,'Kontoplan'!$H$3:$H$302,0))="Støttes ikke",FALSE),IFERROR(INDEX('Kontoplan'!$D$3:$D$302,MATCH(E653,'Kontoplan'!$H$3:$H$302,0))="Støttes ikke",FALSE)),"Kontoen støttes ikke",IF(IFERROR(AND(A653&gt;1,COUNTIF($A$3:$A$2002,A653-1)=0),FALSE),"Nummeret hopper over",IF(OR(NOT(ISNUMBER(B653)),B653&lt;DATE(2027,1,1),B653&gt;DATE(2027,12,31)),"Datoen er ikke i 2027",""))))))</f>
        <v/>
      </c>
    </row>
    <row r="654">
      <c r="A654" s="17" t="n"/>
      <c r="B654" s="9" t="n"/>
      <c r="C654" s="8" t="n"/>
      <c r="D654" s="8" t="n"/>
      <c r="E654" s="8" t="n"/>
      <c r="F654" s="14" t="n"/>
      <c r="G654" s="14" t="n"/>
      <c r="H654" s="8" t="n"/>
      <c r="I654" s="8" t="n"/>
      <c r="J654" s="8" t="n"/>
      <c r="K654" s="18">
        <f>IF(B654="","",IFERROR(MONTH(B654),""))</f>
        <v/>
      </c>
      <c r="L654" s="5">
        <f>IF(COUNTA(A654:J654)=0,"",IF(E654="","Mangler motkonto",IF((F654="")=(G654=""),"Fyll ut enten Inn eller Ut",IF(OR(IFERROR(INDEX('Kontoplan'!$D$3:$D$302,MATCH(D654,'Kontoplan'!$H$3:$H$302,0))="Støttes ikke",FALSE),IFERROR(INDEX('Kontoplan'!$D$3:$D$302,MATCH(E654,'Kontoplan'!$H$3:$H$302,0))="Støttes ikke",FALSE)),"Kontoen støttes ikke",IF(IFERROR(AND(A654&gt;1,COUNTIF($A$3:$A$2002,A654-1)=0),FALSE),"Nummeret hopper over",IF(OR(NOT(ISNUMBER(B654)),B654&lt;DATE(2027,1,1),B654&gt;DATE(2027,12,31)),"Datoen er ikke i 2027",""))))))</f>
        <v/>
      </c>
    </row>
    <row r="655">
      <c r="A655" s="17" t="n"/>
      <c r="B655" s="9" t="n"/>
      <c r="C655" s="8" t="n"/>
      <c r="D655" s="8" t="n"/>
      <c r="E655" s="8" t="n"/>
      <c r="F655" s="14" t="n"/>
      <c r="G655" s="14" t="n"/>
      <c r="H655" s="8" t="n"/>
      <c r="I655" s="8" t="n"/>
      <c r="J655" s="8" t="n"/>
      <c r="K655" s="18">
        <f>IF(B655="","",IFERROR(MONTH(B655),""))</f>
        <v/>
      </c>
      <c r="L655" s="5">
        <f>IF(COUNTA(A655:J655)=0,"",IF(E655="","Mangler motkonto",IF((F655="")=(G655=""),"Fyll ut enten Inn eller Ut",IF(OR(IFERROR(INDEX('Kontoplan'!$D$3:$D$302,MATCH(D655,'Kontoplan'!$H$3:$H$302,0))="Støttes ikke",FALSE),IFERROR(INDEX('Kontoplan'!$D$3:$D$302,MATCH(E655,'Kontoplan'!$H$3:$H$302,0))="Støttes ikke",FALSE)),"Kontoen støttes ikke",IF(IFERROR(AND(A655&gt;1,COUNTIF($A$3:$A$2002,A655-1)=0),FALSE),"Nummeret hopper over",IF(OR(NOT(ISNUMBER(B655)),B655&lt;DATE(2027,1,1),B655&gt;DATE(2027,12,31)),"Datoen er ikke i 2027",""))))))</f>
        <v/>
      </c>
    </row>
    <row r="656">
      <c r="A656" s="17" t="n"/>
      <c r="B656" s="9" t="n"/>
      <c r="C656" s="8" t="n"/>
      <c r="D656" s="8" t="n"/>
      <c r="E656" s="8" t="n"/>
      <c r="F656" s="14" t="n"/>
      <c r="G656" s="14" t="n"/>
      <c r="H656" s="8" t="n"/>
      <c r="I656" s="8" t="n"/>
      <c r="J656" s="8" t="n"/>
      <c r="K656" s="18">
        <f>IF(B656="","",IFERROR(MONTH(B656),""))</f>
        <v/>
      </c>
      <c r="L656" s="5">
        <f>IF(COUNTA(A656:J656)=0,"",IF(E656="","Mangler motkonto",IF((F656="")=(G656=""),"Fyll ut enten Inn eller Ut",IF(OR(IFERROR(INDEX('Kontoplan'!$D$3:$D$302,MATCH(D656,'Kontoplan'!$H$3:$H$302,0))="Støttes ikke",FALSE),IFERROR(INDEX('Kontoplan'!$D$3:$D$302,MATCH(E656,'Kontoplan'!$H$3:$H$302,0))="Støttes ikke",FALSE)),"Kontoen støttes ikke",IF(IFERROR(AND(A656&gt;1,COUNTIF($A$3:$A$2002,A656-1)=0),FALSE),"Nummeret hopper over",IF(OR(NOT(ISNUMBER(B656)),B656&lt;DATE(2027,1,1),B656&gt;DATE(2027,12,31)),"Datoen er ikke i 2027",""))))))</f>
        <v/>
      </c>
    </row>
    <row r="657">
      <c r="A657" s="17" t="n"/>
      <c r="B657" s="9" t="n"/>
      <c r="C657" s="8" t="n"/>
      <c r="D657" s="8" t="n"/>
      <c r="E657" s="8" t="n"/>
      <c r="F657" s="14" t="n"/>
      <c r="G657" s="14" t="n"/>
      <c r="H657" s="8" t="n"/>
      <c r="I657" s="8" t="n"/>
      <c r="J657" s="8" t="n"/>
      <c r="K657" s="18">
        <f>IF(B657="","",IFERROR(MONTH(B657),""))</f>
        <v/>
      </c>
      <c r="L657" s="5">
        <f>IF(COUNTA(A657:J657)=0,"",IF(E657="","Mangler motkonto",IF((F657="")=(G657=""),"Fyll ut enten Inn eller Ut",IF(OR(IFERROR(INDEX('Kontoplan'!$D$3:$D$302,MATCH(D657,'Kontoplan'!$H$3:$H$302,0))="Støttes ikke",FALSE),IFERROR(INDEX('Kontoplan'!$D$3:$D$302,MATCH(E657,'Kontoplan'!$H$3:$H$302,0))="Støttes ikke",FALSE)),"Kontoen støttes ikke",IF(IFERROR(AND(A657&gt;1,COUNTIF($A$3:$A$2002,A657-1)=0),FALSE),"Nummeret hopper over",IF(OR(NOT(ISNUMBER(B657)),B657&lt;DATE(2027,1,1),B657&gt;DATE(2027,12,31)),"Datoen er ikke i 2027",""))))))</f>
        <v/>
      </c>
    </row>
    <row r="658">
      <c r="A658" s="17" t="n"/>
      <c r="B658" s="9" t="n"/>
      <c r="C658" s="8" t="n"/>
      <c r="D658" s="8" t="n"/>
      <c r="E658" s="8" t="n"/>
      <c r="F658" s="14" t="n"/>
      <c r="G658" s="14" t="n"/>
      <c r="H658" s="8" t="n"/>
      <c r="I658" s="8" t="n"/>
      <c r="J658" s="8" t="n"/>
      <c r="K658" s="18">
        <f>IF(B658="","",IFERROR(MONTH(B658),""))</f>
        <v/>
      </c>
      <c r="L658" s="5">
        <f>IF(COUNTA(A658:J658)=0,"",IF(E658="","Mangler motkonto",IF((F658="")=(G658=""),"Fyll ut enten Inn eller Ut",IF(OR(IFERROR(INDEX('Kontoplan'!$D$3:$D$302,MATCH(D658,'Kontoplan'!$H$3:$H$302,0))="Støttes ikke",FALSE),IFERROR(INDEX('Kontoplan'!$D$3:$D$302,MATCH(E658,'Kontoplan'!$H$3:$H$302,0))="Støttes ikke",FALSE)),"Kontoen støttes ikke",IF(IFERROR(AND(A658&gt;1,COUNTIF($A$3:$A$2002,A658-1)=0),FALSE),"Nummeret hopper over",IF(OR(NOT(ISNUMBER(B658)),B658&lt;DATE(2027,1,1),B658&gt;DATE(2027,12,31)),"Datoen er ikke i 2027",""))))))</f>
        <v/>
      </c>
    </row>
    <row r="659">
      <c r="A659" s="17" t="n"/>
      <c r="B659" s="9" t="n"/>
      <c r="C659" s="8" t="n"/>
      <c r="D659" s="8" t="n"/>
      <c r="E659" s="8" t="n"/>
      <c r="F659" s="14" t="n"/>
      <c r="G659" s="14" t="n"/>
      <c r="H659" s="8" t="n"/>
      <c r="I659" s="8" t="n"/>
      <c r="J659" s="8" t="n"/>
      <c r="K659" s="18">
        <f>IF(B659="","",IFERROR(MONTH(B659),""))</f>
        <v/>
      </c>
      <c r="L659" s="5">
        <f>IF(COUNTA(A659:J659)=0,"",IF(E659="","Mangler motkonto",IF((F659="")=(G659=""),"Fyll ut enten Inn eller Ut",IF(OR(IFERROR(INDEX('Kontoplan'!$D$3:$D$302,MATCH(D659,'Kontoplan'!$H$3:$H$302,0))="Støttes ikke",FALSE),IFERROR(INDEX('Kontoplan'!$D$3:$D$302,MATCH(E659,'Kontoplan'!$H$3:$H$302,0))="Støttes ikke",FALSE)),"Kontoen støttes ikke",IF(IFERROR(AND(A659&gt;1,COUNTIF($A$3:$A$2002,A659-1)=0),FALSE),"Nummeret hopper over",IF(OR(NOT(ISNUMBER(B659)),B659&lt;DATE(2027,1,1),B659&gt;DATE(2027,12,31)),"Datoen er ikke i 2027",""))))))</f>
        <v/>
      </c>
    </row>
    <row r="660">
      <c r="A660" s="17" t="n"/>
      <c r="B660" s="9" t="n"/>
      <c r="C660" s="8" t="n"/>
      <c r="D660" s="8" t="n"/>
      <c r="E660" s="8" t="n"/>
      <c r="F660" s="14" t="n"/>
      <c r="G660" s="14" t="n"/>
      <c r="H660" s="8" t="n"/>
      <c r="I660" s="8" t="n"/>
      <c r="J660" s="8" t="n"/>
      <c r="K660" s="18">
        <f>IF(B660="","",IFERROR(MONTH(B660),""))</f>
        <v/>
      </c>
      <c r="L660" s="5">
        <f>IF(COUNTA(A660:J660)=0,"",IF(E660="","Mangler motkonto",IF((F660="")=(G660=""),"Fyll ut enten Inn eller Ut",IF(OR(IFERROR(INDEX('Kontoplan'!$D$3:$D$302,MATCH(D660,'Kontoplan'!$H$3:$H$302,0))="Støttes ikke",FALSE),IFERROR(INDEX('Kontoplan'!$D$3:$D$302,MATCH(E660,'Kontoplan'!$H$3:$H$302,0))="Støttes ikke",FALSE)),"Kontoen støttes ikke",IF(IFERROR(AND(A660&gt;1,COUNTIF($A$3:$A$2002,A660-1)=0),FALSE),"Nummeret hopper over",IF(OR(NOT(ISNUMBER(B660)),B660&lt;DATE(2027,1,1),B660&gt;DATE(2027,12,31)),"Datoen er ikke i 2027",""))))))</f>
        <v/>
      </c>
    </row>
    <row r="661">
      <c r="A661" s="17" t="n"/>
      <c r="B661" s="9" t="n"/>
      <c r="C661" s="8" t="n"/>
      <c r="D661" s="8" t="n"/>
      <c r="E661" s="8" t="n"/>
      <c r="F661" s="14" t="n"/>
      <c r="G661" s="14" t="n"/>
      <c r="H661" s="8" t="n"/>
      <c r="I661" s="8" t="n"/>
      <c r="J661" s="8" t="n"/>
      <c r="K661" s="18">
        <f>IF(B661="","",IFERROR(MONTH(B661),""))</f>
        <v/>
      </c>
      <c r="L661" s="5">
        <f>IF(COUNTA(A661:J661)=0,"",IF(E661="","Mangler motkonto",IF((F661="")=(G661=""),"Fyll ut enten Inn eller Ut",IF(OR(IFERROR(INDEX('Kontoplan'!$D$3:$D$302,MATCH(D661,'Kontoplan'!$H$3:$H$302,0))="Støttes ikke",FALSE),IFERROR(INDEX('Kontoplan'!$D$3:$D$302,MATCH(E661,'Kontoplan'!$H$3:$H$302,0))="Støttes ikke",FALSE)),"Kontoen støttes ikke",IF(IFERROR(AND(A661&gt;1,COUNTIF($A$3:$A$2002,A661-1)=0),FALSE),"Nummeret hopper over",IF(OR(NOT(ISNUMBER(B661)),B661&lt;DATE(2027,1,1),B661&gt;DATE(2027,12,31)),"Datoen er ikke i 2027",""))))))</f>
        <v/>
      </c>
    </row>
    <row r="662">
      <c r="A662" s="17" t="n"/>
      <c r="B662" s="9" t="n"/>
      <c r="C662" s="8" t="n"/>
      <c r="D662" s="8" t="n"/>
      <c r="E662" s="8" t="n"/>
      <c r="F662" s="14" t="n"/>
      <c r="G662" s="14" t="n"/>
      <c r="H662" s="8" t="n"/>
      <c r="I662" s="8" t="n"/>
      <c r="J662" s="8" t="n"/>
      <c r="K662" s="18">
        <f>IF(B662="","",IFERROR(MONTH(B662),""))</f>
        <v/>
      </c>
      <c r="L662" s="5">
        <f>IF(COUNTA(A662:J662)=0,"",IF(E662="","Mangler motkonto",IF((F662="")=(G662=""),"Fyll ut enten Inn eller Ut",IF(OR(IFERROR(INDEX('Kontoplan'!$D$3:$D$302,MATCH(D662,'Kontoplan'!$H$3:$H$302,0))="Støttes ikke",FALSE),IFERROR(INDEX('Kontoplan'!$D$3:$D$302,MATCH(E662,'Kontoplan'!$H$3:$H$302,0))="Støttes ikke",FALSE)),"Kontoen støttes ikke",IF(IFERROR(AND(A662&gt;1,COUNTIF($A$3:$A$2002,A662-1)=0),FALSE),"Nummeret hopper over",IF(OR(NOT(ISNUMBER(B662)),B662&lt;DATE(2027,1,1),B662&gt;DATE(2027,12,31)),"Datoen er ikke i 2027",""))))))</f>
        <v/>
      </c>
    </row>
    <row r="663">
      <c r="A663" s="17" t="n"/>
      <c r="B663" s="9" t="n"/>
      <c r="C663" s="8" t="n"/>
      <c r="D663" s="8" t="n"/>
      <c r="E663" s="8" t="n"/>
      <c r="F663" s="14" t="n"/>
      <c r="G663" s="14" t="n"/>
      <c r="H663" s="8" t="n"/>
      <c r="I663" s="8" t="n"/>
      <c r="J663" s="8" t="n"/>
      <c r="K663" s="18">
        <f>IF(B663="","",IFERROR(MONTH(B663),""))</f>
        <v/>
      </c>
      <c r="L663" s="5">
        <f>IF(COUNTA(A663:J663)=0,"",IF(E663="","Mangler motkonto",IF((F663="")=(G663=""),"Fyll ut enten Inn eller Ut",IF(OR(IFERROR(INDEX('Kontoplan'!$D$3:$D$302,MATCH(D663,'Kontoplan'!$H$3:$H$302,0))="Støttes ikke",FALSE),IFERROR(INDEX('Kontoplan'!$D$3:$D$302,MATCH(E663,'Kontoplan'!$H$3:$H$302,0))="Støttes ikke",FALSE)),"Kontoen støttes ikke",IF(IFERROR(AND(A663&gt;1,COUNTIF($A$3:$A$2002,A663-1)=0),FALSE),"Nummeret hopper over",IF(OR(NOT(ISNUMBER(B663)),B663&lt;DATE(2027,1,1),B663&gt;DATE(2027,12,31)),"Datoen er ikke i 2027",""))))))</f>
        <v/>
      </c>
    </row>
    <row r="664">
      <c r="A664" s="17" t="n"/>
      <c r="B664" s="9" t="n"/>
      <c r="C664" s="8" t="n"/>
      <c r="D664" s="8" t="n"/>
      <c r="E664" s="8" t="n"/>
      <c r="F664" s="14" t="n"/>
      <c r="G664" s="14" t="n"/>
      <c r="H664" s="8" t="n"/>
      <c r="I664" s="8" t="n"/>
      <c r="J664" s="8" t="n"/>
      <c r="K664" s="18">
        <f>IF(B664="","",IFERROR(MONTH(B664),""))</f>
        <v/>
      </c>
      <c r="L664" s="5">
        <f>IF(COUNTA(A664:J664)=0,"",IF(E664="","Mangler motkonto",IF((F664="")=(G664=""),"Fyll ut enten Inn eller Ut",IF(OR(IFERROR(INDEX('Kontoplan'!$D$3:$D$302,MATCH(D664,'Kontoplan'!$H$3:$H$302,0))="Støttes ikke",FALSE),IFERROR(INDEX('Kontoplan'!$D$3:$D$302,MATCH(E664,'Kontoplan'!$H$3:$H$302,0))="Støttes ikke",FALSE)),"Kontoen støttes ikke",IF(IFERROR(AND(A664&gt;1,COUNTIF($A$3:$A$2002,A664-1)=0),FALSE),"Nummeret hopper over",IF(OR(NOT(ISNUMBER(B664)),B664&lt;DATE(2027,1,1),B664&gt;DATE(2027,12,31)),"Datoen er ikke i 2027",""))))))</f>
        <v/>
      </c>
    </row>
    <row r="665">
      <c r="A665" s="17" t="n"/>
      <c r="B665" s="9" t="n"/>
      <c r="C665" s="8" t="n"/>
      <c r="D665" s="8" t="n"/>
      <c r="E665" s="8" t="n"/>
      <c r="F665" s="14" t="n"/>
      <c r="G665" s="14" t="n"/>
      <c r="H665" s="8" t="n"/>
      <c r="I665" s="8" t="n"/>
      <c r="J665" s="8" t="n"/>
      <c r="K665" s="18">
        <f>IF(B665="","",IFERROR(MONTH(B665),""))</f>
        <v/>
      </c>
      <c r="L665" s="5">
        <f>IF(COUNTA(A665:J665)=0,"",IF(E665="","Mangler motkonto",IF((F665="")=(G665=""),"Fyll ut enten Inn eller Ut",IF(OR(IFERROR(INDEX('Kontoplan'!$D$3:$D$302,MATCH(D665,'Kontoplan'!$H$3:$H$302,0))="Støttes ikke",FALSE),IFERROR(INDEX('Kontoplan'!$D$3:$D$302,MATCH(E665,'Kontoplan'!$H$3:$H$302,0))="Støttes ikke",FALSE)),"Kontoen støttes ikke",IF(IFERROR(AND(A665&gt;1,COUNTIF($A$3:$A$2002,A665-1)=0),FALSE),"Nummeret hopper over",IF(OR(NOT(ISNUMBER(B665)),B665&lt;DATE(2027,1,1),B665&gt;DATE(2027,12,31)),"Datoen er ikke i 2027",""))))))</f>
        <v/>
      </c>
    </row>
    <row r="666">
      <c r="A666" s="17" t="n"/>
      <c r="B666" s="9" t="n"/>
      <c r="C666" s="8" t="n"/>
      <c r="D666" s="8" t="n"/>
      <c r="E666" s="8" t="n"/>
      <c r="F666" s="14" t="n"/>
      <c r="G666" s="14" t="n"/>
      <c r="H666" s="8" t="n"/>
      <c r="I666" s="8" t="n"/>
      <c r="J666" s="8" t="n"/>
      <c r="K666" s="18">
        <f>IF(B666="","",IFERROR(MONTH(B666),""))</f>
        <v/>
      </c>
      <c r="L666" s="5">
        <f>IF(COUNTA(A666:J666)=0,"",IF(E666="","Mangler motkonto",IF((F666="")=(G666=""),"Fyll ut enten Inn eller Ut",IF(OR(IFERROR(INDEX('Kontoplan'!$D$3:$D$302,MATCH(D666,'Kontoplan'!$H$3:$H$302,0))="Støttes ikke",FALSE),IFERROR(INDEX('Kontoplan'!$D$3:$D$302,MATCH(E666,'Kontoplan'!$H$3:$H$302,0))="Støttes ikke",FALSE)),"Kontoen støttes ikke",IF(IFERROR(AND(A666&gt;1,COUNTIF($A$3:$A$2002,A666-1)=0),FALSE),"Nummeret hopper over",IF(OR(NOT(ISNUMBER(B666)),B666&lt;DATE(2027,1,1),B666&gt;DATE(2027,12,31)),"Datoen er ikke i 2027",""))))))</f>
        <v/>
      </c>
    </row>
    <row r="667">
      <c r="A667" s="17" t="n"/>
      <c r="B667" s="9" t="n"/>
      <c r="C667" s="8" t="n"/>
      <c r="D667" s="8" t="n"/>
      <c r="E667" s="8" t="n"/>
      <c r="F667" s="14" t="n"/>
      <c r="G667" s="14" t="n"/>
      <c r="H667" s="8" t="n"/>
      <c r="I667" s="8" t="n"/>
      <c r="J667" s="8" t="n"/>
      <c r="K667" s="18">
        <f>IF(B667="","",IFERROR(MONTH(B667),""))</f>
        <v/>
      </c>
      <c r="L667" s="5">
        <f>IF(COUNTA(A667:J667)=0,"",IF(E667="","Mangler motkonto",IF((F667="")=(G667=""),"Fyll ut enten Inn eller Ut",IF(OR(IFERROR(INDEX('Kontoplan'!$D$3:$D$302,MATCH(D667,'Kontoplan'!$H$3:$H$302,0))="Støttes ikke",FALSE),IFERROR(INDEX('Kontoplan'!$D$3:$D$302,MATCH(E667,'Kontoplan'!$H$3:$H$302,0))="Støttes ikke",FALSE)),"Kontoen støttes ikke",IF(IFERROR(AND(A667&gt;1,COUNTIF($A$3:$A$2002,A667-1)=0),FALSE),"Nummeret hopper over",IF(OR(NOT(ISNUMBER(B667)),B667&lt;DATE(2027,1,1),B667&gt;DATE(2027,12,31)),"Datoen er ikke i 2027",""))))))</f>
        <v/>
      </c>
    </row>
    <row r="668">
      <c r="A668" s="17" t="n"/>
      <c r="B668" s="9" t="n"/>
      <c r="C668" s="8" t="n"/>
      <c r="D668" s="8" t="n"/>
      <c r="E668" s="8" t="n"/>
      <c r="F668" s="14" t="n"/>
      <c r="G668" s="14" t="n"/>
      <c r="H668" s="8" t="n"/>
      <c r="I668" s="8" t="n"/>
      <c r="J668" s="8" t="n"/>
      <c r="K668" s="18">
        <f>IF(B668="","",IFERROR(MONTH(B668),""))</f>
        <v/>
      </c>
      <c r="L668" s="5">
        <f>IF(COUNTA(A668:J668)=0,"",IF(E668="","Mangler motkonto",IF((F668="")=(G668=""),"Fyll ut enten Inn eller Ut",IF(OR(IFERROR(INDEX('Kontoplan'!$D$3:$D$302,MATCH(D668,'Kontoplan'!$H$3:$H$302,0))="Støttes ikke",FALSE),IFERROR(INDEX('Kontoplan'!$D$3:$D$302,MATCH(E668,'Kontoplan'!$H$3:$H$302,0))="Støttes ikke",FALSE)),"Kontoen støttes ikke",IF(IFERROR(AND(A668&gt;1,COUNTIF($A$3:$A$2002,A668-1)=0),FALSE),"Nummeret hopper over",IF(OR(NOT(ISNUMBER(B668)),B668&lt;DATE(2027,1,1),B668&gt;DATE(2027,12,31)),"Datoen er ikke i 2027",""))))))</f>
        <v/>
      </c>
    </row>
    <row r="669">
      <c r="A669" s="17" t="n"/>
      <c r="B669" s="9" t="n"/>
      <c r="C669" s="8" t="n"/>
      <c r="D669" s="8" t="n"/>
      <c r="E669" s="8" t="n"/>
      <c r="F669" s="14" t="n"/>
      <c r="G669" s="14" t="n"/>
      <c r="H669" s="8" t="n"/>
      <c r="I669" s="8" t="n"/>
      <c r="J669" s="8" t="n"/>
      <c r="K669" s="18">
        <f>IF(B669="","",IFERROR(MONTH(B669),""))</f>
        <v/>
      </c>
      <c r="L669" s="5">
        <f>IF(COUNTA(A669:J669)=0,"",IF(E669="","Mangler motkonto",IF((F669="")=(G669=""),"Fyll ut enten Inn eller Ut",IF(OR(IFERROR(INDEX('Kontoplan'!$D$3:$D$302,MATCH(D669,'Kontoplan'!$H$3:$H$302,0))="Støttes ikke",FALSE),IFERROR(INDEX('Kontoplan'!$D$3:$D$302,MATCH(E669,'Kontoplan'!$H$3:$H$302,0))="Støttes ikke",FALSE)),"Kontoen støttes ikke",IF(IFERROR(AND(A669&gt;1,COUNTIF($A$3:$A$2002,A669-1)=0),FALSE),"Nummeret hopper over",IF(OR(NOT(ISNUMBER(B669)),B669&lt;DATE(2027,1,1),B669&gt;DATE(2027,12,31)),"Datoen er ikke i 2027",""))))))</f>
        <v/>
      </c>
    </row>
    <row r="670">
      <c r="A670" s="17" t="n"/>
      <c r="B670" s="9" t="n"/>
      <c r="C670" s="8" t="n"/>
      <c r="D670" s="8" t="n"/>
      <c r="E670" s="8" t="n"/>
      <c r="F670" s="14" t="n"/>
      <c r="G670" s="14" t="n"/>
      <c r="H670" s="8" t="n"/>
      <c r="I670" s="8" t="n"/>
      <c r="J670" s="8" t="n"/>
      <c r="K670" s="18">
        <f>IF(B670="","",IFERROR(MONTH(B670),""))</f>
        <v/>
      </c>
      <c r="L670" s="5">
        <f>IF(COUNTA(A670:J670)=0,"",IF(E670="","Mangler motkonto",IF((F670="")=(G670=""),"Fyll ut enten Inn eller Ut",IF(OR(IFERROR(INDEX('Kontoplan'!$D$3:$D$302,MATCH(D670,'Kontoplan'!$H$3:$H$302,0))="Støttes ikke",FALSE),IFERROR(INDEX('Kontoplan'!$D$3:$D$302,MATCH(E670,'Kontoplan'!$H$3:$H$302,0))="Støttes ikke",FALSE)),"Kontoen støttes ikke",IF(IFERROR(AND(A670&gt;1,COUNTIF($A$3:$A$2002,A670-1)=0),FALSE),"Nummeret hopper over",IF(OR(NOT(ISNUMBER(B670)),B670&lt;DATE(2027,1,1),B670&gt;DATE(2027,12,31)),"Datoen er ikke i 2027",""))))))</f>
        <v/>
      </c>
    </row>
    <row r="671">
      <c r="A671" s="17" t="n"/>
      <c r="B671" s="9" t="n"/>
      <c r="C671" s="8" t="n"/>
      <c r="D671" s="8" t="n"/>
      <c r="E671" s="8" t="n"/>
      <c r="F671" s="14" t="n"/>
      <c r="G671" s="14" t="n"/>
      <c r="H671" s="8" t="n"/>
      <c r="I671" s="8" t="n"/>
      <c r="J671" s="8" t="n"/>
      <c r="K671" s="18">
        <f>IF(B671="","",IFERROR(MONTH(B671),""))</f>
        <v/>
      </c>
      <c r="L671" s="5">
        <f>IF(COUNTA(A671:J671)=0,"",IF(E671="","Mangler motkonto",IF((F671="")=(G671=""),"Fyll ut enten Inn eller Ut",IF(OR(IFERROR(INDEX('Kontoplan'!$D$3:$D$302,MATCH(D671,'Kontoplan'!$H$3:$H$302,0))="Støttes ikke",FALSE),IFERROR(INDEX('Kontoplan'!$D$3:$D$302,MATCH(E671,'Kontoplan'!$H$3:$H$302,0))="Støttes ikke",FALSE)),"Kontoen støttes ikke",IF(IFERROR(AND(A671&gt;1,COUNTIF($A$3:$A$2002,A671-1)=0),FALSE),"Nummeret hopper over",IF(OR(NOT(ISNUMBER(B671)),B671&lt;DATE(2027,1,1),B671&gt;DATE(2027,12,31)),"Datoen er ikke i 2027",""))))))</f>
        <v/>
      </c>
    </row>
    <row r="672">
      <c r="A672" s="17" t="n"/>
      <c r="B672" s="9" t="n"/>
      <c r="C672" s="8" t="n"/>
      <c r="D672" s="8" t="n"/>
      <c r="E672" s="8" t="n"/>
      <c r="F672" s="14" t="n"/>
      <c r="G672" s="14" t="n"/>
      <c r="H672" s="8" t="n"/>
      <c r="I672" s="8" t="n"/>
      <c r="J672" s="8" t="n"/>
      <c r="K672" s="18">
        <f>IF(B672="","",IFERROR(MONTH(B672),""))</f>
        <v/>
      </c>
      <c r="L672" s="5">
        <f>IF(COUNTA(A672:J672)=0,"",IF(E672="","Mangler motkonto",IF((F672="")=(G672=""),"Fyll ut enten Inn eller Ut",IF(OR(IFERROR(INDEX('Kontoplan'!$D$3:$D$302,MATCH(D672,'Kontoplan'!$H$3:$H$302,0))="Støttes ikke",FALSE),IFERROR(INDEX('Kontoplan'!$D$3:$D$302,MATCH(E672,'Kontoplan'!$H$3:$H$302,0))="Støttes ikke",FALSE)),"Kontoen støttes ikke",IF(IFERROR(AND(A672&gt;1,COUNTIF($A$3:$A$2002,A672-1)=0),FALSE),"Nummeret hopper over",IF(OR(NOT(ISNUMBER(B672)),B672&lt;DATE(2027,1,1),B672&gt;DATE(2027,12,31)),"Datoen er ikke i 2027",""))))))</f>
        <v/>
      </c>
    </row>
    <row r="673">
      <c r="A673" s="17" t="n"/>
      <c r="B673" s="9" t="n"/>
      <c r="C673" s="8" t="n"/>
      <c r="D673" s="8" t="n"/>
      <c r="E673" s="8" t="n"/>
      <c r="F673" s="14" t="n"/>
      <c r="G673" s="14" t="n"/>
      <c r="H673" s="8" t="n"/>
      <c r="I673" s="8" t="n"/>
      <c r="J673" s="8" t="n"/>
      <c r="K673" s="18">
        <f>IF(B673="","",IFERROR(MONTH(B673),""))</f>
        <v/>
      </c>
      <c r="L673" s="5">
        <f>IF(COUNTA(A673:J673)=0,"",IF(E673="","Mangler motkonto",IF((F673="")=(G673=""),"Fyll ut enten Inn eller Ut",IF(OR(IFERROR(INDEX('Kontoplan'!$D$3:$D$302,MATCH(D673,'Kontoplan'!$H$3:$H$302,0))="Støttes ikke",FALSE),IFERROR(INDEX('Kontoplan'!$D$3:$D$302,MATCH(E673,'Kontoplan'!$H$3:$H$302,0))="Støttes ikke",FALSE)),"Kontoen støttes ikke",IF(IFERROR(AND(A673&gt;1,COUNTIF($A$3:$A$2002,A673-1)=0),FALSE),"Nummeret hopper over",IF(OR(NOT(ISNUMBER(B673)),B673&lt;DATE(2027,1,1),B673&gt;DATE(2027,12,31)),"Datoen er ikke i 2027",""))))))</f>
        <v/>
      </c>
    </row>
    <row r="674">
      <c r="A674" s="17" t="n"/>
      <c r="B674" s="9" t="n"/>
      <c r="C674" s="8" t="n"/>
      <c r="D674" s="8" t="n"/>
      <c r="E674" s="8" t="n"/>
      <c r="F674" s="14" t="n"/>
      <c r="G674" s="14" t="n"/>
      <c r="H674" s="8" t="n"/>
      <c r="I674" s="8" t="n"/>
      <c r="J674" s="8" t="n"/>
      <c r="K674" s="18">
        <f>IF(B674="","",IFERROR(MONTH(B674),""))</f>
        <v/>
      </c>
      <c r="L674" s="5">
        <f>IF(COUNTA(A674:J674)=0,"",IF(E674="","Mangler motkonto",IF((F674="")=(G674=""),"Fyll ut enten Inn eller Ut",IF(OR(IFERROR(INDEX('Kontoplan'!$D$3:$D$302,MATCH(D674,'Kontoplan'!$H$3:$H$302,0))="Støttes ikke",FALSE),IFERROR(INDEX('Kontoplan'!$D$3:$D$302,MATCH(E674,'Kontoplan'!$H$3:$H$302,0))="Støttes ikke",FALSE)),"Kontoen støttes ikke",IF(IFERROR(AND(A674&gt;1,COUNTIF($A$3:$A$2002,A674-1)=0),FALSE),"Nummeret hopper over",IF(OR(NOT(ISNUMBER(B674)),B674&lt;DATE(2027,1,1),B674&gt;DATE(2027,12,31)),"Datoen er ikke i 2027",""))))))</f>
        <v/>
      </c>
    </row>
    <row r="675">
      <c r="A675" s="17" t="n"/>
      <c r="B675" s="9" t="n"/>
      <c r="C675" s="8" t="n"/>
      <c r="D675" s="8" t="n"/>
      <c r="E675" s="8" t="n"/>
      <c r="F675" s="14" t="n"/>
      <c r="G675" s="14" t="n"/>
      <c r="H675" s="8" t="n"/>
      <c r="I675" s="8" t="n"/>
      <c r="J675" s="8" t="n"/>
      <c r="K675" s="18">
        <f>IF(B675="","",IFERROR(MONTH(B675),""))</f>
        <v/>
      </c>
      <c r="L675" s="5">
        <f>IF(COUNTA(A675:J675)=0,"",IF(E675="","Mangler motkonto",IF((F675="")=(G675=""),"Fyll ut enten Inn eller Ut",IF(OR(IFERROR(INDEX('Kontoplan'!$D$3:$D$302,MATCH(D675,'Kontoplan'!$H$3:$H$302,0))="Støttes ikke",FALSE),IFERROR(INDEX('Kontoplan'!$D$3:$D$302,MATCH(E675,'Kontoplan'!$H$3:$H$302,0))="Støttes ikke",FALSE)),"Kontoen støttes ikke",IF(IFERROR(AND(A675&gt;1,COUNTIF($A$3:$A$2002,A675-1)=0),FALSE),"Nummeret hopper over",IF(OR(NOT(ISNUMBER(B675)),B675&lt;DATE(2027,1,1),B675&gt;DATE(2027,12,31)),"Datoen er ikke i 2027",""))))))</f>
        <v/>
      </c>
    </row>
    <row r="676">
      <c r="A676" s="17" t="n"/>
      <c r="B676" s="9" t="n"/>
      <c r="C676" s="8" t="n"/>
      <c r="D676" s="8" t="n"/>
      <c r="E676" s="8" t="n"/>
      <c r="F676" s="14" t="n"/>
      <c r="G676" s="14" t="n"/>
      <c r="H676" s="8" t="n"/>
      <c r="I676" s="8" t="n"/>
      <c r="J676" s="8" t="n"/>
      <c r="K676" s="18">
        <f>IF(B676="","",IFERROR(MONTH(B676),""))</f>
        <v/>
      </c>
      <c r="L676" s="5">
        <f>IF(COUNTA(A676:J676)=0,"",IF(E676="","Mangler motkonto",IF((F676="")=(G676=""),"Fyll ut enten Inn eller Ut",IF(OR(IFERROR(INDEX('Kontoplan'!$D$3:$D$302,MATCH(D676,'Kontoplan'!$H$3:$H$302,0))="Støttes ikke",FALSE),IFERROR(INDEX('Kontoplan'!$D$3:$D$302,MATCH(E676,'Kontoplan'!$H$3:$H$302,0))="Støttes ikke",FALSE)),"Kontoen støttes ikke",IF(IFERROR(AND(A676&gt;1,COUNTIF($A$3:$A$2002,A676-1)=0),FALSE),"Nummeret hopper over",IF(OR(NOT(ISNUMBER(B676)),B676&lt;DATE(2027,1,1),B676&gt;DATE(2027,12,31)),"Datoen er ikke i 2027",""))))))</f>
        <v/>
      </c>
    </row>
    <row r="677">
      <c r="A677" s="17" t="n"/>
      <c r="B677" s="9" t="n"/>
      <c r="C677" s="8" t="n"/>
      <c r="D677" s="8" t="n"/>
      <c r="E677" s="8" t="n"/>
      <c r="F677" s="14" t="n"/>
      <c r="G677" s="14" t="n"/>
      <c r="H677" s="8" t="n"/>
      <c r="I677" s="8" t="n"/>
      <c r="J677" s="8" t="n"/>
      <c r="K677" s="18">
        <f>IF(B677="","",IFERROR(MONTH(B677),""))</f>
        <v/>
      </c>
      <c r="L677" s="5">
        <f>IF(COUNTA(A677:J677)=0,"",IF(E677="","Mangler motkonto",IF((F677="")=(G677=""),"Fyll ut enten Inn eller Ut",IF(OR(IFERROR(INDEX('Kontoplan'!$D$3:$D$302,MATCH(D677,'Kontoplan'!$H$3:$H$302,0))="Støttes ikke",FALSE),IFERROR(INDEX('Kontoplan'!$D$3:$D$302,MATCH(E677,'Kontoplan'!$H$3:$H$302,0))="Støttes ikke",FALSE)),"Kontoen støttes ikke",IF(IFERROR(AND(A677&gt;1,COUNTIF($A$3:$A$2002,A677-1)=0),FALSE),"Nummeret hopper over",IF(OR(NOT(ISNUMBER(B677)),B677&lt;DATE(2027,1,1),B677&gt;DATE(2027,12,31)),"Datoen er ikke i 2027",""))))))</f>
        <v/>
      </c>
    </row>
    <row r="678">
      <c r="A678" s="17" t="n"/>
      <c r="B678" s="9" t="n"/>
      <c r="C678" s="8" t="n"/>
      <c r="D678" s="8" t="n"/>
      <c r="E678" s="8" t="n"/>
      <c r="F678" s="14" t="n"/>
      <c r="G678" s="14" t="n"/>
      <c r="H678" s="8" t="n"/>
      <c r="I678" s="8" t="n"/>
      <c r="J678" s="8" t="n"/>
      <c r="K678" s="18">
        <f>IF(B678="","",IFERROR(MONTH(B678),""))</f>
        <v/>
      </c>
      <c r="L678" s="5">
        <f>IF(COUNTA(A678:J678)=0,"",IF(E678="","Mangler motkonto",IF((F678="")=(G678=""),"Fyll ut enten Inn eller Ut",IF(OR(IFERROR(INDEX('Kontoplan'!$D$3:$D$302,MATCH(D678,'Kontoplan'!$H$3:$H$302,0))="Støttes ikke",FALSE),IFERROR(INDEX('Kontoplan'!$D$3:$D$302,MATCH(E678,'Kontoplan'!$H$3:$H$302,0))="Støttes ikke",FALSE)),"Kontoen støttes ikke",IF(IFERROR(AND(A678&gt;1,COUNTIF($A$3:$A$2002,A678-1)=0),FALSE),"Nummeret hopper over",IF(OR(NOT(ISNUMBER(B678)),B678&lt;DATE(2027,1,1),B678&gt;DATE(2027,12,31)),"Datoen er ikke i 2027",""))))))</f>
        <v/>
      </c>
    </row>
    <row r="679">
      <c r="A679" s="17" t="n"/>
      <c r="B679" s="9" t="n"/>
      <c r="C679" s="8" t="n"/>
      <c r="D679" s="8" t="n"/>
      <c r="E679" s="8" t="n"/>
      <c r="F679" s="14" t="n"/>
      <c r="G679" s="14" t="n"/>
      <c r="H679" s="8" t="n"/>
      <c r="I679" s="8" t="n"/>
      <c r="J679" s="8" t="n"/>
      <c r="K679" s="18">
        <f>IF(B679="","",IFERROR(MONTH(B679),""))</f>
        <v/>
      </c>
      <c r="L679" s="5">
        <f>IF(COUNTA(A679:J679)=0,"",IF(E679="","Mangler motkonto",IF((F679="")=(G679=""),"Fyll ut enten Inn eller Ut",IF(OR(IFERROR(INDEX('Kontoplan'!$D$3:$D$302,MATCH(D679,'Kontoplan'!$H$3:$H$302,0))="Støttes ikke",FALSE),IFERROR(INDEX('Kontoplan'!$D$3:$D$302,MATCH(E679,'Kontoplan'!$H$3:$H$302,0))="Støttes ikke",FALSE)),"Kontoen støttes ikke",IF(IFERROR(AND(A679&gt;1,COUNTIF($A$3:$A$2002,A679-1)=0),FALSE),"Nummeret hopper over",IF(OR(NOT(ISNUMBER(B679)),B679&lt;DATE(2027,1,1),B679&gt;DATE(2027,12,31)),"Datoen er ikke i 2027",""))))))</f>
        <v/>
      </c>
    </row>
    <row r="680">
      <c r="A680" s="17" t="n"/>
      <c r="B680" s="9" t="n"/>
      <c r="C680" s="8" t="n"/>
      <c r="D680" s="8" t="n"/>
      <c r="E680" s="8" t="n"/>
      <c r="F680" s="14" t="n"/>
      <c r="G680" s="14" t="n"/>
      <c r="H680" s="8" t="n"/>
      <c r="I680" s="8" t="n"/>
      <c r="J680" s="8" t="n"/>
      <c r="K680" s="18">
        <f>IF(B680="","",IFERROR(MONTH(B680),""))</f>
        <v/>
      </c>
      <c r="L680" s="5">
        <f>IF(COUNTA(A680:J680)=0,"",IF(E680="","Mangler motkonto",IF((F680="")=(G680=""),"Fyll ut enten Inn eller Ut",IF(OR(IFERROR(INDEX('Kontoplan'!$D$3:$D$302,MATCH(D680,'Kontoplan'!$H$3:$H$302,0))="Støttes ikke",FALSE),IFERROR(INDEX('Kontoplan'!$D$3:$D$302,MATCH(E680,'Kontoplan'!$H$3:$H$302,0))="Støttes ikke",FALSE)),"Kontoen støttes ikke",IF(IFERROR(AND(A680&gt;1,COUNTIF($A$3:$A$2002,A680-1)=0),FALSE),"Nummeret hopper over",IF(OR(NOT(ISNUMBER(B680)),B680&lt;DATE(2027,1,1),B680&gt;DATE(2027,12,31)),"Datoen er ikke i 2027",""))))))</f>
        <v/>
      </c>
    </row>
    <row r="681">
      <c r="A681" s="17" t="n"/>
      <c r="B681" s="9" t="n"/>
      <c r="C681" s="8" t="n"/>
      <c r="D681" s="8" t="n"/>
      <c r="E681" s="8" t="n"/>
      <c r="F681" s="14" t="n"/>
      <c r="G681" s="14" t="n"/>
      <c r="H681" s="8" t="n"/>
      <c r="I681" s="8" t="n"/>
      <c r="J681" s="8" t="n"/>
      <c r="K681" s="18">
        <f>IF(B681="","",IFERROR(MONTH(B681),""))</f>
        <v/>
      </c>
      <c r="L681" s="5">
        <f>IF(COUNTA(A681:J681)=0,"",IF(E681="","Mangler motkonto",IF((F681="")=(G681=""),"Fyll ut enten Inn eller Ut",IF(OR(IFERROR(INDEX('Kontoplan'!$D$3:$D$302,MATCH(D681,'Kontoplan'!$H$3:$H$302,0))="Støttes ikke",FALSE),IFERROR(INDEX('Kontoplan'!$D$3:$D$302,MATCH(E681,'Kontoplan'!$H$3:$H$302,0))="Støttes ikke",FALSE)),"Kontoen støttes ikke",IF(IFERROR(AND(A681&gt;1,COUNTIF($A$3:$A$2002,A681-1)=0),FALSE),"Nummeret hopper over",IF(OR(NOT(ISNUMBER(B681)),B681&lt;DATE(2027,1,1),B681&gt;DATE(2027,12,31)),"Datoen er ikke i 2027",""))))))</f>
        <v/>
      </c>
    </row>
    <row r="682">
      <c r="A682" s="17" t="n"/>
      <c r="B682" s="9" t="n"/>
      <c r="C682" s="8" t="n"/>
      <c r="D682" s="8" t="n"/>
      <c r="E682" s="8" t="n"/>
      <c r="F682" s="14" t="n"/>
      <c r="G682" s="14" t="n"/>
      <c r="H682" s="8" t="n"/>
      <c r="I682" s="8" t="n"/>
      <c r="J682" s="8" t="n"/>
      <c r="K682" s="18">
        <f>IF(B682="","",IFERROR(MONTH(B682),""))</f>
        <v/>
      </c>
      <c r="L682" s="5">
        <f>IF(COUNTA(A682:J682)=0,"",IF(E682="","Mangler motkonto",IF((F682="")=(G682=""),"Fyll ut enten Inn eller Ut",IF(OR(IFERROR(INDEX('Kontoplan'!$D$3:$D$302,MATCH(D682,'Kontoplan'!$H$3:$H$302,0))="Støttes ikke",FALSE),IFERROR(INDEX('Kontoplan'!$D$3:$D$302,MATCH(E682,'Kontoplan'!$H$3:$H$302,0))="Støttes ikke",FALSE)),"Kontoen støttes ikke",IF(IFERROR(AND(A682&gt;1,COUNTIF($A$3:$A$2002,A682-1)=0),FALSE),"Nummeret hopper over",IF(OR(NOT(ISNUMBER(B682)),B682&lt;DATE(2027,1,1),B682&gt;DATE(2027,12,31)),"Datoen er ikke i 2027",""))))))</f>
        <v/>
      </c>
    </row>
    <row r="683">
      <c r="A683" s="17" t="n"/>
      <c r="B683" s="9" t="n"/>
      <c r="C683" s="8" t="n"/>
      <c r="D683" s="8" t="n"/>
      <c r="E683" s="8" t="n"/>
      <c r="F683" s="14" t="n"/>
      <c r="G683" s="14" t="n"/>
      <c r="H683" s="8" t="n"/>
      <c r="I683" s="8" t="n"/>
      <c r="J683" s="8" t="n"/>
      <c r="K683" s="18">
        <f>IF(B683="","",IFERROR(MONTH(B683),""))</f>
        <v/>
      </c>
      <c r="L683" s="5">
        <f>IF(COUNTA(A683:J683)=0,"",IF(E683="","Mangler motkonto",IF((F683="")=(G683=""),"Fyll ut enten Inn eller Ut",IF(OR(IFERROR(INDEX('Kontoplan'!$D$3:$D$302,MATCH(D683,'Kontoplan'!$H$3:$H$302,0))="Støttes ikke",FALSE),IFERROR(INDEX('Kontoplan'!$D$3:$D$302,MATCH(E683,'Kontoplan'!$H$3:$H$302,0))="Støttes ikke",FALSE)),"Kontoen støttes ikke",IF(IFERROR(AND(A683&gt;1,COUNTIF($A$3:$A$2002,A683-1)=0),FALSE),"Nummeret hopper over",IF(OR(NOT(ISNUMBER(B683)),B683&lt;DATE(2027,1,1),B683&gt;DATE(2027,12,31)),"Datoen er ikke i 2027",""))))))</f>
        <v/>
      </c>
    </row>
    <row r="684">
      <c r="A684" s="17" t="n"/>
      <c r="B684" s="9" t="n"/>
      <c r="C684" s="8" t="n"/>
      <c r="D684" s="8" t="n"/>
      <c r="E684" s="8" t="n"/>
      <c r="F684" s="14" t="n"/>
      <c r="G684" s="14" t="n"/>
      <c r="H684" s="8" t="n"/>
      <c r="I684" s="8" t="n"/>
      <c r="J684" s="8" t="n"/>
      <c r="K684" s="18">
        <f>IF(B684="","",IFERROR(MONTH(B684),""))</f>
        <v/>
      </c>
      <c r="L684" s="5">
        <f>IF(COUNTA(A684:J684)=0,"",IF(E684="","Mangler motkonto",IF((F684="")=(G684=""),"Fyll ut enten Inn eller Ut",IF(OR(IFERROR(INDEX('Kontoplan'!$D$3:$D$302,MATCH(D684,'Kontoplan'!$H$3:$H$302,0))="Støttes ikke",FALSE),IFERROR(INDEX('Kontoplan'!$D$3:$D$302,MATCH(E684,'Kontoplan'!$H$3:$H$302,0))="Støttes ikke",FALSE)),"Kontoen støttes ikke",IF(IFERROR(AND(A684&gt;1,COUNTIF($A$3:$A$2002,A684-1)=0),FALSE),"Nummeret hopper over",IF(OR(NOT(ISNUMBER(B684)),B684&lt;DATE(2027,1,1),B684&gt;DATE(2027,12,31)),"Datoen er ikke i 2027",""))))))</f>
        <v/>
      </c>
    </row>
    <row r="685">
      <c r="A685" s="17" t="n"/>
      <c r="B685" s="9" t="n"/>
      <c r="C685" s="8" t="n"/>
      <c r="D685" s="8" t="n"/>
      <c r="E685" s="8" t="n"/>
      <c r="F685" s="14" t="n"/>
      <c r="G685" s="14" t="n"/>
      <c r="H685" s="8" t="n"/>
      <c r="I685" s="8" t="n"/>
      <c r="J685" s="8" t="n"/>
      <c r="K685" s="18">
        <f>IF(B685="","",IFERROR(MONTH(B685),""))</f>
        <v/>
      </c>
      <c r="L685" s="5">
        <f>IF(COUNTA(A685:J685)=0,"",IF(E685="","Mangler motkonto",IF((F685="")=(G685=""),"Fyll ut enten Inn eller Ut",IF(OR(IFERROR(INDEX('Kontoplan'!$D$3:$D$302,MATCH(D685,'Kontoplan'!$H$3:$H$302,0))="Støttes ikke",FALSE),IFERROR(INDEX('Kontoplan'!$D$3:$D$302,MATCH(E685,'Kontoplan'!$H$3:$H$302,0))="Støttes ikke",FALSE)),"Kontoen støttes ikke",IF(IFERROR(AND(A685&gt;1,COUNTIF($A$3:$A$2002,A685-1)=0),FALSE),"Nummeret hopper over",IF(OR(NOT(ISNUMBER(B685)),B685&lt;DATE(2027,1,1),B685&gt;DATE(2027,12,31)),"Datoen er ikke i 2027",""))))))</f>
        <v/>
      </c>
    </row>
    <row r="686">
      <c r="A686" s="17" t="n"/>
      <c r="B686" s="9" t="n"/>
      <c r="C686" s="8" t="n"/>
      <c r="D686" s="8" t="n"/>
      <c r="E686" s="8" t="n"/>
      <c r="F686" s="14" t="n"/>
      <c r="G686" s="14" t="n"/>
      <c r="H686" s="8" t="n"/>
      <c r="I686" s="8" t="n"/>
      <c r="J686" s="8" t="n"/>
      <c r="K686" s="18">
        <f>IF(B686="","",IFERROR(MONTH(B686),""))</f>
        <v/>
      </c>
      <c r="L686" s="5">
        <f>IF(COUNTA(A686:J686)=0,"",IF(E686="","Mangler motkonto",IF((F686="")=(G686=""),"Fyll ut enten Inn eller Ut",IF(OR(IFERROR(INDEX('Kontoplan'!$D$3:$D$302,MATCH(D686,'Kontoplan'!$H$3:$H$302,0))="Støttes ikke",FALSE),IFERROR(INDEX('Kontoplan'!$D$3:$D$302,MATCH(E686,'Kontoplan'!$H$3:$H$302,0))="Støttes ikke",FALSE)),"Kontoen støttes ikke",IF(IFERROR(AND(A686&gt;1,COUNTIF($A$3:$A$2002,A686-1)=0),FALSE),"Nummeret hopper over",IF(OR(NOT(ISNUMBER(B686)),B686&lt;DATE(2027,1,1),B686&gt;DATE(2027,12,31)),"Datoen er ikke i 2027",""))))))</f>
        <v/>
      </c>
    </row>
    <row r="687">
      <c r="A687" s="17" t="n"/>
      <c r="B687" s="9" t="n"/>
      <c r="C687" s="8" t="n"/>
      <c r="D687" s="8" t="n"/>
      <c r="E687" s="8" t="n"/>
      <c r="F687" s="14" t="n"/>
      <c r="G687" s="14" t="n"/>
      <c r="H687" s="8" t="n"/>
      <c r="I687" s="8" t="n"/>
      <c r="J687" s="8" t="n"/>
      <c r="K687" s="18">
        <f>IF(B687="","",IFERROR(MONTH(B687),""))</f>
        <v/>
      </c>
      <c r="L687" s="5">
        <f>IF(COUNTA(A687:J687)=0,"",IF(E687="","Mangler motkonto",IF((F687="")=(G687=""),"Fyll ut enten Inn eller Ut",IF(OR(IFERROR(INDEX('Kontoplan'!$D$3:$D$302,MATCH(D687,'Kontoplan'!$H$3:$H$302,0))="Støttes ikke",FALSE),IFERROR(INDEX('Kontoplan'!$D$3:$D$302,MATCH(E687,'Kontoplan'!$H$3:$H$302,0))="Støttes ikke",FALSE)),"Kontoen støttes ikke",IF(IFERROR(AND(A687&gt;1,COUNTIF($A$3:$A$2002,A687-1)=0),FALSE),"Nummeret hopper over",IF(OR(NOT(ISNUMBER(B687)),B687&lt;DATE(2027,1,1),B687&gt;DATE(2027,12,31)),"Datoen er ikke i 2027",""))))))</f>
        <v/>
      </c>
    </row>
    <row r="688">
      <c r="A688" s="17" t="n"/>
      <c r="B688" s="9" t="n"/>
      <c r="C688" s="8" t="n"/>
      <c r="D688" s="8" t="n"/>
      <c r="E688" s="8" t="n"/>
      <c r="F688" s="14" t="n"/>
      <c r="G688" s="14" t="n"/>
      <c r="H688" s="8" t="n"/>
      <c r="I688" s="8" t="n"/>
      <c r="J688" s="8" t="n"/>
      <c r="K688" s="18">
        <f>IF(B688="","",IFERROR(MONTH(B688),""))</f>
        <v/>
      </c>
      <c r="L688" s="5">
        <f>IF(COUNTA(A688:J688)=0,"",IF(E688="","Mangler motkonto",IF((F688="")=(G688=""),"Fyll ut enten Inn eller Ut",IF(OR(IFERROR(INDEX('Kontoplan'!$D$3:$D$302,MATCH(D688,'Kontoplan'!$H$3:$H$302,0))="Støttes ikke",FALSE),IFERROR(INDEX('Kontoplan'!$D$3:$D$302,MATCH(E688,'Kontoplan'!$H$3:$H$302,0))="Støttes ikke",FALSE)),"Kontoen støttes ikke",IF(IFERROR(AND(A688&gt;1,COUNTIF($A$3:$A$2002,A688-1)=0),FALSE),"Nummeret hopper over",IF(OR(NOT(ISNUMBER(B688)),B688&lt;DATE(2027,1,1),B688&gt;DATE(2027,12,31)),"Datoen er ikke i 2027",""))))))</f>
        <v/>
      </c>
    </row>
    <row r="689">
      <c r="A689" s="17" t="n"/>
      <c r="B689" s="9" t="n"/>
      <c r="C689" s="8" t="n"/>
      <c r="D689" s="8" t="n"/>
      <c r="E689" s="8" t="n"/>
      <c r="F689" s="14" t="n"/>
      <c r="G689" s="14" t="n"/>
      <c r="H689" s="8" t="n"/>
      <c r="I689" s="8" t="n"/>
      <c r="J689" s="8" t="n"/>
      <c r="K689" s="18">
        <f>IF(B689="","",IFERROR(MONTH(B689),""))</f>
        <v/>
      </c>
      <c r="L689" s="5">
        <f>IF(COUNTA(A689:J689)=0,"",IF(E689="","Mangler motkonto",IF((F689="")=(G689=""),"Fyll ut enten Inn eller Ut",IF(OR(IFERROR(INDEX('Kontoplan'!$D$3:$D$302,MATCH(D689,'Kontoplan'!$H$3:$H$302,0))="Støttes ikke",FALSE),IFERROR(INDEX('Kontoplan'!$D$3:$D$302,MATCH(E689,'Kontoplan'!$H$3:$H$302,0))="Støttes ikke",FALSE)),"Kontoen støttes ikke",IF(IFERROR(AND(A689&gt;1,COUNTIF($A$3:$A$2002,A689-1)=0),FALSE),"Nummeret hopper over",IF(OR(NOT(ISNUMBER(B689)),B689&lt;DATE(2027,1,1),B689&gt;DATE(2027,12,31)),"Datoen er ikke i 2027",""))))))</f>
        <v/>
      </c>
    </row>
    <row r="690">
      <c r="A690" s="17" t="n"/>
      <c r="B690" s="9" t="n"/>
      <c r="C690" s="8" t="n"/>
      <c r="D690" s="8" t="n"/>
      <c r="E690" s="8" t="n"/>
      <c r="F690" s="14" t="n"/>
      <c r="G690" s="14" t="n"/>
      <c r="H690" s="8" t="n"/>
      <c r="I690" s="8" t="n"/>
      <c r="J690" s="8" t="n"/>
      <c r="K690" s="18">
        <f>IF(B690="","",IFERROR(MONTH(B690),""))</f>
        <v/>
      </c>
      <c r="L690" s="5">
        <f>IF(COUNTA(A690:J690)=0,"",IF(E690="","Mangler motkonto",IF((F690="")=(G690=""),"Fyll ut enten Inn eller Ut",IF(OR(IFERROR(INDEX('Kontoplan'!$D$3:$D$302,MATCH(D690,'Kontoplan'!$H$3:$H$302,0))="Støttes ikke",FALSE),IFERROR(INDEX('Kontoplan'!$D$3:$D$302,MATCH(E690,'Kontoplan'!$H$3:$H$302,0))="Støttes ikke",FALSE)),"Kontoen støttes ikke",IF(IFERROR(AND(A690&gt;1,COUNTIF($A$3:$A$2002,A690-1)=0),FALSE),"Nummeret hopper over",IF(OR(NOT(ISNUMBER(B690)),B690&lt;DATE(2027,1,1),B690&gt;DATE(2027,12,31)),"Datoen er ikke i 2027",""))))))</f>
        <v/>
      </c>
    </row>
    <row r="691">
      <c r="A691" s="17" t="n"/>
      <c r="B691" s="9" t="n"/>
      <c r="C691" s="8" t="n"/>
      <c r="D691" s="8" t="n"/>
      <c r="E691" s="8" t="n"/>
      <c r="F691" s="14" t="n"/>
      <c r="G691" s="14" t="n"/>
      <c r="H691" s="8" t="n"/>
      <c r="I691" s="8" t="n"/>
      <c r="J691" s="8" t="n"/>
      <c r="K691" s="18">
        <f>IF(B691="","",IFERROR(MONTH(B691),""))</f>
        <v/>
      </c>
      <c r="L691" s="5">
        <f>IF(COUNTA(A691:J691)=0,"",IF(E691="","Mangler motkonto",IF((F691="")=(G691=""),"Fyll ut enten Inn eller Ut",IF(OR(IFERROR(INDEX('Kontoplan'!$D$3:$D$302,MATCH(D691,'Kontoplan'!$H$3:$H$302,0))="Støttes ikke",FALSE),IFERROR(INDEX('Kontoplan'!$D$3:$D$302,MATCH(E691,'Kontoplan'!$H$3:$H$302,0))="Støttes ikke",FALSE)),"Kontoen støttes ikke",IF(IFERROR(AND(A691&gt;1,COUNTIF($A$3:$A$2002,A691-1)=0),FALSE),"Nummeret hopper over",IF(OR(NOT(ISNUMBER(B691)),B691&lt;DATE(2027,1,1),B691&gt;DATE(2027,12,31)),"Datoen er ikke i 2027",""))))))</f>
        <v/>
      </c>
    </row>
    <row r="692">
      <c r="A692" s="17" t="n"/>
      <c r="B692" s="9" t="n"/>
      <c r="C692" s="8" t="n"/>
      <c r="D692" s="8" t="n"/>
      <c r="E692" s="8" t="n"/>
      <c r="F692" s="14" t="n"/>
      <c r="G692" s="14" t="n"/>
      <c r="H692" s="8" t="n"/>
      <c r="I692" s="8" t="n"/>
      <c r="J692" s="8" t="n"/>
      <c r="K692" s="18">
        <f>IF(B692="","",IFERROR(MONTH(B692),""))</f>
        <v/>
      </c>
      <c r="L692" s="5">
        <f>IF(COUNTA(A692:J692)=0,"",IF(E692="","Mangler motkonto",IF((F692="")=(G692=""),"Fyll ut enten Inn eller Ut",IF(OR(IFERROR(INDEX('Kontoplan'!$D$3:$D$302,MATCH(D692,'Kontoplan'!$H$3:$H$302,0))="Støttes ikke",FALSE),IFERROR(INDEX('Kontoplan'!$D$3:$D$302,MATCH(E692,'Kontoplan'!$H$3:$H$302,0))="Støttes ikke",FALSE)),"Kontoen støttes ikke",IF(IFERROR(AND(A692&gt;1,COUNTIF($A$3:$A$2002,A692-1)=0),FALSE),"Nummeret hopper over",IF(OR(NOT(ISNUMBER(B692)),B692&lt;DATE(2027,1,1),B692&gt;DATE(2027,12,31)),"Datoen er ikke i 2027",""))))))</f>
        <v/>
      </c>
    </row>
    <row r="693">
      <c r="A693" s="17" t="n"/>
      <c r="B693" s="9" t="n"/>
      <c r="C693" s="8" t="n"/>
      <c r="D693" s="8" t="n"/>
      <c r="E693" s="8" t="n"/>
      <c r="F693" s="14" t="n"/>
      <c r="G693" s="14" t="n"/>
      <c r="H693" s="8" t="n"/>
      <c r="I693" s="8" t="n"/>
      <c r="J693" s="8" t="n"/>
      <c r="K693" s="18">
        <f>IF(B693="","",IFERROR(MONTH(B693),""))</f>
        <v/>
      </c>
      <c r="L693" s="5">
        <f>IF(COUNTA(A693:J693)=0,"",IF(E693="","Mangler motkonto",IF((F693="")=(G693=""),"Fyll ut enten Inn eller Ut",IF(OR(IFERROR(INDEX('Kontoplan'!$D$3:$D$302,MATCH(D693,'Kontoplan'!$H$3:$H$302,0))="Støttes ikke",FALSE),IFERROR(INDEX('Kontoplan'!$D$3:$D$302,MATCH(E693,'Kontoplan'!$H$3:$H$302,0))="Støttes ikke",FALSE)),"Kontoen støttes ikke",IF(IFERROR(AND(A693&gt;1,COUNTIF($A$3:$A$2002,A693-1)=0),FALSE),"Nummeret hopper over",IF(OR(NOT(ISNUMBER(B693)),B693&lt;DATE(2027,1,1),B693&gt;DATE(2027,12,31)),"Datoen er ikke i 2027",""))))))</f>
        <v/>
      </c>
    </row>
    <row r="694">
      <c r="A694" s="17" t="n"/>
      <c r="B694" s="9" t="n"/>
      <c r="C694" s="8" t="n"/>
      <c r="D694" s="8" t="n"/>
      <c r="E694" s="8" t="n"/>
      <c r="F694" s="14" t="n"/>
      <c r="G694" s="14" t="n"/>
      <c r="H694" s="8" t="n"/>
      <c r="I694" s="8" t="n"/>
      <c r="J694" s="8" t="n"/>
      <c r="K694" s="18">
        <f>IF(B694="","",IFERROR(MONTH(B694),""))</f>
        <v/>
      </c>
      <c r="L694" s="5">
        <f>IF(COUNTA(A694:J694)=0,"",IF(E694="","Mangler motkonto",IF((F694="")=(G694=""),"Fyll ut enten Inn eller Ut",IF(OR(IFERROR(INDEX('Kontoplan'!$D$3:$D$302,MATCH(D694,'Kontoplan'!$H$3:$H$302,0))="Støttes ikke",FALSE),IFERROR(INDEX('Kontoplan'!$D$3:$D$302,MATCH(E694,'Kontoplan'!$H$3:$H$302,0))="Støttes ikke",FALSE)),"Kontoen støttes ikke",IF(IFERROR(AND(A694&gt;1,COUNTIF($A$3:$A$2002,A694-1)=0),FALSE),"Nummeret hopper over",IF(OR(NOT(ISNUMBER(B694)),B694&lt;DATE(2027,1,1),B694&gt;DATE(2027,12,31)),"Datoen er ikke i 2027",""))))))</f>
        <v/>
      </c>
    </row>
    <row r="695">
      <c r="A695" s="17" t="n"/>
      <c r="B695" s="9" t="n"/>
      <c r="C695" s="8" t="n"/>
      <c r="D695" s="8" t="n"/>
      <c r="E695" s="8" t="n"/>
      <c r="F695" s="14" t="n"/>
      <c r="G695" s="14" t="n"/>
      <c r="H695" s="8" t="n"/>
      <c r="I695" s="8" t="n"/>
      <c r="J695" s="8" t="n"/>
      <c r="K695" s="18">
        <f>IF(B695="","",IFERROR(MONTH(B695),""))</f>
        <v/>
      </c>
      <c r="L695" s="5">
        <f>IF(COUNTA(A695:J695)=0,"",IF(E695="","Mangler motkonto",IF((F695="")=(G695=""),"Fyll ut enten Inn eller Ut",IF(OR(IFERROR(INDEX('Kontoplan'!$D$3:$D$302,MATCH(D695,'Kontoplan'!$H$3:$H$302,0))="Støttes ikke",FALSE),IFERROR(INDEX('Kontoplan'!$D$3:$D$302,MATCH(E695,'Kontoplan'!$H$3:$H$302,0))="Støttes ikke",FALSE)),"Kontoen støttes ikke",IF(IFERROR(AND(A695&gt;1,COUNTIF($A$3:$A$2002,A695-1)=0),FALSE),"Nummeret hopper over",IF(OR(NOT(ISNUMBER(B695)),B695&lt;DATE(2027,1,1),B695&gt;DATE(2027,12,31)),"Datoen er ikke i 2027",""))))))</f>
        <v/>
      </c>
    </row>
    <row r="696">
      <c r="A696" s="17" t="n"/>
      <c r="B696" s="9" t="n"/>
      <c r="C696" s="8" t="n"/>
      <c r="D696" s="8" t="n"/>
      <c r="E696" s="8" t="n"/>
      <c r="F696" s="14" t="n"/>
      <c r="G696" s="14" t="n"/>
      <c r="H696" s="8" t="n"/>
      <c r="I696" s="8" t="n"/>
      <c r="J696" s="8" t="n"/>
      <c r="K696" s="18">
        <f>IF(B696="","",IFERROR(MONTH(B696),""))</f>
        <v/>
      </c>
      <c r="L696" s="5">
        <f>IF(COUNTA(A696:J696)=0,"",IF(E696="","Mangler motkonto",IF((F696="")=(G696=""),"Fyll ut enten Inn eller Ut",IF(OR(IFERROR(INDEX('Kontoplan'!$D$3:$D$302,MATCH(D696,'Kontoplan'!$H$3:$H$302,0))="Støttes ikke",FALSE),IFERROR(INDEX('Kontoplan'!$D$3:$D$302,MATCH(E696,'Kontoplan'!$H$3:$H$302,0))="Støttes ikke",FALSE)),"Kontoen støttes ikke",IF(IFERROR(AND(A696&gt;1,COUNTIF($A$3:$A$2002,A696-1)=0),FALSE),"Nummeret hopper over",IF(OR(NOT(ISNUMBER(B696)),B696&lt;DATE(2027,1,1),B696&gt;DATE(2027,12,31)),"Datoen er ikke i 2027",""))))))</f>
        <v/>
      </c>
    </row>
    <row r="697">
      <c r="A697" s="17" t="n"/>
      <c r="B697" s="9" t="n"/>
      <c r="C697" s="8" t="n"/>
      <c r="D697" s="8" t="n"/>
      <c r="E697" s="8" t="n"/>
      <c r="F697" s="14" t="n"/>
      <c r="G697" s="14" t="n"/>
      <c r="H697" s="8" t="n"/>
      <c r="I697" s="8" t="n"/>
      <c r="J697" s="8" t="n"/>
      <c r="K697" s="18">
        <f>IF(B697="","",IFERROR(MONTH(B697),""))</f>
        <v/>
      </c>
      <c r="L697" s="5">
        <f>IF(COUNTA(A697:J697)=0,"",IF(E697="","Mangler motkonto",IF((F697="")=(G697=""),"Fyll ut enten Inn eller Ut",IF(OR(IFERROR(INDEX('Kontoplan'!$D$3:$D$302,MATCH(D697,'Kontoplan'!$H$3:$H$302,0))="Støttes ikke",FALSE),IFERROR(INDEX('Kontoplan'!$D$3:$D$302,MATCH(E697,'Kontoplan'!$H$3:$H$302,0))="Støttes ikke",FALSE)),"Kontoen støttes ikke",IF(IFERROR(AND(A697&gt;1,COUNTIF($A$3:$A$2002,A697-1)=0),FALSE),"Nummeret hopper over",IF(OR(NOT(ISNUMBER(B697)),B697&lt;DATE(2027,1,1),B697&gt;DATE(2027,12,31)),"Datoen er ikke i 2027",""))))))</f>
        <v/>
      </c>
    </row>
    <row r="698">
      <c r="A698" s="17" t="n"/>
      <c r="B698" s="9" t="n"/>
      <c r="C698" s="8" t="n"/>
      <c r="D698" s="8" t="n"/>
      <c r="E698" s="8" t="n"/>
      <c r="F698" s="14" t="n"/>
      <c r="G698" s="14" t="n"/>
      <c r="H698" s="8" t="n"/>
      <c r="I698" s="8" t="n"/>
      <c r="J698" s="8" t="n"/>
      <c r="K698" s="18">
        <f>IF(B698="","",IFERROR(MONTH(B698),""))</f>
        <v/>
      </c>
      <c r="L698" s="5">
        <f>IF(COUNTA(A698:J698)=0,"",IF(E698="","Mangler motkonto",IF((F698="")=(G698=""),"Fyll ut enten Inn eller Ut",IF(OR(IFERROR(INDEX('Kontoplan'!$D$3:$D$302,MATCH(D698,'Kontoplan'!$H$3:$H$302,0))="Støttes ikke",FALSE),IFERROR(INDEX('Kontoplan'!$D$3:$D$302,MATCH(E698,'Kontoplan'!$H$3:$H$302,0))="Støttes ikke",FALSE)),"Kontoen støttes ikke",IF(IFERROR(AND(A698&gt;1,COUNTIF($A$3:$A$2002,A698-1)=0),FALSE),"Nummeret hopper over",IF(OR(NOT(ISNUMBER(B698)),B698&lt;DATE(2027,1,1),B698&gt;DATE(2027,12,31)),"Datoen er ikke i 2027",""))))))</f>
        <v/>
      </c>
    </row>
    <row r="699">
      <c r="A699" s="17" t="n"/>
      <c r="B699" s="9" t="n"/>
      <c r="C699" s="8" t="n"/>
      <c r="D699" s="8" t="n"/>
      <c r="E699" s="8" t="n"/>
      <c r="F699" s="14" t="n"/>
      <c r="G699" s="14" t="n"/>
      <c r="H699" s="8" t="n"/>
      <c r="I699" s="8" t="n"/>
      <c r="J699" s="8" t="n"/>
      <c r="K699" s="18">
        <f>IF(B699="","",IFERROR(MONTH(B699),""))</f>
        <v/>
      </c>
      <c r="L699" s="5">
        <f>IF(COUNTA(A699:J699)=0,"",IF(E699="","Mangler motkonto",IF((F699="")=(G699=""),"Fyll ut enten Inn eller Ut",IF(OR(IFERROR(INDEX('Kontoplan'!$D$3:$D$302,MATCH(D699,'Kontoplan'!$H$3:$H$302,0))="Støttes ikke",FALSE),IFERROR(INDEX('Kontoplan'!$D$3:$D$302,MATCH(E699,'Kontoplan'!$H$3:$H$302,0))="Støttes ikke",FALSE)),"Kontoen støttes ikke",IF(IFERROR(AND(A699&gt;1,COUNTIF($A$3:$A$2002,A699-1)=0),FALSE),"Nummeret hopper over",IF(OR(NOT(ISNUMBER(B699)),B699&lt;DATE(2027,1,1),B699&gt;DATE(2027,12,31)),"Datoen er ikke i 2027",""))))))</f>
        <v/>
      </c>
    </row>
    <row r="700">
      <c r="A700" s="17" t="n"/>
      <c r="B700" s="9" t="n"/>
      <c r="C700" s="8" t="n"/>
      <c r="D700" s="8" t="n"/>
      <c r="E700" s="8" t="n"/>
      <c r="F700" s="14" t="n"/>
      <c r="G700" s="14" t="n"/>
      <c r="H700" s="8" t="n"/>
      <c r="I700" s="8" t="n"/>
      <c r="J700" s="8" t="n"/>
      <c r="K700" s="18">
        <f>IF(B700="","",IFERROR(MONTH(B700),""))</f>
        <v/>
      </c>
      <c r="L700" s="5">
        <f>IF(COUNTA(A700:J700)=0,"",IF(E700="","Mangler motkonto",IF((F700="")=(G700=""),"Fyll ut enten Inn eller Ut",IF(OR(IFERROR(INDEX('Kontoplan'!$D$3:$D$302,MATCH(D700,'Kontoplan'!$H$3:$H$302,0))="Støttes ikke",FALSE),IFERROR(INDEX('Kontoplan'!$D$3:$D$302,MATCH(E700,'Kontoplan'!$H$3:$H$302,0))="Støttes ikke",FALSE)),"Kontoen støttes ikke",IF(IFERROR(AND(A700&gt;1,COUNTIF($A$3:$A$2002,A700-1)=0),FALSE),"Nummeret hopper over",IF(OR(NOT(ISNUMBER(B700)),B700&lt;DATE(2027,1,1),B700&gt;DATE(2027,12,31)),"Datoen er ikke i 2027",""))))))</f>
        <v/>
      </c>
    </row>
    <row r="701">
      <c r="A701" s="17" t="n"/>
      <c r="B701" s="9" t="n"/>
      <c r="C701" s="8" t="n"/>
      <c r="D701" s="8" t="n"/>
      <c r="E701" s="8" t="n"/>
      <c r="F701" s="14" t="n"/>
      <c r="G701" s="14" t="n"/>
      <c r="H701" s="8" t="n"/>
      <c r="I701" s="8" t="n"/>
      <c r="J701" s="8" t="n"/>
      <c r="K701" s="18">
        <f>IF(B701="","",IFERROR(MONTH(B701),""))</f>
        <v/>
      </c>
      <c r="L701" s="5">
        <f>IF(COUNTA(A701:J701)=0,"",IF(E701="","Mangler motkonto",IF((F701="")=(G701=""),"Fyll ut enten Inn eller Ut",IF(OR(IFERROR(INDEX('Kontoplan'!$D$3:$D$302,MATCH(D701,'Kontoplan'!$H$3:$H$302,0))="Støttes ikke",FALSE),IFERROR(INDEX('Kontoplan'!$D$3:$D$302,MATCH(E701,'Kontoplan'!$H$3:$H$302,0))="Støttes ikke",FALSE)),"Kontoen støttes ikke",IF(IFERROR(AND(A701&gt;1,COUNTIF($A$3:$A$2002,A701-1)=0),FALSE),"Nummeret hopper over",IF(OR(NOT(ISNUMBER(B701)),B701&lt;DATE(2027,1,1),B701&gt;DATE(2027,12,31)),"Datoen er ikke i 2027",""))))))</f>
        <v/>
      </c>
    </row>
    <row r="702">
      <c r="A702" s="17" t="n"/>
      <c r="B702" s="9" t="n"/>
      <c r="C702" s="8" t="n"/>
      <c r="D702" s="8" t="n"/>
      <c r="E702" s="8" t="n"/>
      <c r="F702" s="14" t="n"/>
      <c r="G702" s="14" t="n"/>
      <c r="H702" s="8" t="n"/>
      <c r="I702" s="8" t="n"/>
      <c r="J702" s="8" t="n"/>
      <c r="K702" s="18">
        <f>IF(B702="","",IFERROR(MONTH(B702),""))</f>
        <v/>
      </c>
      <c r="L702" s="5">
        <f>IF(COUNTA(A702:J702)=0,"",IF(E702="","Mangler motkonto",IF((F702="")=(G702=""),"Fyll ut enten Inn eller Ut",IF(OR(IFERROR(INDEX('Kontoplan'!$D$3:$D$302,MATCH(D702,'Kontoplan'!$H$3:$H$302,0))="Støttes ikke",FALSE),IFERROR(INDEX('Kontoplan'!$D$3:$D$302,MATCH(E702,'Kontoplan'!$H$3:$H$302,0))="Støttes ikke",FALSE)),"Kontoen støttes ikke",IF(IFERROR(AND(A702&gt;1,COUNTIF($A$3:$A$2002,A702-1)=0),FALSE),"Nummeret hopper over",IF(OR(NOT(ISNUMBER(B702)),B702&lt;DATE(2027,1,1),B702&gt;DATE(2027,12,31)),"Datoen er ikke i 2027",""))))))</f>
        <v/>
      </c>
    </row>
    <row r="703">
      <c r="A703" s="17" t="n"/>
      <c r="B703" s="9" t="n"/>
      <c r="C703" s="8" t="n"/>
      <c r="D703" s="8" t="n"/>
      <c r="E703" s="8" t="n"/>
      <c r="F703" s="14" t="n"/>
      <c r="G703" s="14" t="n"/>
      <c r="H703" s="8" t="n"/>
      <c r="I703" s="8" t="n"/>
      <c r="J703" s="8" t="n"/>
      <c r="K703" s="18">
        <f>IF(B703="","",IFERROR(MONTH(B703),""))</f>
        <v/>
      </c>
      <c r="L703" s="5">
        <f>IF(COUNTA(A703:J703)=0,"",IF(E703="","Mangler motkonto",IF((F703="")=(G703=""),"Fyll ut enten Inn eller Ut",IF(OR(IFERROR(INDEX('Kontoplan'!$D$3:$D$302,MATCH(D703,'Kontoplan'!$H$3:$H$302,0))="Støttes ikke",FALSE),IFERROR(INDEX('Kontoplan'!$D$3:$D$302,MATCH(E703,'Kontoplan'!$H$3:$H$302,0))="Støttes ikke",FALSE)),"Kontoen støttes ikke",IF(IFERROR(AND(A703&gt;1,COUNTIF($A$3:$A$2002,A703-1)=0),FALSE),"Nummeret hopper over",IF(OR(NOT(ISNUMBER(B703)),B703&lt;DATE(2027,1,1),B703&gt;DATE(2027,12,31)),"Datoen er ikke i 2027",""))))))</f>
        <v/>
      </c>
    </row>
    <row r="704">
      <c r="A704" s="17" t="n"/>
      <c r="B704" s="9" t="n"/>
      <c r="C704" s="8" t="n"/>
      <c r="D704" s="8" t="n"/>
      <c r="E704" s="8" t="n"/>
      <c r="F704" s="14" t="n"/>
      <c r="G704" s="14" t="n"/>
      <c r="H704" s="8" t="n"/>
      <c r="I704" s="8" t="n"/>
      <c r="J704" s="8" t="n"/>
      <c r="K704" s="18">
        <f>IF(B704="","",IFERROR(MONTH(B704),""))</f>
        <v/>
      </c>
      <c r="L704" s="5">
        <f>IF(COUNTA(A704:J704)=0,"",IF(E704="","Mangler motkonto",IF((F704="")=(G704=""),"Fyll ut enten Inn eller Ut",IF(OR(IFERROR(INDEX('Kontoplan'!$D$3:$D$302,MATCH(D704,'Kontoplan'!$H$3:$H$302,0))="Støttes ikke",FALSE),IFERROR(INDEX('Kontoplan'!$D$3:$D$302,MATCH(E704,'Kontoplan'!$H$3:$H$302,0))="Støttes ikke",FALSE)),"Kontoen støttes ikke",IF(IFERROR(AND(A704&gt;1,COUNTIF($A$3:$A$2002,A704-1)=0),FALSE),"Nummeret hopper over",IF(OR(NOT(ISNUMBER(B704)),B704&lt;DATE(2027,1,1),B704&gt;DATE(2027,12,31)),"Datoen er ikke i 2027",""))))))</f>
        <v/>
      </c>
    </row>
    <row r="705">
      <c r="A705" s="17" t="n"/>
      <c r="B705" s="9" t="n"/>
      <c r="C705" s="8" t="n"/>
      <c r="D705" s="8" t="n"/>
      <c r="E705" s="8" t="n"/>
      <c r="F705" s="14" t="n"/>
      <c r="G705" s="14" t="n"/>
      <c r="H705" s="8" t="n"/>
      <c r="I705" s="8" t="n"/>
      <c r="J705" s="8" t="n"/>
      <c r="K705" s="18">
        <f>IF(B705="","",IFERROR(MONTH(B705),""))</f>
        <v/>
      </c>
      <c r="L705" s="5">
        <f>IF(COUNTA(A705:J705)=0,"",IF(E705="","Mangler motkonto",IF((F705="")=(G705=""),"Fyll ut enten Inn eller Ut",IF(OR(IFERROR(INDEX('Kontoplan'!$D$3:$D$302,MATCH(D705,'Kontoplan'!$H$3:$H$302,0))="Støttes ikke",FALSE),IFERROR(INDEX('Kontoplan'!$D$3:$D$302,MATCH(E705,'Kontoplan'!$H$3:$H$302,0))="Støttes ikke",FALSE)),"Kontoen støttes ikke",IF(IFERROR(AND(A705&gt;1,COUNTIF($A$3:$A$2002,A705-1)=0),FALSE),"Nummeret hopper over",IF(OR(NOT(ISNUMBER(B705)),B705&lt;DATE(2027,1,1),B705&gt;DATE(2027,12,31)),"Datoen er ikke i 2027",""))))))</f>
        <v/>
      </c>
    </row>
    <row r="706">
      <c r="A706" s="17" t="n"/>
      <c r="B706" s="9" t="n"/>
      <c r="C706" s="8" t="n"/>
      <c r="D706" s="8" t="n"/>
      <c r="E706" s="8" t="n"/>
      <c r="F706" s="14" t="n"/>
      <c r="G706" s="14" t="n"/>
      <c r="H706" s="8" t="n"/>
      <c r="I706" s="8" t="n"/>
      <c r="J706" s="8" t="n"/>
      <c r="K706" s="18">
        <f>IF(B706="","",IFERROR(MONTH(B706),""))</f>
        <v/>
      </c>
      <c r="L706" s="5">
        <f>IF(COUNTA(A706:J706)=0,"",IF(E706="","Mangler motkonto",IF((F706="")=(G706=""),"Fyll ut enten Inn eller Ut",IF(OR(IFERROR(INDEX('Kontoplan'!$D$3:$D$302,MATCH(D706,'Kontoplan'!$H$3:$H$302,0))="Støttes ikke",FALSE),IFERROR(INDEX('Kontoplan'!$D$3:$D$302,MATCH(E706,'Kontoplan'!$H$3:$H$302,0))="Støttes ikke",FALSE)),"Kontoen støttes ikke",IF(IFERROR(AND(A706&gt;1,COUNTIF($A$3:$A$2002,A706-1)=0),FALSE),"Nummeret hopper over",IF(OR(NOT(ISNUMBER(B706)),B706&lt;DATE(2027,1,1),B706&gt;DATE(2027,12,31)),"Datoen er ikke i 2027",""))))))</f>
        <v/>
      </c>
    </row>
    <row r="707">
      <c r="A707" s="17" t="n"/>
      <c r="B707" s="9" t="n"/>
      <c r="C707" s="8" t="n"/>
      <c r="D707" s="8" t="n"/>
      <c r="E707" s="8" t="n"/>
      <c r="F707" s="14" t="n"/>
      <c r="G707" s="14" t="n"/>
      <c r="H707" s="8" t="n"/>
      <c r="I707" s="8" t="n"/>
      <c r="J707" s="8" t="n"/>
      <c r="K707" s="18">
        <f>IF(B707="","",IFERROR(MONTH(B707),""))</f>
        <v/>
      </c>
      <c r="L707" s="5">
        <f>IF(COUNTA(A707:J707)=0,"",IF(E707="","Mangler motkonto",IF((F707="")=(G707=""),"Fyll ut enten Inn eller Ut",IF(OR(IFERROR(INDEX('Kontoplan'!$D$3:$D$302,MATCH(D707,'Kontoplan'!$H$3:$H$302,0))="Støttes ikke",FALSE),IFERROR(INDEX('Kontoplan'!$D$3:$D$302,MATCH(E707,'Kontoplan'!$H$3:$H$302,0))="Støttes ikke",FALSE)),"Kontoen støttes ikke",IF(IFERROR(AND(A707&gt;1,COUNTIF($A$3:$A$2002,A707-1)=0),FALSE),"Nummeret hopper over",IF(OR(NOT(ISNUMBER(B707)),B707&lt;DATE(2027,1,1),B707&gt;DATE(2027,12,31)),"Datoen er ikke i 2027",""))))))</f>
        <v/>
      </c>
    </row>
    <row r="708">
      <c r="A708" s="17" t="n"/>
      <c r="B708" s="9" t="n"/>
      <c r="C708" s="8" t="n"/>
      <c r="D708" s="8" t="n"/>
      <c r="E708" s="8" t="n"/>
      <c r="F708" s="14" t="n"/>
      <c r="G708" s="14" t="n"/>
      <c r="H708" s="8" t="n"/>
      <c r="I708" s="8" t="n"/>
      <c r="J708" s="8" t="n"/>
      <c r="K708" s="18">
        <f>IF(B708="","",IFERROR(MONTH(B708),""))</f>
        <v/>
      </c>
      <c r="L708" s="5">
        <f>IF(COUNTA(A708:J708)=0,"",IF(E708="","Mangler motkonto",IF((F708="")=(G708=""),"Fyll ut enten Inn eller Ut",IF(OR(IFERROR(INDEX('Kontoplan'!$D$3:$D$302,MATCH(D708,'Kontoplan'!$H$3:$H$302,0))="Støttes ikke",FALSE),IFERROR(INDEX('Kontoplan'!$D$3:$D$302,MATCH(E708,'Kontoplan'!$H$3:$H$302,0))="Støttes ikke",FALSE)),"Kontoen støttes ikke",IF(IFERROR(AND(A708&gt;1,COUNTIF($A$3:$A$2002,A708-1)=0),FALSE),"Nummeret hopper over",IF(OR(NOT(ISNUMBER(B708)),B708&lt;DATE(2027,1,1),B708&gt;DATE(2027,12,31)),"Datoen er ikke i 2027",""))))))</f>
        <v/>
      </c>
    </row>
    <row r="709">
      <c r="A709" s="17" t="n"/>
      <c r="B709" s="9" t="n"/>
      <c r="C709" s="8" t="n"/>
      <c r="D709" s="8" t="n"/>
      <c r="E709" s="8" t="n"/>
      <c r="F709" s="14" t="n"/>
      <c r="G709" s="14" t="n"/>
      <c r="H709" s="8" t="n"/>
      <c r="I709" s="8" t="n"/>
      <c r="J709" s="8" t="n"/>
      <c r="K709" s="18">
        <f>IF(B709="","",IFERROR(MONTH(B709),""))</f>
        <v/>
      </c>
      <c r="L709" s="5">
        <f>IF(COUNTA(A709:J709)=0,"",IF(E709="","Mangler motkonto",IF((F709="")=(G709=""),"Fyll ut enten Inn eller Ut",IF(OR(IFERROR(INDEX('Kontoplan'!$D$3:$D$302,MATCH(D709,'Kontoplan'!$H$3:$H$302,0))="Støttes ikke",FALSE),IFERROR(INDEX('Kontoplan'!$D$3:$D$302,MATCH(E709,'Kontoplan'!$H$3:$H$302,0))="Støttes ikke",FALSE)),"Kontoen støttes ikke",IF(IFERROR(AND(A709&gt;1,COUNTIF($A$3:$A$2002,A709-1)=0),FALSE),"Nummeret hopper over",IF(OR(NOT(ISNUMBER(B709)),B709&lt;DATE(2027,1,1),B709&gt;DATE(2027,12,31)),"Datoen er ikke i 2027",""))))))</f>
        <v/>
      </c>
    </row>
    <row r="710">
      <c r="A710" s="17" t="n"/>
      <c r="B710" s="9" t="n"/>
      <c r="C710" s="8" t="n"/>
      <c r="D710" s="8" t="n"/>
      <c r="E710" s="8" t="n"/>
      <c r="F710" s="14" t="n"/>
      <c r="G710" s="14" t="n"/>
      <c r="H710" s="8" t="n"/>
      <c r="I710" s="8" t="n"/>
      <c r="J710" s="8" t="n"/>
      <c r="K710" s="18">
        <f>IF(B710="","",IFERROR(MONTH(B710),""))</f>
        <v/>
      </c>
      <c r="L710" s="5">
        <f>IF(COUNTA(A710:J710)=0,"",IF(E710="","Mangler motkonto",IF((F710="")=(G710=""),"Fyll ut enten Inn eller Ut",IF(OR(IFERROR(INDEX('Kontoplan'!$D$3:$D$302,MATCH(D710,'Kontoplan'!$H$3:$H$302,0))="Støttes ikke",FALSE),IFERROR(INDEX('Kontoplan'!$D$3:$D$302,MATCH(E710,'Kontoplan'!$H$3:$H$302,0))="Støttes ikke",FALSE)),"Kontoen støttes ikke",IF(IFERROR(AND(A710&gt;1,COUNTIF($A$3:$A$2002,A710-1)=0),FALSE),"Nummeret hopper over",IF(OR(NOT(ISNUMBER(B710)),B710&lt;DATE(2027,1,1),B710&gt;DATE(2027,12,31)),"Datoen er ikke i 2027",""))))))</f>
        <v/>
      </c>
    </row>
    <row r="711">
      <c r="A711" s="17" t="n"/>
      <c r="B711" s="9" t="n"/>
      <c r="C711" s="8" t="n"/>
      <c r="D711" s="8" t="n"/>
      <c r="E711" s="8" t="n"/>
      <c r="F711" s="14" t="n"/>
      <c r="G711" s="14" t="n"/>
      <c r="H711" s="8" t="n"/>
      <c r="I711" s="8" t="n"/>
      <c r="J711" s="8" t="n"/>
      <c r="K711" s="18">
        <f>IF(B711="","",IFERROR(MONTH(B711),""))</f>
        <v/>
      </c>
      <c r="L711" s="5">
        <f>IF(COUNTA(A711:J711)=0,"",IF(E711="","Mangler motkonto",IF((F711="")=(G711=""),"Fyll ut enten Inn eller Ut",IF(OR(IFERROR(INDEX('Kontoplan'!$D$3:$D$302,MATCH(D711,'Kontoplan'!$H$3:$H$302,0))="Støttes ikke",FALSE),IFERROR(INDEX('Kontoplan'!$D$3:$D$302,MATCH(E711,'Kontoplan'!$H$3:$H$302,0))="Støttes ikke",FALSE)),"Kontoen støttes ikke",IF(IFERROR(AND(A711&gt;1,COUNTIF($A$3:$A$2002,A711-1)=0),FALSE),"Nummeret hopper over",IF(OR(NOT(ISNUMBER(B711)),B711&lt;DATE(2027,1,1),B711&gt;DATE(2027,12,31)),"Datoen er ikke i 2027",""))))))</f>
        <v/>
      </c>
    </row>
    <row r="712">
      <c r="A712" s="17" t="n"/>
      <c r="B712" s="9" t="n"/>
      <c r="C712" s="8" t="n"/>
      <c r="D712" s="8" t="n"/>
      <c r="E712" s="8" t="n"/>
      <c r="F712" s="14" t="n"/>
      <c r="G712" s="14" t="n"/>
      <c r="H712" s="8" t="n"/>
      <c r="I712" s="8" t="n"/>
      <c r="J712" s="8" t="n"/>
      <c r="K712" s="18">
        <f>IF(B712="","",IFERROR(MONTH(B712),""))</f>
        <v/>
      </c>
      <c r="L712" s="5">
        <f>IF(COUNTA(A712:J712)=0,"",IF(E712="","Mangler motkonto",IF((F712="")=(G712=""),"Fyll ut enten Inn eller Ut",IF(OR(IFERROR(INDEX('Kontoplan'!$D$3:$D$302,MATCH(D712,'Kontoplan'!$H$3:$H$302,0))="Støttes ikke",FALSE),IFERROR(INDEX('Kontoplan'!$D$3:$D$302,MATCH(E712,'Kontoplan'!$H$3:$H$302,0))="Støttes ikke",FALSE)),"Kontoen støttes ikke",IF(IFERROR(AND(A712&gt;1,COUNTIF($A$3:$A$2002,A712-1)=0),FALSE),"Nummeret hopper over",IF(OR(NOT(ISNUMBER(B712)),B712&lt;DATE(2027,1,1),B712&gt;DATE(2027,12,31)),"Datoen er ikke i 2027",""))))))</f>
        <v/>
      </c>
    </row>
    <row r="713">
      <c r="A713" s="17" t="n"/>
      <c r="B713" s="9" t="n"/>
      <c r="C713" s="8" t="n"/>
      <c r="D713" s="8" t="n"/>
      <c r="E713" s="8" t="n"/>
      <c r="F713" s="14" t="n"/>
      <c r="G713" s="14" t="n"/>
      <c r="H713" s="8" t="n"/>
      <c r="I713" s="8" t="n"/>
      <c r="J713" s="8" t="n"/>
      <c r="K713" s="18">
        <f>IF(B713="","",IFERROR(MONTH(B713),""))</f>
        <v/>
      </c>
      <c r="L713" s="5">
        <f>IF(COUNTA(A713:J713)=0,"",IF(E713="","Mangler motkonto",IF((F713="")=(G713=""),"Fyll ut enten Inn eller Ut",IF(OR(IFERROR(INDEX('Kontoplan'!$D$3:$D$302,MATCH(D713,'Kontoplan'!$H$3:$H$302,0))="Støttes ikke",FALSE),IFERROR(INDEX('Kontoplan'!$D$3:$D$302,MATCH(E713,'Kontoplan'!$H$3:$H$302,0))="Støttes ikke",FALSE)),"Kontoen støttes ikke",IF(IFERROR(AND(A713&gt;1,COUNTIF($A$3:$A$2002,A713-1)=0),FALSE),"Nummeret hopper over",IF(OR(NOT(ISNUMBER(B713)),B713&lt;DATE(2027,1,1),B713&gt;DATE(2027,12,31)),"Datoen er ikke i 2027",""))))))</f>
        <v/>
      </c>
    </row>
    <row r="714">
      <c r="A714" s="17" t="n"/>
      <c r="B714" s="9" t="n"/>
      <c r="C714" s="8" t="n"/>
      <c r="D714" s="8" t="n"/>
      <c r="E714" s="8" t="n"/>
      <c r="F714" s="14" t="n"/>
      <c r="G714" s="14" t="n"/>
      <c r="H714" s="8" t="n"/>
      <c r="I714" s="8" t="n"/>
      <c r="J714" s="8" t="n"/>
      <c r="K714" s="18">
        <f>IF(B714="","",IFERROR(MONTH(B714),""))</f>
        <v/>
      </c>
      <c r="L714" s="5">
        <f>IF(COUNTA(A714:J714)=0,"",IF(E714="","Mangler motkonto",IF((F714="")=(G714=""),"Fyll ut enten Inn eller Ut",IF(OR(IFERROR(INDEX('Kontoplan'!$D$3:$D$302,MATCH(D714,'Kontoplan'!$H$3:$H$302,0))="Støttes ikke",FALSE),IFERROR(INDEX('Kontoplan'!$D$3:$D$302,MATCH(E714,'Kontoplan'!$H$3:$H$302,0))="Støttes ikke",FALSE)),"Kontoen støttes ikke",IF(IFERROR(AND(A714&gt;1,COUNTIF($A$3:$A$2002,A714-1)=0),FALSE),"Nummeret hopper over",IF(OR(NOT(ISNUMBER(B714)),B714&lt;DATE(2027,1,1),B714&gt;DATE(2027,12,31)),"Datoen er ikke i 2027",""))))))</f>
        <v/>
      </c>
    </row>
    <row r="715">
      <c r="A715" s="17" t="n"/>
      <c r="B715" s="9" t="n"/>
      <c r="C715" s="8" t="n"/>
      <c r="D715" s="8" t="n"/>
      <c r="E715" s="8" t="n"/>
      <c r="F715" s="14" t="n"/>
      <c r="G715" s="14" t="n"/>
      <c r="H715" s="8" t="n"/>
      <c r="I715" s="8" t="n"/>
      <c r="J715" s="8" t="n"/>
      <c r="K715" s="18">
        <f>IF(B715="","",IFERROR(MONTH(B715),""))</f>
        <v/>
      </c>
      <c r="L715" s="5">
        <f>IF(COUNTA(A715:J715)=0,"",IF(E715="","Mangler motkonto",IF((F715="")=(G715=""),"Fyll ut enten Inn eller Ut",IF(OR(IFERROR(INDEX('Kontoplan'!$D$3:$D$302,MATCH(D715,'Kontoplan'!$H$3:$H$302,0))="Støttes ikke",FALSE),IFERROR(INDEX('Kontoplan'!$D$3:$D$302,MATCH(E715,'Kontoplan'!$H$3:$H$302,0))="Støttes ikke",FALSE)),"Kontoen støttes ikke",IF(IFERROR(AND(A715&gt;1,COUNTIF($A$3:$A$2002,A715-1)=0),FALSE),"Nummeret hopper over",IF(OR(NOT(ISNUMBER(B715)),B715&lt;DATE(2027,1,1),B715&gt;DATE(2027,12,31)),"Datoen er ikke i 2027",""))))))</f>
        <v/>
      </c>
    </row>
    <row r="716">
      <c r="A716" s="17" t="n"/>
      <c r="B716" s="9" t="n"/>
      <c r="C716" s="8" t="n"/>
      <c r="D716" s="8" t="n"/>
      <c r="E716" s="8" t="n"/>
      <c r="F716" s="14" t="n"/>
      <c r="G716" s="14" t="n"/>
      <c r="H716" s="8" t="n"/>
      <c r="I716" s="8" t="n"/>
      <c r="J716" s="8" t="n"/>
      <c r="K716" s="18">
        <f>IF(B716="","",IFERROR(MONTH(B716),""))</f>
        <v/>
      </c>
      <c r="L716" s="5">
        <f>IF(COUNTA(A716:J716)=0,"",IF(E716="","Mangler motkonto",IF((F716="")=(G716=""),"Fyll ut enten Inn eller Ut",IF(OR(IFERROR(INDEX('Kontoplan'!$D$3:$D$302,MATCH(D716,'Kontoplan'!$H$3:$H$302,0))="Støttes ikke",FALSE),IFERROR(INDEX('Kontoplan'!$D$3:$D$302,MATCH(E716,'Kontoplan'!$H$3:$H$302,0))="Støttes ikke",FALSE)),"Kontoen støttes ikke",IF(IFERROR(AND(A716&gt;1,COUNTIF($A$3:$A$2002,A716-1)=0),FALSE),"Nummeret hopper over",IF(OR(NOT(ISNUMBER(B716)),B716&lt;DATE(2027,1,1),B716&gt;DATE(2027,12,31)),"Datoen er ikke i 2027",""))))))</f>
        <v/>
      </c>
    </row>
    <row r="717">
      <c r="A717" s="17" t="n"/>
      <c r="B717" s="9" t="n"/>
      <c r="C717" s="8" t="n"/>
      <c r="D717" s="8" t="n"/>
      <c r="E717" s="8" t="n"/>
      <c r="F717" s="14" t="n"/>
      <c r="G717" s="14" t="n"/>
      <c r="H717" s="8" t="n"/>
      <c r="I717" s="8" t="n"/>
      <c r="J717" s="8" t="n"/>
      <c r="K717" s="18">
        <f>IF(B717="","",IFERROR(MONTH(B717),""))</f>
        <v/>
      </c>
      <c r="L717" s="5">
        <f>IF(COUNTA(A717:J717)=0,"",IF(E717="","Mangler motkonto",IF((F717="")=(G717=""),"Fyll ut enten Inn eller Ut",IF(OR(IFERROR(INDEX('Kontoplan'!$D$3:$D$302,MATCH(D717,'Kontoplan'!$H$3:$H$302,0))="Støttes ikke",FALSE),IFERROR(INDEX('Kontoplan'!$D$3:$D$302,MATCH(E717,'Kontoplan'!$H$3:$H$302,0))="Støttes ikke",FALSE)),"Kontoen støttes ikke",IF(IFERROR(AND(A717&gt;1,COUNTIF($A$3:$A$2002,A717-1)=0),FALSE),"Nummeret hopper over",IF(OR(NOT(ISNUMBER(B717)),B717&lt;DATE(2027,1,1),B717&gt;DATE(2027,12,31)),"Datoen er ikke i 2027",""))))))</f>
        <v/>
      </c>
    </row>
    <row r="718">
      <c r="A718" s="17" t="n"/>
      <c r="B718" s="9" t="n"/>
      <c r="C718" s="8" t="n"/>
      <c r="D718" s="8" t="n"/>
      <c r="E718" s="8" t="n"/>
      <c r="F718" s="14" t="n"/>
      <c r="G718" s="14" t="n"/>
      <c r="H718" s="8" t="n"/>
      <c r="I718" s="8" t="n"/>
      <c r="J718" s="8" t="n"/>
      <c r="K718" s="18">
        <f>IF(B718="","",IFERROR(MONTH(B718),""))</f>
        <v/>
      </c>
      <c r="L718" s="5">
        <f>IF(COUNTA(A718:J718)=0,"",IF(E718="","Mangler motkonto",IF((F718="")=(G718=""),"Fyll ut enten Inn eller Ut",IF(OR(IFERROR(INDEX('Kontoplan'!$D$3:$D$302,MATCH(D718,'Kontoplan'!$H$3:$H$302,0))="Støttes ikke",FALSE),IFERROR(INDEX('Kontoplan'!$D$3:$D$302,MATCH(E718,'Kontoplan'!$H$3:$H$302,0))="Støttes ikke",FALSE)),"Kontoen støttes ikke",IF(IFERROR(AND(A718&gt;1,COUNTIF($A$3:$A$2002,A718-1)=0),FALSE),"Nummeret hopper over",IF(OR(NOT(ISNUMBER(B718)),B718&lt;DATE(2027,1,1),B718&gt;DATE(2027,12,31)),"Datoen er ikke i 2027",""))))))</f>
        <v/>
      </c>
    </row>
    <row r="719">
      <c r="A719" s="17" t="n"/>
      <c r="B719" s="9" t="n"/>
      <c r="C719" s="8" t="n"/>
      <c r="D719" s="8" t="n"/>
      <c r="E719" s="8" t="n"/>
      <c r="F719" s="14" t="n"/>
      <c r="G719" s="14" t="n"/>
      <c r="H719" s="8" t="n"/>
      <c r="I719" s="8" t="n"/>
      <c r="J719" s="8" t="n"/>
      <c r="K719" s="18">
        <f>IF(B719="","",IFERROR(MONTH(B719),""))</f>
        <v/>
      </c>
      <c r="L719" s="5">
        <f>IF(COUNTA(A719:J719)=0,"",IF(E719="","Mangler motkonto",IF((F719="")=(G719=""),"Fyll ut enten Inn eller Ut",IF(OR(IFERROR(INDEX('Kontoplan'!$D$3:$D$302,MATCH(D719,'Kontoplan'!$H$3:$H$302,0))="Støttes ikke",FALSE),IFERROR(INDEX('Kontoplan'!$D$3:$D$302,MATCH(E719,'Kontoplan'!$H$3:$H$302,0))="Støttes ikke",FALSE)),"Kontoen støttes ikke",IF(IFERROR(AND(A719&gt;1,COUNTIF($A$3:$A$2002,A719-1)=0),FALSE),"Nummeret hopper over",IF(OR(NOT(ISNUMBER(B719)),B719&lt;DATE(2027,1,1),B719&gt;DATE(2027,12,31)),"Datoen er ikke i 2027",""))))))</f>
        <v/>
      </c>
    </row>
    <row r="720">
      <c r="A720" s="17" t="n"/>
      <c r="B720" s="9" t="n"/>
      <c r="C720" s="8" t="n"/>
      <c r="D720" s="8" t="n"/>
      <c r="E720" s="8" t="n"/>
      <c r="F720" s="14" t="n"/>
      <c r="G720" s="14" t="n"/>
      <c r="H720" s="8" t="n"/>
      <c r="I720" s="8" t="n"/>
      <c r="J720" s="8" t="n"/>
      <c r="K720" s="18">
        <f>IF(B720="","",IFERROR(MONTH(B720),""))</f>
        <v/>
      </c>
      <c r="L720" s="5">
        <f>IF(COUNTA(A720:J720)=0,"",IF(E720="","Mangler motkonto",IF((F720="")=(G720=""),"Fyll ut enten Inn eller Ut",IF(OR(IFERROR(INDEX('Kontoplan'!$D$3:$D$302,MATCH(D720,'Kontoplan'!$H$3:$H$302,0))="Støttes ikke",FALSE),IFERROR(INDEX('Kontoplan'!$D$3:$D$302,MATCH(E720,'Kontoplan'!$H$3:$H$302,0))="Støttes ikke",FALSE)),"Kontoen støttes ikke",IF(IFERROR(AND(A720&gt;1,COUNTIF($A$3:$A$2002,A720-1)=0),FALSE),"Nummeret hopper over",IF(OR(NOT(ISNUMBER(B720)),B720&lt;DATE(2027,1,1),B720&gt;DATE(2027,12,31)),"Datoen er ikke i 2027",""))))))</f>
        <v/>
      </c>
    </row>
    <row r="721">
      <c r="A721" s="17" t="n"/>
      <c r="B721" s="9" t="n"/>
      <c r="C721" s="8" t="n"/>
      <c r="D721" s="8" t="n"/>
      <c r="E721" s="8" t="n"/>
      <c r="F721" s="14" t="n"/>
      <c r="G721" s="14" t="n"/>
      <c r="H721" s="8" t="n"/>
      <c r="I721" s="8" t="n"/>
      <c r="J721" s="8" t="n"/>
      <c r="K721" s="18">
        <f>IF(B721="","",IFERROR(MONTH(B721),""))</f>
        <v/>
      </c>
      <c r="L721" s="5">
        <f>IF(COUNTA(A721:J721)=0,"",IF(E721="","Mangler motkonto",IF((F721="")=(G721=""),"Fyll ut enten Inn eller Ut",IF(OR(IFERROR(INDEX('Kontoplan'!$D$3:$D$302,MATCH(D721,'Kontoplan'!$H$3:$H$302,0))="Støttes ikke",FALSE),IFERROR(INDEX('Kontoplan'!$D$3:$D$302,MATCH(E721,'Kontoplan'!$H$3:$H$302,0))="Støttes ikke",FALSE)),"Kontoen støttes ikke",IF(IFERROR(AND(A721&gt;1,COUNTIF($A$3:$A$2002,A721-1)=0),FALSE),"Nummeret hopper over",IF(OR(NOT(ISNUMBER(B721)),B721&lt;DATE(2027,1,1),B721&gt;DATE(2027,12,31)),"Datoen er ikke i 2027",""))))))</f>
        <v/>
      </c>
    </row>
    <row r="722">
      <c r="A722" s="17" t="n"/>
      <c r="B722" s="9" t="n"/>
      <c r="C722" s="8" t="n"/>
      <c r="D722" s="8" t="n"/>
      <c r="E722" s="8" t="n"/>
      <c r="F722" s="14" t="n"/>
      <c r="G722" s="14" t="n"/>
      <c r="H722" s="8" t="n"/>
      <c r="I722" s="8" t="n"/>
      <c r="J722" s="8" t="n"/>
      <c r="K722" s="18">
        <f>IF(B722="","",IFERROR(MONTH(B722),""))</f>
        <v/>
      </c>
      <c r="L722" s="5">
        <f>IF(COUNTA(A722:J722)=0,"",IF(E722="","Mangler motkonto",IF((F722="")=(G722=""),"Fyll ut enten Inn eller Ut",IF(OR(IFERROR(INDEX('Kontoplan'!$D$3:$D$302,MATCH(D722,'Kontoplan'!$H$3:$H$302,0))="Støttes ikke",FALSE),IFERROR(INDEX('Kontoplan'!$D$3:$D$302,MATCH(E722,'Kontoplan'!$H$3:$H$302,0))="Støttes ikke",FALSE)),"Kontoen støttes ikke",IF(IFERROR(AND(A722&gt;1,COUNTIF($A$3:$A$2002,A722-1)=0),FALSE),"Nummeret hopper over",IF(OR(NOT(ISNUMBER(B722)),B722&lt;DATE(2027,1,1),B722&gt;DATE(2027,12,31)),"Datoen er ikke i 2027",""))))))</f>
        <v/>
      </c>
    </row>
    <row r="723">
      <c r="A723" s="17" t="n"/>
      <c r="B723" s="9" t="n"/>
      <c r="C723" s="8" t="n"/>
      <c r="D723" s="8" t="n"/>
      <c r="E723" s="8" t="n"/>
      <c r="F723" s="14" t="n"/>
      <c r="G723" s="14" t="n"/>
      <c r="H723" s="8" t="n"/>
      <c r="I723" s="8" t="n"/>
      <c r="J723" s="8" t="n"/>
      <c r="K723" s="18">
        <f>IF(B723="","",IFERROR(MONTH(B723),""))</f>
        <v/>
      </c>
      <c r="L723" s="5">
        <f>IF(COUNTA(A723:J723)=0,"",IF(E723="","Mangler motkonto",IF((F723="")=(G723=""),"Fyll ut enten Inn eller Ut",IF(OR(IFERROR(INDEX('Kontoplan'!$D$3:$D$302,MATCH(D723,'Kontoplan'!$H$3:$H$302,0))="Støttes ikke",FALSE),IFERROR(INDEX('Kontoplan'!$D$3:$D$302,MATCH(E723,'Kontoplan'!$H$3:$H$302,0))="Støttes ikke",FALSE)),"Kontoen støttes ikke",IF(IFERROR(AND(A723&gt;1,COUNTIF($A$3:$A$2002,A723-1)=0),FALSE),"Nummeret hopper over",IF(OR(NOT(ISNUMBER(B723)),B723&lt;DATE(2027,1,1),B723&gt;DATE(2027,12,31)),"Datoen er ikke i 2027",""))))))</f>
        <v/>
      </c>
    </row>
    <row r="724">
      <c r="A724" s="17" t="n"/>
      <c r="B724" s="9" t="n"/>
      <c r="C724" s="8" t="n"/>
      <c r="D724" s="8" t="n"/>
      <c r="E724" s="8" t="n"/>
      <c r="F724" s="14" t="n"/>
      <c r="G724" s="14" t="n"/>
      <c r="H724" s="8" t="n"/>
      <c r="I724" s="8" t="n"/>
      <c r="J724" s="8" t="n"/>
      <c r="K724" s="18">
        <f>IF(B724="","",IFERROR(MONTH(B724),""))</f>
        <v/>
      </c>
      <c r="L724" s="5">
        <f>IF(COUNTA(A724:J724)=0,"",IF(E724="","Mangler motkonto",IF((F724="")=(G724=""),"Fyll ut enten Inn eller Ut",IF(OR(IFERROR(INDEX('Kontoplan'!$D$3:$D$302,MATCH(D724,'Kontoplan'!$H$3:$H$302,0))="Støttes ikke",FALSE),IFERROR(INDEX('Kontoplan'!$D$3:$D$302,MATCH(E724,'Kontoplan'!$H$3:$H$302,0))="Støttes ikke",FALSE)),"Kontoen støttes ikke",IF(IFERROR(AND(A724&gt;1,COUNTIF($A$3:$A$2002,A724-1)=0),FALSE),"Nummeret hopper over",IF(OR(NOT(ISNUMBER(B724)),B724&lt;DATE(2027,1,1),B724&gt;DATE(2027,12,31)),"Datoen er ikke i 2027",""))))))</f>
        <v/>
      </c>
    </row>
    <row r="725">
      <c r="A725" s="17" t="n"/>
      <c r="B725" s="9" t="n"/>
      <c r="C725" s="8" t="n"/>
      <c r="D725" s="8" t="n"/>
      <c r="E725" s="8" t="n"/>
      <c r="F725" s="14" t="n"/>
      <c r="G725" s="14" t="n"/>
      <c r="H725" s="8" t="n"/>
      <c r="I725" s="8" t="n"/>
      <c r="J725" s="8" t="n"/>
      <c r="K725" s="18">
        <f>IF(B725="","",IFERROR(MONTH(B725),""))</f>
        <v/>
      </c>
      <c r="L725" s="5">
        <f>IF(COUNTA(A725:J725)=0,"",IF(E725="","Mangler motkonto",IF((F725="")=(G725=""),"Fyll ut enten Inn eller Ut",IF(OR(IFERROR(INDEX('Kontoplan'!$D$3:$D$302,MATCH(D725,'Kontoplan'!$H$3:$H$302,0))="Støttes ikke",FALSE),IFERROR(INDEX('Kontoplan'!$D$3:$D$302,MATCH(E725,'Kontoplan'!$H$3:$H$302,0))="Støttes ikke",FALSE)),"Kontoen støttes ikke",IF(IFERROR(AND(A725&gt;1,COUNTIF($A$3:$A$2002,A725-1)=0),FALSE),"Nummeret hopper over",IF(OR(NOT(ISNUMBER(B725)),B725&lt;DATE(2027,1,1),B725&gt;DATE(2027,12,31)),"Datoen er ikke i 2027",""))))))</f>
        <v/>
      </c>
    </row>
    <row r="726">
      <c r="A726" s="17" t="n"/>
      <c r="B726" s="9" t="n"/>
      <c r="C726" s="8" t="n"/>
      <c r="D726" s="8" t="n"/>
      <c r="E726" s="8" t="n"/>
      <c r="F726" s="14" t="n"/>
      <c r="G726" s="14" t="n"/>
      <c r="H726" s="8" t="n"/>
      <c r="I726" s="8" t="n"/>
      <c r="J726" s="8" t="n"/>
      <c r="K726" s="18">
        <f>IF(B726="","",IFERROR(MONTH(B726),""))</f>
        <v/>
      </c>
      <c r="L726" s="5">
        <f>IF(COUNTA(A726:J726)=0,"",IF(E726="","Mangler motkonto",IF((F726="")=(G726=""),"Fyll ut enten Inn eller Ut",IF(OR(IFERROR(INDEX('Kontoplan'!$D$3:$D$302,MATCH(D726,'Kontoplan'!$H$3:$H$302,0))="Støttes ikke",FALSE),IFERROR(INDEX('Kontoplan'!$D$3:$D$302,MATCH(E726,'Kontoplan'!$H$3:$H$302,0))="Støttes ikke",FALSE)),"Kontoen støttes ikke",IF(IFERROR(AND(A726&gt;1,COUNTIF($A$3:$A$2002,A726-1)=0),FALSE),"Nummeret hopper over",IF(OR(NOT(ISNUMBER(B726)),B726&lt;DATE(2027,1,1),B726&gt;DATE(2027,12,31)),"Datoen er ikke i 2027",""))))))</f>
        <v/>
      </c>
    </row>
    <row r="727">
      <c r="A727" s="17" t="n"/>
      <c r="B727" s="9" t="n"/>
      <c r="C727" s="8" t="n"/>
      <c r="D727" s="8" t="n"/>
      <c r="E727" s="8" t="n"/>
      <c r="F727" s="14" t="n"/>
      <c r="G727" s="14" t="n"/>
      <c r="H727" s="8" t="n"/>
      <c r="I727" s="8" t="n"/>
      <c r="J727" s="8" t="n"/>
      <c r="K727" s="18">
        <f>IF(B727="","",IFERROR(MONTH(B727),""))</f>
        <v/>
      </c>
      <c r="L727" s="5">
        <f>IF(COUNTA(A727:J727)=0,"",IF(E727="","Mangler motkonto",IF((F727="")=(G727=""),"Fyll ut enten Inn eller Ut",IF(OR(IFERROR(INDEX('Kontoplan'!$D$3:$D$302,MATCH(D727,'Kontoplan'!$H$3:$H$302,0))="Støttes ikke",FALSE),IFERROR(INDEX('Kontoplan'!$D$3:$D$302,MATCH(E727,'Kontoplan'!$H$3:$H$302,0))="Støttes ikke",FALSE)),"Kontoen støttes ikke",IF(IFERROR(AND(A727&gt;1,COUNTIF($A$3:$A$2002,A727-1)=0),FALSE),"Nummeret hopper over",IF(OR(NOT(ISNUMBER(B727)),B727&lt;DATE(2027,1,1),B727&gt;DATE(2027,12,31)),"Datoen er ikke i 2027",""))))))</f>
        <v/>
      </c>
    </row>
    <row r="728">
      <c r="A728" s="17" t="n"/>
      <c r="B728" s="9" t="n"/>
      <c r="C728" s="8" t="n"/>
      <c r="D728" s="8" t="n"/>
      <c r="E728" s="8" t="n"/>
      <c r="F728" s="14" t="n"/>
      <c r="G728" s="14" t="n"/>
      <c r="H728" s="8" t="n"/>
      <c r="I728" s="8" t="n"/>
      <c r="J728" s="8" t="n"/>
      <c r="K728" s="18">
        <f>IF(B728="","",IFERROR(MONTH(B728),""))</f>
        <v/>
      </c>
      <c r="L728" s="5">
        <f>IF(COUNTA(A728:J728)=0,"",IF(E728="","Mangler motkonto",IF((F728="")=(G728=""),"Fyll ut enten Inn eller Ut",IF(OR(IFERROR(INDEX('Kontoplan'!$D$3:$D$302,MATCH(D728,'Kontoplan'!$H$3:$H$302,0))="Støttes ikke",FALSE),IFERROR(INDEX('Kontoplan'!$D$3:$D$302,MATCH(E728,'Kontoplan'!$H$3:$H$302,0))="Støttes ikke",FALSE)),"Kontoen støttes ikke",IF(IFERROR(AND(A728&gt;1,COUNTIF($A$3:$A$2002,A728-1)=0),FALSE),"Nummeret hopper over",IF(OR(NOT(ISNUMBER(B728)),B728&lt;DATE(2027,1,1),B728&gt;DATE(2027,12,31)),"Datoen er ikke i 2027",""))))))</f>
        <v/>
      </c>
    </row>
    <row r="729">
      <c r="A729" s="17" t="n"/>
      <c r="B729" s="9" t="n"/>
      <c r="C729" s="8" t="n"/>
      <c r="D729" s="8" t="n"/>
      <c r="E729" s="8" t="n"/>
      <c r="F729" s="14" t="n"/>
      <c r="G729" s="14" t="n"/>
      <c r="H729" s="8" t="n"/>
      <c r="I729" s="8" t="n"/>
      <c r="J729" s="8" t="n"/>
      <c r="K729" s="18">
        <f>IF(B729="","",IFERROR(MONTH(B729),""))</f>
        <v/>
      </c>
      <c r="L729" s="5">
        <f>IF(COUNTA(A729:J729)=0,"",IF(E729="","Mangler motkonto",IF((F729="")=(G729=""),"Fyll ut enten Inn eller Ut",IF(OR(IFERROR(INDEX('Kontoplan'!$D$3:$D$302,MATCH(D729,'Kontoplan'!$H$3:$H$302,0))="Støttes ikke",FALSE),IFERROR(INDEX('Kontoplan'!$D$3:$D$302,MATCH(E729,'Kontoplan'!$H$3:$H$302,0))="Støttes ikke",FALSE)),"Kontoen støttes ikke",IF(IFERROR(AND(A729&gt;1,COUNTIF($A$3:$A$2002,A729-1)=0),FALSE),"Nummeret hopper over",IF(OR(NOT(ISNUMBER(B729)),B729&lt;DATE(2027,1,1),B729&gt;DATE(2027,12,31)),"Datoen er ikke i 2027",""))))))</f>
        <v/>
      </c>
    </row>
    <row r="730">
      <c r="A730" s="17" t="n"/>
      <c r="B730" s="9" t="n"/>
      <c r="C730" s="8" t="n"/>
      <c r="D730" s="8" t="n"/>
      <c r="E730" s="8" t="n"/>
      <c r="F730" s="14" t="n"/>
      <c r="G730" s="14" t="n"/>
      <c r="H730" s="8" t="n"/>
      <c r="I730" s="8" t="n"/>
      <c r="J730" s="8" t="n"/>
      <c r="K730" s="18">
        <f>IF(B730="","",IFERROR(MONTH(B730),""))</f>
        <v/>
      </c>
      <c r="L730" s="5">
        <f>IF(COUNTA(A730:J730)=0,"",IF(E730="","Mangler motkonto",IF((F730="")=(G730=""),"Fyll ut enten Inn eller Ut",IF(OR(IFERROR(INDEX('Kontoplan'!$D$3:$D$302,MATCH(D730,'Kontoplan'!$H$3:$H$302,0))="Støttes ikke",FALSE),IFERROR(INDEX('Kontoplan'!$D$3:$D$302,MATCH(E730,'Kontoplan'!$H$3:$H$302,0))="Støttes ikke",FALSE)),"Kontoen støttes ikke",IF(IFERROR(AND(A730&gt;1,COUNTIF($A$3:$A$2002,A730-1)=0),FALSE),"Nummeret hopper over",IF(OR(NOT(ISNUMBER(B730)),B730&lt;DATE(2027,1,1),B730&gt;DATE(2027,12,31)),"Datoen er ikke i 2027",""))))))</f>
        <v/>
      </c>
    </row>
    <row r="731">
      <c r="A731" s="17" t="n"/>
      <c r="B731" s="9" t="n"/>
      <c r="C731" s="8" t="n"/>
      <c r="D731" s="8" t="n"/>
      <c r="E731" s="8" t="n"/>
      <c r="F731" s="14" t="n"/>
      <c r="G731" s="14" t="n"/>
      <c r="H731" s="8" t="n"/>
      <c r="I731" s="8" t="n"/>
      <c r="J731" s="8" t="n"/>
      <c r="K731" s="18">
        <f>IF(B731="","",IFERROR(MONTH(B731),""))</f>
        <v/>
      </c>
      <c r="L731" s="5">
        <f>IF(COUNTA(A731:J731)=0,"",IF(E731="","Mangler motkonto",IF((F731="")=(G731=""),"Fyll ut enten Inn eller Ut",IF(OR(IFERROR(INDEX('Kontoplan'!$D$3:$D$302,MATCH(D731,'Kontoplan'!$H$3:$H$302,0))="Støttes ikke",FALSE),IFERROR(INDEX('Kontoplan'!$D$3:$D$302,MATCH(E731,'Kontoplan'!$H$3:$H$302,0))="Støttes ikke",FALSE)),"Kontoen støttes ikke",IF(IFERROR(AND(A731&gt;1,COUNTIF($A$3:$A$2002,A731-1)=0),FALSE),"Nummeret hopper over",IF(OR(NOT(ISNUMBER(B731)),B731&lt;DATE(2027,1,1),B731&gt;DATE(2027,12,31)),"Datoen er ikke i 2027",""))))))</f>
        <v/>
      </c>
    </row>
    <row r="732">
      <c r="A732" s="17" t="n"/>
      <c r="B732" s="9" t="n"/>
      <c r="C732" s="8" t="n"/>
      <c r="D732" s="8" t="n"/>
      <c r="E732" s="8" t="n"/>
      <c r="F732" s="14" t="n"/>
      <c r="G732" s="14" t="n"/>
      <c r="H732" s="8" t="n"/>
      <c r="I732" s="8" t="n"/>
      <c r="J732" s="8" t="n"/>
      <c r="K732" s="18">
        <f>IF(B732="","",IFERROR(MONTH(B732),""))</f>
        <v/>
      </c>
      <c r="L732" s="5">
        <f>IF(COUNTA(A732:J732)=0,"",IF(E732="","Mangler motkonto",IF((F732="")=(G732=""),"Fyll ut enten Inn eller Ut",IF(OR(IFERROR(INDEX('Kontoplan'!$D$3:$D$302,MATCH(D732,'Kontoplan'!$H$3:$H$302,0))="Støttes ikke",FALSE),IFERROR(INDEX('Kontoplan'!$D$3:$D$302,MATCH(E732,'Kontoplan'!$H$3:$H$302,0))="Støttes ikke",FALSE)),"Kontoen støttes ikke",IF(IFERROR(AND(A732&gt;1,COUNTIF($A$3:$A$2002,A732-1)=0),FALSE),"Nummeret hopper over",IF(OR(NOT(ISNUMBER(B732)),B732&lt;DATE(2027,1,1),B732&gt;DATE(2027,12,31)),"Datoen er ikke i 2027",""))))))</f>
        <v/>
      </c>
    </row>
    <row r="733">
      <c r="A733" s="17" t="n"/>
      <c r="B733" s="9" t="n"/>
      <c r="C733" s="8" t="n"/>
      <c r="D733" s="8" t="n"/>
      <c r="E733" s="8" t="n"/>
      <c r="F733" s="14" t="n"/>
      <c r="G733" s="14" t="n"/>
      <c r="H733" s="8" t="n"/>
      <c r="I733" s="8" t="n"/>
      <c r="J733" s="8" t="n"/>
      <c r="K733" s="18">
        <f>IF(B733="","",IFERROR(MONTH(B733),""))</f>
        <v/>
      </c>
      <c r="L733" s="5">
        <f>IF(COUNTA(A733:J733)=0,"",IF(E733="","Mangler motkonto",IF((F733="")=(G733=""),"Fyll ut enten Inn eller Ut",IF(OR(IFERROR(INDEX('Kontoplan'!$D$3:$D$302,MATCH(D733,'Kontoplan'!$H$3:$H$302,0))="Støttes ikke",FALSE),IFERROR(INDEX('Kontoplan'!$D$3:$D$302,MATCH(E733,'Kontoplan'!$H$3:$H$302,0))="Støttes ikke",FALSE)),"Kontoen støttes ikke",IF(IFERROR(AND(A733&gt;1,COUNTIF($A$3:$A$2002,A733-1)=0),FALSE),"Nummeret hopper over",IF(OR(NOT(ISNUMBER(B733)),B733&lt;DATE(2027,1,1),B733&gt;DATE(2027,12,31)),"Datoen er ikke i 2027",""))))))</f>
        <v/>
      </c>
    </row>
    <row r="734">
      <c r="A734" s="17" t="n"/>
      <c r="B734" s="9" t="n"/>
      <c r="C734" s="8" t="n"/>
      <c r="D734" s="8" t="n"/>
      <c r="E734" s="8" t="n"/>
      <c r="F734" s="14" t="n"/>
      <c r="G734" s="14" t="n"/>
      <c r="H734" s="8" t="n"/>
      <c r="I734" s="8" t="n"/>
      <c r="J734" s="8" t="n"/>
      <c r="K734" s="18">
        <f>IF(B734="","",IFERROR(MONTH(B734),""))</f>
        <v/>
      </c>
      <c r="L734" s="5">
        <f>IF(COUNTA(A734:J734)=0,"",IF(E734="","Mangler motkonto",IF((F734="")=(G734=""),"Fyll ut enten Inn eller Ut",IF(OR(IFERROR(INDEX('Kontoplan'!$D$3:$D$302,MATCH(D734,'Kontoplan'!$H$3:$H$302,0))="Støttes ikke",FALSE),IFERROR(INDEX('Kontoplan'!$D$3:$D$302,MATCH(E734,'Kontoplan'!$H$3:$H$302,0))="Støttes ikke",FALSE)),"Kontoen støttes ikke",IF(IFERROR(AND(A734&gt;1,COUNTIF($A$3:$A$2002,A734-1)=0),FALSE),"Nummeret hopper over",IF(OR(NOT(ISNUMBER(B734)),B734&lt;DATE(2027,1,1),B734&gt;DATE(2027,12,31)),"Datoen er ikke i 2027",""))))))</f>
        <v/>
      </c>
    </row>
    <row r="735">
      <c r="A735" s="17" t="n"/>
      <c r="B735" s="9" t="n"/>
      <c r="C735" s="8" t="n"/>
      <c r="D735" s="8" t="n"/>
      <c r="E735" s="8" t="n"/>
      <c r="F735" s="14" t="n"/>
      <c r="G735" s="14" t="n"/>
      <c r="H735" s="8" t="n"/>
      <c r="I735" s="8" t="n"/>
      <c r="J735" s="8" t="n"/>
      <c r="K735" s="18">
        <f>IF(B735="","",IFERROR(MONTH(B735),""))</f>
        <v/>
      </c>
      <c r="L735" s="5">
        <f>IF(COUNTA(A735:J735)=0,"",IF(E735="","Mangler motkonto",IF((F735="")=(G735=""),"Fyll ut enten Inn eller Ut",IF(OR(IFERROR(INDEX('Kontoplan'!$D$3:$D$302,MATCH(D735,'Kontoplan'!$H$3:$H$302,0))="Støttes ikke",FALSE),IFERROR(INDEX('Kontoplan'!$D$3:$D$302,MATCH(E735,'Kontoplan'!$H$3:$H$302,0))="Støttes ikke",FALSE)),"Kontoen støttes ikke",IF(IFERROR(AND(A735&gt;1,COUNTIF($A$3:$A$2002,A735-1)=0),FALSE),"Nummeret hopper over",IF(OR(NOT(ISNUMBER(B735)),B735&lt;DATE(2027,1,1),B735&gt;DATE(2027,12,31)),"Datoen er ikke i 2027",""))))))</f>
        <v/>
      </c>
    </row>
    <row r="736">
      <c r="A736" s="17" t="n"/>
      <c r="B736" s="9" t="n"/>
      <c r="C736" s="8" t="n"/>
      <c r="D736" s="8" t="n"/>
      <c r="E736" s="8" t="n"/>
      <c r="F736" s="14" t="n"/>
      <c r="G736" s="14" t="n"/>
      <c r="H736" s="8" t="n"/>
      <c r="I736" s="8" t="n"/>
      <c r="J736" s="8" t="n"/>
      <c r="K736" s="18">
        <f>IF(B736="","",IFERROR(MONTH(B736),""))</f>
        <v/>
      </c>
      <c r="L736" s="5">
        <f>IF(COUNTA(A736:J736)=0,"",IF(E736="","Mangler motkonto",IF((F736="")=(G736=""),"Fyll ut enten Inn eller Ut",IF(OR(IFERROR(INDEX('Kontoplan'!$D$3:$D$302,MATCH(D736,'Kontoplan'!$H$3:$H$302,0))="Støttes ikke",FALSE),IFERROR(INDEX('Kontoplan'!$D$3:$D$302,MATCH(E736,'Kontoplan'!$H$3:$H$302,0))="Støttes ikke",FALSE)),"Kontoen støttes ikke",IF(IFERROR(AND(A736&gt;1,COUNTIF($A$3:$A$2002,A736-1)=0),FALSE),"Nummeret hopper over",IF(OR(NOT(ISNUMBER(B736)),B736&lt;DATE(2027,1,1),B736&gt;DATE(2027,12,31)),"Datoen er ikke i 2027",""))))))</f>
        <v/>
      </c>
    </row>
    <row r="737">
      <c r="A737" s="17" t="n"/>
      <c r="B737" s="9" t="n"/>
      <c r="C737" s="8" t="n"/>
      <c r="D737" s="8" t="n"/>
      <c r="E737" s="8" t="n"/>
      <c r="F737" s="14" t="n"/>
      <c r="G737" s="14" t="n"/>
      <c r="H737" s="8" t="n"/>
      <c r="I737" s="8" t="n"/>
      <c r="J737" s="8" t="n"/>
      <c r="K737" s="18">
        <f>IF(B737="","",IFERROR(MONTH(B737),""))</f>
        <v/>
      </c>
      <c r="L737" s="5">
        <f>IF(COUNTA(A737:J737)=0,"",IF(E737="","Mangler motkonto",IF((F737="")=(G737=""),"Fyll ut enten Inn eller Ut",IF(OR(IFERROR(INDEX('Kontoplan'!$D$3:$D$302,MATCH(D737,'Kontoplan'!$H$3:$H$302,0))="Støttes ikke",FALSE),IFERROR(INDEX('Kontoplan'!$D$3:$D$302,MATCH(E737,'Kontoplan'!$H$3:$H$302,0))="Støttes ikke",FALSE)),"Kontoen støttes ikke",IF(IFERROR(AND(A737&gt;1,COUNTIF($A$3:$A$2002,A737-1)=0),FALSE),"Nummeret hopper over",IF(OR(NOT(ISNUMBER(B737)),B737&lt;DATE(2027,1,1),B737&gt;DATE(2027,12,31)),"Datoen er ikke i 2027",""))))))</f>
        <v/>
      </c>
    </row>
    <row r="738">
      <c r="A738" s="17" t="n"/>
      <c r="B738" s="9" t="n"/>
      <c r="C738" s="8" t="n"/>
      <c r="D738" s="8" t="n"/>
      <c r="E738" s="8" t="n"/>
      <c r="F738" s="14" t="n"/>
      <c r="G738" s="14" t="n"/>
      <c r="H738" s="8" t="n"/>
      <c r="I738" s="8" t="n"/>
      <c r="J738" s="8" t="n"/>
      <c r="K738" s="18">
        <f>IF(B738="","",IFERROR(MONTH(B738),""))</f>
        <v/>
      </c>
      <c r="L738" s="5">
        <f>IF(COUNTA(A738:J738)=0,"",IF(E738="","Mangler motkonto",IF((F738="")=(G738=""),"Fyll ut enten Inn eller Ut",IF(OR(IFERROR(INDEX('Kontoplan'!$D$3:$D$302,MATCH(D738,'Kontoplan'!$H$3:$H$302,0))="Støttes ikke",FALSE),IFERROR(INDEX('Kontoplan'!$D$3:$D$302,MATCH(E738,'Kontoplan'!$H$3:$H$302,0))="Støttes ikke",FALSE)),"Kontoen støttes ikke",IF(IFERROR(AND(A738&gt;1,COUNTIF($A$3:$A$2002,A738-1)=0),FALSE),"Nummeret hopper over",IF(OR(NOT(ISNUMBER(B738)),B738&lt;DATE(2027,1,1),B738&gt;DATE(2027,12,31)),"Datoen er ikke i 2027",""))))))</f>
        <v/>
      </c>
    </row>
    <row r="739">
      <c r="A739" s="17" t="n"/>
      <c r="B739" s="9" t="n"/>
      <c r="C739" s="8" t="n"/>
      <c r="D739" s="8" t="n"/>
      <c r="E739" s="8" t="n"/>
      <c r="F739" s="14" t="n"/>
      <c r="G739" s="14" t="n"/>
      <c r="H739" s="8" t="n"/>
      <c r="I739" s="8" t="n"/>
      <c r="J739" s="8" t="n"/>
      <c r="K739" s="18">
        <f>IF(B739="","",IFERROR(MONTH(B739),""))</f>
        <v/>
      </c>
      <c r="L739" s="5">
        <f>IF(COUNTA(A739:J739)=0,"",IF(E739="","Mangler motkonto",IF((F739="")=(G739=""),"Fyll ut enten Inn eller Ut",IF(OR(IFERROR(INDEX('Kontoplan'!$D$3:$D$302,MATCH(D739,'Kontoplan'!$H$3:$H$302,0))="Støttes ikke",FALSE),IFERROR(INDEX('Kontoplan'!$D$3:$D$302,MATCH(E739,'Kontoplan'!$H$3:$H$302,0))="Støttes ikke",FALSE)),"Kontoen støttes ikke",IF(IFERROR(AND(A739&gt;1,COUNTIF($A$3:$A$2002,A739-1)=0),FALSE),"Nummeret hopper over",IF(OR(NOT(ISNUMBER(B739)),B739&lt;DATE(2027,1,1),B739&gt;DATE(2027,12,31)),"Datoen er ikke i 2027",""))))))</f>
        <v/>
      </c>
    </row>
    <row r="740">
      <c r="A740" s="17" t="n"/>
      <c r="B740" s="9" t="n"/>
      <c r="C740" s="8" t="n"/>
      <c r="D740" s="8" t="n"/>
      <c r="E740" s="8" t="n"/>
      <c r="F740" s="14" t="n"/>
      <c r="G740" s="14" t="n"/>
      <c r="H740" s="8" t="n"/>
      <c r="I740" s="8" t="n"/>
      <c r="J740" s="8" t="n"/>
      <c r="K740" s="18">
        <f>IF(B740="","",IFERROR(MONTH(B740),""))</f>
        <v/>
      </c>
      <c r="L740" s="5">
        <f>IF(COUNTA(A740:J740)=0,"",IF(E740="","Mangler motkonto",IF((F740="")=(G740=""),"Fyll ut enten Inn eller Ut",IF(OR(IFERROR(INDEX('Kontoplan'!$D$3:$D$302,MATCH(D740,'Kontoplan'!$H$3:$H$302,0))="Støttes ikke",FALSE),IFERROR(INDEX('Kontoplan'!$D$3:$D$302,MATCH(E740,'Kontoplan'!$H$3:$H$302,0))="Støttes ikke",FALSE)),"Kontoen støttes ikke",IF(IFERROR(AND(A740&gt;1,COUNTIF($A$3:$A$2002,A740-1)=0),FALSE),"Nummeret hopper over",IF(OR(NOT(ISNUMBER(B740)),B740&lt;DATE(2027,1,1),B740&gt;DATE(2027,12,31)),"Datoen er ikke i 2027",""))))))</f>
        <v/>
      </c>
    </row>
    <row r="741">
      <c r="A741" s="17" t="n"/>
      <c r="B741" s="9" t="n"/>
      <c r="C741" s="8" t="n"/>
      <c r="D741" s="8" t="n"/>
      <c r="E741" s="8" t="n"/>
      <c r="F741" s="14" t="n"/>
      <c r="G741" s="14" t="n"/>
      <c r="H741" s="8" t="n"/>
      <c r="I741" s="8" t="n"/>
      <c r="J741" s="8" t="n"/>
      <c r="K741" s="18">
        <f>IF(B741="","",IFERROR(MONTH(B741),""))</f>
        <v/>
      </c>
      <c r="L741" s="5">
        <f>IF(COUNTA(A741:J741)=0,"",IF(E741="","Mangler motkonto",IF((F741="")=(G741=""),"Fyll ut enten Inn eller Ut",IF(OR(IFERROR(INDEX('Kontoplan'!$D$3:$D$302,MATCH(D741,'Kontoplan'!$H$3:$H$302,0))="Støttes ikke",FALSE),IFERROR(INDEX('Kontoplan'!$D$3:$D$302,MATCH(E741,'Kontoplan'!$H$3:$H$302,0))="Støttes ikke",FALSE)),"Kontoen støttes ikke",IF(IFERROR(AND(A741&gt;1,COUNTIF($A$3:$A$2002,A741-1)=0),FALSE),"Nummeret hopper over",IF(OR(NOT(ISNUMBER(B741)),B741&lt;DATE(2027,1,1),B741&gt;DATE(2027,12,31)),"Datoen er ikke i 2027",""))))))</f>
        <v/>
      </c>
    </row>
    <row r="742">
      <c r="A742" s="17" t="n"/>
      <c r="B742" s="9" t="n"/>
      <c r="C742" s="8" t="n"/>
      <c r="D742" s="8" t="n"/>
      <c r="E742" s="8" t="n"/>
      <c r="F742" s="14" t="n"/>
      <c r="G742" s="14" t="n"/>
      <c r="H742" s="8" t="n"/>
      <c r="I742" s="8" t="n"/>
      <c r="J742" s="8" t="n"/>
      <c r="K742" s="18">
        <f>IF(B742="","",IFERROR(MONTH(B742),""))</f>
        <v/>
      </c>
      <c r="L742" s="5">
        <f>IF(COUNTA(A742:J742)=0,"",IF(E742="","Mangler motkonto",IF((F742="")=(G742=""),"Fyll ut enten Inn eller Ut",IF(OR(IFERROR(INDEX('Kontoplan'!$D$3:$D$302,MATCH(D742,'Kontoplan'!$H$3:$H$302,0))="Støttes ikke",FALSE),IFERROR(INDEX('Kontoplan'!$D$3:$D$302,MATCH(E742,'Kontoplan'!$H$3:$H$302,0))="Støttes ikke",FALSE)),"Kontoen støttes ikke",IF(IFERROR(AND(A742&gt;1,COUNTIF($A$3:$A$2002,A742-1)=0),FALSE),"Nummeret hopper over",IF(OR(NOT(ISNUMBER(B742)),B742&lt;DATE(2027,1,1),B742&gt;DATE(2027,12,31)),"Datoen er ikke i 2027",""))))))</f>
        <v/>
      </c>
    </row>
    <row r="743">
      <c r="A743" s="17" t="n"/>
      <c r="B743" s="9" t="n"/>
      <c r="C743" s="8" t="n"/>
      <c r="D743" s="8" t="n"/>
      <c r="E743" s="8" t="n"/>
      <c r="F743" s="14" t="n"/>
      <c r="G743" s="14" t="n"/>
      <c r="H743" s="8" t="n"/>
      <c r="I743" s="8" t="n"/>
      <c r="J743" s="8" t="n"/>
      <c r="K743" s="18">
        <f>IF(B743="","",IFERROR(MONTH(B743),""))</f>
        <v/>
      </c>
      <c r="L743" s="5">
        <f>IF(COUNTA(A743:J743)=0,"",IF(E743="","Mangler motkonto",IF((F743="")=(G743=""),"Fyll ut enten Inn eller Ut",IF(OR(IFERROR(INDEX('Kontoplan'!$D$3:$D$302,MATCH(D743,'Kontoplan'!$H$3:$H$302,0))="Støttes ikke",FALSE),IFERROR(INDEX('Kontoplan'!$D$3:$D$302,MATCH(E743,'Kontoplan'!$H$3:$H$302,0))="Støttes ikke",FALSE)),"Kontoen støttes ikke",IF(IFERROR(AND(A743&gt;1,COUNTIF($A$3:$A$2002,A743-1)=0),FALSE),"Nummeret hopper over",IF(OR(NOT(ISNUMBER(B743)),B743&lt;DATE(2027,1,1),B743&gt;DATE(2027,12,31)),"Datoen er ikke i 2027",""))))))</f>
        <v/>
      </c>
    </row>
    <row r="744">
      <c r="A744" s="17" t="n"/>
      <c r="B744" s="9" t="n"/>
      <c r="C744" s="8" t="n"/>
      <c r="D744" s="8" t="n"/>
      <c r="E744" s="8" t="n"/>
      <c r="F744" s="14" t="n"/>
      <c r="G744" s="14" t="n"/>
      <c r="H744" s="8" t="n"/>
      <c r="I744" s="8" t="n"/>
      <c r="J744" s="8" t="n"/>
      <c r="K744" s="18">
        <f>IF(B744="","",IFERROR(MONTH(B744),""))</f>
        <v/>
      </c>
      <c r="L744" s="5">
        <f>IF(COUNTA(A744:J744)=0,"",IF(E744="","Mangler motkonto",IF((F744="")=(G744=""),"Fyll ut enten Inn eller Ut",IF(OR(IFERROR(INDEX('Kontoplan'!$D$3:$D$302,MATCH(D744,'Kontoplan'!$H$3:$H$302,0))="Støttes ikke",FALSE),IFERROR(INDEX('Kontoplan'!$D$3:$D$302,MATCH(E744,'Kontoplan'!$H$3:$H$302,0))="Støttes ikke",FALSE)),"Kontoen støttes ikke",IF(IFERROR(AND(A744&gt;1,COUNTIF($A$3:$A$2002,A744-1)=0),FALSE),"Nummeret hopper over",IF(OR(NOT(ISNUMBER(B744)),B744&lt;DATE(2027,1,1),B744&gt;DATE(2027,12,31)),"Datoen er ikke i 2027",""))))))</f>
        <v/>
      </c>
    </row>
    <row r="745">
      <c r="A745" s="17" t="n"/>
      <c r="B745" s="9" t="n"/>
      <c r="C745" s="8" t="n"/>
      <c r="D745" s="8" t="n"/>
      <c r="E745" s="8" t="n"/>
      <c r="F745" s="14" t="n"/>
      <c r="G745" s="14" t="n"/>
      <c r="H745" s="8" t="n"/>
      <c r="I745" s="8" t="n"/>
      <c r="J745" s="8" t="n"/>
      <c r="K745" s="18">
        <f>IF(B745="","",IFERROR(MONTH(B745),""))</f>
        <v/>
      </c>
      <c r="L745" s="5">
        <f>IF(COUNTA(A745:J745)=0,"",IF(E745="","Mangler motkonto",IF((F745="")=(G745=""),"Fyll ut enten Inn eller Ut",IF(OR(IFERROR(INDEX('Kontoplan'!$D$3:$D$302,MATCH(D745,'Kontoplan'!$H$3:$H$302,0))="Støttes ikke",FALSE),IFERROR(INDEX('Kontoplan'!$D$3:$D$302,MATCH(E745,'Kontoplan'!$H$3:$H$302,0))="Støttes ikke",FALSE)),"Kontoen støttes ikke",IF(IFERROR(AND(A745&gt;1,COUNTIF($A$3:$A$2002,A745-1)=0),FALSE),"Nummeret hopper over",IF(OR(NOT(ISNUMBER(B745)),B745&lt;DATE(2027,1,1),B745&gt;DATE(2027,12,31)),"Datoen er ikke i 2027",""))))))</f>
        <v/>
      </c>
    </row>
    <row r="746">
      <c r="A746" s="17" t="n"/>
      <c r="B746" s="9" t="n"/>
      <c r="C746" s="8" t="n"/>
      <c r="D746" s="8" t="n"/>
      <c r="E746" s="8" t="n"/>
      <c r="F746" s="14" t="n"/>
      <c r="G746" s="14" t="n"/>
      <c r="H746" s="8" t="n"/>
      <c r="I746" s="8" t="n"/>
      <c r="J746" s="8" t="n"/>
      <c r="K746" s="18">
        <f>IF(B746="","",IFERROR(MONTH(B746),""))</f>
        <v/>
      </c>
      <c r="L746" s="5">
        <f>IF(COUNTA(A746:J746)=0,"",IF(E746="","Mangler motkonto",IF((F746="")=(G746=""),"Fyll ut enten Inn eller Ut",IF(OR(IFERROR(INDEX('Kontoplan'!$D$3:$D$302,MATCH(D746,'Kontoplan'!$H$3:$H$302,0))="Støttes ikke",FALSE),IFERROR(INDEX('Kontoplan'!$D$3:$D$302,MATCH(E746,'Kontoplan'!$H$3:$H$302,0))="Støttes ikke",FALSE)),"Kontoen støttes ikke",IF(IFERROR(AND(A746&gt;1,COUNTIF($A$3:$A$2002,A746-1)=0),FALSE),"Nummeret hopper over",IF(OR(NOT(ISNUMBER(B746)),B746&lt;DATE(2027,1,1),B746&gt;DATE(2027,12,31)),"Datoen er ikke i 2027",""))))))</f>
        <v/>
      </c>
    </row>
    <row r="747">
      <c r="A747" s="17" t="n"/>
      <c r="B747" s="9" t="n"/>
      <c r="C747" s="8" t="n"/>
      <c r="D747" s="8" t="n"/>
      <c r="E747" s="8" t="n"/>
      <c r="F747" s="14" t="n"/>
      <c r="G747" s="14" t="n"/>
      <c r="H747" s="8" t="n"/>
      <c r="I747" s="8" t="n"/>
      <c r="J747" s="8" t="n"/>
      <c r="K747" s="18">
        <f>IF(B747="","",IFERROR(MONTH(B747),""))</f>
        <v/>
      </c>
      <c r="L747" s="5">
        <f>IF(COUNTA(A747:J747)=0,"",IF(E747="","Mangler motkonto",IF((F747="")=(G747=""),"Fyll ut enten Inn eller Ut",IF(OR(IFERROR(INDEX('Kontoplan'!$D$3:$D$302,MATCH(D747,'Kontoplan'!$H$3:$H$302,0))="Støttes ikke",FALSE),IFERROR(INDEX('Kontoplan'!$D$3:$D$302,MATCH(E747,'Kontoplan'!$H$3:$H$302,0))="Støttes ikke",FALSE)),"Kontoen støttes ikke",IF(IFERROR(AND(A747&gt;1,COUNTIF($A$3:$A$2002,A747-1)=0),FALSE),"Nummeret hopper over",IF(OR(NOT(ISNUMBER(B747)),B747&lt;DATE(2027,1,1),B747&gt;DATE(2027,12,31)),"Datoen er ikke i 2027",""))))))</f>
        <v/>
      </c>
    </row>
    <row r="748">
      <c r="A748" s="17" t="n"/>
      <c r="B748" s="9" t="n"/>
      <c r="C748" s="8" t="n"/>
      <c r="D748" s="8" t="n"/>
      <c r="E748" s="8" t="n"/>
      <c r="F748" s="14" t="n"/>
      <c r="G748" s="14" t="n"/>
      <c r="H748" s="8" t="n"/>
      <c r="I748" s="8" t="n"/>
      <c r="J748" s="8" t="n"/>
      <c r="K748" s="18">
        <f>IF(B748="","",IFERROR(MONTH(B748),""))</f>
        <v/>
      </c>
      <c r="L748" s="5">
        <f>IF(COUNTA(A748:J748)=0,"",IF(E748="","Mangler motkonto",IF((F748="")=(G748=""),"Fyll ut enten Inn eller Ut",IF(OR(IFERROR(INDEX('Kontoplan'!$D$3:$D$302,MATCH(D748,'Kontoplan'!$H$3:$H$302,0))="Støttes ikke",FALSE),IFERROR(INDEX('Kontoplan'!$D$3:$D$302,MATCH(E748,'Kontoplan'!$H$3:$H$302,0))="Støttes ikke",FALSE)),"Kontoen støttes ikke",IF(IFERROR(AND(A748&gt;1,COUNTIF($A$3:$A$2002,A748-1)=0),FALSE),"Nummeret hopper over",IF(OR(NOT(ISNUMBER(B748)),B748&lt;DATE(2027,1,1),B748&gt;DATE(2027,12,31)),"Datoen er ikke i 2027",""))))))</f>
        <v/>
      </c>
    </row>
    <row r="749">
      <c r="A749" s="17" t="n"/>
      <c r="B749" s="9" t="n"/>
      <c r="C749" s="8" t="n"/>
      <c r="D749" s="8" t="n"/>
      <c r="E749" s="8" t="n"/>
      <c r="F749" s="14" t="n"/>
      <c r="G749" s="14" t="n"/>
      <c r="H749" s="8" t="n"/>
      <c r="I749" s="8" t="n"/>
      <c r="J749" s="8" t="n"/>
      <c r="K749" s="18">
        <f>IF(B749="","",IFERROR(MONTH(B749),""))</f>
        <v/>
      </c>
      <c r="L749" s="5">
        <f>IF(COUNTA(A749:J749)=0,"",IF(E749="","Mangler motkonto",IF((F749="")=(G749=""),"Fyll ut enten Inn eller Ut",IF(OR(IFERROR(INDEX('Kontoplan'!$D$3:$D$302,MATCH(D749,'Kontoplan'!$H$3:$H$302,0))="Støttes ikke",FALSE),IFERROR(INDEX('Kontoplan'!$D$3:$D$302,MATCH(E749,'Kontoplan'!$H$3:$H$302,0))="Støttes ikke",FALSE)),"Kontoen støttes ikke",IF(IFERROR(AND(A749&gt;1,COUNTIF($A$3:$A$2002,A749-1)=0),FALSE),"Nummeret hopper over",IF(OR(NOT(ISNUMBER(B749)),B749&lt;DATE(2027,1,1),B749&gt;DATE(2027,12,31)),"Datoen er ikke i 2027",""))))))</f>
        <v/>
      </c>
    </row>
    <row r="750">
      <c r="A750" s="17" t="n"/>
      <c r="B750" s="9" t="n"/>
      <c r="C750" s="8" t="n"/>
      <c r="D750" s="8" t="n"/>
      <c r="E750" s="8" t="n"/>
      <c r="F750" s="14" t="n"/>
      <c r="G750" s="14" t="n"/>
      <c r="H750" s="8" t="n"/>
      <c r="I750" s="8" t="n"/>
      <c r="J750" s="8" t="n"/>
      <c r="K750" s="18">
        <f>IF(B750="","",IFERROR(MONTH(B750),""))</f>
        <v/>
      </c>
      <c r="L750" s="5">
        <f>IF(COUNTA(A750:J750)=0,"",IF(E750="","Mangler motkonto",IF((F750="")=(G750=""),"Fyll ut enten Inn eller Ut",IF(OR(IFERROR(INDEX('Kontoplan'!$D$3:$D$302,MATCH(D750,'Kontoplan'!$H$3:$H$302,0))="Støttes ikke",FALSE),IFERROR(INDEX('Kontoplan'!$D$3:$D$302,MATCH(E750,'Kontoplan'!$H$3:$H$302,0))="Støttes ikke",FALSE)),"Kontoen støttes ikke",IF(IFERROR(AND(A750&gt;1,COUNTIF($A$3:$A$2002,A750-1)=0),FALSE),"Nummeret hopper over",IF(OR(NOT(ISNUMBER(B750)),B750&lt;DATE(2027,1,1),B750&gt;DATE(2027,12,31)),"Datoen er ikke i 2027",""))))))</f>
        <v/>
      </c>
    </row>
    <row r="751">
      <c r="A751" s="17" t="n"/>
      <c r="B751" s="9" t="n"/>
      <c r="C751" s="8" t="n"/>
      <c r="D751" s="8" t="n"/>
      <c r="E751" s="8" t="n"/>
      <c r="F751" s="14" t="n"/>
      <c r="G751" s="14" t="n"/>
      <c r="H751" s="8" t="n"/>
      <c r="I751" s="8" t="n"/>
      <c r="J751" s="8" t="n"/>
      <c r="K751" s="18">
        <f>IF(B751="","",IFERROR(MONTH(B751),""))</f>
        <v/>
      </c>
      <c r="L751" s="5">
        <f>IF(COUNTA(A751:J751)=0,"",IF(E751="","Mangler motkonto",IF((F751="")=(G751=""),"Fyll ut enten Inn eller Ut",IF(OR(IFERROR(INDEX('Kontoplan'!$D$3:$D$302,MATCH(D751,'Kontoplan'!$H$3:$H$302,0))="Støttes ikke",FALSE),IFERROR(INDEX('Kontoplan'!$D$3:$D$302,MATCH(E751,'Kontoplan'!$H$3:$H$302,0))="Støttes ikke",FALSE)),"Kontoen støttes ikke",IF(IFERROR(AND(A751&gt;1,COUNTIF($A$3:$A$2002,A751-1)=0),FALSE),"Nummeret hopper over",IF(OR(NOT(ISNUMBER(B751)),B751&lt;DATE(2027,1,1),B751&gt;DATE(2027,12,31)),"Datoen er ikke i 2027",""))))))</f>
        <v/>
      </c>
    </row>
    <row r="752">
      <c r="A752" s="17" t="n"/>
      <c r="B752" s="9" t="n"/>
      <c r="C752" s="8" t="n"/>
      <c r="D752" s="8" t="n"/>
      <c r="E752" s="8" t="n"/>
      <c r="F752" s="14" t="n"/>
      <c r="G752" s="14" t="n"/>
      <c r="H752" s="8" t="n"/>
      <c r="I752" s="8" t="n"/>
      <c r="J752" s="8" t="n"/>
      <c r="K752" s="18">
        <f>IF(B752="","",IFERROR(MONTH(B752),""))</f>
        <v/>
      </c>
      <c r="L752" s="5">
        <f>IF(COUNTA(A752:J752)=0,"",IF(E752="","Mangler motkonto",IF((F752="")=(G752=""),"Fyll ut enten Inn eller Ut",IF(OR(IFERROR(INDEX('Kontoplan'!$D$3:$D$302,MATCH(D752,'Kontoplan'!$H$3:$H$302,0))="Støttes ikke",FALSE),IFERROR(INDEX('Kontoplan'!$D$3:$D$302,MATCH(E752,'Kontoplan'!$H$3:$H$302,0))="Støttes ikke",FALSE)),"Kontoen støttes ikke",IF(IFERROR(AND(A752&gt;1,COUNTIF($A$3:$A$2002,A752-1)=0),FALSE),"Nummeret hopper over",IF(OR(NOT(ISNUMBER(B752)),B752&lt;DATE(2027,1,1),B752&gt;DATE(2027,12,31)),"Datoen er ikke i 2027",""))))))</f>
        <v/>
      </c>
    </row>
    <row r="753">
      <c r="A753" s="17" t="n"/>
      <c r="B753" s="9" t="n"/>
      <c r="C753" s="8" t="n"/>
      <c r="D753" s="8" t="n"/>
      <c r="E753" s="8" t="n"/>
      <c r="F753" s="14" t="n"/>
      <c r="G753" s="14" t="n"/>
      <c r="H753" s="8" t="n"/>
      <c r="I753" s="8" t="n"/>
      <c r="J753" s="8" t="n"/>
      <c r="K753" s="18">
        <f>IF(B753="","",IFERROR(MONTH(B753),""))</f>
        <v/>
      </c>
      <c r="L753" s="5">
        <f>IF(COUNTA(A753:J753)=0,"",IF(E753="","Mangler motkonto",IF((F753="")=(G753=""),"Fyll ut enten Inn eller Ut",IF(OR(IFERROR(INDEX('Kontoplan'!$D$3:$D$302,MATCH(D753,'Kontoplan'!$H$3:$H$302,0))="Støttes ikke",FALSE),IFERROR(INDEX('Kontoplan'!$D$3:$D$302,MATCH(E753,'Kontoplan'!$H$3:$H$302,0))="Støttes ikke",FALSE)),"Kontoen støttes ikke",IF(IFERROR(AND(A753&gt;1,COUNTIF($A$3:$A$2002,A753-1)=0),FALSE),"Nummeret hopper over",IF(OR(NOT(ISNUMBER(B753)),B753&lt;DATE(2027,1,1),B753&gt;DATE(2027,12,31)),"Datoen er ikke i 2027",""))))))</f>
        <v/>
      </c>
    </row>
    <row r="754">
      <c r="A754" s="17" t="n"/>
      <c r="B754" s="9" t="n"/>
      <c r="C754" s="8" t="n"/>
      <c r="D754" s="8" t="n"/>
      <c r="E754" s="8" t="n"/>
      <c r="F754" s="14" t="n"/>
      <c r="G754" s="14" t="n"/>
      <c r="H754" s="8" t="n"/>
      <c r="I754" s="8" t="n"/>
      <c r="J754" s="8" t="n"/>
      <c r="K754" s="18">
        <f>IF(B754="","",IFERROR(MONTH(B754),""))</f>
        <v/>
      </c>
      <c r="L754" s="5">
        <f>IF(COUNTA(A754:J754)=0,"",IF(E754="","Mangler motkonto",IF((F754="")=(G754=""),"Fyll ut enten Inn eller Ut",IF(OR(IFERROR(INDEX('Kontoplan'!$D$3:$D$302,MATCH(D754,'Kontoplan'!$H$3:$H$302,0))="Støttes ikke",FALSE),IFERROR(INDEX('Kontoplan'!$D$3:$D$302,MATCH(E754,'Kontoplan'!$H$3:$H$302,0))="Støttes ikke",FALSE)),"Kontoen støttes ikke",IF(IFERROR(AND(A754&gt;1,COUNTIF($A$3:$A$2002,A754-1)=0),FALSE),"Nummeret hopper over",IF(OR(NOT(ISNUMBER(B754)),B754&lt;DATE(2027,1,1),B754&gt;DATE(2027,12,31)),"Datoen er ikke i 2027",""))))))</f>
        <v/>
      </c>
    </row>
    <row r="755">
      <c r="A755" s="17" t="n"/>
      <c r="B755" s="9" t="n"/>
      <c r="C755" s="8" t="n"/>
      <c r="D755" s="8" t="n"/>
      <c r="E755" s="8" t="n"/>
      <c r="F755" s="14" t="n"/>
      <c r="G755" s="14" t="n"/>
      <c r="H755" s="8" t="n"/>
      <c r="I755" s="8" t="n"/>
      <c r="J755" s="8" t="n"/>
      <c r="K755" s="18">
        <f>IF(B755="","",IFERROR(MONTH(B755),""))</f>
        <v/>
      </c>
      <c r="L755" s="5">
        <f>IF(COUNTA(A755:J755)=0,"",IF(E755="","Mangler motkonto",IF((F755="")=(G755=""),"Fyll ut enten Inn eller Ut",IF(OR(IFERROR(INDEX('Kontoplan'!$D$3:$D$302,MATCH(D755,'Kontoplan'!$H$3:$H$302,0))="Støttes ikke",FALSE),IFERROR(INDEX('Kontoplan'!$D$3:$D$302,MATCH(E755,'Kontoplan'!$H$3:$H$302,0))="Støttes ikke",FALSE)),"Kontoen støttes ikke",IF(IFERROR(AND(A755&gt;1,COUNTIF($A$3:$A$2002,A755-1)=0),FALSE),"Nummeret hopper over",IF(OR(NOT(ISNUMBER(B755)),B755&lt;DATE(2027,1,1),B755&gt;DATE(2027,12,31)),"Datoen er ikke i 2027",""))))))</f>
        <v/>
      </c>
    </row>
    <row r="756">
      <c r="A756" s="17" t="n"/>
      <c r="B756" s="9" t="n"/>
      <c r="C756" s="8" t="n"/>
      <c r="D756" s="8" t="n"/>
      <c r="E756" s="8" t="n"/>
      <c r="F756" s="14" t="n"/>
      <c r="G756" s="14" t="n"/>
      <c r="H756" s="8" t="n"/>
      <c r="I756" s="8" t="n"/>
      <c r="J756" s="8" t="n"/>
      <c r="K756" s="18">
        <f>IF(B756="","",IFERROR(MONTH(B756),""))</f>
        <v/>
      </c>
      <c r="L756" s="5">
        <f>IF(COUNTA(A756:J756)=0,"",IF(E756="","Mangler motkonto",IF((F756="")=(G756=""),"Fyll ut enten Inn eller Ut",IF(OR(IFERROR(INDEX('Kontoplan'!$D$3:$D$302,MATCH(D756,'Kontoplan'!$H$3:$H$302,0))="Støttes ikke",FALSE),IFERROR(INDEX('Kontoplan'!$D$3:$D$302,MATCH(E756,'Kontoplan'!$H$3:$H$302,0))="Støttes ikke",FALSE)),"Kontoen støttes ikke",IF(IFERROR(AND(A756&gt;1,COUNTIF($A$3:$A$2002,A756-1)=0),FALSE),"Nummeret hopper over",IF(OR(NOT(ISNUMBER(B756)),B756&lt;DATE(2027,1,1),B756&gt;DATE(2027,12,31)),"Datoen er ikke i 2027",""))))))</f>
        <v/>
      </c>
    </row>
    <row r="757">
      <c r="A757" s="17" t="n"/>
      <c r="B757" s="9" t="n"/>
      <c r="C757" s="8" t="n"/>
      <c r="D757" s="8" t="n"/>
      <c r="E757" s="8" t="n"/>
      <c r="F757" s="14" t="n"/>
      <c r="G757" s="14" t="n"/>
      <c r="H757" s="8" t="n"/>
      <c r="I757" s="8" t="n"/>
      <c r="J757" s="8" t="n"/>
      <c r="K757" s="18">
        <f>IF(B757="","",IFERROR(MONTH(B757),""))</f>
        <v/>
      </c>
      <c r="L757" s="5">
        <f>IF(COUNTA(A757:J757)=0,"",IF(E757="","Mangler motkonto",IF((F757="")=(G757=""),"Fyll ut enten Inn eller Ut",IF(OR(IFERROR(INDEX('Kontoplan'!$D$3:$D$302,MATCH(D757,'Kontoplan'!$H$3:$H$302,0))="Støttes ikke",FALSE),IFERROR(INDEX('Kontoplan'!$D$3:$D$302,MATCH(E757,'Kontoplan'!$H$3:$H$302,0))="Støttes ikke",FALSE)),"Kontoen støttes ikke",IF(IFERROR(AND(A757&gt;1,COUNTIF($A$3:$A$2002,A757-1)=0),FALSE),"Nummeret hopper over",IF(OR(NOT(ISNUMBER(B757)),B757&lt;DATE(2027,1,1),B757&gt;DATE(2027,12,31)),"Datoen er ikke i 2027",""))))))</f>
        <v/>
      </c>
    </row>
    <row r="758">
      <c r="A758" s="17" t="n"/>
      <c r="B758" s="9" t="n"/>
      <c r="C758" s="8" t="n"/>
      <c r="D758" s="8" t="n"/>
      <c r="E758" s="8" t="n"/>
      <c r="F758" s="14" t="n"/>
      <c r="G758" s="14" t="n"/>
      <c r="H758" s="8" t="n"/>
      <c r="I758" s="8" t="n"/>
      <c r="J758" s="8" t="n"/>
      <c r="K758" s="18">
        <f>IF(B758="","",IFERROR(MONTH(B758),""))</f>
        <v/>
      </c>
      <c r="L758" s="5">
        <f>IF(COUNTA(A758:J758)=0,"",IF(E758="","Mangler motkonto",IF((F758="")=(G758=""),"Fyll ut enten Inn eller Ut",IF(OR(IFERROR(INDEX('Kontoplan'!$D$3:$D$302,MATCH(D758,'Kontoplan'!$H$3:$H$302,0))="Støttes ikke",FALSE),IFERROR(INDEX('Kontoplan'!$D$3:$D$302,MATCH(E758,'Kontoplan'!$H$3:$H$302,0))="Støttes ikke",FALSE)),"Kontoen støttes ikke",IF(IFERROR(AND(A758&gt;1,COUNTIF($A$3:$A$2002,A758-1)=0),FALSE),"Nummeret hopper over",IF(OR(NOT(ISNUMBER(B758)),B758&lt;DATE(2027,1,1),B758&gt;DATE(2027,12,31)),"Datoen er ikke i 2027",""))))))</f>
        <v/>
      </c>
    </row>
    <row r="759">
      <c r="A759" s="17" t="n"/>
      <c r="B759" s="9" t="n"/>
      <c r="C759" s="8" t="n"/>
      <c r="D759" s="8" t="n"/>
      <c r="E759" s="8" t="n"/>
      <c r="F759" s="14" t="n"/>
      <c r="G759" s="14" t="n"/>
      <c r="H759" s="8" t="n"/>
      <c r="I759" s="8" t="n"/>
      <c r="J759" s="8" t="n"/>
      <c r="K759" s="18">
        <f>IF(B759="","",IFERROR(MONTH(B759),""))</f>
        <v/>
      </c>
      <c r="L759" s="5">
        <f>IF(COUNTA(A759:J759)=0,"",IF(E759="","Mangler motkonto",IF((F759="")=(G759=""),"Fyll ut enten Inn eller Ut",IF(OR(IFERROR(INDEX('Kontoplan'!$D$3:$D$302,MATCH(D759,'Kontoplan'!$H$3:$H$302,0))="Støttes ikke",FALSE),IFERROR(INDEX('Kontoplan'!$D$3:$D$302,MATCH(E759,'Kontoplan'!$H$3:$H$302,0))="Støttes ikke",FALSE)),"Kontoen støttes ikke",IF(IFERROR(AND(A759&gt;1,COUNTIF($A$3:$A$2002,A759-1)=0),FALSE),"Nummeret hopper over",IF(OR(NOT(ISNUMBER(B759)),B759&lt;DATE(2027,1,1),B759&gt;DATE(2027,12,31)),"Datoen er ikke i 2027",""))))))</f>
        <v/>
      </c>
    </row>
    <row r="760">
      <c r="A760" s="17" t="n"/>
      <c r="B760" s="9" t="n"/>
      <c r="C760" s="8" t="n"/>
      <c r="D760" s="8" t="n"/>
      <c r="E760" s="8" t="n"/>
      <c r="F760" s="14" t="n"/>
      <c r="G760" s="14" t="n"/>
      <c r="H760" s="8" t="n"/>
      <c r="I760" s="8" t="n"/>
      <c r="J760" s="8" t="n"/>
      <c r="K760" s="18">
        <f>IF(B760="","",IFERROR(MONTH(B760),""))</f>
        <v/>
      </c>
      <c r="L760" s="5">
        <f>IF(COUNTA(A760:J760)=0,"",IF(E760="","Mangler motkonto",IF((F760="")=(G760=""),"Fyll ut enten Inn eller Ut",IF(OR(IFERROR(INDEX('Kontoplan'!$D$3:$D$302,MATCH(D760,'Kontoplan'!$H$3:$H$302,0))="Støttes ikke",FALSE),IFERROR(INDEX('Kontoplan'!$D$3:$D$302,MATCH(E760,'Kontoplan'!$H$3:$H$302,0))="Støttes ikke",FALSE)),"Kontoen støttes ikke",IF(IFERROR(AND(A760&gt;1,COUNTIF($A$3:$A$2002,A760-1)=0),FALSE),"Nummeret hopper over",IF(OR(NOT(ISNUMBER(B760)),B760&lt;DATE(2027,1,1),B760&gt;DATE(2027,12,31)),"Datoen er ikke i 2027",""))))))</f>
        <v/>
      </c>
    </row>
    <row r="761">
      <c r="A761" s="17" t="n"/>
      <c r="B761" s="9" t="n"/>
      <c r="C761" s="8" t="n"/>
      <c r="D761" s="8" t="n"/>
      <c r="E761" s="8" t="n"/>
      <c r="F761" s="14" t="n"/>
      <c r="G761" s="14" t="n"/>
      <c r="H761" s="8" t="n"/>
      <c r="I761" s="8" t="n"/>
      <c r="J761" s="8" t="n"/>
      <c r="K761" s="18">
        <f>IF(B761="","",IFERROR(MONTH(B761),""))</f>
        <v/>
      </c>
      <c r="L761" s="5">
        <f>IF(COUNTA(A761:J761)=0,"",IF(E761="","Mangler motkonto",IF((F761="")=(G761=""),"Fyll ut enten Inn eller Ut",IF(OR(IFERROR(INDEX('Kontoplan'!$D$3:$D$302,MATCH(D761,'Kontoplan'!$H$3:$H$302,0))="Støttes ikke",FALSE),IFERROR(INDEX('Kontoplan'!$D$3:$D$302,MATCH(E761,'Kontoplan'!$H$3:$H$302,0))="Støttes ikke",FALSE)),"Kontoen støttes ikke",IF(IFERROR(AND(A761&gt;1,COUNTIF($A$3:$A$2002,A761-1)=0),FALSE),"Nummeret hopper over",IF(OR(NOT(ISNUMBER(B761)),B761&lt;DATE(2027,1,1),B761&gt;DATE(2027,12,31)),"Datoen er ikke i 2027",""))))))</f>
        <v/>
      </c>
    </row>
    <row r="762">
      <c r="A762" s="17" t="n"/>
      <c r="B762" s="9" t="n"/>
      <c r="C762" s="8" t="n"/>
      <c r="D762" s="8" t="n"/>
      <c r="E762" s="8" t="n"/>
      <c r="F762" s="14" t="n"/>
      <c r="G762" s="14" t="n"/>
      <c r="H762" s="8" t="n"/>
      <c r="I762" s="8" t="n"/>
      <c r="J762" s="8" t="n"/>
      <c r="K762" s="18">
        <f>IF(B762="","",IFERROR(MONTH(B762),""))</f>
        <v/>
      </c>
      <c r="L762" s="5">
        <f>IF(COUNTA(A762:J762)=0,"",IF(E762="","Mangler motkonto",IF((F762="")=(G762=""),"Fyll ut enten Inn eller Ut",IF(OR(IFERROR(INDEX('Kontoplan'!$D$3:$D$302,MATCH(D762,'Kontoplan'!$H$3:$H$302,0))="Støttes ikke",FALSE),IFERROR(INDEX('Kontoplan'!$D$3:$D$302,MATCH(E762,'Kontoplan'!$H$3:$H$302,0))="Støttes ikke",FALSE)),"Kontoen støttes ikke",IF(IFERROR(AND(A762&gt;1,COUNTIF($A$3:$A$2002,A762-1)=0),FALSE),"Nummeret hopper over",IF(OR(NOT(ISNUMBER(B762)),B762&lt;DATE(2027,1,1),B762&gt;DATE(2027,12,31)),"Datoen er ikke i 2027",""))))))</f>
        <v/>
      </c>
    </row>
    <row r="763">
      <c r="A763" s="17" t="n"/>
      <c r="B763" s="9" t="n"/>
      <c r="C763" s="8" t="n"/>
      <c r="D763" s="8" t="n"/>
      <c r="E763" s="8" t="n"/>
      <c r="F763" s="14" t="n"/>
      <c r="G763" s="14" t="n"/>
      <c r="H763" s="8" t="n"/>
      <c r="I763" s="8" t="n"/>
      <c r="J763" s="8" t="n"/>
      <c r="K763" s="18">
        <f>IF(B763="","",IFERROR(MONTH(B763),""))</f>
        <v/>
      </c>
      <c r="L763" s="5">
        <f>IF(COUNTA(A763:J763)=0,"",IF(E763="","Mangler motkonto",IF((F763="")=(G763=""),"Fyll ut enten Inn eller Ut",IF(OR(IFERROR(INDEX('Kontoplan'!$D$3:$D$302,MATCH(D763,'Kontoplan'!$H$3:$H$302,0))="Støttes ikke",FALSE),IFERROR(INDEX('Kontoplan'!$D$3:$D$302,MATCH(E763,'Kontoplan'!$H$3:$H$302,0))="Støttes ikke",FALSE)),"Kontoen støttes ikke",IF(IFERROR(AND(A763&gt;1,COUNTIF($A$3:$A$2002,A763-1)=0),FALSE),"Nummeret hopper over",IF(OR(NOT(ISNUMBER(B763)),B763&lt;DATE(2027,1,1),B763&gt;DATE(2027,12,31)),"Datoen er ikke i 2027",""))))))</f>
        <v/>
      </c>
    </row>
    <row r="764">
      <c r="A764" s="17" t="n"/>
      <c r="B764" s="9" t="n"/>
      <c r="C764" s="8" t="n"/>
      <c r="D764" s="8" t="n"/>
      <c r="E764" s="8" t="n"/>
      <c r="F764" s="14" t="n"/>
      <c r="G764" s="14" t="n"/>
      <c r="H764" s="8" t="n"/>
      <c r="I764" s="8" t="n"/>
      <c r="J764" s="8" t="n"/>
      <c r="K764" s="18">
        <f>IF(B764="","",IFERROR(MONTH(B764),""))</f>
        <v/>
      </c>
      <c r="L764" s="5">
        <f>IF(COUNTA(A764:J764)=0,"",IF(E764="","Mangler motkonto",IF((F764="")=(G764=""),"Fyll ut enten Inn eller Ut",IF(OR(IFERROR(INDEX('Kontoplan'!$D$3:$D$302,MATCH(D764,'Kontoplan'!$H$3:$H$302,0))="Støttes ikke",FALSE),IFERROR(INDEX('Kontoplan'!$D$3:$D$302,MATCH(E764,'Kontoplan'!$H$3:$H$302,0))="Støttes ikke",FALSE)),"Kontoen støttes ikke",IF(IFERROR(AND(A764&gt;1,COUNTIF($A$3:$A$2002,A764-1)=0),FALSE),"Nummeret hopper over",IF(OR(NOT(ISNUMBER(B764)),B764&lt;DATE(2027,1,1),B764&gt;DATE(2027,12,31)),"Datoen er ikke i 2027",""))))))</f>
        <v/>
      </c>
    </row>
    <row r="765">
      <c r="A765" s="17" t="n"/>
      <c r="B765" s="9" t="n"/>
      <c r="C765" s="8" t="n"/>
      <c r="D765" s="8" t="n"/>
      <c r="E765" s="8" t="n"/>
      <c r="F765" s="14" t="n"/>
      <c r="G765" s="14" t="n"/>
      <c r="H765" s="8" t="n"/>
      <c r="I765" s="8" t="n"/>
      <c r="J765" s="8" t="n"/>
      <c r="K765" s="18">
        <f>IF(B765="","",IFERROR(MONTH(B765),""))</f>
        <v/>
      </c>
      <c r="L765" s="5">
        <f>IF(COUNTA(A765:J765)=0,"",IF(E765="","Mangler motkonto",IF((F765="")=(G765=""),"Fyll ut enten Inn eller Ut",IF(OR(IFERROR(INDEX('Kontoplan'!$D$3:$D$302,MATCH(D765,'Kontoplan'!$H$3:$H$302,0))="Støttes ikke",FALSE),IFERROR(INDEX('Kontoplan'!$D$3:$D$302,MATCH(E765,'Kontoplan'!$H$3:$H$302,0))="Støttes ikke",FALSE)),"Kontoen støttes ikke",IF(IFERROR(AND(A765&gt;1,COUNTIF($A$3:$A$2002,A765-1)=0),FALSE),"Nummeret hopper over",IF(OR(NOT(ISNUMBER(B765)),B765&lt;DATE(2027,1,1),B765&gt;DATE(2027,12,31)),"Datoen er ikke i 2027",""))))))</f>
        <v/>
      </c>
    </row>
    <row r="766">
      <c r="A766" s="17" t="n"/>
      <c r="B766" s="9" t="n"/>
      <c r="C766" s="8" t="n"/>
      <c r="D766" s="8" t="n"/>
      <c r="E766" s="8" t="n"/>
      <c r="F766" s="14" t="n"/>
      <c r="G766" s="14" t="n"/>
      <c r="H766" s="8" t="n"/>
      <c r="I766" s="8" t="n"/>
      <c r="J766" s="8" t="n"/>
      <c r="K766" s="18">
        <f>IF(B766="","",IFERROR(MONTH(B766),""))</f>
        <v/>
      </c>
      <c r="L766" s="5">
        <f>IF(COUNTA(A766:J766)=0,"",IF(E766="","Mangler motkonto",IF((F766="")=(G766=""),"Fyll ut enten Inn eller Ut",IF(OR(IFERROR(INDEX('Kontoplan'!$D$3:$D$302,MATCH(D766,'Kontoplan'!$H$3:$H$302,0))="Støttes ikke",FALSE),IFERROR(INDEX('Kontoplan'!$D$3:$D$302,MATCH(E766,'Kontoplan'!$H$3:$H$302,0))="Støttes ikke",FALSE)),"Kontoen støttes ikke",IF(IFERROR(AND(A766&gt;1,COUNTIF($A$3:$A$2002,A766-1)=0),FALSE),"Nummeret hopper over",IF(OR(NOT(ISNUMBER(B766)),B766&lt;DATE(2027,1,1),B766&gt;DATE(2027,12,31)),"Datoen er ikke i 2027",""))))))</f>
        <v/>
      </c>
    </row>
    <row r="767">
      <c r="A767" s="17" t="n"/>
      <c r="B767" s="9" t="n"/>
      <c r="C767" s="8" t="n"/>
      <c r="D767" s="8" t="n"/>
      <c r="E767" s="8" t="n"/>
      <c r="F767" s="14" t="n"/>
      <c r="G767" s="14" t="n"/>
      <c r="H767" s="8" t="n"/>
      <c r="I767" s="8" t="n"/>
      <c r="J767" s="8" t="n"/>
      <c r="K767" s="18">
        <f>IF(B767="","",IFERROR(MONTH(B767),""))</f>
        <v/>
      </c>
      <c r="L767" s="5">
        <f>IF(COUNTA(A767:J767)=0,"",IF(E767="","Mangler motkonto",IF((F767="")=(G767=""),"Fyll ut enten Inn eller Ut",IF(OR(IFERROR(INDEX('Kontoplan'!$D$3:$D$302,MATCH(D767,'Kontoplan'!$H$3:$H$302,0))="Støttes ikke",FALSE),IFERROR(INDEX('Kontoplan'!$D$3:$D$302,MATCH(E767,'Kontoplan'!$H$3:$H$302,0))="Støttes ikke",FALSE)),"Kontoen støttes ikke",IF(IFERROR(AND(A767&gt;1,COUNTIF($A$3:$A$2002,A767-1)=0),FALSE),"Nummeret hopper over",IF(OR(NOT(ISNUMBER(B767)),B767&lt;DATE(2027,1,1),B767&gt;DATE(2027,12,31)),"Datoen er ikke i 2027",""))))))</f>
        <v/>
      </c>
    </row>
    <row r="768">
      <c r="A768" s="17" t="n"/>
      <c r="B768" s="9" t="n"/>
      <c r="C768" s="8" t="n"/>
      <c r="D768" s="8" t="n"/>
      <c r="E768" s="8" t="n"/>
      <c r="F768" s="14" t="n"/>
      <c r="G768" s="14" t="n"/>
      <c r="H768" s="8" t="n"/>
      <c r="I768" s="8" t="n"/>
      <c r="J768" s="8" t="n"/>
      <c r="K768" s="18">
        <f>IF(B768="","",IFERROR(MONTH(B768),""))</f>
        <v/>
      </c>
      <c r="L768" s="5">
        <f>IF(COUNTA(A768:J768)=0,"",IF(E768="","Mangler motkonto",IF((F768="")=(G768=""),"Fyll ut enten Inn eller Ut",IF(OR(IFERROR(INDEX('Kontoplan'!$D$3:$D$302,MATCH(D768,'Kontoplan'!$H$3:$H$302,0))="Støttes ikke",FALSE),IFERROR(INDEX('Kontoplan'!$D$3:$D$302,MATCH(E768,'Kontoplan'!$H$3:$H$302,0))="Støttes ikke",FALSE)),"Kontoen støttes ikke",IF(IFERROR(AND(A768&gt;1,COUNTIF($A$3:$A$2002,A768-1)=0),FALSE),"Nummeret hopper over",IF(OR(NOT(ISNUMBER(B768)),B768&lt;DATE(2027,1,1),B768&gt;DATE(2027,12,31)),"Datoen er ikke i 2027",""))))))</f>
        <v/>
      </c>
    </row>
    <row r="769">
      <c r="A769" s="17" t="n"/>
      <c r="B769" s="9" t="n"/>
      <c r="C769" s="8" t="n"/>
      <c r="D769" s="8" t="n"/>
      <c r="E769" s="8" t="n"/>
      <c r="F769" s="14" t="n"/>
      <c r="G769" s="14" t="n"/>
      <c r="H769" s="8" t="n"/>
      <c r="I769" s="8" t="n"/>
      <c r="J769" s="8" t="n"/>
      <c r="K769" s="18">
        <f>IF(B769="","",IFERROR(MONTH(B769),""))</f>
        <v/>
      </c>
      <c r="L769" s="5">
        <f>IF(COUNTA(A769:J769)=0,"",IF(E769="","Mangler motkonto",IF((F769="")=(G769=""),"Fyll ut enten Inn eller Ut",IF(OR(IFERROR(INDEX('Kontoplan'!$D$3:$D$302,MATCH(D769,'Kontoplan'!$H$3:$H$302,0))="Støttes ikke",FALSE),IFERROR(INDEX('Kontoplan'!$D$3:$D$302,MATCH(E769,'Kontoplan'!$H$3:$H$302,0))="Støttes ikke",FALSE)),"Kontoen støttes ikke",IF(IFERROR(AND(A769&gt;1,COUNTIF($A$3:$A$2002,A769-1)=0),FALSE),"Nummeret hopper over",IF(OR(NOT(ISNUMBER(B769)),B769&lt;DATE(2027,1,1),B769&gt;DATE(2027,12,31)),"Datoen er ikke i 2027",""))))))</f>
        <v/>
      </c>
    </row>
    <row r="770">
      <c r="A770" s="17" t="n"/>
      <c r="B770" s="9" t="n"/>
      <c r="C770" s="8" t="n"/>
      <c r="D770" s="8" t="n"/>
      <c r="E770" s="8" t="n"/>
      <c r="F770" s="14" t="n"/>
      <c r="G770" s="14" t="n"/>
      <c r="H770" s="8" t="n"/>
      <c r="I770" s="8" t="n"/>
      <c r="J770" s="8" t="n"/>
      <c r="K770" s="18">
        <f>IF(B770="","",IFERROR(MONTH(B770),""))</f>
        <v/>
      </c>
      <c r="L770" s="5">
        <f>IF(COUNTA(A770:J770)=0,"",IF(E770="","Mangler motkonto",IF((F770="")=(G770=""),"Fyll ut enten Inn eller Ut",IF(OR(IFERROR(INDEX('Kontoplan'!$D$3:$D$302,MATCH(D770,'Kontoplan'!$H$3:$H$302,0))="Støttes ikke",FALSE),IFERROR(INDEX('Kontoplan'!$D$3:$D$302,MATCH(E770,'Kontoplan'!$H$3:$H$302,0))="Støttes ikke",FALSE)),"Kontoen støttes ikke",IF(IFERROR(AND(A770&gt;1,COUNTIF($A$3:$A$2002,A770-1)=0),FALSE),"Nummeret hopper over",IF(OR(NOT(ISNUMBER(B770)),B770&lt;DATE(2027,1,1),B770&gt;DATE(2027,12,31)),"Datoen er ikke i 2027",""))))))</f>
        <v/>
      </c>
    </row>
    <row r="771">
      <c r="A771" s="17" t="n"/>
      <c r="B771" s="9" t="n"/>
      <c r="C771" s="8" t="n"/>
      <c r="D771" s="8" t="n"/>
      <c r="E771" s="8" t="n"/>
      <c r="F771" s="14" t="n"/>
      <c r="G771" s="14" t="n"/>
      <c r="H771" s="8" t="n"/>
      <c r="I771" s="8" t="n"/>
      <c r="J771" s="8" t="n"/>
      <c r="K771" s="18">
        <f>IF(B771="","",IFERROR(MONTH(B771),""))</f>
        <v/>
      </c>
      <c r="L771" s="5">
        <f>IF(COUNTA(A771:J771)=0,"",IF(E771="","Mangler motkonto",IF((F771="")=(G771=""),"Fyll ut enten Inn eller Ut",IF(OR(IFERROR(INDEX('Kontoplan'!$D$3:$D$302,MATCH(D771,'Kontoplan'!$H$3:$H$302,0))="Støttes ikke",FALSE),IFERROR(INDEX('Kontoplan'!$D$3:$D$302,MATCH(E771,'Kontoplan'!$H$3:$H$302,0))="Støttes ikke",FALSE)),"Kontoen støttes ikke",IF(IFERROR(AND(A771&gt;1,COUNTIF($A$3:$A$2002,A771-1)=0),FALSE),"Nummeret hopper over",IF(OR(NOT(ISNUMBER(B771)),B771&lt;DATE(2027,1,1),B771&gt;DATE(2027,12,31)),"Datoen er ikke i 2027",""))))))</f>
        <v/>
      </c>
    </row>
    <row r="772">
      <c r="A772" s="17" t="n"/>
      <c r="B772" s="9" t="n"/>
      <c r="C772" s="8" t="n"/>
      <c r="D772" s="8" t="n"/>
      <c r="E772" s="8" t="n"/>
      <c r="F772" s="14" t="n"/>
      <c r="G772" s="14" t="n"/>
      <c r="H772" s="8" t="n"/>
      <c r="I772" s="8" t="n"/>
      <c r="J772" s="8" t="n"/>
      <c r="K772" s="18">
        <f>IF(B772="","",IFERROR(MONTH(B772),""))</f>
        <v/>
      </c>
      <c r="L772" s="5">
        <f>IF(COUNTA(A772:J772)=0,"",IF(E772="","Mangler motkonto",IF((F772="")=(G772=""),"Fyll ut enten Inn eller Ut",IF(OR(IFERROR(INDEX('Kontoplan'!$D$3:$D$302,MATCH(D772,'Kontoplan'!$H$3:$H$302,0))="Støttes ikke",FALSE),IFERROR(INDEX('Kontoplan'!$D$3:$D$302,MATCH(E772,'Kontoplan'!$H$3:$H$302,0))="Støttes ikke",FALSE)),"Kontoen støttes ikke",IF(IFERROR(AND(A772&gt;1,COUNTIF($A$3:$A$2002,A772-1)=0),FALSE),"Nummeret hopper over",IF(OR(NOT(ISNUMBER(B772)),B772&lt;DATE(2027,1,1),B772&gt;DATE(2027,12,31)),"Datoen er ikke i 2027",""))))))</f>
        <v/>
      </c>
    </row>
    <row r="773">
      <c r="A773" s="17" t="n"/>
      <c r="B773" s="9" t="n"/>
      <c r="C773" s="8" t="n"/>
      <c r="D773" s="8" t="n"/>
      <c r="E773" s="8" t="n"/>
      <c r="F773" s="14" t="n"/>
      <c r="G773" s="14" t="n"/>
      <c r="H773" s="8" t="n"/>
      <c r="I773" s="8" t="n"/>
      <c r="J773" s="8" t="n"/>
      <c r="K773" s="18">
        <f>IF(B773="","",IFERROR(MONTH(B773),""))</f>
        <v/>
      </c>
      <c r="L773" s="5">
        <f>IF(COUNTA(A773:J773)=0,"",IF(E773="","Mangler motkonto",IF((F773="")=(G773=""),"Fyll ut enten Inn eller Ut",IF(OR(IFERROR(INDEX('Kontoplan'!$D$3:$D$302,MATCH(D773,'Kontoplan'!$H$3:$H$302,0))="Støttes ikke",FALSE),IFERROR(INDEX('Kontoplan'!$D$3:$D$302,MATCH(E773,'Kontoplan'!$H$3:$H$302,0))="Støttes ikke",FALSE)),"Kontoen støttes ikke",IF(IFERROR(AND(A773&gt;1,COUNTIF($A$3:$A$2002,A773-1)=0),FALSE),"Nummeret hopper over",IF(OR(NOT(ISNUMBER(B773)),B773&lt;DATE(2027,1,1),B773&gt;DATE(2027,12,31)),"Datoen er ikke i 2027",""))))))</f>
        <v/>
      </c>
    </row>
    <row r="774">
      <c r="A774" s="17" t="n"/>
      <c r="B774" s="9" t="n"/>
      <c r="C774" s="8" t="n"/>
      <c r="D774" s="8" t="n"/>
      <c r="E774" s="8" t="n"/>
      <c r="F774" s="14" t="n"/>
      <c r="G774" s="14" t="n"/>
      <c r="H774" s="8" t="n"/>
      <c r="I774" s="8" t="n"/>
      <c r="J774" s="8" t="n"/>
      <c r="K774" s="18">
        <f>IF(B774="","",IFERROR(MONTH(B774),""))</f>
        <v/>
      </c>
      <c r="L774" s="5">
        <f>IF(COUNTA(A774:J774)=0,"",IF(E774="","Mangler motkonto",IF((F774="")=(G774=""),"Fyll ut enten Inn eller Ut",IF(OR(IFERROR(INDEX('Kontoplan'!$D$3:$D$302,MATCH(D774,'Kontoplan'!$H$3:$H$302,0))="Støttes ikke",FALSE),IFERROR(INDEX('Kontoplan'!$D$3:$D$302,MATCH(E774,'Kontoplan'!$H$3:$H$302,0))="Støttes ikke",FALSE)),"Kontoen støttes ikke",IF(IFERROR(AND(A774&gt;1,COUNTIF($A$3:$A$2002,A774-1)=0),FALSE),"Nummeret hopper over",IF(OR(NOT(ISNUMBER(B774)),B774&lt;DATE(2027,1,1),B774&gt;DATE(2027,12,31)),"Datoen er ikke i 2027",""))))))</f>
        <v/>
      </c>
    </row>
    <row r="775">
      <c r="A775" s="17" t="n"/>
      <c r="B775" s="9" t="n"/>
      <c r="C775" s="8" t="n"/>
      <c r="D775" s="8" t="n"/>
      <c r="E775" s="8" t="n"/>
      <c r="F775" s="14" t="n"/>
      <c r="G775" s="14" t="n"/>
      <c r="H775" s="8" t="n"/>
      <c r="I775" s="8" t="n"/>
      <c r="J775" s="8" t="n"/>
      <c r="K775" s="18">
        <f>IF(B775="","",IFERROR(MONTH(B775),""))</f>
        <v/>
      </c>
      <c r="L775" s="5">
        <f>IF(COUNTA(A775:J775)=0,"",IF(E775="","Mangler motkonto",IF((F775="")=(G775=""),"Fyll ut enten Inn eller Ut",IF(OR(IFERROR(INDEX('Kontoplan'!$D$3:$D$302,MATCH(D775,'Kontoplan'!$H$3:$H$302,0))="Støttes ikke",FALSE),IFERROR(INDEX('Kontoplan'!$D$3:$D$302,MATCH(E775,'Kontoplan'!$H$3:$H$302,0))="Støttes ikke",FALSE)),"Kontoen støttes ikke",IF(IFERROR(AND(A775&gt;1,COUNTIF($A$3:$A$2002,A775-1)=0),FALSE),"Nummeret hopper over",IF(OR(NOT(ISNUMBER(B775)),B775&lt;DATE(2027,1,1),B775&gt;DATE(2027,12,31)),"Datoen er ikke i 2027",""))))))</f>
        <v/>
      </c>
    </row>
    <row r="776">
      <c r="A776" s="17" t="n"/>
      <c r="B776" s="9" t="n"/>
      <c r="C776" s="8" t="n"/>
      <c r="D776" s="8" t="n"/>
      <c r="E776" s="8" t="n"/>
      <c r="F776" s="14" t="n"/>
      <c r="G776" s="14" t="n"/>
      <c r="H776" s="8" t="n"/>
      <c r="I776" s="8" t="n"/>
      <c r="J776" s="8" t="n"/>
      <c r="K776" s="18">
        <f>IF(B776="","",IFERROR(MONTH(B776),""))</f>
        <v/>
      </c>
      <c r="L776" s="5">
        <f>IF(COUNTA(A776:J776)=0,"",IF(E776="","Mangler motkonto",IF((F776="")=(G776=""),"Fyll ut enten Inn eller Ut",IF(OR(IFERROR(INDEX('Kontoplan'!$D$3:$D$302,MATCH(D776,'Kontoplan'!$H$3:$H$302,0))="Støttes ikke",FALSE),IFERROR(INDEX('Kontoplan'!$D$3:$D$302,MATCH(E776,'Kontoplan'!$H$3:$H$302,0))="Støttes ikke",FALSE)),"Kontoen støttes ikke",IF(IFERROR(AND(A776&gt;1,COUNTIF($A$3:$A$2002,A776-1)=0),FALSE),"Nummeret hopper over",IF(OR(NOT(ISNUMBER(B776)),B776&lt;DATE(2027,1,1),B776&gt;DATE(2027,12,31)),"Datoen er ikke i 2027",""))))))</f>
        <v/>
      </c>
    </row>
    <row r="777">
      <c r="A777" s="17" t="n"/>
      <c r="B777" s="9" t="n"/>
      <c r="C777" s="8" t="n"/>
      <c r="D777" s="8" t="n"/>
      <c r="E777" s="8" t="n"/>
      <c r="F777" s="14" t="n"/>
      <c r="G777" s="14" t="n"/>
      <c r="H777" s="8" t="n"/>
      <c r="I777" s="8" t="n"/>
      <c r="J777" s="8" t="n"/>
      <c r="K777" s="18">
        <f>IF(B777="","",IFERROR(MONTH(B777),""))</f>
        <v/>
      </c>
      <c r="L777" s="5">
        <f>IF(COUNTA(A777:J777)=0,"",IF(E777="","Mangler motkonto",IF((F777="")=(G777=""),"Fyll ut enten Inn eller Ut",IF(OR(IFERROR(INDEX('Kontoplan'!$D$3:$D$302,MATCH(D777,'Kontoplan'!$H$3:$H$302,0))="Støttes ikke",FALSE),IFERROR(INDEX('Kontoplan'!$D$3:$D$302,MATCH(E777,'Kontoplan'!$H$3:$H$302,0))="Støttes ikke",FALSE)),"Kontoen støttes ikke",IF(IFERROR(AND(A777&gt;1,COUNTIF($A$3:$A$2002,A777-1)=0),FALSE),"Nummeret hopper over",IF(OR(NOT(ISNUMBER(B777)),B777&lt;DATE(2027,1,1),B777&gt;DATE(2027,12,31)),"Datoen er ikke i 2027",""))))))</f>
        <v/>
      </c>
    </row>
    <row r="778">
      <c r="A778" s="17" t="n"/>
      <c r="B778" s="9" t="n"/>
      <c r="C778" s="8" t="n"/>
      <c r="D778" s="8" t="n"/>
      <c r="E778" s="8" t="n"/>
      <c r="F778" s="14" t="n"/>
      <c r="G778" s="14" t="n"/>
      <c r="H778" s="8" t="n"/>
      <c r="I778" s="8" t="n"/>
      <c r="J778" s="8" t="n"/>
      <c r="K778" s="18">
        <f>IF(B778="","",IFERROR(MONTH(B778),""))</f>
        <v/>
      </c>
      <c r="L778" s="5">
        <f>IF(COUNTA(A778:J778)=0,"",IF(E778="","Mangler motkonto",IF((F778="")=(G778=""),"Fyll ut enten Inn eller Ut",IF(OR(IFERROR(INDEX('Kontoplan'!$D$3:$D$302,MATCH(D778,'Kontoplan'!$H$3:$H$302,0))="Støttes ikke",FALSE),IFERROR(INDEX('Kontoplan'!$D$3:$D$302,MATCH(E778,'Kontoplan'!$H$3:$H$302,0))="Støttes ikke",FALSE)),"Kontoen støttes ikke",IF(IFERROR(AND(A778&gt;1,COUNTIF($A$3:$A$2002,A778-1)=0),FALSE),"Nummeret hopper over",IF(OR(NOT(ISNUMBER(B778)),B778&lt;DATE(2027,1,1),B778&gt;DATE(2027,12,31)),"Datoen er ikke i 2027",""))))))</f>
        <v/>
      </c>
    </row>
    <row r="779">
      <c r="A779" s="17" t="n"/>
      <c r="B779" s="9" t="n"/>
      <c r="C779" s="8" t="n"/>
      <c r="D779" s="8" t="n"/>
      <c r="E779" s="8" t="n"/>
      <c r="F779" s="14" t="n"/>
      <c r="G779" s="14" t="n"/>
      <c r="H779" s="8" t="n"/>
      <c r="I779" s="8" t="n"/>
      <c r="J779" s="8" t="n"/>
      <c r="K779" s="18">
        <f>IF(B779="","",IFERROR(MONTH(B779),""))</f>
        <v/>
      </c>
      <c r="L779" s="5">
        <f>IF(COUNTA(A779:J779)=0,"",IF(E779="","Mangler motkonto",IF((F779="")=(G779=""),"Fyll ut enten Inn eller Ut",IF(OR(IFERROR(INDEX('Kontoplan'!$D$3:$D$302,MATCH(D779,'Kontoplan'!$H$3:$H$302,0))="Støttes ikke",FALSE),IFERROR(INDEX('Kontoplan'!$D$3:$D$302,MATCH(E779,'Kontoplan'!$H$3:$H$302,0))="Støttes ikke",FALSE)),"Kontoen støttes ikke",IF(IFERROR(AND(A779&gt;1,COUNTIF($A$3:$A$2002,A779-1)=0),FALSE),"Nummeret hopper over",IF(OR(NOT(ISNUMBER(B779)),B779&lt;DATE(2027,1,1),B779&gt;DATE(2027,12,31)),"Datoen er ikke i 2027",""))))))</f>
        <v/>
      </c>
    </row>
    <row r="780">
      <c r="A780" s="17" t="n"/>
      <c r="B780" s="9" t="n"/>
      <c r="C780" s="8" t="n"/>
      <c r="D780" s="8" t="n"/>
      <c r="E780" s="8" t="n"/>
      <c r="F780" s="14" t="n"/>
      <c r="G780" s="14" t="n"/>
      <c r="H780" s="8" t="n"/>
      <c r="I780" s="8" t="n"/>
      <c r="J780" s="8" t="n"/>
      <c r="K780" s="18">
        <f>IF(B780="","",IFERROR(MONTH(B780),""))</f>
        <v/>
      </c>
      <c r="L780" s="5">
        <f>IF(COUNTA(A780:J780)=0,"",IF(E780="","Mangler motkonto",IF((F780="")=(G780=""),"Fyll ut enten Inn eller Ut",IF(OR(IFERROR(INDEX('Kontoplan'!$D$3:$D$302,MATCH(D780,'Kontoplan'!$H$3:$H$302,0))="Støttes ikke",FALSE),IFERROR(INDEX('Kontoplan'!$D$3:$D$302,MATCH(E780,'Kontoplan'!$H$3:$H$302,0))="Støttes ikke",FALSE)),"Kontoen støttes ikke",IF(IFERROR(AND(A780&gt;1,COUNTIF($A$3:$A$2002,A780-1)=0),FALSE),"Nummeret hopper over",IF(OR(NOT(ISNUMBER(B780)),B780&lt;DATE(2027,1,1),B780&gt;DATE(2027,12,31)),"Datoen er ikke i 2027",""))))))</f>
        <v/>
      </c>
    </row>
    <row r="781">
      <c r="A781" s="17" t="n"/>
      <c r="B781" s="9" t="n"/>
      <c r="C781" s="8" t="n"/>
      <c r="D781" s="8" t="n"/>
      <c r="E781" s="8" t="n"/>
      <c r="F781" s="14" t="n"/>
      <c r="G781" s="14" t="n"/>
      <c r="H781" s="8" t="n"/>
      <c r="I781" s="8" t="n"/>
      <c r="J781" s="8" t="n"/>
      <c r="K781" s="18">
        <f>IF(B781="","",IFERROR(MONTH(B781),""))</f>
        <v/>
      </c>
      <c r="L781" s="5">
        <f>IF(COUNTA(A781:J781)=0,"",IF(E781="","Mangler motkonto",IF((F781="")=(G781=""),"Fyll ut enten Inn eller Ut",IF(OR(IFERROR(INDEX('Kontoplan'!$D$3:$D$302,MATCH(D781,'Kontoplan'!$H$3:$H$302,0))="Støttes ikke",FALSE),IFERROR(INDEX('Kontoplan'!$D$3:$D$302,MATCH(E781,'Kontoplan'!$H$3:$H$302,0))="Støttes ikke",FALSE)),"Kontoen støttes ikke",IF(IFERROR(AND(A781&gt;1,COUNTIF($A$3:$A$2002,A781-1)=0),FALSE),"Nummeret hopper over",IF(OR(NOT(ISNUMBER(B781)),B781&lt;DATE(2027,1,1),B781&gt;DATE(2027,12,31)),"Datoen er ikke i 2027",""))))))</f>
        <v/>
      </c>
    </row>
    <row r="782">
      <c r="A782" s="17" t="n"/>
      <c r="B782" s="9" t="n"/>
      <c r="C782" s="8" t="n"/>
      <c r="D782" s="8" t="n"/>
      <c r="E782" s="8" t="n"/>
      <c r="F782" s="14" t="n"/>
      <c r="G782" s="14" t="n"/>
      <c r="H782" s="8" t="n"/>
      <c r="I782" s="8" t="n"/>
      <c r="J782" s="8" t="n"/>
      <c r="K782" s="18">
        <f>IF(B782="","",IFERROR(MONTH(B782),""))</f>
        <v/>
      </c>
      <c r="L782" s="5">
        <f>IF(COUNTA(A782:J782)=0,"",IF(E782="","Mangler motkonto",IF((F782="")=(G782=""),"Fyll ut enten Inn eller Ut",IF(OR(IFERROR(INDEX('Kontoplan'!$D$3:$D$302,MATCH(D782,'Kontoplan'!$H$3:$H$302,0))="Støttes ikke",FALSE),IFERROR(INDEX('Kontoplan'!$D$3:$D$302,MATCH(E782,'Kontoplan'!$H$3:$H$302,0))="Støttes ikke",FALSE)),"Kontoen støttes ikke",IF(IFERROR(AND(A782&gt;1,COUNTIF($A$3:$A$2002,A782-1)=0),FALSE),"Nummeret hopper over",IF(OR(NOT(ISNUMBER(B782)),B782&lt;DATE(2027,1,1),B782&gt;DATE(2027,12,31)),"Datoen er ikke i 2027",""))))))</f>
        <v/>
      </c>
    </row>
    <row r="783">
      <c r="A783" s="17" t="n"/>
      <c r="B783" s="9" t="n"/>
      <c r="C783" s="8" t="n"/>
      <c r="D783" s="8" t="n"/>
      <c r="E783" s="8" t="n"/>
      <c r="F783" s="14" t="n"/>
      <c r="G783" s="14" t="n"/>
      <c r="H783" s="8" t="n"/>
      <c r="I783" s="8" t="n"/>
      <c r="J783" s="8" t="n"/>
      <c r="K783" s="18">
        <f>IF(B783="","",IFERROR(MONTH(B783),""))</f>
        <v/>
      </c>
      <c r="L783" s="5">
        <f>IF(COUNTA(A783:J783)=0,"",IF(E783="","Mangler motkonto",IF((F783="")=(G783=""),"Fyll ut enten Inn eller Ut",IF(OR(IFERROR(INDEX('Kontoplan'!$D$3:$D$302,MATCH(D783,'Kontoplan'!$H$3:$H$302,0))="Støttes ikke",FALSE),IFERROR(INDEX('Kontoplan'!$D$3:$D$302,MATCH(E783,'Kontoplan'!$H$3:$H$302,0))="Støttes ikke",FALSE)),"Kontoen støttes ikke",IF(IFERROR(AND(A783&gt;1,COUNTIF($A$3:$A$2002,A783-1)=0),FALSE),"Nummeret hopper over",IF(OR(NOT(ISNUMBER(B783)),B783&lt;DATE(2027,1,1),B783&gt;DATE(2027,12,31)),"Datoen er ikke i 2027",""))))))</f>
        <v/>
      </c>
    </row>
    <row r="784">
      <c r="A784" s="17" t="n"/>
      <c r="B784" s="9" t="n"/>
      <c r="C784" s="8" t="n"/>
      <c r="D784" s="8" t="n"/>
      <c r="E784" s="8" t="n"/>
      <c r="F784" s="14" t="n"/>
      <c r="G784" s="14" t="n"/>
      <c r="H784" s="8" t="n"/>
      <c r="I784" s="8" t="n"/>
      <c r="J784" s="8" t="n"/>
      <c r="K784" s="18">
        <f>IF(B784="","",IFERROR(MONTH(B784),""))</f>
        <v/>
      </c>
      <c r="L784" s="5">
        <f>IF(COUNTA(A784:J784)=0,"",IF(E784="","Mangler motkonto",IF((F784="")=(G784=""),"Fyll ut enten Inn eller Ut",IF(OR(IFERROR(INDEX('Kontoplan'!$D$3:$D$302,MATCH(D784,'Kontoplan'!$H$3:$H$302,0))="Støttes ikke",FALSE),IFERROR(INDEX('Kontoplan'!$D$3:$D$302,MATCH(E784,'Kontoplan'!$H$3:$H$302,0))="Støttes ikke",FALSE)),"Kontoen støttes ikke",IF(IFERROR(AND(A784&gt;1,COUNTIF($A$3:$A$2002,A784-1)=0),FALSE),"Nummeret hopper over",IF(OR(NOT(ISNUMBER(B784)),B784&lt;DATE(2027,1,1),B784&gt;DATE(2027,12,31)),"Datoen er ikke i 2027",""))))))</f>
        <v/>
      </c>
    </row>
    <row r="785">
      <c r="A785" s="17" t="n"/>
      <c r="B785" s="9" t="n"/>
      <c r="C785" s="8" t="n"/>
      <c r="D785" s="8" t="n"/>
      <c r="E785" s="8" t="n"/>
      <c r="F785" s="14" t="n"/>
      <c r="G785" s="14" t="n"/>
      <c r="H785" s="8" t="n"/>
      <c r="I785" s="8" t="n"/>
      <c r="J785" s="8" t="n"/>
      <c r="K785" s="18">
        <f>IF(B785="","",IFERROR(MONTH(B785),""))</f>
        <v/>
      </c>
      <c r="L785" s="5">
        <f>IF(COUNTA(A785:J785)=0,"",IF(E785="","Mangler motkonto",IF((F785="")=(G785=""),"Fyll ut enten Inn eller Ut",IF(OR(IFERROR(INDEX('Kontoplan'!$D$3:$D$302,MATCH(D785,'Kontoplan'!$H$3:$H$302,0))="Støttes ikke",FALSE),IFERROR(INDEX('Kontoplan'!$D$3:$D$302,MATCH(E785,'Kontoplan'!$H$3:$H$302,0))="Støttes ikke",FALSE)),"Kontoen støttes ikke",IF(IFERROR(AND(A785&gt;1,COUNTIF($A$3:$A$2002,A785-1)=0),FALSE),"Nummeret hopper over",IF(OR(NOT(ISNUMBER(B785)),B785&lt;DATE(2027,1,1),B785&gt;DATE(2027,12,31)),"Datoen er ikke i 2027",""))))))</f>
        <v/>
      </c>
    </row>
    <row r="786">
      <c r="A786" s="17" t="n"/>
      <c r="B786" s="9" t="n"/>
      <c r="C786" s="8" t="n"/>
      <c r="D786" s="8" t="n"/>
      <c r="E786" s="8" t="n"/>
      <c r="F786" s="14" t="n"/>
      <c r="G786" s="14" t="n"/>
      <c r="H786" s="8" t="n"/>
      <c r="I786" s="8" t="n"/>
      <c r="J786" s="8" t="n"/>
      <c r="K786" s="18">
        <f>IF(B786="","",IFERROR(MONTH(B786),""))</f>
        <v/>
      </c>
      <c r="L786" s="5">
        <f>IF(COUNTA(A786:J786)=0,"",IF(E786="","Mangler motkonto",IF((F786="")=(G786=""),"Fyll ut enten Inn eller Ut",IF(OR(IFERROR(INDEX('Kontoplan'!$D$3:$D$302,MATCH(D786,'Kontoplan'!$H$3:$H$302,0))="Støttes ikke",FALSE),IFERROR(INDEX('Kontoplan'!$D$3:$D$302,MATCH(E786,'Kontoplan'!$H$3:$H$302,0))="Støttes ikke",FALSE)),"Kontoen støttes ikke",IF(IFERROR(AND(A786&gt;1,COUNTIF($A$3:$A$2002,A786-1)=0),FALSE),"Nummeret hopper over",IF(OR(NOT(ISNUMBER(B786)),B786&lt;DATE(2027,1,1),B786&gt;DATE(2027,12,31)),"Datoen er ikke i 2027",""))))))</f>
        <v/>
      </c>
    </row>
    <row r="787">
      <c r="A787" s="17" t="n"/>
      <c r="B787" s="9" t="n"/>
      <c r="C787" s="8" t="n"/>
      <c r="D787" s="8" t="n"/>
      <c r="E787" s="8" t="n"/>
      <c r="F787" s="14" t="n"/>
      <c r="G787" s="14" t="n"/>
      <c r="H787" s="8" t="n"/>
      <c r="I787" s="8" t="n"/>
      <c r="J787" s="8" t="n"/>
      <c r="K787" s="18">
        <f>IF(B787="","",IFERROR(MONTH(B787),""))</f>
        <v/>
      </c>
      <c r="L787" s="5">
        <f>IF(COUNTA(A787:J787)=0,"",IF(E787="","Mangler motkonto",IF((F787="")=(G787=""),"Fyll ut enten Inn eller Ut",IF(OR(IFERROR(INDEX('Kontoplan'!$D$3:$D$302,MATCH(D787,'Kontoplan'!$H$3:$H$302,0))="Støttes ikke",FALSE),IFERROR(INDEX('Kontoplan'!$D$3:$D$302,MATCH(E787,'Kontoplan'!$H$3:$H$302,0))="Støttes ikke",FALSE)),"Kontoen støttes ikke",IF(IFERROR(AND(A787&gt;1,COUNTIF($A$3:$A$2002,A787-1)=0),FALSE),"Nummeret hopper over",IF(OR(NOT(ISNUMBER(B787)),B787&lt;DATE(2027,1,1),B787&gt;DATE(2027,12,31)),"Datoen er ikke i 2027",""))))))</f>
        <v/>
      </c>
    </row>
    <row r="788">
      <c r="A788" s="17" t="n"/>
      <c r="B788" s="9" t="n"/>
      <c r="C788" s="8" t="n"/>
      <c r="D788" s="8" t="n"/>
      <c r="E788" s="8" t="n"/>
      <c r="F788" s="14" t="n"/>
      <c r="G788" s="14" t="n"/>
      <c r="H788" s="8" t="n"/>
      <c r="I788" s="8" t="n"/>
      <c r="J788" s="8" t="n"/>
      <c r="K788" s="18">
        <f>IF(B788="","",IFERROR(MONTH(B788),""))</f>
        <v/>
      </c>
      <c r="L788" s="5">
        <f>IF(COUNTA(A788:J788)=0,"",IF(E788="","Mangler motkonto",IF((F788="")=(G788=""),"Fyll ut enten Inn eller Ut",IF(OR(IFERROR(INDEX('Kontoplan'!$D$3:$D$302,MATCH(D788,'Kontoplan'!$H$3:$H$302,0))="Støttes ikke",FALSE),IFERROR(INDEX('Kontoplan'!$D$3:$D$302,MATCH(E788,'Kontoplan'!$H$3:$H$302,0))="Støttes ikke",FALSE)),"Kontoen støttes ikke",IF(IFERROR(AND(A788&gt;1,COUNTIF($A$3:$A$2002,A788-1)=0),FALSE),"Nummeret hopper over",IF(OR(NOT(ISNUMBER(B788)),B788&lt;DATE(2027,1,1),B788&gt;DATE(2027,12,31)),"Datoen er ikke i 2027",""))))))</f>
        <v/>
      </c>
    </row>
    <row r="789">
      <c r="A789" s="17" t="n"/>
      <c r="B789" s="9" t="n"/>
      <c r="C789" s="8" t="n"/>
      <c r="D789" s="8" t="n"/>
      <c r="E789" s="8" t="n"/>
      <c r="F789" s="14" t="n"/>
      <c r="G789" s="14" t="n"/>
      <c r="H789" s="8" t="n"/>
      <c r="I789" s="8" t="n"/>
      <c r="J789" s="8" t="n"/>
      <c r="K789" s="18">
        <f>IF(B789="","",IFERROR(MONTH(B789),""))</f>
        <v/>
      </c>
      <c r="L789" s="5">
        <f>IF(COUNTA(A789:J789)=0,"",IF(E789="","Mangler motkonto",IF((F789="")=(G789=""),"Fyll ut enten Inn eller Ut",IF(OR(IFERROR(INDEX('Kontoplan'!$D$3:$D$302,MATCH(D789,'Kontoplan'!$H$3:$H$302,0))="Støttes ikke",FALSE),IFERROR(INDEX('Kontoplan'!$D$3:$D$302,MATCH(E789,'Kontoplan'!$H$3:$H$302,0))="Støttes ikke",FALSE)),"Kontoen støttes ikke",IF(IFERROR(AND(A789&gt;1,COUNTIF($A$3:$A$2002,A789-1)=0),FALSE),"Nummeret hopper over",IF(OR(NOT(ISNUMBER(B789)),B789&lt;DATE(2027,1,1),B789&gt;DATE(2027,12,31)),"Datoen er ikke i 2027",""))))))</f>
        <v/>
      </c>
    </row>
    <row r="790">
      <c r="A790" s="17" t="n"/>
      <c r="B790" s="9" t="n"/>
      <c r="C790" s="8" t="n"/>
      <c r="D790" s="8" t="n"/>
      <c r="E790" s="8" t="n"/>
      <c r="F790" s="14" t="n"/>
      <c r="G790" s="14" t="n"/>
      <c r="H790" s="8" t="n"/>
      <c r="I790" s="8" t="n"/>
      <c r="J790" s="8" t="n"/>
      <c r="K790" s="18">
        <f>IF(B790="","",IFERROR(MONTH(B790),""))</f>
        <v/>
      </c>
      <c r="L790" s="5">
        <f>IF(COUNTA(A790:J790)=0,"",IF(E790="","Mangler motkonto",IF((F790="")=(G790=""),"Fyll ut enten Inn eller Ut",IF(OR(IFERROR(INDEX('Kontoplan'!$D$3:$D$302,MATCH(D790,'Kontoplan'!$H$3:$H$302,0))="Støttes ikke",FALSE),IFERROR(INDEX('Kontoplan'!$D$3:$D$302,MATCH(E790,'Kontoplan'!$H$3:$H$302,0))="Støttes ikke",FALSE)),"Kontoen støttes ikke",IF(IFERROR(AND(A790&gt;1,COUNTIF($A$3:$A$2002,A790-1)=0),FALSE),"Nummeret hopper over",IF(OR(NOT(ISNUMBER(B790)),B790&lt;DATE(2027,1,1),B790&gt;DATE(2027,12,31)),"Datoen er ikke i 2027",""))))))</f>
        <v/>
      </c>
    </row>
    <row r="791">
      <c r="A791" s="17" t="n"/>
      <c r="B791" s="9" t="n"/>
      <c r="C791" s="8" t="n"/>
      <c r="D791" s="8" t="n"/>
      <c r="E791" s="8" t="n"/>
      <c r="F791" s="14" t="n"/>
      <c r="G791" s="14" t="n"/>
      <c r="H791" s="8" t="n"/>
      <c r="I791" s="8" t="n"/>
      <c r="J791" s="8" t="n"/>
      <c r="K791" s="18">
        <f>IF(B791="","",IFERROR(MONTH(B791),""))</f>
        <v/>
      </c>
      <c r="L791" s="5">
        <f>IF(COUNTA(A791:J791)=0,"",IF(E791="","Mangler motkonto",IF((F791="")=(G791=""),"Fyll ut enten Inn eller Ut",IF(OR(IFERROR(INDEX('Kontoplan'!$D$3:$D$302,MATCH(D791,'Kontoplan'!$H$3:$H$302,0))="Støttes ikke",FALSE),IFERROR(INDEX('Kontoplan'!$D$3:$D$302,MATCH(E791,'Kontoplan'!$H$3:$H$302,0))="Støttes ikke",FALSE)),"Kontoen støttes ikke",IF(IFERROR(AND(A791&gt;1,COUNTIF($A$3:$A$2002,A791-1)=0),FALSE),"Nummeret hopper over",IF(OR(NOT(ISNUMBER(B791)),B791&lt;DATE(2027,1,1),B791&gt;DATE(2027,12,31)),"Datoen er ikke i 2027",""))))))</f>
        <v/>
      </c>
    </row>
    <row r="792">
      <c r="A792" s="17" t="n"/>
      <c r="B792" s="9" t="n"/>
      <c r="C792" s="8" t="n"/>
      <c r="D792" s="8" t="n"/>
      <c r="E792" s="8" t="n"/>
      <c r="F792" s="14" t="n"/>
      <c r="G792" s="14" t="n"/>
      <c r="H792" s="8" t="n"/>
      <c r="I792" s="8" t="n"/>
      <c r="J792" s="8" t="n"/>
      <c r="K792" s="18">
        <f>IF(B792="","",IFERROR(MONTH(B792),""))</f>
        <v/>
      </c>
      <c r="L792" s="5">
        <f>IF(COUNTA(A792:J792)=0,"",IF(E792="","Mangler motkonto",IF((F792="")=(G792=""),"Fyll ut enten Inn eller Ut",IF(OR(IFERROR(INDEX('Kontoplan'!$D$3:$D$302,MATCH(D792,'Kontoplan'!$H$3:$H$302,0))="Støttes ikke",FALSE),IFERROR(INDEX('Kontoplan'!$D$3:$D$302,MATCH(E792,'Kontoplan'!$H$3:$H$302,0))="Støttes ikke",FALSE)),"Kontoen støttes ikke",IF(IFERROR(AND(A792&gt;1,COUNTIF($A$3:$A$2002,A792-1)=0),FALSE),"Nummeret hopper over",IF(OR(NOT(ISNUMBER(B792)),B792&lt;DATE(2027,1,1),B792&gt;DATE(2027,12,31)),"Datoen er ikke i 2027",""))))))</f>
        <v/>
      </c>
    </row>
    <row r="793">
      <c r="A793" s="17" t="n"/>
      <c r="B793" s="9" t="n"/>
      <c r="C793" s="8" t="n"/>
      <c r="D793" s="8" t="n"/>
      <c r="E793" s="8" t="n"/>
      <c r="F793" s="14" t="n"/>
      <c r="G793" s="14" t="n"/>
      <c r="H793" s="8" t="n"/>
      <c r="I793" s="8" t="n"/>
      <c r="J793" s="8" t="n"/>
      <c r="K793" s="18">
        <f>IF(B793="","",IFERROR(MONTH(B793),""))</f>
        <v/>
      </c>
      <c r="L793" s="5">
        <f>IF(COUNTA(A793:J793)=0,"",IF(E793="","Mangler motkonto",IF((F793="")=(G793=""),"Fyll ut enten Inn eller Ut",IF(OR(IFERROR(INDEX('Kontoplan'!$D$3:$D$302,MATCH(D793,'Kontoplan'!$H$3:$H$302,0))="Støttes ikke",FALSE),IFERROR(INDEX('Kontoplan'!$D$3:$D$302,MATCH(E793,'Kontoplan'!$H$3:$H$302,0))="Støttes ikke",FALSE)),"Kontoen støttes ikke",IF(IFERROR(AND(A793&gt;1,COUNTIF($A$3:$A$2002,A793-1)=0),FALSE),"Nummeret hopper over",IF(OR(NOT(ISNUMBER(B793)),B793&lt;DATE(2027,1,1),B793&gt;DATE(2027,12,31)),"Datoen er ikke i 2027",""))))))</f>
        <v/>
      </c>
    </row>
    <row r="794">
      <c r="A794" s="17" t="n"/>
      <c r="B794" s="9" t="n"/>
      <c r="C794" s="8" t="n"/>
      <c r="D794" s="8" t="n"/>
      <c r="E794" s="8" t="n"/>
      <c r="F794" s="14" t="n"/>
      <c r="G794" s="14" t="n"/>
      <c r="H794" s="8" t="n"/>
      <c r="I794" s="8" t="n"/>
      <c r="J794" s="8" t="n"/>
      <c r="K794" s="18">
        <f>IF(B794="","",IFERROR(MONTH(B794),""))</f>
        <v/>
      </c>
      <c r="L794" s="5">
        <f>IF(COUNTA(A794:J794)=0,"",IF(E794="","Mangler motkonto",IF((F794="")=(G794=""),"Fyll ut enten Inn eller Ut",IF(OR(IFERROR(INDEX('Kontoplan'!$D$3:$D$302,MATCH(D794,'Kontoplan'!$H$3:$H$302,0))="Støttes ikke",FALSE),IFERROR(INDEX('Kontoplan'!$D$3:$D$302,MATCH(E794,'Kontoplan'!$H$3:$H$302,0))="Støttes ikke",FALSE)),"Kontoen støttes ikke",IF(IFERROR(AND(A794&gt;1,COUNTIF($A$3:$A$2002,A794-1)=0),FALSE),"Nummeret hopper over",IF(OR(NOT(ISNUMBER(B794)),B794&lt;DATE(2027,1,1),B794&gt;DATE(2027,12,31)),"Datoen er ikke i 2027",""))))))</f>
        <v/>
      </c>
    </row>
    <row r="795">
      <c r="A795" s="17" t="n"/>
      <c r="B795" s="9" t="n"/>
      <c r="C795" s="8" t="n"/>
      <c r="D795" s="8" t="n"/>
      <c r="E795" s="8" t="n"/>
      <c r="F795" s="14" t="n"/>
      <c r="G795" s="14" t="n"/>
      <c r="H795" s="8" t="n"/>
      <c r="I795" s="8" t="n"/>
      <c r="J795" s="8" t="n"/>
      <c r="K795" s="18">
        <f>IF(B795="","",IFERROR(MONTH(B795),""))</f>
        <v/>
      </c>
      <c r="L795" s="5">
        <f>IF(COUNTA(A795:J795)=0,"",IF(E795="","Mangler motkonto",IF((F795="")=(G795=""),"Fyll ut enten Inn eller Ut",IF(OR(IFERROR(INDEX('Kontoplan'!$D$3:$D$302,MATCH(D795,'Kontoplan'!$H$3:$H$302,0))="Støttes ikke",FALSE),IFERROR(INDEX('Kontoplan'!$D$3:$D$302,MATCH(E795,'Kontoplan'!$H$3:$H$302,0))="Støttes ikke",FALSE)),"Kontoen støttes ikke",IF(IFERROR(AND(A795&gt;1,COUNTIF($A$3:$A$2002,A795-1)=0),FALSE),"Nummeret hopper over",IF(OR(NOT(ISNUMBER(B795)),B795&lt;DATE(2027,1,1),B795&gt;DATE(2027,12,31)),"Datoen er ikke i 2027",""))))))</f>
        <v/>
      </c>
    </row>
    <row r="796">
      <c r="A796" s="17" t="n"/>
      <c r="B796" s="9" t="n"/>
      <c r="C796" s="8" t="n"/>
      <c r="D796" s="8" t="n"/>
      <c r="E796" s="8" t="n"/>
      <c r="F796" s="14" t="n"/>
      <c r="G796" s="14" t="n"/>
      <c r="H796" s="8" t="n"/>
      <c r="I796" s="8" t="n"/>
      <c r="J796" s="8" t="n"/>
      <c r="K796" s="18">
        <f>IF(B796="","",IFERROR(MONTH(B796),""))</f>
        <v/>
      </c>
      <c r="L796" s="5">
        <f>IF(COUNTA(A796:J796)=0,"",IF(E796="","Mangler motkonto",IF((F796="")=(G796=""),"Fyll ut enten Inn eller Ut",IF(OR(IFERROR(INDEX('Kontoplan'!$D$3:$D$302,MATCH(D796,'Kontoplan'!$H$3:$H$302,0))="Støttes ikke",FALSE),IFERROR(INDEX('Kontoplan'!$D$3:$D$302,MATCH(E796,'Kontoplan'!$H$3:$H$302,0))="Støttes ikke",FALSE)),"Kontoen støttes ikke",IF(IFERROR(AND(A796&gt;1,COUNTIF($A$3:$A$2002,A796-1)=0),FALSE),"Nummeret hopper over",IF(OR(NOT(ISNUMBER(B796)),B796&lt;DATE(2027,1,1),B796&gt;DATE(2027,12,31)),"Datoen er ikke i 2027",""))))))</f>
        <v/>
      </c>
    </row>
    <row r="797">
      <c r="A797" s="17" t="n"/>
      <c r="B797" s="9" t="n"/>
      <c r="C797" s="8" t="n"/>
      <c r="D797" s="8" t="n"/>
      <c r="E797" s="8" t="n"/>
      <c r="F797" s="14" t="n"/>
      <c r="G797" s="14" t="n"/>
      <c r="H797" s="8" t="n"/>
      <c r="I797" s="8" t="n"/>
      <c r="J797" s="8" t="n"/>
      <c r="K797" s="18">
        <f>IF(B797="","",IFERROR(MONTH(B797),""))</f>
        <v/>
      </c>
      <c r="L797" s="5">
        <f>IF(COUNTA(A797:J797)=0,"",IF(E797="","Mangler motkonto",IF((F797="")=(G797=""),"Fyll ut enten Inn eller Ut",IF(OR(IFERROR(INDEX('Kontoplan'!$D$3:$D$302,MATCH(D797,'Kontoplan'!$H$3:$H$302,0))="Støttes ikke",FALSE),IFERROR(INDEX('Kontoplan'!$D$3:$D$302,MATCH(E797,'Kontoplan'!$H$3:$H$302,0))="Støttes ikke",FALSE)),"Kontoen støttes ikke",IF(IFERROR(AND(A797&gt;1,COUNTIF($A$3:$A$2002,A797-1)=0),FALSE),"Nummeret hopper over",IF(OR(NOT(ISNUMBER(B797)),B797&lt;DATE(2027,1,1),B797&gt;DATE(2027,12,31)),"Datoen er ikke i 2027",""))))))</f>
        <v/>
      </c>
    </row>
    <row r="798">
      <c r="A798" s="17" t="n"/>
      <c r="B798" s="9" t="n"/>
      <c r="C798" s="8" t="n"/>
      <c r="D798" s="8" t="n"/>
      <c r="E798" s="8" t="n"/>
      <c r="F798" s="14" t="n"/>
      <c r="G798" s="14" t="n"/>
      <c r="H798" s="8" t="n"/>
      <c r="I798" s="8" t="n"/>
      <c r="J798" s="8" t="n"/>
      <c r="K798" s="18">
        <f>IF(B798="","",IFERROR(MONTH(B798),""))</f>
        <v/>
      </c>
      <c r="L798" s="5">
        <f>IF(COUNTA(A798:J798)=0,"",IF(E798="","Mangler motkonto",IF((F798="")=(G798=""),"Fyll ut enten Inn eller Ut",IF(OR(IFERROR(INDEX('Kontoplan'!$D$3:$D$302,MATCH(D798,'Kontoplan'!$H$3:$H$302,0))="Støttes ikke",FALSE),IFERROR(INDEX('Kontoplan'!$D$3:$D$302,MATCH(E798,'Kontoplan'!$H$3:$H$302,0))="Støttes ikke",FALSE)),"Kontoen støttes ikke",IF(IFERROR(AND(A798&gt;1,COUNTIF($A$3:$A$2002,A798-1)=0),FALSE),"Nummeret hopper over",IF(OR(NOT(ISNUMBER(B798)),B798&lt;DATE(2027,1,1),B798&gt;DATE(2027,12,31)),"Datoen er ikke i 2027",""))))))</f>
        <v/>
      </c>
    </row>
    <row r="799">
      <c r="A799" s="17" t="n"/>
      <c r="B799" s="9" t="n"/>
      <c r="C799" s="8" t="n"/>
      <c r="D799" s="8" t="n"/>
      <c r="E799" s="8" t="n"/>
      <c r="F799" s="14" t="n"/>
      <c r="G799" s="14" t="n"/>
      <c r="H799" s="8" t="n"/>
      <c r="I799" s="8" t="n"/>
      <c r="J799" s="8" t="n"/>
      <c r="K799" s="18">
        <f>IF(B799="","",IFERROR(MONTH(B799),""))</f>
        <v/>
      </c>
      <c r="L799" s="5">
        <f>IF(COUNTA(A799:J799)=0,"",IF(E799="","Mangler motkonto",IF((F799="")=(G799=""),"Fyll ut enten Inn eller Ut",IF(OR(IFERROR(INDEX('Kontoplan'!$D$3:$D$302,MATCH(D799,'Kontoplan'!$H$3:$H$302,0))="Støttes ikke",FALSE),IFERROR(INDEX('Kontoplan'!$D$3:$D$302,MATCH(E799,'Kontoplan'!$H$3:$H$302,0))="Støttes ikke",FALSE)),"Kontoen støttes ikke",IF(IFERROR(AND(A799&gt;1,COUNTIF($A$3:$A$2002,A799-1)=0),FALSE),"Nummeret hopper over",IF(OR(NOT(ISNUMBER(B799)),B799&lt;DATE(2027,1,1),B799&gt;DATE(2027,12,31)),"Datoen er ikke i 2027",""))))))</f>
        <v/>
      </c>
    </row>
    <row r="800">
      <c r="A800" s="17" t="n"/>
      <c r="B800" s="9" t="n"/>
      <c r="C800" s="8" t="n"/>
      <c r="D800" s="8" t="n"/>
      <c r="E800" s="8" t="n"/>
      <c r="F800" s="14" t="n"/>
      <c r="G800" s="14" t="n"/>
      <c r="H800" s="8" t="n"/>
      <c r="I800" s="8" t="n"/>
      <c r="J800" s="8" t="n"/>
      <c r="K800" s="18">
        <f>IF(B800="","",IFERROR(MONTH(B800),""))</f>
        <v/>
      </c>
      <c r="L800" s="5">
        <f>IF(COUNTA(A800:J800)=0,"",IF(E800="","Mangler motkonto",IF((F800="")=(G800=""),"Fyll ut enten Inn eller Ut",IF(OR(IFERROR(INDEX('Kontoplan'!$D$3:$D$302,MATCH(D800,'Kontoplan'!$H$3:$H$302,0))="Støttes ikke",FALSE),IFERROR(INDEX('Kontoplan'!$D$3:$D$302,MATCH(E800,'Kontoplan'!$H$3:$H$302,0))="Støttes ikke",FALSE)),"Kontoen støttes ikke",IF(IFERROR(AND(A800&gt;1,COUNTIF($A$3:$A$2002,A800-1)=0),FALSE),"Nummeret hopper over",IF(OR(NOT(ISNUMBER(B800)),B800&lt;DATE(2027,1,1),B800&gt;DATE(2027,12,31)),"Datoen er ikke i 2027",""))))))</f>
        <v/>
      </c>
    </row>
    <row r="801">
      <c r="A801" s="17" t="n"/>
      <c r="B801" s="9" t="n"/>
      <c r="C801" s="8" t="n"/>
      <c r="D801" s="8" t="n"/>
      <c r="E801" s="8" t="n"/>
      <c r="F801" s="14" t="n"/>
      <c r="G801" s="14" t="n"/>
      <c r="H801" s="8" t="n"/>
      <c r="I801" s="8" t="n"/>
      <c r="J801" s="8" t="n"/>
      <c r="K801" s="18">
        <f>IF(B801="","",IFERROR(MONTH(B801),""))</f>
        <v/>
      </c>
      <c r="L801" s="5">
        <f>IF(COUNTA(A801:J801)=0,"",IF(E801="","Mangler motkonto",IF((F801="")=(G801=""),"Fyll ut enten Inn eller Ut",IF(OR(IFERROR(INDEX('Kontoplan'!$D$3:$D$302,MATCH(D801,'Kontoplan'!$H$3:$H$302,0))="Støttes ikke",FALSE),IFERROR(INDEX('Kontoplan'!$D$3:$D$302,MATCH(E801,'Kontoplan'!$H$3:$H$302,0))="Støttes ikke",FALSE)),"Kontoen støttes ikke",IF(IFERROR(AND(A801&gt;1,COUNTIF($A$3:$A$2002,A801-1)=0),FALSE),"Nummeret hopper over",IF(OR(NOT(ISNUMBER(B801)),B801&lt;DATE(2027,1,1),B801&gt;DATE(2027,12,31)),"Datoen er ikke i 2027",""))))))</f>
        <v/>
      </c>
    </row>
    <row r="802">
      <c r="A802" s="17" t="n"/>
      <c r="B802" s="9" t="n"/>
      <c r="C802" s="8" t="n"/>
      <c r="D802" s="8" t="n"/>
      <c r="E802" s="8" t="n"/>
      <c r="F802" s="14" t="n"/>
      <c r="G802" s="14" t="n"/>
      <c r="H802" s="8" t="n"/>
      <c r="I802" s="8" t="n"/>
      <c r="J802" s="8" t="n"/>
      <c r="K802" s="18">
        <f>IF(B802="","",IFERROR(MONTH(B802),""))</f>
        <v/>
      </c>
      <c r="L802" s="5">
        <f>IF(COUNTA(A802:J802)=0,"",IF(E802="","Mangler motkonto",IF((F802="")=(G802=""),"Fyll ut enten Inn eller Ut",IF(OR(IFERROR(INDEX('Kontoplan'!$D$3:$D$302,MATCH(D802,'Kontoplan'!$H$3:$H$302,0))="Støttes ikke",FALSE),IFERROR(INDEX('Kontoplan'!$D$3:$D$302,MATCH(E802,'Kontoplan'!$H$3:$H$302,0))="Støttes ikke",FALSE)),"Kontoen støttes ikke",IF(IFERROR(AND(A802&gt;1,COUNTIF($A$3:$A$2002,A802-1)=0),FALSE),"Nummeret hopper over",IF(OR(NOT(ISNUMBER(B802)),B802&lt;DATE(2027,1,1),B802&gt;DATE(2027,12,31)),"Datoen er ikke i 2027",""))))))</f>
        <v/>
      </c>
    </row>
    <row r="803">
      <c r="A803" s="17" t="n"/>
      <c r="B803" s="9" t="n"/>
      <c r="C803" s="8" t="n"/>
      <c r="D803" s="8" t="n"/>
      <c r="E803" s="8" t="n"/>
      <c r="F803" s="14" t="n"/>
      <c r="G803" s="14" t="n"/>
      <c r="H803" s="8" t="n"/>
      <c r="I803" s="8" t="n"/>
      <c r="J803" s="8" t="n"/>
      <c r="K803" s="18">
        <f>IF(B803="","",IFERROR(MONTH(B803),""))</f>
        <v/>
      </c>
      <c r="L803" s="5">
        <f>IF(COUNTA(A803:J803)=0,"",IF(E803="","Mangler motkonto",IF((F803="")=(G803=""),"Fyll ut enten Inn eller Ut",IF(OR(IFERROR(INDEX('Kontoplan'!$D$3:$D$302,MATCH(D803,'Kontoplan'!$H$3:$H$302,0))="Støttes ikke",FALSE),IFERROR(INDEX('Kontoplan'!$D$3:$D$302,MATCH(E803,'Kontoplan'!$H$3:$H$302,0))="Støttes ikke",FALSE)),"Kontoen støttes ikke",IF(IFERROR(AND(A803&gt;1,COUNTIF($A$3:$A$2002,A803-1)=0),FALSE),"Nummeret hopper over",IF(OR(NOT(ISNUMBER(B803)),B803&lt;DATE(2027,1,1),B803&gt;DATE(2027,12,31)),"Datoen er ikke i 2027",""))))))</f>
        <v/>
      </c>
    </row>
    <row r="804">
      <c r="A804" s="17" t="n"/>
      <c r="B804" s="9" t="n"/>
      <c r="C804" s="8" t="n"/>
      <c r="D804" s="8" t="n"/>
      <c r="E804" s="8" t="n"/>
      <c r="F804" s="14" t="n"/>
      <c r="G804" s="14" t="n"/>
      <c r="H804" s="8" t="n"/>
      <c r="I804" s="8" t="n"/>
      <c r="J804" s="8" t="n"/>
      <c r="K804" s="18">
        <f>IF(B804="","",IFERROR(MONTH(B804),""))</f>
        <v/>
      </c>
      <c r="L804" s="5">
        <f>IF(COUNTA(A804:J804)=0,"",IF(E804="","Mangler motkonto",IF((F804="")=(G804=""),"Fyll ut enten Inn eller Ut",IF(OR(IFERROR(INDEX('Kontoplan'!$D$3:$D$302,MATCH(D804,'Kontoplan'!$H$3:$H$302,0))="Støttes ikke",FALSE),IFERROR(INDEX('Kontoplan'!$D$3:$D$302,MATCH(E804,'Kontoplan'!$H$3:$H$302,0))="Støttes ikke",FALSE)),"Kontoen støttes ikke",IF(IFERROR(AND(A804&gt;1,COUNTIF($A$3:$A$2002,A804-1)=0),FALSE),"Nummeret hopper over",IF(OR(NOT(ISNUMBER(B804)),B804&lt;DATE(2027,1,1),B804&gt;DATE(2027,12,31)),"Datoen er ikke i 2027",""))))))</f>
        <v/>
      </c>
    </row>
    <row r="805">
      <c r="A805" s="17" t="n"/>
      <c r="B805" s="9" t="n"/>
      <c r="C805" s="8" t="n"/>
      <c r="D805" s="8" t="n"/>
      <c r="E805" s="8" t="n"/>
      <c r="F805" s="14" t="n"/>
      <c r="G805" s="14" t="n"/>
      <c r="H805" s="8" t="n"/>
      <c r="I805" s="8" t="n"/>
      <c r="J805" s="8" t="n"/>
      <c r="K805" s="18">
        <f>IF(B805="","",IFERROR(MONTH(B805),""))</f>
        <v/>
      </c>
      <c r="L805" s="5">
        <f>IF(COUNTA(A805:J805)=0,"",IF(E805="","Mangler motkonto",IF((F805="")=(G805=""),"Fyll ut enten Inn eller Ut",IF(OR(IFERROR(INDEX('Kontoplan'!$D$3:$D$302,MATCH(D805,'Kontoplan'!$H$3:$H$302,0))="Støttes ikke",FALSE),IFERROR(INDEX('Kontoplan'!$D$3:$D$302,MATCH(E805,'Kontoplan'!$H$3:$H$302,0))="Støttes ikke",FALSE)),"Kontoen støttes ikke",IF(IFERROR(AND(A805&gt;1,COUNTIF($A$3:$A$2002,A805-1)=0),FALSE),"Nummeret hopper over",IF(OR(NOT(ISNUMBER(B805)),B805&lt;DATE(2027,1,1),B805&gt;DATE(2027,12,31)),"Datoen er ikke i 2027",""))))))</f>
        <v/>
      </c>
    </row>
    <row r="806">
      <c r="A806" s="17" t="n"/>
      <c r="B806" s="9" t="n"/>
      <c r="C806" s="8" t="n"/>
      <c r="D806" s="8" t="n"/>
      <c r="E806" s="8" t="n"/>
      <c r="F806" s="14" t="n"/>
      <c r="G806" s="14" t="n"/>
      <c r="H806" s="8" t="n"/>
      <c r="I806" s="8" t="n"/>
      <c r="J806" s="8" t="n"/>
      <c r="K806" s="18">
        <f>IF(B806="","",IFERROR(MONTH(B806),""))</f>
        <v/>
      </c>
      <c r="L806" s="5">
        <f>IF(COUNTA(A806:J806)=0,"",IF(E806="","Mangler motkonto",IF((F806="")=(G806=""),"Fyll ut enten Inn eller Ut",IF(OR(IFERROR(INDEX('Kontoplan'!$D$3:$D$302,MATCH(D806,'Kontoplan'!$H$3:$H$302,0))="Støttes ikke",FALSE),IFERROR(INDEX('Kontoplan'!$D$3:$D$302,MATCH(E806,'Kontoplan'!$H$3:$H$302,0))="Støttes ikke",FALSE)),"Kontoen støttes ikke",IF(IFERROR(AND(A806&gt;1,COUNTIF($A$3:$A$2002,A806-1)=0),FALSE),"Nummeret hopper over",IF(OR(NOT(ISNUMBER(B806)),B806&lt;DATE(2027,1,1),B806&gt;DATE(2027,12,31)),"Datoen er ikke i 2027",""))))))</f>
        <v/>
      </c>
    </row>
    <row r="807">
      <c r="A807" s="17" t="n"/>
      <c r="B807" s="9" t="n"/>
      <c r="C807" s="8" t="n"/>
      <c r="D807" s="8" t="n"/>
      <c r="E807" s="8" t="n"/>
      <c r="F807" s="14" t="n"/>
      <c r="G807" s="14" t="n"/>
      <c r="H807" s="8" t="n"/>
      <c r="I807" s="8" t="n"/>
      <c r="J807" s="8" t="n"/>
      <c r="K807" s="18">
        <f>IF(B807="","",IFERROR(MONTH(B807),""))</f>
        <v/>
      </c>
      <c r="L807" s="5">
        <f>IF(COUNTA(A807:J807)=0,"",IF(E807="","Mangler motkonto",IF((F807="")=(G807=""),"Fyll ut enten Inn eller Ut",IF(OR(IFERROR(INDEX('Kontoplan'!$D$3:$D$302,MATCH(D807,'Kontoplan'!$H$3:$H$302,0))="Støttes ikke",FALSE),IFERROR(INDEX('Kontoplan'!$D$3:$D$302,MATCH(E807,'Kontoplan'!$H$3:$H$302,0))="Støttes ikke",FALSE)),"Kontoen støttes ikke",IF(IFERROR(AND(A807&gt;1,COUNTIF($A$3:$A$2002,A807-1)=0),FALSE),"Nummeret hopper over",IF(OR(NOT(ISNUMBER(B807)),B807&lt;DATE(2027,1,1),B807&gt;DATE(2027,12,31)),"Datoen er ikke i 2027",""))))))</f>
        <v/>
      </c>
    </row>
    <row r="808">
      <c r="A808" s="17" t="n"/>
      <c r="B808" s="9" t="n"/>
      <c r="C808" s="8" t="n"/>
      <c r="D808" s="8" t="n"/>
      <c r="E808" s="8" t="n"/>
      <c r="F808" s="14" t="n"/>
      <c r="G808" s="14" t="n"/>
      <c r="H808" s="8" t="n"/>
      <c r="I808" s="8" t="n"/>
      <c r="J808" s="8" t="n"/>
      <c r="K808" s="18">
        <f>IF(B808="","",IFERROR(MONTH(B808),""))</f>
        <v/>
      </c>
      <c r="L808" s="5">
        <f>IF(COUNTA(A808:J808)=0,"",IF(E808="","Mangler motkonto",IF((F808="")=(G808=""),"Fyll ut enten Inn eller Ut",IF(OR(IFERROR(INDEX('Kontoplan'!$D$3:$D$302,MATCH(D808,'Kontoplan'!$H$3:$H$302,0))="Støttes ikke",FALSE),IFERROR(INDEX('Kontoplan'!$D$3:$D$302,MATCH(E808,'Kontoplan'!$H$3:$H$302,0))="Støttes ikke",FALSE)),"Kontoen støttes ikke",IF(IFERROR(AND(A808&gt;1,COUNTIF($A$3:$A$2002,A808-1)=0),FALSE),"Nummeret hopper over",IF(OR(NOT(ISNUMBER(B808)),B808&lt;DATE(2027,1,1),B808&gt;DATE(2027,12,31)),"Datoen er ikke i 2027",""))))))</f>
        <v/>
      </c>
    </row>
    <row r="809">
      <c r="A809" s="17" t="n"/>
      <c r="B809" s="9" t="n"/>
      <c r="C809" s="8" t="n"/>
      <c r="D809" s="8" t="n"/>
      <c r="E809" s="8" t="n"/>
      <c r="F809" s="14" t="n"/>
      <c r="G809" s="14" t="n"/>
      <c r="H809" s="8" t="n"/>
      <c r="I809" s="8" t="n"/>
      <c r="J809" s="8" t="n"/>
      <c r="K809" s="18">
        <f>IF(B809="","",IFERROR(MONTH(B809),""))</f>
        <v/>
      </c>
      <c r="L809" s="5">
        <f>IF(COUNTA(A809:J809)=0,"",IF(E809="","Mangler motkonto",IF((F809="")=(G809=""),"Fyll ut enten Inn eller Ut",IF(OR(IFERROR(INDEX('Kontoplan'!$D$3:$D$302,MATCH(D809,'Kontoplan'!$H$3:$H$302,0))="Støttes ikke",FALSE),IFERROR(INDEX('Kontoplan'!$D$3:$D$302,MATCH(E809,'Kontoplan'!$H$3:$H$302,0))="Støttes ikke",FALSE)),"Kontoen støttes ikke",IF(IFERROR(AND(A809&gt;1,COUNTIF($A$3:$A$2002,A809-1)=0),FALSE),"Nummeret hopper over",IF(OR(NOT(ISNUMBER(B809)),B809&lt;DATE(2027,1,1),B809&gt;DATE(2027,12,31)),"Datoen er ikke i 2027",""))))))</f>
        <v/>
      </c>
    </row>
    <row r="810">
      <c r="A810" s="17" t="n"/>
      <c r="B810" s="9" t="n"/>
      <c r="C810" s="8" t="n"/>
      <c r="D810" s="8" t="n"/>
      <c r="E810" s="8" t="n"/>
      <c r="F810" s="14" t="n"/>
      <c r="G810" s="14" t="n"/>
      <c r="H810" s="8" t="n"/>
      <c r="I810" s="8" t="n"/>
      <c r="J810" s="8" t="n"/>
      <c r="K810" s="18">
        <f>IF(B810="","",IFERROR(MONTH(B810),""))</f>
        <v/>
      </c>
      <c r="L810" s="5">
        <f>IF(COUNTA(A810:J810)=0,"",IF(E810="","Mangler motkonto",IF((F810="")=(G810=""),"Fyll ut enten Inn eller Ut",IF(OR(IFERROR(INDEX('Kontoplan'!$D$3:$D$302,MATCH(D810,'Kontoplan'!$H$3:$H$302,0))="Støttes ikke",FALSE),IFERROR(INDEX('Kontoplan'!$D$3:$D$302,MATCH(E810,'Kontoplan'!$H$3:$H$302,0))="Støttes ikke",FALSE)),"Kontoen støttes ikke",IF(IFERROR(AND(A810&gt;1,COUNTIF($A$3:$A$2002,A810-1)=0),FALSE),"Nummeret hopper over",IF(OR(NOT(ISNUMBER(B810)),B810&lt;DATE(2027,1,1),B810&gt;DATE(2027,12,31)),"Datoen er ikke i 2027",""))))))</f>
        <v/>
      </c>
    </row>
    <row r="811">
      <c r="A811" s="17" t="n"/>
      <c r="B811" s="9" t="n"/>
      <c r="C811" s="8" t="n"/>
      <c r="D811" s="8" t="n"/>
      <c r="E811" s="8" t="n"/>
      <c r="F811" s="14" t="n"/>
      <c r="G811" s="14" t="n"/>
      <c r="H811" s="8" t="n"/>
      <c r="I811" s="8" t="n"/>
      <c r="J811" s="8" t="n"/>
      <c r="K811" s="18">
        <f>IF(B811="","",IFERROR(MONTH(B811),""))</f>
        <v/>
      </c>
      <c r="L811" s="5">
        <f>IF(COUNTA(A811:J811)=0,"",IF(E811="","Mangler motkonto",IF((F811="")=(G811=""),"Fyll ut enten Inn eller Ut",IF(OR(IFERROR(INDEX('Kontoplan'!$D$3:$D$302,MATCH(D811,'Kontoplan'!$H$3:$H$302,0))="Støttes ikke",FALSE),IFERROR(INDEX('Kontoplan'!$D$3:$D$302,MATCH(E811,'Kontoplan'!$H$3:$H$302,0))="Støttes ikke",FALSE)),"Kontoen støttes ikke",IF(IFERROR(AND(A811&gt;1,COUNTIF($A$3:$A$2002,A811-1)=0),FALSE),"Nummeret hopper over",IF(OR(NOT(ISNUMBER(B811)),B811&lt;DATE(2027,1,1),B811&gt;DATE(2027,12,31)),"Datoen er ikke i 2027",""))))))</f>
        <v/>
      </c>
    </row>
    <row r="812">
      <c r="A812" s="17" t="n"/>
      <c r="B812" s="9" t="n"/>
      <c r="C812" s="8" t="n"/>
      <c r="D812" s="8" t="n"/>
      <c r="E812" s="8" t="n"/>
      <c r="F812" s="14" t="n"/>
      <c r="G812" s="14" t="n"/>
      <c r="H812" s="8" t="n"/>
      <c r="I812" s="8" t="n"/>
      <c r="J812" s="8" t="n"/>
      <c r="K812" s="18">
        <f>IF(B812="","",IFERROR(MONTH(B812),""))</f>
        <v/>
      </c>
      <c r="L812" s="5">
        <f>IF(COUNTA(A812:J812)=0,"",IF(E812="","Mangler motkonto",IF((F812="")=(G812=""),"Fyll ut enten Inn eller Ut",IF(OR(IFERROR(INDEX('Kontoplan'!$D$3:$D$302,MATCH(D812,'Kontoplan'!$H$3:$H$302,0))="Støttes ikke",FALSE),IFERROR(INDEX('Kontoplan'!$D$3:$D$302,MATCH(E812,'Kontoplan'!$H$3:$H$302,0))="Støttes ikke",FALSE)),"Kontoen støttes ikke",IF(IFERROR(AND(A812&gt;1,COUNTIF($A$3:$A$2002,A812-1)=0),FALSE),"Nummeret hopper over",IF(OR(NOT(ISNUMBER(B812)),B812&lt;DATE(2027,1,1),B812&gt;DATE(2027,12,31)),"Datoen er ikke i 2027",""))))))</f>
        <v/>
      </c>
    </row>
    <row r="813">
      <c r="A813" s="17" t="n"/>
      <c r="B813" s="9" t="n"/>
      <c r="C813" s="8" t="n"/>
      <c r="D813" s="8" t="n"/>
      <c r="E813" s="8" t="n"/>
      <c r="F813" s="14" t="n"/>
      <c r="G813" s="14" t="n"/>
      <c r="H813" s="8" t="n"/>
      <c r="I813" s="8" t="n"/>
      <c r="J813" s="8" t="n"/>
      <c r="K813" s="18">
        <f>IF(B813="","",IFERROR(MONTH(B813),""))</f>
        <v/>
      </c>
      <c r="L813" s="5">
        <f>IF(COUNTA(A813:J813)=0,"",IF(E813="","Mangler motkonto",IF((F813="")=(G813=""),"Fyll ut enten Inn eller Ut",IF(OR(IFERROR(INDEX('Kontoplan'!$D$3:$D$302,MATCH(D813,'Kontoplan'!$H$3:$H$302,0))="Støttes ikke",FALSE),IFERROR(INDEX('Kontoplan'!$D$3:$D$302,MATCH(E813,'Kontoplan'!$H$3:$H$302,0))="Støttes ikke",FALSE)),"Kontoen støttes ikke",IF(IFERROR(AND(A813&gt;1,COUNTIF($A$3:$A$2002,A813-1)=0),FALSE),"Nummeret hopper over",IF(OR(NOT(ISNUMBER(B813)),B813&lt;DATE(2027,1,1),B813&gt;DATE(2027,12,31)),"Datoen er ikke i 2027",""))))))</f>
        <v/>
      </c>
    </row>
    <row r="814">
      <c r="A814" s="17" t="n"/>
      <c r="B814" s="9" t="n"/>
      <c r="C814" s="8" t="n"/>
      <c r="D814" s="8" t="n"/>
      <c r="E814" s="8" t="n"/>
      <c r="F814" s="14" t="n"/>
      <c r="G814" s="14" t="n"/>
      <c r="H814" s="8" t="n"/>
      <c r="I814" s="8" t="n"/>
      <c r="J814" s="8" t="n"/>
      <c r="K814" s="18">
        <f>IF(B814="","",IFERROR(MONTH(B814),""))</f>
        <v/>
      </c>
      <c r="L814" s="5">
        <f>IF(COUNTA(A814:J814)=0,"",IF(E814="","Mangler motkonto",IF((F814="")=(G814=""),"Fyll ut enten Inn eller Ut",IF(OR(IFERROR(INDEX('Kontoplan'!$D$3:$D$302,MATCH(D814,'Kontoplan'!$H$3:$H$302,0))="Støttes ikke",FALSE),IFERROR(INDEX('Kontoplan'!$D$3:$D$302,MATCH(E814,'Kontoplan'!$H$3:$H$302,0))="Støttes ikke",FALSE)),"Kontoen støttes ikke",IF(IFERROR(AND(A814&gt;1,COUNTIF($A$3:$A$2002,A814-1)=0),FALSE),"Nummeret hopper over",IF(OR(NOT(ISNUMBER(B814)),B814&lt;DATE(2027,1,1),B814&gt;DATE(2027,12,31)),"Datoen er ikke i 2027",""))))))</f>
        <v/>
      </c>
    </row>
    <row r="815">
      <c r="A815" s="17" t="n"/>
      <c r="B815" s="9" t="n"/>
      <c r="C815" s="8" t="n"/>
      <c r="D815" s="8" t="n"/>
      <c r="E815" s="8" t="n"/>
      <c r="F815" s="14" t="n"/>
      <c r="G815" s="14" t="n"/>
      <c r="H815" s="8" t="n"/>
      <c r="I815" s="8" t="n"/>
      <c r="J815" s="8" t="n"/>
      <c r="K815" s="18">
        <f>IF(B815="","",IFERROR(MONTH(B815),""))</f>
        <v/>
      </c>
      <c r="L815" s="5">
        <f>IF(COUNTA(A815:J815)=0,"",IF(E815="","Mangler motkonto",IF((F815="")=(G815=""),"Fyll ut enten Inn eller Ut",IF(OR(IFERROR(INDEX('Kontoplan'!$D$3:$D$302,MATCH(D815,'Kontoplan'!$H$3:$H$302,0))="Støttes ikke",FALSE),IFERROR(INDEX('Kontoplan'!$D$3:$D$302,MATCH(E815,'Kontoplan'!$H$3:$H$302,0))="Støttes ikke",FALSE)),"Kontoen støttes ikke",IF(IFERROR(AND(A815&gt;1,COUNTIF($A$3:$A$2002,A815-1)=0),FALSE),"Nummeret hopper over",IF(OR(NOT(ISNUMBER(B815)),B815&lt;DATE(2027,1,1),B815&gt;DATE(2027,12,31)),"Datoen er ikke i 2027",""))))))</f>
        <v/>
      </c>
    </row>
    <row r="816">
      <c r="A816" s="17" t="n"/>
      <c r="B816" s="9" t="n"/>
      <c r="C816" s="8" t="n"/>
      <c r="D816" s="8" t="n"/>
      <c r="E816" s="8" t="n"/>
      <c r="F816" s="14" t="n"/>
      <c r="G816" s="14" t="n"/>
      <c r="H816" s="8" t="n"/>
      <c r="I816" s="8" t="n"/>
      <c r="J816" s="8" t="n"/>
      <c r="K816" s="18">
        <f>IF(B816="","",IFERROR(MONTH(B816),""))</f>
        <v/>
      </c>
      <c r="L816" s="5">
        <f>IF(COUNTA(A816:J816)=0,"",IF(E816="","Mangler motkonto",IF((F816="")=(G816=""),"Fyll ut enten Inn eller Ut",IF(OR(IFERROR(INDEX('Kontoplan'!$D$3:$D$302,MATCH(D816,'Kontoplan'!$H$3:$H$302,0))="Støttes ikke",FALSE),IFERROR(INDEX('Kontoplan'!$D$3:$D$302,MATCH(E816,'Kontoplan'!$H$3:$H$302,0))="Støttes ikke",FALSE)),"Kontoen støttes ikke",IF(IFERROR(AND(A816&gt;1,COUNTIF($A$3:$A$2002,A816-1)=0),FALSE),"Nummeret hopper over",IF(OR(NOT(ISNUMBER(B816)),B816&lt;DATE(2027,1,1),B816&gt;DATE(2027,12,31)),"Datoen er ikke i 2027",""))))))</f>
        <v/>
      </c>
    </row>
    <row r="817">
      <c r="A817" s="17" t="n"/>
      <c r="B817" s="9" t="n"/>
      <c r="C817" s="8" t="n"/>
      <c r="D817" s="8" t="n"/>
      <c r="E817" s="8" t="n"/>
      <c r="F817" s="14" t="n"/>
      <c r="G817" s="14" t="n"/>
      <c r="H817" s="8" t="n"/>
      <c r="I817" s="8" t="n"/>
      <c r="J817" s="8" t="n"/>
      <c r="K817" s="18">
        <f>IF(B817="","",IFERROR(MONTH(B817),""))</f>
        <v/>
      </c>
      <c r="L817" s="5">
        <f>IF(COUNTA(A817:J817)=0,"",IF(E817="","Mangler motkonto",IF((F817="")=(G817=""),"Fyll ut enten Inn eller Ut",IF(OR(IFERROR(INDEX('Kontoplan'!$D$3:$D$302,MATCH(D817,'Kontoplan'!$H$3:$H$302,0))="Støttes ikke",FALSE),IFERROR(INDEX('Kontoplan'!$D$3:$D$302,MATCH(E817,'Kontoplan'!$H$3:$H$302,0))="Støttes ikke",FALSE)),"Kontoen støttes ikke",IF(IFERROR(AND(A817&gt;1,COUNTIF($A$3:$A$2002,A817-1)=0),FALSE),"Nummeret hopper over",IF(OR(NOT(ISNUMBER(B817)),B817&lt;DATE(2027,1,1),B817&gt;DATE(2027,12,31)),"Datoen er ikke i 2027",""))))))</f>
        <v/>
      </c>
    </row>
    <row r="818">
      <c r="A818" s="17" t="n"/>
      <c r="B818" s="9" t="n"/>
      <c r="C818" s="8" t="n"/>
      <c r="D818" s="8" t="n"/>
      <c r="E818" s="8" t="n"/>
      <c r="F818" s="14" t="n"/>
      <c r="G818" s="14" t="n"/>
      <c r="H818" s="8" t="n"/>
      <c r="I818" s="8" t="n"/>
      <c r="J818" s="8" t="n"/>
      <c r="K818" s="18">
        <f>IF(B818="","",IFERROR(MONTH(B818),""))</f>
        <v/>
      </c>
      <c r="L818" s="5">
        <f>IF(COUNTA(A818:J818)=0,"",IF(E818="","Mangler motkonto",IF((F818="")=(G818=""),"Fyll ut enten Inn eller Ut",IF(OR(IFERROR(INDEX('Kontoplan'!$D$3:$D$302,MATCH(D818,'Kontoplan'!$H$3:$H$302,0))="Støttes ikke",FALSE),IFERROR(INDEX('Kontoplan'!$D$3:$D$302,MATCH(E818,'Kontoplan'!$H$3:$H$302,0))="Støttes ikke",FALSE)),"Kontoen støttes ikke",IF(IFERROR(AND(A818&gt;1,COUNTIF($A$3:$A$2002,A818-1)=0),FALSE),"Nummeret hopper over",IF(OR(NOT(ISNUMBER(B818)),B818&lt;DATE(2027,1,1),B818&gt;DATE(2027,12,31)),"Datoen er ikke i 2027",""))))))</f>
        <v/>
      </c>
    </row>
    <row r="819">
      <c r="A819" s="17" t="n"/>
      <c r="B819" s="9" t="n"/>
      <c r="C819" s="8" t="n"/>
      <c r="D819" s="8" t="n"/>
      <c r="E819" s="8" t="n"/>
      <c r="F819" s="14" t="n"/>
      <c r="G819" s="14" t="n"/>
      <c r="H819" s="8" t="n"/>
      <c r="I819" s="8" t="n"/>
      <c r="J819" s="8" t="n"/>
      <c r="K819" s="18">
        <f>IF(B819="","",IFERROR(MONTH(B819),""))</f>
        <v/>
      </c>
      <c r="L819" s="5">
        <f>IF(COUNTA(A819:J819)=0,"",IF(E819="","Mangler motkonto",IF((F819="")=(G819=""),"Fyll ut enten Inn eller Ut",IF(OR(IFERROR(INDEX('Kontoplan'!$D$3:$D$302,MATCH(D819,'Kontoplan'!$H$3:$H$302,0))="Støttes ikke",FALSE),IFERROR(INDEX('Kontoplan'!$D$3:$D$302,MATCH(E819,'Kontoplan'!$H$3:$H$302,0))="Støttes ikke",FALSE)),"Kontoen støttes ikke",IF(IFERROR(AND(A819&gt;1,COUNTIF($A$3:$A$2002,A819-1)=0),FALSE),"Nummeret hopper over",IF(OR(NOT(ISNUMBER(B819)),B819&lt;DATE(2027,1,1),B819&gt;DATE(2027,12,31)),"Datoen er ikke i 2027",""))))))</f>
        <v/>
      </c>
    </row>
    <row r="820">
      <c r="A820" s="17" t="n"/>
      <c r="B820" s="9" t="n"/>
      <c r="C820" s="8" t="n"/>
      <c r="D820" s="8" t="n"/>
      <c r="E820" s="8" t="n"/>
      <c r="F820" s="14" t="n"/>
      <c r="G820" s="14" t="n"/>
      <c r="H820" s="8" t="n"/>
      <c r="I820" s="8" t="n"/>
      <c r="J820" s="8" t="n"/>
      <c r="K820" s="18">
        <f>IF(B820="","",IFERROR(MONTH(B820),""))</f>
        <v/>
      </c>
      <c r="L820" s="5">
        <f>IF(COUNTA(A820:J820)=0,"",IF(E820="","Mangler motkonto",IF((F820="")=(G820=""),"Fyll ut enten Inn eller Ut",IF(OR(IFERROR(INDEX('Kontoplan'!$D$3:$D$302,MATCH(D820,'Kontoplan'!$H$3:$H$302,0))="Støttes ikke",FALSE),IFERROR(INDEX('Kontoplan'!$D$3:$D$302,MATCH(E820,'Kontoplan'!$H$3:$H$302,0))="Støttes ikke",FALSE)),"Kontoen støttes ikke",IF(IFERROR(AND(A820&gt;1,COUNTIF($A$3:$A$2002,A820-1)=0),FALSE),"Nummeret hopper over",IF(OR(NOT(ISNUMBER(B820)),B820&lt;DATE(2027,1,1),B820&gt;DATE(2027,12,31)),"Datoen er ikke i 2027",""))))))</f>
        <v/>
      </c>
    </row>
    <row r="821">
      <c r="A821" s="17" t="n"/>
      <c r="B821" s="9" t="n"/>
      <c r="C821" s="8" t="n"/>
      <c r="D821" s="8" t="n"/>
      <c r="E821" s="8" t="n"/>
      <c r="F821" s="14" t="n"/>
      <c r="G821" s="14" t="n"/>
      <c r="H821" s="8" t="n"/>
      <c r="I821" s="8" t="n"/>
      <c r="J821" s="8" t="n"/>
      <c r="K821" s="18">
        <f>IF(B821="","",IFERROR(MONTH(B821),""))</f>
        <v/>
      </c>
      <c r="L821" s="5">
        <f>IF(COUNTA(A821:J821)=0,"",IF(E821="","Mangler motkonto",IF((F821="")=(G821=""),"Fyll ut enten Inn eller Ut",IF(OR(IFERROR(INDEX('Kontoplan'!$D$3:$D$302,MATCH(D821,'Kontoplan'!$H$3:$H$302,0))="Støttes ikke",FALSE),IFERROR(INDEX('Kontoplan'!$D$3:$D$302,MATCH(E821,'Kontoplan'!$H$3:$H$302,0))="Støttes ikke",FALSE)),"Kontoen støttes ikke",IF(IFERROR(AND(A821&gt;1,COUNTIF($A$3:$A$2002,A821-1)=0),FALSE),"Nummeret hopper over",IF(OR(NOT(ISNUMBER(B821)),B821&lt;DATE(2027,1,1),B821&gt;DATE(2027,12,31)),"Datoen er ikke i 2027",""))))))</f>
        <v/>
      </c>
    </row>
    <row r="822">
      <c r="A822" s="17" t="n"/>
      <c r="B822" s="9" t="n"/>
      <c r="C822" s="8" t="n"/>
      <c r="D822" s="8" t="n"/>
      <c r="E822" s="8" t="n"/>
      <c r="F822" s="14" t="n"/>
      <c r="G822" s="14" t="n"/>
      <c r="H822" s="8" t="n"/>
      <c r="I822" s="8" t="n"/>
      <c r="J822" s="8" t="n"/>
      <c r="K822" s="18">
        <f>IF(B822="","",IFERROR(MONTH(B822),""))</f>
        <v/>
      </c>
      <c r="L822" s="5">
        <f>IF(COUNTA(A822:J822)=0,"",IF(E822="","Mangler motkonto",IF((F822="")=(G822=""),"Fyll ut enten Inn eller Ut",IF(OR(IFERROR(INDEX('Kontoplan'!$D$3:$D$302,MATCH(D822,'Kontoplan'!$H$3:$H$302,0))="Støttes ikke",FALSE),IFERROR(INDEX('Kontoplan'!$D$3:$D$302,MATCH(E822,'Kontoplan'!$H$3:$H$302,0))="Støttes ikke",FALSE)),"Kontoen støttes ikke",IF(IFERROR(AND(A822&gt;1,COUNTIF($A$3:$A$2002,A822-1)=0),FALSE),"Nummeret hopper over",IF(OR(NOT(ISNUMBER(B822)),B822&lt;DATE(2027,1,1),B822&gt;DATE(2027,12,31)),"Datoen er ikke i 2027",""))))))</f>
        <v/>
      </c>
    </row>
    <row r="823">
      <c r="A823" s="17" t="n"/>
      <c r="B823" s="9" t="n"/>
      <c r="C823" s="8" t="n"/>
      <c r="D823" s="8" t="n"/>
      <c r="E823" s="8" t="n"/>
      <c r="F823" s="14" t="n"/>
      <c r="G823" s="14" t="n"/>
      <c r="H823" s="8" t="n"/>
      <c r="I823" s="8" t="n"/>
      <c r="J823" s="8" t="n"/>
      <c r="K823" s="18">
        <f>IF(B823="","",IFERROR(MONTH(B823),""))</f>
        <v/>
      </c>
      <c r="L823" s="5">
        <f>IF(COUNTA(A823:J823)=0,"",IF(E823="","Mangler motkonto",IF((F823="")=(G823=""),"Fyll ut enten Inn eller Ut",IF(OR(IFERROR(INDEX('Kontoplan'!$D$3:$D$302,MATCH(D823,'Kontoplan'!$H$3:$H$302,0))="Støttes ikke",FALSE),IFERROR(INDEX('Kontoplan'!$D$3:$D$302,MATCH(E823,'Kontoplan'!$H$3:$H$302,0))="Støttes ikke",FALSE)),"Kontoen støttes ikke",IF(IFERROR(AND(A823&gt;1,COUNTIF($A$3:$A$2002,A823-1)=0),FALSE),"Nummeret hopper over",IF(OR(NOT(ISNUMBER(B823)),B823&lt;DATE(2027,1,1),B823&gt;DATE(2027,12,31)),"Datoen er ikke i 2027",""))))))</f>
        <v/>
      </c>
    </row>
    <row r="824">
      <c r="A824" s="17" t="n"/>
      <c r="B824" s="9" t="n"/>
      <c r="C824" s="8" t="n"/>
      <c r="D824" s="8" t="n"/>
      <c r="E824" s="8" t="n"/>
      <c r="F824" s="14" t="n"/>
      <c r="G824" s="14" t="n"/>
      <c r="H824" s="8" t="n"/>
      <c r="I824" s="8" t="n"/>
      <c r="J824" s="8" t="n"/>
      <c r="K824" s="18">
        <f>IF(B824="","",IFERROR(MONTH(B824),""))</f>
        <v/>
      </c>
      <c r="L824" s="5">
        <f>IF(COUNTA(A824:J824)=0,"",IF(E824="","Mangler motkonto",IF((F824="")=(G824=""),"Fyll ut enten Inn eller Ut",IF(OR(IFERROR(INDEX('Kontoplan'!$D$3:$D$302,MATCH(D824,'Kontoplan'!$H$3:$H$302,0))="Støttes ikke",FALSE),IFERROR(INDEX('Kontoplan'!$D$3:$D$302,MATCH(E824,'Kontoplan'!$H$3:$H$302,0))="Støttes ikke",FALSE)),"Kontoen støttes ikke",IF(IFERROR(AND(A824&gt;1,COUNTIF($A$3:$A$2002,A824-1)=0),FALSE),"Nummeret hopper over",IF(OR(NOT(ISNUMBER(B824)),B824&lt;DATE(2027,1,1),B824&gt;DATE(2027,12,31)),"Datoen er ikke i 2027",""))))))</f>
        <v/>
      </c>
    </row>
    <row r="825">
      <c r="A825" s="17" t="n"/>
      <c r="B825" s="9" t="n"/>
      <c r="C825" s="8" t="n"/>
      <c r="D825" s="8" t="n"/>
      <c r="E825" s="8" t="n"/>
      <c r="F825" s="14" t="n"/>
      <c r="G825" s="14" t="n"/>
      <c r="H825" s="8" t="n"/>
      <c r="I825" s="8" t="n"/>
      <c r="J825" s="8" t="n"/>
      <c r="K825" s="18">
        <f>IF(B825="","",IFERROR(MONTH(B825),""))</f>
        <v/>
      </c>
      <c r="L825" s="5">
        <f>IF(COUNTA(A825:J825)=0,"",IF(E825="","Mangler motkonto",IF((F825="")=(G825=""),"Fyll ut enten Inn eller Ut",IF(OR(IFERROR(INDEX('Kontoplan'!$D$3:$D$302,MATCH(D825,'Kontoplan'!$H$3:$H$302,0))="Støttes ikke",FALSE),IFERROR(INDEX('Kontoplan'!$D$3:$D$302,MATCH(E825,'Kontoplan'!$H$3:$H$302,0))="Støttes ikke",FALSE)),"Kontoen støttes ikke",IF(IFERROR(AND(A825&gt;1,COUNTIF($A$3:$A$2002,A825-1)=0),FALSE),"Nummeret hopper over",IF(OR(NOT(ISNUMBER(B825)),B825&lt;DATE(2027,1,1),B825&gt;DATE(2027,12,31)),"Datoen er ikke i 2027",""))))))</f>
        <v/>
      </c>
    </row>
    <row r="826">
      <c r="A826" s="17" t="n"/>
      <c r="B826" s="9" t="n"/>
      <c r="C826" s="8" t="n"/>
      <c r="D826" s="8" t="n"/>
      <c r="E826" s="8" t="n"/>
      <c r="F826" s="14" t="n"/>
      <c r="G826" s="14" t="n"/>
      <c r="H826" s="8" t="n"/>
      <c r="I826" s="8" t="n"/>
      <c r="J826" s="8" t="n"/>
      <c r="K826" s="18">
        <f>IF(B826="","",IFERROR(MONTH(B826),""))</f>
        <v/>
      </c>
      <c r="L826" s="5">
        <f>IF(COUNTA(A826:J826)=0,"",IF(E826="","Mangler motkonto",IF((F826="")=(G826=""),"Fyll ut enten Inn eller Ut",IF(OR(IFERROR(INDEX('Kontoplan'!$D$3:$D$302,MATCH(D826,'Kontoplan'!$H$3:$H$302,0))="Støttes ikke",FALSE),IFERROR(INDEX('Kontoplan'!$D$3:$D$302,MATCH(E826,'Kontoplan'!$H$3:$H$302,0))="Støttes ikke",FALSE)),"Kontoen støttes ikke",IF(IFERROR(AND(A826&gt;1,COUNTIF($A$3:$A$2002,A826-1)=0),FALSE),"Nummeret hopper over",IF(OR(NOT(ISNUMBER(B826)),B826&lt;DATE(2027,1,1),B826&gt;DATE(2027,12,31)),"Datoen er ikke i 2027",""))))))</f>
        <v/>
      </c>
    </row>
    <row r="827">
      <c r="A827" s="17" t="n"/>
      <c r="B827" s="9" t="n"/>
      <c r="C827" s="8" t="n"/>
      <c r="D827" s="8" t="n"/>
      <c r="E827" s="8" t="n"/>
      <c r="F827" s="14" t="n"/>
      <c r="G827" s="14" t="n"/>
      <c r="H827" s="8" t="n"/>
      <c r="I827" s="8" t="n"/>
      <c r="J827" s="8" t="n"/>
      <c r="K827" s="18">
        <f>IF(B827="","",IFERROR(MONTH(B827),""))</f>
        <v/>
      </c>
      <c r="L827" s="5">
        <f>IF(COUNTA(A827:J827)=0,"",IF(E827="","Mangler motkonto",IF((F827="")=(G827=""),"Fyll ut enten Inn eller Ut",IF(OR(IFERROR(INDEX('Kontoplan'!$D$3:$D$302,MATCH(D827,'Kontoplan'!$H$3:$H$302,0))="Støttes ikke",FALSE),IFERROR(INDEX('Kontoplan'!$D$3:$D$302,MATCH(E827,'Kontoplan'!$H$3:$H$302,0))="Støttes ikke",FALSE)),"Kontoen støttes ikke",IF(IFERROR(AND(A827&gt;1,COUNTIF($A$3:$A$2002,A827-1)=0),FALSE),"Nummeret hopper over",IF(OR(NOT(ISNUMBER(B827)),B827&lt;DATE(2027,1,1),B827&gt;DATE(2027,12,31)),"Datoen er ikke i 2027",""))))))</f>
        <v/>
      </c>
    </row>
    <row r="828">
      <c r="A828" s="17" t="n"/>
      <c r="B828" s="9" t="n"/>
      <c r="C828" s="8" t="n"/>
      <c r="D828" s="8" t="n"/>
      <c r="E828" s="8" t="n"/>
      <c r="F828" s="14" t="n"/>
      <c r="G828" s="14" t="n"/>
      <c r="H828" s="8" t="n"/>
      <c r="I828" s="8" t="n"/>
      <c r="J828" s="8" t="n"/>
      <c r="K828" s="18">
        <f>IF(B828="","",IFERROR(MONTH(B828),""))</f>
        <v/>
      </c>
      <c r="L828" s="5">
        <f>IF(COUNTA(A828:J828)=0,"",IF(E828="","Mangler motkonto",IF((F828="")=(G828=""),"Fyll ut enten Inn eller Ut",IF(OR(IFERROR(INDEX('Kontoplan'!$D$3:$D$302,MATCH(D828,'Kontoplan'!$H$3:$H$302,0))="Støttes ikke",FALSE),IFERROR(INDEX('Kontoplan'!$D$3:$D$302,MATCH(E828,'Kontoplan'!$H$3:$H$302,0))="Støttes ikke",FALSE)),"Kontoen støttes ikke",IF(IFERROR(AND(A828&gt;1,COUNTIF($A$3:$A$2002,A828-1)=0),FALSE),"Nummeret hopper over",IF(OR(NOT(ISNUMBER(B828)),B828&lt;DATE(2027,1,1),B828&gt;DATE(2027,12,31)),"Datoen er ikke i 2027",""))))))</f>
        <v/>
      </c>
    </row>
    <row r="829">
      <c r="A829" s="17" t="n"/>
      <c r="B829" s="9" t="n"/>
      <c r="C829" s="8" t="n"/>
      <c r="D829" s="8" t="n"/>
      <c r="E829" s="8" t="n"/>
      <c r="F829" s="14" t="n"/>
      <c r="G829" s="14" t="n"/>
      <c r="H829" s="8" t="n"/>
      <c r="I829" s="8" t="n"/>
      <c r="J829" s="8" t="n"/>
      <c r="K829" s="18">
        <f>IF(B829="","",IFERROR(MONTH(B829),""))</f>
        <v/>
      </c>
      <c r="L829" s="5">
        <f>IF(COUNTA(A829:J829)=0,"",IF(E829="","Mangler motkonto",IF((F829="")=(G829=""),"Fyll ut enten Inn eller Ut",IF(OR(IFERROR(INDEX('Kontoplan'!$D$3:$D$302,MATCH(D829,'Kontoplan'!$H$3:$H$302,0))="Støttes ikke",FALSE),IFERROR(INDEX('Kontoplan'!$D$3:$D$302,MATCH(E829,'Kontoplan'!$H$3:$H$302,0))="Støttes ikke",FALSE)),"Kontoen støttes ikke",IF(IFERROR(AND(A829&gt;1,COUNTIF($A$3:$A$2002,A829-1)=0),FALSE),"Nummeret hopper over",IF(OR(NOT(ISNUMBER(B829)),B829&lt;DATE(2027,1,1),B829&gt;DATE(2027,12,31)),"Datoen er ikke i 2027",""))))))</f>
        <v/>
      </c>
    </row>
    <row r="830">
      <c r="A830" s="17" t="n"/>
      <c r="B830" s="9" t="n"/>
      <c r="C830" s="8" t="n"/>
      <c r="D830" s="8" t="n"/>
      <c r="E830" s="8" t="n"/>
      <c r="F830" s="14" t="n"/>
      <c r="G830" s="14" t="n"/>
      <c r="H830" s="8" t="n"/>
      <c r="I830" s="8" t="n"/>
      <c r="J830" s="8" t="n"/>
      <c r="K830" s="18">
        <f>IF(B830="","",IFERROR(MONTH(B830),""))</f>
        <v/>
      </c>
      <c r="L830" s="5">
        <f>IF(COUNTA(A830:J830)=0,"",IF(E830="","Mangler motkonto",IF((F830="")=(G830=""),"Fyll ut enten Inn eller Ut",IF(OR(IFERROR(INDEX('Kontoplan'!$D$3:$D$302,MATCH(D830,'Kontoplan'!$H$3:$H$302,0))="Støttes ikke",FALSE),IFERROR(INDEX('Kontoplan'!$D$3:$D$302,MATCH(E830,'Kontoplan'!$H$3:$H$302,0))="Støttes ikke",FALSE)),"Kontoen støttes ikke",IF(IFERROR(AND(A830&gt;1,COUNTIF($A$3:$A$2002,A830-1)=0),FALSE),"Nummeret hopper over",IF(OR(NOT(ISNUMBER(B830)),B830&lt;DATE(2027,1,1),B830&gt;DATE(2027,12,31)),"Datoen er ikke i 2027",""))))))</f>
        <v/>
      </c>
    </row>
    <row r="831">
      <c r="A831" s="17" t="n"/>
      <c r="B831" s="9" t="n"/>
      <c r="C831" s="8" t="n"/>
      <c r="D831" s="8" t="n"/>
      <c r="E831" s="8" t="n"/>
      <c r="F831" s="14" t="n"/>
      <c r="G831" s="14" t="n"/>
      <c r="H831" s="8" t="n"/>
      <c r="I831" s="8" t="n"/>
      <c r="J831" s="8" t="n"/>
      <c r="K831" s="18">
        <f>IF(B831="","",IFERROR(MONTH(B831),""))</f>
        <v/>
      </c>
      <c r="L831" s="5">
        <f>IF(COUNTA(A831:J831)=0,"",IF(E831="","Mangler motkonto",IF((F831="")=(G831=""),"Fyll ut enten Inn eller Ut",IF(OR(IFERROR(INDEX('Kontoplan'!$D$3:$D$302,MATCH(D831,'Kontoplan'!$H$3:$H$302,0))="Støttes ikke",FALSE),IFERROR(INDEX('Kontoplan'!$D$3:$D$302,MATCH(E831,'Kontoplan'!$H$3:$H$302,0))="Støttes ikke",FALSE)),"Kontoen støttes ikke",IF(IFERROR(AND(A831&gt;1,COUNTIF($A$3:$A$2002,A831-1)=0),FALSE),"Nummeret hopper over",IF(OR(NOT(ISNUMBER(B831)),B831&lt;DATE(2027,1,1),B831&gt;DATE(2027,12,31)),"Datoen er ikke i 2027",""))))))</f>
        <v/>
      </c>
    </row>
    <row r="832">
      <c r="A832" s="17" t="n"/>
      <c r="B832" s="9" t="n"/>
      <c r="C832" s="8" t="n"/>
      <c r="D832" s="8" t="n"/>
      <c r="E832" s="8" t="n"/>
      <c r="F832" s="14" t="n"/>
      <c r="G832" s="14" t="n"/>
      <c r="H832" s="8" t="n"/>
      <c r="I832" s="8" t="n"/>
      <c r="J832" s="8" t="n"/>
      <c r="K832" s="18">
        <f>IF(B832="","",IFERROR(MONTH(B832),""))</f>
        <v/>
      </c>
      <c r="L832" s="5">
        <f>IF(COUNTA(A832:J832)=0,"",IF(E832="","Mangler motkonto",IF((F832="")=(G832=""),"Fyll ut enten Inn eller Ut",IF(OR(IFERROR(INDEX('Kontoplan'!$D$3:$D$302,MATCH(D832,'Kontoplan'!$H$3:$H$302,0))="Støttes ikke",FALSE),IFERROR(INDEX('Kontoplan'!$D$3:$D$302,MATCH(E832,'Kontoplan'!$H$3:$H$302,0))="Støttes ikke",FALSE)),"Kontoen støttes ikke",IF(IFERROR(AND(A832&gt;1,COUNTIF($A$3:$A$2002,A832-1)=0),FALSE),"Nummeret hopper over",IF(OR(NOT(ISNUMBER(B832)),B832&lt;DATE(2027,1,1),B832&gt;DATE(2027,12,31)),"Datoen er ikke i 2027",""))))))</f>
        <v/>
      </c>
    </row>
    <row r="833">
      <c r="A833" s="17" t="n"/>
      <c r="B833" s="9" t="n"/>
      <c r="C833" s="8" t="n"/>
      <c r="D833" s="8" t="n"/>
      <c r="E833" s="8" t="n"/>
      <c r="F833" s="14" t="n"/>
      <c r="G833" s="14" t="n"/>
      <c r="H833" s="8" t="n"/>
      <c r="I833" s="8" t="n"/>
      <c r="J833" s="8" t="n"/>
      <c r="K833" s="18">
        <f>IF(B833="","",IFERROR(MONTH(B833),""))</f>
        <v/>
      </c>
      <c r="L833" s="5">
        <f>IF(COUNTA(A833:J833)=0,"",IF(E833="","Mangler motkonto",IF((F833="")=(G833=""),"Fyll ut enten Inn eller Ut",IF(OR(IFERROR(INDEX('Kontoplan'!$D$3:$D$302,MATCH(D833,'Kontoplan'!$H$3:$H$302,0))="Støttes ikke",FALSE),IFERROR(INDEX('Kontoplan'!$D$3:$D$302,MATCH(E833,'Kontoplan'!$H$3:$H$302,0))="Støttes ikke",FALSE)),"Kontoen støttes ikke",IF(IFERROR(AND(A833&gt;1,COUNTIF($A$3:$A$2002,A833-1)=0),FALSE),"Nummeret hopper over",IF(OR(NOT(ISNUMBER(B833)),B833&lt;DATE(2027,1,1),B833&gt;DATE(2027,12,31)),"Datoen er ikke i 2027",""))))))</f>
        <v/>
      </c>
    </row>
    <row r="834">
      <c r="A834" s="17" t="n"/>
      <c r="B834" s="9" t="n"/>
      <c r="C834" s="8" t="n"/>
      <c r="D834" s="8" t="n"/>
      <c r="E834" s="8" t="n"/>
      <c r="F834" s="14" t="n"/>
      <c r="G834" s="14" t="n"/>
      <c r="H834" s="8" t="n"/>
      <c r="I834" s="8" t="n"/>
      <c r="J834" s="8" t="n"/>
      <c r="K834" s="18">
        <f>IF(B834="","",IFERROR(MONTH(B834),""))</f>
        <v/>
      </c>
      <c r="L834" s="5">
        <f>IF(COUNTA(A834:J834)=0,"",IF(E834="","Mangler motkonto",IF((F834="")=(G834=""),"Fyll ut enten Inn eller Ut",IF(OR(IFERROR(INDEX('Kontoplan'!$D$3:$D$302,MATCH(D834,'Kontoplan'!$H$3:$H$302,0))="Støttes ikke",FALSE),IFERROR(INDEX('Kontoplan'!$D$3:$D$302,MATCH(E834,'Kontoplan'!$H$3:$H$302,0))="Støttes ikke",FALSE)),"Kontoen støttes ikke",IF(IFERROR(AND(A834&gt;1,COUNTIF($A$3:$A$2002,A834-1)=0),FALSE),"Nummeret hopper over",IF(OR(NOT(ISNUMBER(B834)),B834&lt;DATE(2027,1,1),B834&gt;DATE(2027,12,31)),"Datoen er ikke i 2027",""))))))</f>
        <v/>
      </c>
    </row>
    <row r="835">
      <c r="A835" s="17" t="n"/>
      <c r="B835" s="9" t="n"/>
      <c r="C835" s="8" t="n"/>
      <c r="D835" s="8" t="n"/>
      <c r="E835" s="8" t="n"/>
      <c r="F835" s="14" t="n"/>
      <c r="G835" s="14" t="n"/>
      <c r="H835" s="8" t="n"/>
      <c r="I835" s="8" t="n"/>
      <c r="J835" s="8" t="n"/>
      <c r="K835" s="18">
        <f>IF(B835="","",IFERROR(MONTH(B835),""))</f>
        <v/>
      </c>
      <c r="L835" s="5">
        <f>IF(COUNTA(A835:J835)=0,"",IF(E835="","Mangler motkonto",IF((F835="")=(G835=""),"Fyll ut enten Inn eller Ut",IF(OR(IFERROR(INDEX('Kontoplan'!$D$3:$D$302,MATCH(D835,'Kontoplan'!$H$3:$H$302,0))="Støttes ikke",FALSE),IFERROR(INDEX('Kontoplan'!$D$3:$D$302,MATCH(E835,'Kontoplan'!$H$3:$H$302,0))="Støttes ikke",FALSE)),"Kontoen støttes ikke",IF(IFERROR(AND(A835&gt;1,COUNTIF($A$3:$A$2002,A835-1)=0),FALSE),"Nummeret hopper over",IF(OR(NOT(ISNUMBER(B835)),B835&lt;DATE(2027,1,1),B835&gt;DATE(2027,12,31)),"Datoen er ikke i 2027",""))))))</f>
        <v/>
      </c>
    </row>
    <row r="836">
      <c r="A836" s="17" t="n"/>
      <c r="B836" s="9" t="n"/>
      <c r="C836" s="8" t="n"/>
      <c r="D836" s="8" t="n"/>
      <c r="E836" s="8" t="n"/>
      <c r="F836" s="14" t="n"/>
      <c r="G836" s="14" t="n"/>
      <c r="H836" s="8" t="n"/>
      <c r="I836" s="8" t="n"/>
      <c r="J836" s="8" t="n"/>
      <c r="K836" s="18">
        <f>IF(B836="","",IFERROR(MONTH(B836),""))</f>
        <v/>
      </c>
      <c r="L836" s="5">
        <f>IF(COUNTA(A836:J836)=0,"",IF(E836="","Mangler motkonto",IF((F836="")=(G836=""),"Fyll ut enten Inn eller Ut",IF(OR(IFERROR(INDEX('Kontoplan'!$D$3:$D$302,MATCH(D836,'Kontoplan'!$H$3:$H$302,0))="Støttes ikke",FALSE),IFERROR(INDEX('Kontoplan'!$D$3:$D$302,MATCH(E836,'Kontoplan'!$H$3:$H$302,0))="Støttes ikke",FALSE)),"Kontoen støttes ikke",IF(IFERROR(AND(A836&gt;1,COUNTIF($A$3:$A$2002,A836-1)=0),FALSE),"Nummeret hopper over",IF(OR(NOT(ISNUMBER(B836)),B836&lt;DATE(2027,1,1),B836&gt;DATE(2027,12,31)),"Datoen er ikke i 2027",""))))))</f>
        <v/>
      </c>
    </row>
    <row r="837">
      <c r="A837" s="17" t="n"/>
      <c r="B837" s="9" t="n"/>
      <c r="C837" s="8" t="n"/>
      <c r="D837" s="8" t="n"/>
      <c r="E837" s="8" t="n"/>
      <c r="F837" s="14" t="n"/>
      <c r="G837" s="14" t="n"/>
      <c r="H837" s="8" t="n"/>
      <c r="I837" s="8" t="n"/>
      <c r="J837" s="8" t="n"/>
      <c r="K837" s="18">
        <f>IF(B837="","",IFERROR(MONTH(B837),""))</f>
        <v/>
      </c>
      <c r="L837" s="5">
        <f>IF(COUNTA(A837:J837)=0,"",IF(E837="","Mangler motkonto",IF((F837="")=(G837=""),"Fyll ut enten Inn eller Ut",IF(OR(IFERROR(INDEX('Kontoplan'!$D$3:$D$302,MATCH(D837,'Kontoplan'!$H$3:$H$302,0))="Støttes ikke",FALSE),IFERROR(INDEX('Kontoplan'!$D$3:$D$302,MATCH(E837,'Kontoplan'!$H$3:$H$302,0))="Støttes ikke",FALSE)),"Kontoen støttes ikke",IF(IFERROR(AND(A837&gt;1,COUNTIF($A$3:$A$2002,A837-1)=0),FALSE),"Nummeret hopper over",IF(OR(NOT(ISNUMBER(B837)),B837&lt;DATE(2027,1,1),B837&gt;DATE(2027,12,31)),"Datoen er ikke i 2027",""))))))</f>
        <v/>
      </c>
    </row>
    <row r="838">
      <c r="A838" s="17" t="n"/>
      <c r="B838" s="9" t="n"/>
      <c r="C838" s="8" t="n"/>
      <c r="D838" s="8" t="n"/>
      <c r="E838" s="8" t="n"/>
      <c r="F838" s="14" t="n"/>
      <c r="G838" s="14" t="n"/>
      <c r="H838" s="8" t="n"/>
      <c r="I838" s="8" t="n"/>
      <c r="J838" s="8" t="n"/>
      <c r="K838" s="18">
        <f>IF(B838="","",IFERROR(MONTH(B838),""))</f>
        <v/>
      </c>
      <c r="L838" s="5">
        <f>IF(COUNTA(A838:J838)=0,"",IF(E838="","Mangler motkonto",IF((F838="")=(G838=""),"Fyll ut enten Inn eller Ut",IF(OR(IFERROR(INDEX('Kontoplan'!$D$3:$D$302,MATCH(D838,'Kontoplan'!$H$3:$H$302,0))="Støttes ikke",FALSE),IFERROR(INDEX('Kontoplan'!$D$3:$D$302,MATCH(E838,'Kontoplan'!$H$3:$H$302,0))="Støttes ikke",FALSE)),"Kontoen støttes ikke",IF(IFERROR(AND(A838&gt;1,COUNTIF($A$3:$A$2002,A838-1)=0),FALSE),"Nummeret hopper over",IF(OR(NOT(ISNUMBER(B838)),B838&lt;DATE(2027,1,1),B838&gt;DATE(2027,12,31)),"Datoen er ikke i 2027",""))))))</f>
        <v/>
      </c>
    </row>
    <row r="839">
      <c r="A839" s="17" t="n"/>
      <c r="B839" s="9" t="n"/>
      <c r="C839" s="8" t="n"/>
      <c r="D839" s="8" t="n"/>
      <c r="E839" s="8" t="n"/>
      <c r="F839" s="14" t="n"/>
      <c r="G839" s="14" t="n"/>
      <c r="H839" s="8" t="n"/>
      <c r="I839" s="8" t="n"/>
      <c r="J839" s="8" t="n"/>
      <c r="K839" s="18">
        <f>IF(B839="","",IFERROR(MONTH(B839),""))</f>
        <v/>
      </c>
      <c r="L839" s="5">
        <f>IF(COUNTA(A839:J839)=0,"",IF(E839="","Mangler motkonto",IF((F839="")=(G839=""),"Fyll ut enten Inn eller Ut",IF(OR(IFERROR(INDEX('Kontoplan'!$D$3:$D$302,MATCH(D839,'Kontoplan'!$H$3:$H$302,0))="Støttes ikke",FALSE),IFERROR(INDEX('Kontoplan'!$D$3:$D$302,MATCH(E839,'Kontoplan'!$H$3:$H$302,0))="Støttes ikke",FALSE)),"Kontoen støttes ikke",IF(IFERROR(AND(A839&gt;1,COUNTIF($A$3:$A$2002,A839-1)=0),FALSE),"Nummeret hopper over",IF(OR(NOT(ISNUMBER(B839)),B839&lt;DATE(2027,1,1),B839&gt;DATE(2027,12,31)),"Datoen er ikke i 2027",""))))))</f>
        <v/>
      </c>
    </row>
    <row r="840">
      <c r="A840" s="17" t="n"/>
      <c r="B840" s="9" t="n"/>
      <c r="C840" s="8" t="n"/>
      <c r="D840" s="8" t="n"/>
      <c r="E840" s="8" t="n"/>
      <c r="F840" s="14" t="n"/>
      <c r="G840" s="14" t="n"/>
      <c r="H840" s="8" t="n"/>
      <c r="I840" s="8" t="n"/>
      <c r="J840" s="8" t="n"/>
      <c r="K840" s="18">
        <f>IF(B840="","",IFERROR(MONTH(B840),""))</f>
        <v/>
      </c>
      <c r="L840" s="5">
        <f>IF(COUNTA(A840:J840)=0,"",IF(E840="","Mangler motkonto",IF((F840="")=(G840=""),"Fyll ut enten Inn eller Ut",IF(OR(IFERROR(INDEX('Kontoplan'!$D$3:$D$302,MATCH(D840,'Kontoplan'!$H$3:$H$302,0))="Støttes ikke",FALSE),IFERROR(INDEX('Kontoplan'!$D$3:$D$302,MATCH(E840,'Kontoplan'!$H$3:$H$302,0))="Støttes ikke",FALSE)),"Kontoen støttes ikke",IF(IFERROR(AND(A840&gt;1,COUNTIF($A$3:$A$2002,A840-1)=0),FALSE),"Nummeret hopper over",IF(OR(NOT(ISNUMBER(B840)),B840&lt;DATE(2027,1,1),B840&gt;DATE(2027,12,31)),"Datoen er ikke i 2027",""))))))</f>
        <v/>
      </c>
    </row>
    <row r="841">
      <c r="A841" s="17" t="n"/>
      <c r="B841" s="9" t="n"/>
      <c r="C841" s="8" t="n"/>
      <c r="D841" s="8" t="n"/>
      <c r="E841" s="8" t="n"/>
      <c r="F841" s="14" t="n"/>
      <c r="G841" s="14" t="n"/>
      <c r="H841" s="8" t="n"/>
      <c r="I841" s="8" t="n"/>
      <c r="J841" s="8" t="n"/>
      <c r="K841" s="18">
        <f>IF(B841="","",IFERROR(MONTH(B841),""))</f>
        <v/>
      </c>
      <c r="L841" s="5">
        <f>IF(COUNTA(A841:J841)=0,"",IF(E841="","Mangler motkonto",IF((F841="")=(G841=""),"Fyll ut enten Inn eller Ut",IF(OR(IFERROR(INDEX('Kontoplan'!$D$3:$D$302,MATCH(D841,'Kontoplan'!$H$3:$H$302,0))="Støttes ikke",FALSE),IFERROR(INDEX('Kontoplan'!$D$3:$D$302,MATCH(E841,'Kontoplan'!$H$3:$H$302,0))="Støttes ikke",FALSE)),"Kontoen støttes ikke",IF(IFERROR(AND(A841&gt;1,COUNTIF($A$3:$A$2002,A841-1)=0),FALSE),"Nummeret hopper over",IF(OR(NOT(ISNUMBER(B841)),B841&lt;DATE(2027,1,1),B841&gt;DATE(2027,12,31)),"Datoen er ikke i 2027",""))))))</f>
        <v/>
      </c>
    </row>
    <row r="842">
      <c r="A842" s="17" t="n"/>
      <c r="B842" s="9" t="n"/>
      <c r="C842" s="8" t="n"/>
      <c r="D842" s="8" t="n"/>
      <c r="E842" s="8" t="n"/>
      <c r="F842" s="14" t="n"/>
      <c r="G842" s="14" t="n"/>
      <c r="H842" s="8" t="n"/>
      <c r="I842" s="8" t="n"/>
      <c r="J842" s="8" t="n"/>
      <c r="K842" s="18">
        <f>IF(B842="","",IFERROR(MONTH(B842),""))</f>
        <v/>
      </c>
      <c r="L842" s="5">
        <f>IF(COUNTA(A842:J842)=0,"",IF(E842="","Mangler motkonto",IF((F842="")=(G842=""),"Fyll ut enten Inn eller Ut",IF(OR(IFERROR(INDEX('Kontoplan'!$D$3:$D$302,MATCH(D842,'Kontoplan'!$H$3:$H$302,0))="Støttes ikke",FALSE),IFERROR(INDEX('Kontoplan'!$D$3:$D$302,MATCH(E842,'Kontoplan'!$H$3:$H$302,0))="Støttes ikke",FALSE)),"Kontoen støttes ikke",IF(IFERROR(AND(A842&gt;1,COUNTIF($A$3:$A$2002,A842-1)=0),FALSE),"Nummeret hopper over",IF(OR(NOT(ISNUMBER(B842)),B842&lt;DATE(2027,1,1),B842&gt;DATE(2027,12,31)),"Datoen er ikke i 2027",""))))))</f>
        <v/>
      </c>
    </row>
    <row r="843">
      <c r="A843" s="17" t="n"/>
      <c r="B843" s="9" t="n"/>
      <c r="C843" s="8" t="n"/>
      <c r="D843" s="8" t="n"/>
      <c r="E843" s="8" t="n"/>
      <c r="F843" s="14" t="n"/>
      <c r="G843" s="14" t="n"/>
      <c r="H843" s="8" t="n"/>
      <c r="I843" s="8" t="n"/>
      <c r="J843" s="8" t="n"/>
      <c r="K843" s="18">
        <f>IF(B843="","",IFERROR(MONTH(B843),""))</f>
        <v/>
      </c>
      <c r="L843" s="5">
        <f>IF(COUNTA(A843:J843)=0,"",IF(E843="","Mangler motkonto",IF((F843="")=(G843=""),"Fyll ut enten Inn eller Ut",IF(OR(IFERROR(INDEX('Kontoplan'!$D$3:$D$302,MATCH(D843,'Kontoplan'!$H$3:$H$302,0))="Støttes ikke",FALSE),IFERROR(INDEX('Kontoplan'!$D$3:$D$302,MATCH(E843,'Kontoplan'!$H$3:$H$302,0))="Støttes ikke",FALSE)),"Kontoen støttes ikke",IF(IFERROR(AND(A843&gt;1,COUNTIF($A$3:$A$2002,A843-1)=0),FALSE),"Nummeret hopper over",IF(OR(NOT(ISNUMBER(B843)),B843&lt;DATE(2027,1,1),B843&gt;DATE(2027,12,31)),"Datoen er ikke i 2027",""))))))</f>
        <v/>
      </c>
    </row>
    <row r="844">
      <c r="A844" s="17" t="n"/>
      <c r="B844" s="9" t="n"/>
      <c r="C844" s="8" t="n"/>
      <c r="D844" s="8" t="n"/>
      <c r="E844" s="8" t="n"/>
      <c r="F844" s="14" t="n"/>
      <c r="G844" s="14" t="n"/>
      <c r="H844" s="8" t="n"/>
      <c r="I844" s="8" t="n"/>
      <c r="J844" s="8" t="n"/>
      <c r="K844" s="18">
        <f>IF(B844="","",IFERROR(MONTH(B844),""))</f>
        <v/>
      </c>
      <c r="L844" s="5">
        <f>IF(COUNTA(A844:J844)=0,"",IF(E844="","Mangler motkonto",IF((F844="")=(G844=""),"Fyll ut enten Inn eller Ut",IF(OR(IFERROR(INDEX('Kontoplan'!$D$3:$D$302,MATCH(D844,'Kontoplan'!$H$3:$H$302,0))="Støttes ikke",FALSE),IFERROR(INDEX('Kontoplan'!$D$3:$D$302,MATCH(E844,'Kontoplan'!$H$3:$H$302,0))="Støttes ikke",FALSE)),"Kontoen støttes ikke",IF(IFERROR(AND(A844&gt;1,COUNTIF($A$3:$A$2002,A844-1)=0),FALSE),"Nummeret hopper over",IF(OR(NOT(ISNUMBER(B844)),B844&lt;DATE(2027,1,1),B844&gt;DATE(2027,12,31)),"Datoen er ikke i 2027",""))))))</f>
        <v/>
      </c>
    </row>
    <row r="845">
      <c r="A845" s="17" t="n"/>
      <c r="B845" s="9" t="n"/>
      <c r="C845" s="8" t="n"/>
      <c r="D845" s="8" t="n"/>
      <c r="E845" s="8" t="n"/>
      <c r="F845" s="14" t="n"/>
      <c r="G845" s="14" t="n"/>
      <c r="H845" s="8" t="n"/>
      <c r="I845" s="8" t="n"/>
      <c r="J845" s="8" t="n"/>
      <c r="K845" s="18">
        <f>IF(B845="","",IFERROR(MONTH(B845),""))</f>
        <v/>
      </c>
      <c r="L845" s="5">
        <f>IF(COUNTA(A845:J845)=0,"",IF(E845="","Mangler motkonto",IF((F845="")=(G845=""),"Fyll ut enten Inn eller Ut",IF(OR(IFERROR(INDEX('Kontoplan'!$D$3:$D$302,MATCH(D845,'Kontoplan'!$H$3:$H$302,0))="Støttes ikke",FALSE),IFERROR(INDEX('Kontoplan'!$D$3:$D$302,MATCH(E845,'Kontoplan'!$H$3:$H$302,0))="Støttes ikke",FALSE)),"Kontoen støttes ikke",IF(IFERROR(AND(A845&gt;1,COUNTIF($A$3:$A$2002,A845-1)=0),FALSE),"Nummeret hopper over",IF(OR(NOT(ISNUMBER(B845)),B845&lt;DATE(2027,1,1),B845&gt;DATE(2027,12,31)),"Datoen er ikke i 2027",""))))))</f>
        <v/>
      </c>
    </row>
    <row r="846">
      <c r="A846" s="17" t="n"/>
      <c r="B846" s="9" t="n"/>
      <c r="C846" s="8" t="n"/>
      <c r="D846" s="8" t="n"/>
      <c r="E846" s="8" t="n"/>
      <c r="F846" s="14" t="n"/>
      <c r="G846" s="14" t="n"/>
      <c r="H846" s="8" t="n"/>
      <c r="I846" s="8" t="n"/>
      <c r="J846" s="8" t="n"/>
      <c r="K846" s="18">
        <f>IF(B846="","",IFERROR(MONTH(B846),""))</f>
        <v/>
      </c>
      <c r="L846" s="5">
        <f>IF(COUNTA(A846:J846)=0,"",IF(E846="","Mangler motkonto",IF((F846="")=(G846=""),"Fyll ut enten Inn eller Ut",IF(OR(IFERROR(INDEX('Kontoplan'!$D$3:$D$302,MATCH(D846,'Kontoplan'!$H$3:$H$302,0))="Støttes ikke",FALSE),IFERROR(INDEX('Kontoplan'!$D$3:$D$302,MATCH(E846,'Kontoplan'!$H$3:$H$302,0))="Støttes ikke",FALSE)),"Kontoen støttes ikke",IF(IFERROR(AND(A846&gt;1,COUNTIF($A$3:$A$2002,A846-1)=0),FALSE),"Nummeret hopper over",IF(OR(NOT(ISNUMBER(B846)),B846&lt;DATE(2027,1,1),B846&gt;DATE(2027,12,31)),"Datoen er ikke i 2027",""))))))</f>
        <v/>
      </c>
    </row>
    <row r="847">
      <c r="A847" s="17" t="n"/>
      <c r="B847" s="9" t="n"/>
      <c r="C847" s="8" t="n"/>
      <c r="D847" s="8" t="n"/>
      <c r="E847" s="8" t="n"/>
      <c r="F847" s="14" t="n"/>
      <c r="G847" s="14" t="n"/>
      <c r="H847" s="8" t="n"/>
      <c r="I847" s="8" t="n"/>
      <c r="J847" s="8" t="n"/>
      <c r="K847" s="18">
        <f>IF(B847="","",IFERROR(MONTH(B847),""))</f>
        <v/>
      </c>
      <c r="L847" s="5">
        <f>IF(COUNTA(A847:J847)=0,"",IF(E847="","Mangler motkonto",IF((F847="")=(G847=""),"Fyll ut enten Inn eller Ut",IF(OR(IFERROR(INDEX('Kontoplan'!$D$3:$D$302,MATCH(D847,'Kontoplan'!$H$3:$H$302,0))="Støttes ikke",FALSE),IFERROR(INDEX('Kontoplan'!$D$3:$D$302,MATCH(E847,'Kontoplan'!$H$3:$H$302,0))="Støttes ikke",FALSE)),"Kontoen støttes ikke",IF(IFERROR(AND(A847&gt;1,COUNTIF($A$3:$A$2002,A847-1)=0),FALSE),"Nummeret hopper over",IF(OR(NOT(ISNUMBER(B847)),B847&lt;DATE(2027,1,1),B847&gt;DATE(2027,12,31)),"Datoen er ikke i 2027",""))))))</f>
        <v/>
      </c>
    </row>
    <row r="848">
      <c r="A848" s="17" t="n"/>
      <c r="B848" s="9" t="n"/>
      <c r="C848" s="8" t="n"/>
      <c r="D848" s="8" t="n"/>
      <c r="E848" s="8" t="n"/>
      <c r="F848" s="14" t="n"/>
      <c r="G848" s="14" t="n"/>
      <c r="H848" s="8" t="n"/>
      <c r="I848" s="8" t="n"/>
      <c r="J848" s="8" t="n"/>
      <c r="K848" s="18">
        <f>IF(B848="","",IFERROR(MONTH(B848),""))</f>
        <v/>
      </c>
      <c r="L848" s="5">
        <f>IF(COUNTA(A848:J848)=0,"",IF(E848="","Mangler motkonto",IF((F848="")=(G848=""),"Fyll ut enten Inn eller Ut",IF(OR(IFERROR(INDEX('Kontoplan'!$D$3:$D$302,MATCH(D848,'Kontoplan'!$H$3:$H$302,0))="Støttes ikke",FALSE),IFERROR(INDEX('Kontoplan'!$D$3:$D$302,MATCH(E848,'Kontoplan'!$H$3:$H$302,0))="Støttes ikke",FALSE)),"Kontoen støttes ikke",IF(IFERROR(AND(A848&gt;1,COUNTIF($A$3:$A$2002,A848-1)=0),FALSE),"Nummeret hopper over",IF(OR(NOT(ISNUMBER(B848)),B848&lt;DATE(2027,1,1),B848&gt;DATE(2027,12,31)),"Datoen er ikke i 2027",""))))))</f>
        <v/>
      </c>
    </row>
    <row r="849">
      <c r="A849" s="17" t="n"/>
      <c r="B849" s="9" t="n"/>
      <c r="C849" s="8" t="n"/>
      <c r="D849" s="8" t="n"/>
      <c r="E849" s="8" t="n"/>
      <c r="F849" s="14" t="n"/>
      <c r="G849" s="14" t="n"/>
      <c r="H849" s="8" t="n"/>
      <c r="I849" s="8" t="n"/>
      <c r="J849" s="8" t="n"/>
      <c r="K849" s="18">
        <f>IF(B849="","",IFERROR(MONTH(B849),""))</f>
        <v/>
      </c>
      <c r="L849" s="5">
        <f>IF(COUNTA(A849:J849)=0,"",IF(E849="","Mangler motkonto",IF((F849="")=(G849=""),"Fyll ut enten Inn eller Ut",IF(OR(IFERROR(INDEX('Kontoplan'!$D$3:$D$302,MATCH(D849,'Kontoplan'!$H$3:$H$302,0))="Støttes ikke",FALSE),IFERROR(INDEX('Kontoplan'!$D$3:$D$302,MATCH(E849,'Kontoplan'!$H$3:$H$302,0))="Støttes ikke",FALSE)),"Kontoen støttes ikke",IF(IFERROR(AND(A849&gt;1,COUNTIF($A$3:$A$2002,A849-1)=0),FALSE),"Nummeret hopper over",IF(OR(NOT(ISNUMBER(B849)),B849&lt;DATE(2027,1,1),B849&gt;DATE(2027,12,31)),"Datoen er ikke i 2027",""))))))</f>
        <v/>
      </c>
    </row>
    <row r="850">
      <c r="A850" s="17" t="n"/>
      <c r="B850" s="9" t="n"/>
      <c r="C850" s="8" t="n"/>
      <c r="D850" s="8" t="n"/>
      <c r="E850" s="8" t="n"/>
      <c r="F850" s="14" t="n"/>
      <c r="G850" s="14" t="n"/>
      <c r="H850" s="8" t="n"/>
      <c r="I850" s="8" t="n"/>
      <c r="J850" s="8" t="n"/>
      <c r="K850" s="18">
        <f>IF(B850="","",IFERROR(MONTH(B850),""))</f>
        <v/>
      </c>
      <c r="L850" s="5">
        <f>IF(COUNTA(A850:J850)=0,"",IF(E850="","Mangler motkonto",IF((F850="")=(G850=""),"Fyll ut enten Inn eller Ut",IF(OR(IFERROR(INDEX('Kontoplan'!$D$3:$D$302,MATCH(D850,'Kontoplan'!$H$3:$H$302,0))="Støttes ikke",FALSE),IFERROR(INDEX('Kontoplan'!$D$3:$D$302,MATCH(E850,'Kontoplan'!$H$3:$H$302,0))="Støttes ikke",FALSE)),"Kontoen støttes ikke",IF(IFERROR(AND(A850&gt;1,COUNTIF($A$3:$A$2002,A850-1)=0),FALSE),"Nummeret hopper over",IF(OR(NOT(ISNUMBER(B850)),B850&lt;DATE(2027,1,1),B850&gt;DATE(2027,12,31)),"Datoen er ikke i 2027",""))))))</f>
        <v/>
      </c>
    </row>
    <row r="851">
      <c r="A851" s="17" t="n"/>
      <c r="B851" s="9" t="n"/>
      <c r="C851" s="8" t="n"/>
      <c r="D851" s="8" t="n"/>
      <c r="E851" s="8" t="n"/>
      <c r="F851" s="14" t="n"/>
      <c r="G851" s="14" t="n"/>
      <c r="H851" s="8" t="n"/>
      <c r="I851" s="8" t="n"/>
      <c r="J851" s="8" t="n"/>
      <c r="K851" s="18">
        <f>IF(B851="","",IFERROR(MONTH(B851),""))</f>
        <v/>
      </c>
      <c r="L851" s="5">
        <f>IF(COUNTA(A851:J851)=0,"",IF(E851="","Mangler motkonto",IF((F851="")=(G851=""),"Fyll ut enten Inn eller Ut",IF(OR(IFERROR(INDEX('Kontoplan'!$D$3:$D$302,MATCH(D851,'Kontoplan'!$H$3:$H$302,0))="Støttes ikke",FALSE),IFERROR(INDEX('Kontoplan'!$D$3:$D$302,MATCH(E851,'Kontoplan'!$H$3:$H$302,0))="Støttes ikke",FALSE)),"Kontoen støttes ikke",IF(IFERROR(AND(A851&gt;1,COUNTIF($A$3:$A$2002,A851-1)=0),FALSE),"Nummeret hopper over",IF(OR(NOT(ISNUMBER(B851)),B851&lt;DATE(2027,1,1),B851&gt;DATE(2027,12,31)),"Datoen er ikke i 2027",""))))))</f>
        <v/>
      </c>
    </row>
    <row r="852">
      <c r="A852" s="17" t="n"/>
      <c r="B852" s="9" t="n"/>
      <c r="C852" s="8" t="n"/>
      <c r="D852" s="8" t="n"/>
      <c r="E852" s="8" t="n"/>
      <c r="F852" s="14" t="n"/>
      <c r="G852" s="14" t="n"/>
      <c r="H852" s="8" t="n"/>
      <c r="I852" s="8" t="n"/>
      <c r="J852" s="8" t="n"/>
      <c r="K852" s="18">
        <f>IF(B852="","",IFERROR(MONTH(B852),""))</f>
        <v/>
      </c>
      <c r="L852" s="5">
        <f>IF(COUNTA(A852:J852)=0,"",IF(E852="","Mangler motkonto",IF((F852="")=(G852=""),"Fyll ut enten Inn eller Ut",IF(OR(IFERROR(INDEX('Kontoplan'!$D$3:$D$302,MATCH(D852,'Kontoplan'!$H$3:$H$302,0))="Støttes ikke",FALSE),IFERROR(INDEX('Kontoplan'!$D$3:$D$302,MATCH(E852,'Kontoplan'!$H$3:$H$302,0))="Støttes ikke",FALSE)),"Kontoen støttes ikke",IF(IFERROR(AND(A852&gt;1,COUNTIF($A$3:$A$2002,A852-1)=0),FALSE),"Nummeret hopper over",IF(OR(NOT(ISNUMBER(B852)),B852&lt;DATE(2027,1,1),B852&gt;DATE(2027,12,31)),"Datoen er ikke i 2027",""))))))</f>
        <v/>
      </c>
    </row>
    <row r="853">
      <c r="A853" s="17" t="n"/>
      <c r="B853" s="9" t="n"/>
      <c r="C853" s="8" t="n"/>
      <c r="D853" s="8" t="n"/>
      <c r="E853" s="8" t="n"/>
      <c r="F853" s="14" t="n"/>
      <c r="G853" s="14" t="n"/>
      <c r="H853" s="8" t="n"/>
      <c r="I853" s="8" t="n"/>
      <c r="J853" s="8" t="n"/>
      <c r="K853" s="18">
        <f>IF(B853="","",IFERROR(MONTH(B853),""))</f>
        <v/>
      </c>
      <c r="L853" s="5">
        <f>IF(COUNTA(A853:J853)=0,"",IF(E853="","Mangler motkonto",IF((F853="")=(G853=""),"Fyll ut enten Inn eller Ut",IF(OR(IFERROR(INDEX('Kontoplan'!$D$3:$D$302,MATCH(D853,'Kontoplan'!$H$3:$H$302,0))="Støttes ikke",FALSE),IFERROR(INDEX('Kontoplan'!$D$3:$D$302,MATCH(E853,'Kontoplan'!$H$3:$H$302,0))="Støttes ikke",FALSE)),"Kontoen støttes ikke",IF(IFERROR(AND(A853&gt;1,COUNTIF($A$3:$A$2002,A853-1)=0),FALSE),"Nummeret hopper over",IF(OR(NOT(ISNUMBER(B853)),B853&lt;DATE(2027,1,1),B853&gt;DATE(2027,12,31)),"Datoen er ikke i 2027",""))))))</f>
        <v/>
      </c>
    </row>
    <row r="854">
      <c r="A854" s="17" t="n"/>
      <c r="B854" s="9" t="n"/>
      <c r="C854" s="8" t="n"/>
      <c r="D854" s="8" t="n"/>
      <c r="E854" s="8" t="n"/>
      <c r="F854" s="14" t="n"/>
      <c r="G854" s="14" t="n"/>
      <c r="H854" s="8" t="n"/>
      <c r="I854" s="8" t="n"/>
      <c r="J854" s="8" t="n"/>
      <c r="K854" s="18">
        <f>IF(B854="","",IFERROR(MONTH(B854),""))</f>
        <v/>
      </c>
      <c r="L854" s="5">
        <f>IF(COUNTA(A854:J854)=0,"",IF(E854="","Mangler motkonto",IF((F854="")=(G854=""),"Fyll ut enten Inn eller Ut",IF(OR(IFERROR(INDEX('Kontoplan'!$D$3:$D$302,MATCH(D854,'Kontoplan'!$H$3:$H$302,0))="Støttes ikke",FALSE),IFERROR(INDEX('Kontoplan'!$D$3:$D$302,MATCH(E854,'Kontoplan'!$H$3:$H$302,0))="Støttes ikke",FALSE)),"Kontoen støttes ikke",IF(IFERROR(AND(A854&gt;1,COUNTIF($A$3:$A$2002,A854-1)=0),FALSE),"Nummeret hopper over",IF(OR(NOT(ISNUMBER(B854)),B854&lt;DATE(2027,1,1),B854&gt;DATE(2027,12,31)),"Datoen er ikke i 2027",""))))))</f>
        <v/>
      </c>
    </row>
    <row r="855">
      <c r="A855" s="17" t="n"/>
      <c r="B855" s="9" t="n"/>
      <c r="C855" s="8" t="n"/>
      <c r="D855" s="8" t="n"/>
      <c r="E855" s="8" t="n"/>
      <c r="F855" s="14" t="n"/>
      <c r="G855" s="14" t="n"/>
      <c r="H855" s="8" t="n"/>
      <c r="I855" s="8" t="n"/>
      <c r="J855" s="8" t="n"/>
      <c r="K855" s="18">
        <f>IF(B855="","",IFERROR(MONTH(B855),""))</f>
        <v/>
      </c>
      <c r="L855" s="5">
        <f>IF(COUNTA(A855:J855)=0,"",IF(E855="","Mangler motkonto",IF((F855="")=(G855=""),"Fyll ut enten Inn eller Ut",IF(OR(IFERROR(INDEX('Kontoplan'!$D$3:$D$302,MATCH(D855,'Kontoplan'!$H$3:$H$302,0))="Støttes ikke",FALSE),IFERROR(INDEX('Kontoplan'!$D$3:$D$302,MATCH(E855,'Kontoplan'!$H$3:$H$302,0))="Støttes ikke",FALSE)),"Kontoen støttes ikke",IF(IFERROR(AND(A855&gt;1,COUNTIF($A$3:$A$2002,A855-1)=0),FALSE),"Nummeret hopper over",IF(OR(NOT(ISNUMBER(B855)),B855&lt;DATE(2027,1,1),B855&gt;DATE(2027,12,31)),"Datoen er ikke i 2027",""))))))</f>
        <v/>
      </c>
    </row>
    <row r="856">
      <c r="A856" s="17" t="n"/>
      <c r="B856" s="9" t="n"/>
      <c r="C856" s="8" t="n"/>
      <c r="D856" s="8" t="n"/>
      <c r="E856" s="8" t="n"/>
      <c r="F856" s="14" t="n"/>
      <c r="G856" s="14" t="n"/>
      <c r="H856" s="8" t="n"/>
      <c r="I856" s="8" t="n"/>
      <c r="J856" s="8" t="n"/>
      <c r="K856" s="18">
        <f>IF(B856="","",IFERROR(MONTH(B856),""))</f>
        <v/>
      </c>
      <c r="L856" s="5">
        <f>IF(COUNTA(A856:J856)=0,"",IF(E856="","Mangler motkonto",IF((F856="")=(G856=""),"Fyll ut enten Inn eller Ut",IF(OR(IFERROR(INDEX('Kontoplan'!$D$3:$D$302,MATCH(D856,'Kontoplan'!$H$3:$H$302,0))="Støttes ikke",FALSE),IFERROR(INDEX('Kontoplan'!$D$3:$D$302,MATCH(E856,'Kontoplan'!$H$3:$H$302,0))="Støttes ikke",FALSE)),"Kontoen støttes ikke",IF(IFERROR(AND(A856&gt;1,COUNTIF($A$3:$A$2002,A856-1)=0),FALSE),"Nummeret hopper over",IF(OR(NOT(ISNUMBER(B856)),B856&lt;DATE(2027,1,1),B856&gt;DATE(2027,12,31)),"Datoen er ikke i 2027",""))))))</f>
        <v/>
      </c>
    </row>
    <row r="857">
      <c r="A857" s="17" t="n"/>
      <c r="B857" s="9" t="n"/>
      <c r="C857" s="8" t="n"/>
      <c r="D857" s="8" t="n"/>
      <c r="E857" s="8" t="n"/>
      <c r="F857" s="14" t="n"/>
      <c r="G857" s="14" t="n"/>
      <c r="H857" s="8" t="n"/>
      <c r="I857" s="8" t="n"/>
      <c r="J857" s="8" t="n"/>
      <c r="K857" s="18">
        <f>IF(B857="","",IFERROR(MONTH(B857),""))</f>
        <v/>
      </c>
      <c r="L857" s="5">
        <f>IF(COUNTA(A857:J857)=0,"",IF(E857="","Mangler motkonto",IF((F857="")=(G857=""),"Fyll ut enten Inn eller Ut",IF(OR(IFERROR(INDEX('Kontoplan'!$D$3:$D$302,MATCH(D857,'Kontoplan'!$H$3:$H$302,0))="Støttes ikke",FALSE),IFERROR(INDEX('Kontoplan'!$D$3:$D$302,MATCH(E857,'Kontoplan'!$H$3:$H$302,0))="Støttes ikke",FALSE)),"Kontoen støttes ikke",IF(IFERROR(AND(A857&gt;1,COUNTIF($A$3:$A$2002,A857-1)=0),FALSE),"Nummeret hopper over",IF(OR(NOT(ISNUMBER(B857)),B857&lt;DATE(2027,1,1),B857&gt;DATE(2027,12,31)),"Datoen er ikke i 2027",""))))))</f>
        <v/>
      </c>
    </row>
    <row r="858">
      <c r="A858" s="17" t="n"/>
      <c r="B858" s="9" t="n"/>
      <c r="C858" s="8" t="n"/>
      <c r="D858" s="8" t="n"/>
      <c r="E858" s="8" t="n"/>
      <c r="F858" s="14" t="n"/>
      <c r="G858" s="14" t="n"/>
      <c r="H858" s="8" t="n"/>
      <c r="I858" s="8" t="n"/>
      <c r="J858" s="8" t="n"/>
      <c r="K858" s="18">
        <f>IF(B858="","",IFERROR(MONTH(B858),""))</f>
        <v/>
      </c>
      <c r="L858" s="5">
        <f>IF(COUNTA(A858:J858)=0,"",IF(E858="","Mangler motkonto",IF((F858="")=(G858=""),"Fyll ut enten Inn eller Ut",IF(OR(IFERROR(INDEX('Kontoplan'!$D$3:$D$302,MATCH(D858,'Kontoplan'!$H$3:$H$302,0))="Støttes ikke",FALSE),IFERROR(INDEX('Kontoplan'!$D$3:$D$302,MATCH(E858,'Kontoplan'!$H$3:$H$302,0))="Støttes ikke",FALSE)),"Kontoen støttes ikke",IF(IFERROR(AND(A858&gt;1,COUNTIF($A$3:$A$2002,A858-1)=0),FALSE),"Nummeret hopper over",IF(OR(NOT(ISNUMBER(B858)),B858&lt;DATE(2027,1,1),B858&gt;DATE(2027,12,31)),"Datoen er ikke i 2027",""))))))</f>
        <v/>
      </c>
    </row>
    <row r="859">
      <c r="A859" s="17" t="n"/>
      <c r="B859" s="9" t="n"/>
      <c r="C859" s="8" t="n"/>
      <c r="D859" s="8" t="n"/>
      <c r="E859" s="8" t="n"/>
      <c r="F859" s="14" t="n"/>
      <c r="G859" s="14" t="n"/>
      <c r="H859" s="8" t="n"/>
      <c r="I859" s="8" t="n"/>
      <c r="J859" s="8" t="n"/>
      <c r="K859" s="18">
        <f>IF(B859="","",IFERROR(MONTH(B859),""))</f>
        <v/>
      </c>
      <c r="L859" s="5">
        <f>IF(COUNTA(A859:J859)=0,"",IF(E859="","Mangler motkonto",IF((F859="")=(G859=""),"Fyll ut enten Inn eller Ut",IF(OR(IFERROR(INDEX('Kontoplan'!$D$3:$D$302,MATCH(D859,'Kontoplan'!$H$3:$H$302,0))="Støttes ikke",FALSE),IFERROR(INDEX('Kontoplan'!$D$3:$D$302,MATCH(E859,'Kontoplan'!$H$3:$H$302,0))="Støttes ikke",FALSE)),"Kontoen støttes ikke",IF(IFERROR(AND(A859&gt;1,COUNTIF($A$3:$A$2002,A859-1)=0),FALSE),"Nummeret hopper over",IF(OR(NOT(ISNUMBER(B859)),B859&lt;DATE(2027,1,1),B859&gt;DATE(2027,12,31)),"Datoen er ikke i 2027",""))))))</f>
        <v/>
      </c>
    </row>
    <row r="860">
      <c r="A860" s="17" t="n"/>
      <c r="B860" s="9" t="n"/>
      <c r="C860" s="8" t="n"/>
      <c r="D860" s="8" t="n"/>
      <c r="E860" s="8" t="n"/>
      <c r="F860" s="14" t="n"/>
      <c r="G860" s="14" t="n"/>
      <c r="H860" s="8" t="n"/>
      <c r="I860" s="8" t="n"/>
      <c r="J860" s="8" t="n"/>
      <c r="K860" s="18">
        <f>IF(B860="","",IFERROR(MONTH(B860),""))</f>
        <v/>
      </c>
      <c r="L860" s="5">
        <f>IF(COUNTA(A860:J860)=0,"",IF(E860="","Mangler motkonto",IF((F860="")=(G860=""),"Fyll ut enten Inn eller Ut",IF(OR(IFERROR(INDEX('Kontoplan'!$D$3:$D$302,MATCH(D860,'Kontoplan'!$H$3:$H$302,0))="Støttes ikke",FALSE),IFERROR(INDEX('Kontoplan'!$D$3:$D$302,MATCH(E860,'Kontoplan'!$H$3:$H$302,0))="Støttes ikke",FALSE)),"Kontoen støttes ikke",IF(IFERROR(AND(A860&gt;1,COUNTIF($A$3:$A$2002,A860-1)=0),FALSE),"Nummeret hopper over",IF(OR(NOT(ISNUMBER(B860)),B860&lt;DATE(2027,1,1),B860&gt;DATE(2027,12,31)),"Datoen er ikke i 2027",""))))))</f>
        <v/>
      </c>
    </row>
    <row r="861">
      <c r="A861" s="17" t="n"/>
      <c r="B861" s="9" t="n"/>
      <c r="C861" s="8" t="n"/>
      <c r="D861" s="8" t="n"/>
      <c r="E861" s="8" t="n"/>
      <c r="F861" s="14" t="n"/>
      <c r="G861" s="14" t="n"/>
      <c r="H861" s="8" t="n"/>
      <c r="I861" s="8" t="n"/>
      <c r="J861" s="8" t="n"/>
      <c r="K861" s="18">
        <f>IF(B861="","",IFERROR(MONTH(B861),""))</f>
        <v/>
      </c>
      <c r="L861" s="5">
        <f>IF(COUNTA(A861:J861)=0,"",IF(E861="","Mangler motkonto",IF((F861="")=(G861=""),"Fyll ut enten Inn eller Ut",IF(OR(IFERROR(INDEX('Kontoplan'!$D$3:$D$302,MATCH(D861,'Kontoplan'!$H$3:$H$302,0))="Støttes ikke",FALSE),IFERROR(INDEX('Kontoplan'!$D$3:$D$302,MATCH(E861,'Kontoplan'!$H$3:$H$302,0))="Støttes ikke",FALSE)),"Kontoen støttes ikke",IF(IFERROR(AND(A861&gt;1,COUNTIF($A$3:$A$2002,A861-1)=0),FALSE),"Nummeret hopper over",IF(OR(NOT(ISNUMBER(B861)),B861&lt;DATE(2027,1,1),B861&gt;DATE(2027,12,31)),"Datoen er ikke i 2027",""))))))</f>
        <v/>
      </c>
    </row>
    <row r="862">
      <c r="A862" s="17" t="n"/>
      <c r="B862" s="9" t="n"/>
      <c r="C862" s="8" t="n"/>
      <c r="D862" s="8" t="n"/>
      <c r="E862" s="8" t="n"/>
      <c r="F862" s="14" t="n"/>
      <c r="G862" s="14" t="n"/>
      <c r="H862" s="8" t="n"/>
      <c r="I862" s="8" t="n"/>
      <c r="J862" s="8" t="n"/>
      <c r="K862" s="18">
        <f>IF(B862="","",IFERROR(MONTH(B862),""))</f>
        <v/>
      </c>
      <c r="L862" s="5">
        <f>IF(COUNTA(A862:J862)=0,"",IF(E862="","Mangler motkonto",IF((F862="")=(G862=""),"Fyll ut enten Inn eller Ut",IF(OR(IFERROR(INDEX('Kontoplan'!$D$3:$D$302,MATCH(D862,'Kontoplan'!$H$3:$H$302,0))="Støttes ikke",FALSE),IFERROR(INDEX('Kontoplan'!$D$3:$D$302,MATCH(E862,'Kontoplan'!$H$3:$H$302,0))="Støttes ikke",FALSE)),"Kontoen støttes ikke",IF(IFERROR(AND(A862&gt;1,COUNTIF($A$3:$A$2002,A862-1)=0),FALSE),"Nummeret hopper over",IF(OR(NOT(ISNUMBER(B862)),B862&lt;DATE(2027,1,1),B862&gt;DATE(2027,12,31)),"Datoen er ikke i 2027",""))))))</f>
        <v/>
      </c>
    </row>
    <row r="863">
      <c r="A863" s="17" t="n"/>
      <c r="B863" s="9" t="n"/>
      <c r="C863" s="8" t="n"/>
      <c r="D863" s="8" t="n"/>
      <c r="E863" s="8" t="n"/>
      <c r="F863" s="14" t="n"/>
      <c r="G863" s="14" t="n"/>
      <c r="H863" s="8" t="n"/>
      <c r="I863" s="8" t="n"/>
      <c r="J863" s="8" t="n"/>
      <c r="K863" s="18">
        <f>IF(B863="","",IFERROR(MONTH(B863),""))</f>
        <v/>
      </c>
      <c r="L863" s="5">
        <f>IF(COUNTA(A863:J863)=0,"",IF(E863="","Mangler motkonto",IF((F863="")=(G863=""),"Fyll ut enten Inn eller Ut",IF(OR(IFERROR(INDEX('Kontoplan'!$D$3:$D$302,MATCH(D863,'Kontoplan'!$H$3:$H$302,0))="Støttes ikke",FALSE),IFERROR(INDEX('Kontoplan'!$D$3:$D$302,MATCH(E863,'Kontoplan'!$H$3:$H$302,0))="Støttes ikke",FALSE)),"Kontoen støttes ikke",IF(IFERROR(AND(A863&gt;1,COUNTIF($A$3:$A$2002,A863-1)=0),FALSE),"Nummeret hopper over",IF(OR(NOT(ISNUMBER(B863)),B863&lt;DATE(2027,1,1),B863&gt;DATE(2027,12,31)),"Datoen er ikke i 2027",""))))))</f>
        <v/>
      </c>
    </row>
    <row r="864">
      <c r="A864" s="17" t="n"/>
      <c r="B864" s="9" t="n"/>
      <c r="C864" s="8" t="n"/>
      <c r="D864" s="8" t="n"/>
      <c r="E864" s="8" t="n"/>
      <c r="F864" s="14" t="n"/>
      <c r="G864" s="14" t="n"/>
      <c r="H864" s="8" t="n"/>
      <c r="I864" s="8" t="n"/>
      <c r="J864" s="8" t="n"/>
      <c r="K864" s="18">
        <f>IF(B864="","",IFERROR(MONTH(B864),""))</f>
        <v/>
      </c>
      <c r="L864" s="5">
        <f>IF(COUNTA(A864:J864)=0,"",IF(E864="","Mangler motkonto",IF((F864="")=(G864=""),"Fyll ut enten Inn eller Ut",IF(OR(IFERROR(INDEX('Kontoplan'!$D$3:$D$302,MATCH(D864,'Kontoplan'!$H$3:$H$302,0))="Støttes ikke",FALSE),IFERROR(INDEX('Kontoplan'!$D$3:$D$302,MATCH(E864,'Kontoplan'!$H$3:$H$302,0))="Støttes ikke",FALSE)),"Kontoen støttes ikke",IF(IFERROR(AND(A864&gt;1,COUNTIF($A$3:$A$2002,A864-1)=0),FALSE),"Nummeret hopper over",IF(OR(NOT(ISNUMBER(B864)),B864&lt;DATE(2027,1,1),B864&gt;DATE(2027,12,31)),"Datoen er ikke i 2027",""))))))</f>
        <v/>
      </c>
    </row>
    <row r="865">
      <c r="A865" s="17" t="n"/>
      <c r="B865" s="9" t="n"/>
      <c r="C865" s="8" t="n"/>
      <c r="D865" s="8" t="n"/>
      <c r="E865" s="8" t="n"/>
      <c r="F865" s="14" t="n"/>
      <c r="G865" s="14" t="n"/>
      <c r="H865" s="8" t="n"/>
      <c r="I865" s="8" t="n"/>
      <c r="J865" s="8" t="n"/>
      <c r="K865" s="18">
        <f>IF(B865="","",IFERROR(MONTH(B865),""))</f>
        <v/>
      </c>
      <c r="L865" s="5">
        <f>IF(COUNTA(A865:J865)=0,"",IF(E865="","Mangler motkonto",IF((F865="")=(G865=""),"Fyll ut enten Inn eller Ut",IF(OR(IFERROR(INDEX('Kontoplan'!$D$3:$D$302,MATCH(D865,'Kontoplan'!$H$3:$H$302,0))="Støttes ikke",FALSE),IFERROR(INDEX('Kontoplan'!$D$3:$D$302,MATCH(E865,'Kontoplan'!$H$3:$H$302,0))="Støttes ikke",FALSE)),"Kontoen støttes ikke",IF(IFERROR(AND(A865&gt;1,COUNTIF($A$3:$A$2002,A865-1)=0),FALSE),"Nummeret hopper over",IF(OR(NOT(ISNUMBER(B865)),B865&lt;DATE(2027,1,1),B865&gt;DATE(2027,12,31)),"Datoen er ikke i 2027",""))))))</f>
        <v/>
      </c>
    </row>
    <row r="866">
      <c r="A866" s="17" t="n"/>
      <c r="B866" s="9" t="n"/>
      <c r="C866" s="8" t="n"/>
      <c r="D866" s="8" t="n"/>
      <c r="E866" s="8" t="n"/>
      <c r="F866" s="14" t="n"/>
      <c r="G866" s="14" t="n"/>
      <c r="H866" s="8" t="n"/>
      <c r="I866" s="8" t="n"/>
      <c r="J866" s="8" t="n"/>
      <c r="K866" s="18">
        <f>IF(B866="","",IFERROR(MONTH(B866),""))</f>
        <v/>
      </c>
      <c r="L866" s="5">
        <f>IF(COUNTA(A866:J866)=0,"",IF(E866="","Mangler motkonto",IF((F866="")=(G866=""),"Fyll ut enten Inn eller Ut",IF(OR(IFERROR(INDEX('Kontoplan'!$D$3:$D$302,MATCH(D866,'Kontoplan'!$H$3:$H$302,0))="Støttes ikke",FALSE),IFERROR(INDEX('Kontoplan'!$D$3:$D$302,MATCH(E866,'Kontoplan'!$H$3:$H$302,0))="Støttes ikke",FALSE)),"Kontoen støttes ikke",IF(IFERROR(AND(A866&gt;1,COUNTIF($A$3:$A$2002,A866-1)=0),FALSE),"Nummeret hopper over",IF(OR(NOT(ISNUMBER(B866)),B866&lt;DATE(2027,1,1),B866&gt;DATE(2027,12,31)),"Datoen er ikke i 2027",""))))))</f>
        <v/>
      </c>
    </row>
    <row r="867">
      <c r="A867" s="17" t="n"/>
      <c r="B867" s="9" t="n"/>
      <c r="C867" s="8" t="n"/>
      <c r="D867" s="8" t="n"/>
      <c r="E867" s="8" t="n"/>
      <c r="F867" s="14" t="n"/>
      <c r="G867" s="14" t="n"/>
      <c r="H867" s="8" t="n"/>
      <c r="I867" s="8" t="n"/>
      <c r="J867" s="8" t="n"/>
      <c r="K867" s="18">
        <f>IF(B867="","",IFERROR(MONTH(B867),""))</f>
        <v/>
      </c>
      <c r="L867" s="5">
        <f>IF(COUNTA(A867:J867)=0,"",IF(E867="","Mangler motkonto",IF((F867="")=(G867=""),"Fyll ut enten Inn eller Ut",IF(OR(IFERROR(INDEX('Kontoplan'!$D$3:$D$302,MATCH(D867,'Kontoplan'!$H$3:$H$302,0))="Støttes ikke",FALSE),IFERROR(INDEX('Kontoplan'!$D$3:$D$302,MATCH(E867,'Kontoplan'!$H$3:$H$302,0))="Støttes ikke",FALSE)),"Kontoen støttes ikke",IF(IFERROR(AND(A867&gt;1,COUNTIF($A$3:$A$2002,A867-1)=0),FALSE),"Nummeret hopper over",IF(OR(NOT(ISNUMBER(B867)),B867&lt;DATE(2027,1,1),B867&gt;DATE(2027,12,31)),"Datoen er ikke i 2027",""))))))</f>
        <v/>
      </c>
    </row>
    <row r="868">
      <c r="A868" s="17" t="n"/>
      <c r="B868" s="9" t="n"/>
      <c r="C868" s="8" t="n"/>
      <c r="D868" s="8" t="n"/>
      <c r="E868" s="8" t="n"/>
      <c r="F868" s="14" t="n"/>
      <c r="G868" s="14" t="n"/>
      <c r="H868" s="8" t="n"/>
      <c r="I868" s="8" t="n"/>
      <c r="J868" s="8" t="n"/>
      <c r="K868" s="18">
        <f>IF(B868="","",IFERROR(MONTH(B868),""))</f>
        <v/>
      </c>
      <c r="L868" s="5">
        <f>IF(COUNTA(A868:J868)=0,"",IF(E868="","Mangler motkonto",IF((F868="")=(G868=""),"Fyll ut enten Inn eller Ut",IF(OR(IFERROR(INDEX('Kontoplan'!$D$3:$D$302,MATCH(D868,'Kontoplan'!$H$3:$H$302,0))="Støttes ikke",FALSE),IFERROR(INDEX('Kontoplan'!$D$3:$D$302,MATCH(E868,'Kontoplan'!$H$3:$H$302,0))="Støttes ikke",FALSE)),"Kontoen støttes ikke",IF(IFERROR(AND(A868&gt;1,COUNTIF($A$3:$A$2002,A868-1)=0),FALSE),"Nummeret hopper over",IF(OR(NOT(ISNUMBER(B868)),B868&lt;DATE(2027,1,1),B868&gt;DATE(2027,12,31)),"Datoen er ikke i 2027",""))))))</f>
        <v/>
      </c>
    </row>
    <row r="869">
      <c r="A869" s="17" t="n"/>
      <c r="B869" s="9" t="n"/>
      <c r="C869" s="8" t="n"/>
      <c r="D869" s="8" t="n"/>
      <c r="E869" s="8" t="n"/>
      <c r="F869" s="14" t="n"/>
      <c r="G869" s="14" t="n"/>
      <c r="H869" s="8" t="n"/>
      <c r="I869" s="8" t="n"/>
      <c r="J869" s="8" t="n"/>
      <c r="K869" s="18">
        <f>IF(B869="","",IFERROR(MONTH(B869),""))</f>
        <v/>
      </c>
      <c r="L869" s="5">
        <f>IF(COUNTA(A869:J869)=0,"",IF(E869="","Mangler motkonto",IF((F869="")=(G869=""),"Fyll ut enten Inn eller Ut",IF(OR(IFERROR(INDEX('Kontoplan'!$D$3:$D$302,MATCH(D869,'Kontoplan'!$H$3:$H$302,0))="Støttes ikke",FALSE),IFERROR(INDEX('Kontoplan'!$D$3:$D$302,MATCH(E869,'Kontoplan'!$H$3:$H$302,0))="Støttes ikke",FALSE)),"Kontoen støttes ikke",IF(IFERROR(AND(A869&gt;1,COUNTIF($A$3:$A$2002,A869-1)=0),FALSE),"Nummeret hopper over",IF(OR(NOT(ISNUMBER(B869)),B869&lt;DATE(2027,1,1),B869&gt;DATE(2027,12,31)),"Datoen er ikke i 2027",""))))))</f>
        <v/>
      </c>
    </row>
    <row r="870">
      <c r="A870" s="17" t="n"/>
      <c r="B870" s="9" t="n"/>
      <c r="C870" s="8" t="n"/>
      <c r="D870" s="8" t="n"/>
      <c r="E870" s="8" t="n"/>
      <c r="F870" s="14" t="n"/>
      <c r="G870" s="14" t="n"/>
      <c r="H870" s="8" t="n"/>
      <c r="I870" s="8" t="n"/>
      <c r="J870" s="8" t="n"/>
      <c r="K870" s="18">
        <f>IF(B870="","",IFERROR(MONTH(B870),""))</f>
        <v/>
      </c>
      <c r="L870" s="5">
        <f>IF(COUNTA(A870:J870)=0,"",IF(E870="","Mangler motkonto",IF((F870="")=(G870=""),"Fyll ut enten Inn eller Ut",IF(OR(IFERROR(INDEX('Kontoplan'!$D$3:$D$302,MATCH(D870,'Kontoplan'!$H$3:$H$302,0))="Støttes ikke",FALSE),IFERROR(INDEX('Kontoplan'!$D$3:$D$302,MATCH(E870,'Kontoplan'!$H$3:$H$302,0))="Støttes ikke",FALSE)),"Kontoen støttes ikke",IF(IFERROR(AND(A870&gt;1,COUNTIF($A$3:$A$2002,A870-1)=0),FALSE),"Nummeret hopper over",IF(OR(NOT(ISNUMBER(B870)),B870&lt;DATE(2027,1,1),B870&gt;DATE(2027,12,31)),"Datoen er ikke i 2027",""))))))</f>
        <v/>
      </c>
    </row>
    <row r="871">
      <c r="A871" s="17" t="n"/>
      <c r="B871" s="9" t="n"/>
      <c r="C871" s="8" t="n"/>
      <c r="D871" s="8" t="n"/>
      <c r="E871" s="8" t="n"/>
      <c r="F871" s="14" t="n"/>
      <c r="G871" s="14" t="n"/>
      <c r="H871" s="8" t="n"/>
      <c r="I871" s="8" t="n"/>
      <c r="J871" s="8" t="n"/>
      <c r="K871" s="18">
        <f>IF(B871="","",IFERROR(MONTH(B871),""))</f>
        <v/>
      </c>
      <c r="L871" s="5">
        <f>IF(COUNTA(A871:J871)=0,"",IF(E871="","Mangler motkonto",IF((F871="")=(G871=""),"Fyll ut enten Inn eller Ut",IF(OR(IFERROR(INDEX('Kontoplan'!$D$3:$D$302,MATCH(D871,'Kontoplan'!$H$3:$H$302,0))="Støttes ikke",FALSE),IFERROR(INDEX('Kontoplan'!$D$3:$D$302,MATCH(E871,'Kontoplan'!$H$3:$H$302,0))="Støttes ikke",FALSE)),"Kontoen støttes ikke",IF(IFERROR(AND(A871&gt;1,COUNTIF($A$3:$A$2002,A871-1)=0),FALSE),"Nummeret hopper over",IF(OR(NOT(ISNUMBER(B871)),B871&lt;DATE(2027,1,1),B871&gt;DATE(2027,12,31)),"Datoen er ikke i 2027",""))))))</f>
        <v/>
      </c>
    </row>
    <row r="872">
      <c r="A872" s="17" t="n"/>
      <c r="B872" s="9" t="n"/>
      <c r="C872" s="8" t="n"/>
      <c r="D872" s="8" t="n"/>
      <c r="E872" s="8" t="n"/>
      <c r="F872" s="14" t="n"/>
      <c r="G872" s="14" t="n"/>
      <c r="H872" s="8" t="n"/>
      <c r="I872" s="8" t="n"/>
      <c r="J872" s="8" t="n"/>
      <c r="K872" s="18">
        <f>IF(B872="","",IFERROR(MONTH(B872),""))</f>
        <v/>
      </c>
      <c r="L872" s="5">
        <f>IF(COUNTA(A872:J872)=0,"",IF(E872="","Mangler motkonto",IF((F872="")=(G872=""),"Fyll ut enten Inn eller Ut",IF(OR(IFERROR(INDEX('Kontoplan'!$D$3:$D$302,MATCH(D872,'Kontoplan'!$H$3:$H$302,0))="Støttes ikke",FALSE),IFERROR(INDEX('Kontoplan'!$D$3:$D$302,MATCH(E872,'Kontoplan'!$H$3:$H$302,0))="Støttes ikke",FALSE)),"Kontoen støttes ikke",IF(IFERROR(AND(A872&gt;1,COUNTIF($A$3:$A$2002,A872-1)=0),FALSE),"Nummeret hopper over",IF(OR(NOT(ISNUMBER(B872)),B872&lt;DATE(2027,1,1),B872&gt;DATE(2027,12,31)),"Datoen er ikke i 2027",""))))))</f>
        <v/>
      </c>
    </row>
    <row r="873">
      <c r="A873" s="17" t="n"/>
      <c r="B873" s="9" t="n"/>
      <c r="C873" s="8" t="n"/>
      <c r="D873" s="8" t="n"/>
      <c r="E873" s="8" t="n"/>
      <c r="F873" s="14" t="n"/>
      <c r="G873" s="14" t="n"/>
      <c r="H873" s="8" t="n"/>
      <c r="I873" s="8" t="n"/>
      <c r="J873" s="8" t="n"/>
      <c r="K873" s="18">
        <f>IF(B873="","",IFERROR(MONTH(B873),""))</f>
        <v/>
      </c>
      <c r="L873" s="5">
        <f>IF(COUNTA(A873:J873)=0,"",IF(E873="","Mangler motkonto",IF((F873="")=(G873=""),"Fyll ut enten Inn eller Ut",IF(OR(IFERROR(INDEX('Kontoplan'!$D$3:$D$302,MATCH(D873,'Kontoplan'!$H$3:$H$302,0))="Støttes ikke",FALSE),IFERROR(INDEX('Kontoplan'!$D$3:$D$302,MATCH(E873,'Kontoplan'!$H$3:$H$302,0))="Støttes ikke",FALSE)),"Kontoen støttes ikke",IF(IFERROR(AND(A873&gt;1,COUNTIF($A$3:$A$2002,A873-1)=0),FALSE),"Nummeret hopper over",IF(OR(NOT(ISNUMBER(B873)),B873&lt;DATE(2027,1,1),B873&gt;DATE(2027,12,31)),"Datoen er ikke i 2027",""))))))</f>
        <v/>
      </c>
    </row>
    <row r="874">
      <c r="A874" s="17" t="n"/>
      <c r="B874" s="9" t="n"/>
      <c r="C874" s="8" t="n"/>
      <c r="D874" s="8" t="n"/>
      <c r="E874" s="8" t="n"/>
      <c r="F874" s="14" t="n"/>
      <c r="G874" s="14" t="n"/>
      <c r="H874" s="8" t="n"/>
      <c r="I874" s="8" t="n"/>
      <c r="J874" s="8" t="n"/>
      <c r="K874" s="18">
        <f>IF(B874="","",IFERROR(MONTH(B874),""))</f>
        <v/>
      </c>
      <c r="L874" s="5">
        <f>IF(COUNTA(A874:J874)=0,"",IF(E874="","Mangler motkonto",IF((F874="")=(G874=""),"Fyll ut enten Inn eller Ut",IF(OR(IFERROR(INDEX('Kontoplan'!$D$3:$D$302,MATCH(D874,'Kontoplan'!$H$3:$H$302,0))="Støttes ikke",FALSE),IFERROR(INDEX('Kontoplan'!$D$3:$D$302,MATCH(E874,'Kontoplan'!$H$3:$H$302,0))="Støttes ikke",FALSE)),"Kontoen støttes ikke",IF(IFERROR(AND(A874&gt;1,COUNTIF($A$3:$A$2002,A874-1)=0),FALSE),"Nummeret hopper over",IF(OR(NOT(ISNUMBER(B874)),B874&lt;DATE(2027,1,1),B874&gt;DATE(2027,12,31)),"Datoen er ikke i 2027",""))))))</f>
        <v/>
      </c>
    </row>
    <row r="875">
      <c r="A875" s="17" t="n"/>
      <c r="B875" s="9" t="n"/>
      <c r="C875" s="8" t="n"/>
      <c r="D875" s="8" t="n"/>
      <c r="E875" s="8" t="n"/>
      <c r="F875" s="14" t="n"/>
      <c r="G875" s="14" t="n"/>
      <c r="H875" s="8" t="n"/>
      <c r="I875" s="8" t="n"/>
      <c r="J875" s="8" t="n"/>
      <c r="K875" s="18">
        <f>IF(B875="","",IFERROR(MONTH(B875),""))</f>
        <v/>
      </c>
      <c r="L875" s="5">
        <f>IF(COUNTA(A875:J875)=0,"",IF(E875="","Mangler motkonto",IF((F875="")=(G875=""),"Fyll ut enten Inn eller Ut",IF(OR(IFERROR(INDEX('Kontoplan'!$D$3:$D$302,MATCH(D875,'Kontoplan'!$H$3:$H$302,0))="Støttes ikke",FALSE),IFERROR(INDEX('Kontoplan'!$D$3:$D$302,MATCH(E875,'Kontoplan'!$H$3:$H$302,0))="Støttes ikke",FALSE)),"Kontoen støttes ikke",IF(IFERROR(AND(A875&gt;1,COUNTIF($A$3:$A$2002,A875-1)=0),FALSE),"Nummeret hopper over",IF(OR(NOT(ISNUMBER(B875)),B875&lt;DATE(2027,1,1),B875&gt;DATE(2027,12,31)),"Datoen er ikke i 2027",""))))))</f>
        <v/>
      </c>
    </row>
    <row r="876">
      <c r="A876" s="17" t="n"/>
      <c r="B876" s="9" t="n"/>
      <c r="C876" s="8" t="n"/>
      <c r="D876" s="8" t="n"/>
      <c r="E876" s="8" t="n"/>
      <c r="F876" s="14" t="n"/>
      <c r="G876" s="14" t="n"/>
      <c r="H876" s="8" t="n"/>
      <c r="I876" s="8" t="n"/>
      <c r="J876" s="8" t="n"/>
      <c r="K876" s="18">
        <f>IF(B876="","",IFERROR(MONTH(B876),""))</f>
        <v/>
      </c>
      <c r="L876" s="5">
        <f>IF(COUNTA(A876:J876)=0,"",IF(E876="","Mangler motkonto",IF((F876="")=(G876=""),"Fyll ut enten Inn eller Ut",IF(OR(IFERROR(INDEX('Kontoplan'!$D$3:$D$302,MATCH(D876,'Kontoplan'!$H$3:$H$302,0))="Støttes ikke",FALSE),IFERROR(INDEX('Kontoplan'!$D$3:$D$302,MATCH(E876,'Kontoplan'!$H$3:$H$302,0))="Støttes ikke",FALSE)),"Kontoen støttes ikke",IF(IFERROR(AND(A876&gt;1,COUNTIF($A$3:$A$2002,A876-1)=0),FALSE),"Nummeret hopper over",IF(OR(NOT(ISNUMBER(B876)),B876&lt;DATE(2027,1,1),B876&gt;DATE(2027,12,31)),"Datoen er ikke i 2027",""))))))</f>
        <v/>
      </c>
    </row>
    <row r="877">
      <c r="A877" s="17" t="n"/>
      <c r="B877" s="9" t="n"/>
      <c r="C877" s="8" t="n"/>
      <c r="D877" s="8" t="n"/>
      <c r="E877" s="8" t="n"/>
      <c r="F877" s="14" t="n"/>
      <c r="G877" s="14" t="n"/>
      <c r="H877" s="8" t="n"/>
      <c r="I877" s="8" t="n"/>
      <c r="J877" s="8" t="n"/>
      <c r="K877" s="18">
        <f>IF(B877="","",IFERROR(MONTH(B877),""))</f>
        <v/>
      </c>
      <c r="L877" s="5">
        <f>IF(COUNTA(A877:J877)=0,"",IF(E877="","Mangler motkonto",IF((F877="")=(G877=""),"Fyll ut enten Inn eller Ut",IF(OR(IFERROR(INDEX('Kontoplan'!$D$3:$D$302,MATCH(D877,'Kontoplan'!$H$3:$H$302,0))="Støttes ikke",FALSE),IFERROR(INDEX('Kontoplan'!$D$3:$D$302,MATCH(E877,'Kontoplan'!$H$3:$H$302,0))="Støttes ikke",FALSE)),"Kontoen støttes ikke",IF(IFERROR(AND(A877&gt;1,COUNTIF($A$3:$A$2002,A877-1)=0),FALSE),"Nummeret hopper over",IF(OR(NOT(ISNUMBER(B877)),B877&lt;DATE(2027,1,1),B877&gt;DATE(2027,12,31)),"Datoen er ikke i 2027",""))))))</f>
        <v/>
      </c>
    </row>
    <row r="878">
      <c r="A878" s="17" t="n"/>
      <c r="B878" s="9" t="n"/>
      <c r="C878" s="8" t="n"/>
      <c r="D878" s="8" t="n"/>
      <c r="E878" s="8" t="n"/>
      <c r="F878" s="14" t="n"/>
      <c r="G878" s="14" t="n"/>
      <c r="H878" s="8" t="n"/>
      <c r="I878" s="8" t="n"/>
      <c r="J878" s="8" t="n"/>
      <c r="K878" s="18">
        <f>IF(B878="","",IFERROR(MONTH(B878),""))</f>
        <v/>
      </c>
      <c r="L878" s="5">
        <f>IF(COUNTA(A878:J878)=0,"",IF(E878="","Mangler motkonto",IF((F878="")=(G878=""),"Fyll ut enten Inn eller Ut",IF(OR(IFERROR(INDEX('Kontoplan'!$D$3:$D$302,MATCH(D878,'Kontoplan'!$H$3:$H$302,0))="Støttes ikke",FALSE),IFERROR(INDEX('Kontoplan'!$D$3:$D$302,MATCH(E878,'Kontoplan'!$H$3:$H$302,0))="Støttes ikke",FALSE)),"Kontoen støttes ikke",IF(IFERROR(AND(A878&gt;1,COUNTIF($A$3:$A$2002,A878-1)=0),FALSE),"Nummeret hopper over",IF(OR(NOT(ISNUMBER(B878)),B878&lt;DATE(2027,1,1),B878&gt;DATE(2027,12,31)),"Datoen er ikke i 2027",""))))))</f>
        <v/>
      </c>
    </row>
    <row r="879">
      <c r="A879" s="17" t="n"/>
      <c r="B879" s="9" t="n"/>
      <c r="C879" s="8" t="n"/>
      <c r="D879" s="8" t="n"/>
      <c r="E879" s="8" t="n"/>
      <c r="F879" s="14" t="n"/>
      <c r="G879" s="14" t="n"/>
      <c r="H879" s="8" t="n"/>
      <c r="I879" s="8" t="n"/>
      <c r="J879" s="8" t="n"/>
      <c r="K879" s="18">
        <f>IF(B879="","",IFERROR(MONTH(B879),""))</f>
        <v/>
      </c>
      <c r="L879" s="5">
        <f>IF(COUNTA(A879:J879)=0,"",IF(E879="","Mangler motkonto",IF((F879="")=(G879=""),"Fyll ut enten Inn eller Ut",IF(OR(IFERROR(INDEX('Kontoplan'!$D$3:$D$302,MATCH(D879,'Kontoplan'!$H$3:$H$302,0))="Støttes ikke",FALSE),IFERROR(INDEX('Kontoplan'!$D$3:$D$302,MATCH(E879,'Kontoplan'!$H$3:$H$302,0))="Støttes ikke",FALSE)),"Kontoen støttes ikke",IF(IFERROR(AND(A879&gt;1,COUNTIF($A$3:$A$2002,A879-1)=0),FALSE),"Nummeret hopper over",IF(OR(NOT(ISNUMBER(B879)),B879&lt;DATE(2027,1,1),B879&gt;DATE(2027,12,31)),"Datoen er ikke i 2027",""))))))</f>
        <v/>
      </c>
    </row>
    <row r="880">
      <c r="A880" s="17" t="n"/>
      <c r="B880" s="9" t="n"/>
      <c r="C880" s="8" t="n"/>
      <c r="D880" s="8" t="n"/>
      <c r="E880" s="8" t="n"/>
      <c r="F880" s="14" t="n"/>
      <c r="G880" s="14" t="n"/>
      <c r="H880" s="8" t="n"/>
      <c r="I880" s="8" t="n"/>
      <c r="J880" s="8" t="n"/>
      <c r="K880" s="18">
        <f>IF(B880="","",IFERROR(MONTH(B880),""))</f>
        <v/>
      </c>
      <c r="L880" s="5">
        <f>IF(COUNTA(A880:J880)=0,"",IF(E880="","Mangler motkonto",IF((F880="")=(G880=""),"Fyll ut enten Inn eller Ut",IF(OR(IFERROR(INDEX('Kontoplan'!$D$3:$D$302,MATCH(D880,'Kontoplan'!$H$3:$H$302,0))="Støttes ikke",FALSE),IFERROR(INDEX('Kontoplan'!$D$3:$D$302,MATCH(E880,'Kontoplan'!$H$3:$H$302,0))="Støttes ikke",FALSE)),"Kontoen støttes ikke",IF(IFERROR(AND(A880&gt;1,COUNTIF($A$3:$A$2002,A880-1)=0),FALSE),"Nummeret hopper over",IF(OR(NOT(ISNUMBER(B880)),B880&lt;DATE(2027,1,1),B880&gt;DATE(2027,12,31)),"Datoen er ikke i 2027",""))))))</f>
        <v/>
      </c>
    </row>
    <row r="881">
      <c r="A881" s="17" t="n"/>
      <c r="B881" s="9" t="n"/>
      <c r="C881" s="8" t="n"/>
      <c r="D881" s="8" t="n"/>
      <c r="E881" s="8" t="n"/>
      <c r="F881" s="14" t="n"/>
      <c r="G881" s="14" t="n"/>
      <c r="H881" s="8" t="n"/>
      <c r="I881" s="8" t="n"/>
      <c r="J881" s="8" t="n"/>
      <c r="K881" s="18">
        <f>IF(B881="","",IFERROR(MONTH(B881),""))</f>
        <v/>
      </c>
      <c r="L881" s="5">
        <f>IF(COUNTA(A881:J881)=0,"",IF(E881="","Mangler motkonto",IF((F881="")=(G881=""),"Fyll ut enten Inn eller Ut",IF(OR(IFERROR(INDEX('Kontoplan'!$D$3:$D$302,MATCH(D881,'Kontoplan'!$H$3:$H$302,0))="Støttes ikke",FALSE),IFERROR(INDEX('Kontoplan'!$D$3:$D$302,MATCH(E881,'Kontoplan'!$H$3:$H$302,0))="Støttes ikke",FALSE)),"Kontoen støttes ikke",IF(IFERROR(AND(A881&gt;1,COUNTIF($A$3:$A$2002,A881-1)=0),FALSE),"Nummeret hopper over",IF(OR(NOT(ISNUMBER(B881)),B881&lt;DATE(2027,1,1),B881&gt;DATE(2027,12,31)),"Datoen er ikke i 2027",""))))))</f>
        <v/>
      </c>
    </row>
    <row r="882">
      <c r="A882" s="17" t="n"/>
      <c r="B882" s="9" t="n"/>
      <c r="C882" s="8" t="n"/>
      <c r="D882" s="8" t="n"/>
      <c r="E882" s="8" t="n"/>
      <c r="F882" s="14" t="n"/>
      <c r="G882" s="14" t="n"/>
      <c r="H882" s="8" t="n"/>
      <c r="I882" s="8" t="n"/>
      <c r="J882" s="8" t="n"/>
      <c r="K882" s="18">
        <f>IF(B882="","",IFERROR(MONTH(B882),""))</f>
        <v/>
      </c>
      <c r="L882" s="5">
        <f>IF(COUNTA(A882:J882)=0,"",IF(E882="","Mangler motkonto",IF((F882="")=(G882=""),"Fyll ut enten Inn eller Ut",IF(OR(IFERROR(INDEX('Kontoplan'!$D$3:$D$302,MATCH(D882,'Kontoplan'!$H$3:$H$302,0))="Støttes ikke",FALSE),IFERROR(INDEX('Kontoplan'!$D$3:$D$302,MATCH(E882,'Kontoplan'!$H$3:$H$302,0))="Støttes ikke",FALSE)),"Kontoen støttes ikke",IF(IFERROR(AND(A882&gt;1,COUNTIF($A$3:$A$2002,A882-1)=0),FALSE),"Nummeret hopper over",IF(OR(NOT(ISNUMBER(B882)),B882&lt;DATE(2027,1,1),B882&gt;DATE(2027,12,31)),"Datoen er ikke i 2027",""))))))</f>
        <v/>
      </c>
    </row>
    <row r="883">
      <c r="A883" s="17" t="n"/>
      <c r="B883" s="9" t="n"/>
      <c r="C883" s="8" t="n"/>
      <c r="D883" s="8" t="n"/>
      <c r="E883" s="8" t="n"/>
      <c r="F883" s="14" t="n"/>
      <c r="G883" s="14" t="n"/>
      <c r="H883" s="8" t="n"/>
      <c r="I883" s="8" t="n"/>
      <c r="J883" s="8" t="n"/>
      <c r="K883" s="18">
        <f>IF(B883="","",IFERROR(MONTH(B883),""))</f>
        <v/>
      </c>
      <c r="L883" s="5">
        <f>IF(COUNTA(A883:J883)=0,"",IF(E883="","Mangler motkonto",IF((F883="")=(G883=""),"Fyll ut enten Inn eller Ut",IF(OR(IFERROR(INDEX('Kontoplan'!$D$3:$D$302,MATCH(D883,'Kontoplan'!$H$3:$H$302,0))="Støttes ikke",FALSE),IFERROR(INDEX('Kontoplan'!$D$3:$D$302,MATCH(E883,'Kontoplan'!$H$3:$H$302,0))="Støttes ikke",FALSE)),"Kontoen støttes ikke",IF(IFERROR(AND(A883&gt;1,COUNTIF($A$3:$A$2002,A883-1)=0),FALSE),"Nummeret hopper over",IF(OR(NOT(ISNUMBER(B883)),B883&lt;DATE(2027,1,1),B883&gt;DATE(2027,12,31)),"Datoen er ikke i 2027",""))))))</f>
        <v/>
      </c>
    </row>
    <row r="884">
      <c r="A884" s="17" t="n"/>
      <c r="B884" s="9" t="n"/>
      <c r="C884" s="8" t="n"/>
      <c r="D884" s="8" t="n"/>
      <c r="E884" s="8" t="n"/>
      <c r="F884" s="14" t="n"/>
      <c r="G884" s="14" t="n"/>
      <c r="H884" s="8" t="n"/>
      <c r="I884" s="8" t="n"/>
      <c r="J884" s="8" t="n"/>
      <c r="K884" s="18">
        <f>IF(B884="","",IFERROR(MONTH(B884),""))</f>
        <v/>
      </c>
      <c r="L884" s="5">
        <f>IF(COUNTA(A884:J884)=0,"",IF(E884="","Mangler motkonto",IF((F884="")=(G884=""),"Fyll ut enten Inn eller Ut",IF(OR(IFERROR(INDEX('Kontoplan'!$D$3:$D$302,MATCH(D884,'Kontoplan'!$H$3:$H$302,0))="Støttes ikke",FALSE),IFERROR(INDEX('Kontoplan'!$D$3:$D$302,MATCH(E884,'Kontoplan'!$H$3:$H$302,0))="Støttes ikke",FALSE)),"Kontoen støttes ikke",IF(IFERROR(AND(A884&gt;1,COUNTIF($A$3:$A$2002,A884-1)=0),FALSE),"Nummeret hopper over",IF(OR(NOT(ISNUMBER(B884)),B884&lt;DATE(2027,1,1),B884&gt;DATE(2027,12,31)),"Datoen er ikke i 2027",""))))))</f>
        <v/>
      </c>
    </row>
    <row r="885">
      <c r="A885" s="17" t="n"/>
      <c r="B885" s="9" t="n"/>
      <c r="C885" s="8" t="n"/>
      <c r="D885" s="8" t="n"/>
      <c r="E885" s="8" t="n"/>
      <c r="F885" s="14" t="n"/>
      <c r="G885" s="14" t="n"/>
      <c r="H885" s="8" t="n"/>
      <c r="I885" s="8" t="n"/>
      <c r="J885" s="8" t="n"/>
      <c r="K885" s="18">
        <f>IF(B885="","",IFERROR(MONTH(B885),""))</f>
        <v/>
      </c>
      <c r="L885" s="5">
        <f>IF(COUNTA(A885:J885)=0,"",IF(E885="","Mangler motkonto",IF((F885="")=(G885=""),"Fyll ut enten Inn eller Ut",IF(OR(IFERROR(INDEX('Kontoplan'!$D$3:$D$302,MATCH(D885,'Kontoplan'!$H$3:$H$302,0))="Støttes ikke",FALSE),IFERROR(INDEX('Kontoplan'!$D$3:$D$302,MATCH(E885,'Kontoplan'!$H$3:$H$302,0))="Støttes ikke",FALSE)),"Kontoen støttes ikke",IF(IFERROR(AND(A885&gt;1,COUNTIF($A$3:$A$2002,A885-1)=0),FALSE),"Nummeret hopper over",IF(OR(NOT(ISNUMBER(B885)),B885&lt;DATE(2027,1,1),B885&gt;DATE(2027,12,31)),"Datoen er ikke i 2027",""))))))</f>
        <v/>
      </c>
    </row>
    <row r="886">
      <c r="A886" s="17" t="n"/>
      <c r="B886" s="9" t="n"/>
      <c r="C886" s="8" t="n"/>
      <c r="D886" s="8" t="n"/>
      <c r="E886" s="8" t="n"/>
      <c r="F886" s="14" t="n"/>
      <c r="G886" s="14" t="n"/>
      <c r="H886" s="8" t="n"/>
      <c r="I886" s="8" t="n"/>
      <c r="J886" s="8" t="n"/>
      <c r="K886" s="18">
        <f>IF(B886="","",IFERROR(MONTH(B886),""))</f>
        <v/>
      </c>
      <c r="L886" s="5">
        <f>IF(COUNTA(A886:J886)=0,"",IF(E886="","Mangler motkonto",IF((F886="")=(G886=""),"Fyll ut enten Inn eller Ut",IF(OR(IFERROR(INDEX('Kontoplan'!$D$3:$D$302,MATCH(D886,'Kontoplan'!$H$3:$H$302,0))="Støttes ikke",FALSE),IFERROR(INDEX('Kontoplan'!$D$3:$D$302,MATCH(E886,'Kontoplan'!$H$3:$H$302,0))="Støttes ikke",FALSE)),"Kontoen støttes ikke",IF(IFERROR(AND(A886&gt;1,COUNTIF($A$3:$A$2002,A886-1)=0),FALSE),"Nummeret hopper over",IF(OR(NOT(ISNUMBER(B886)),B886&lt;DATE(2027,1,1),B886&gt;DATE(2027,12,31)),"Datoen er ikke i 2027",""))))))</f>
        <v/>
      </c>
    </row>
    <row r="887">
      <c r="A887" s="17" t="n"/>
      <c r="B887" s="9" t="n"/>
      <c r="C887" s="8" t="n"/>
      <c r="D887" s="8" t="n"/>
      <c r="E887" s="8" t="n"/>
      <c r="F887" s="14" t="n"/>
      <c r="G887" s="14" t="n"/>
      <c r="H887" s="8" t="n"/>
      <c r="I887" s="8" t="n"/>
      <c r="J887" s="8" t="n"/>
      <c r="K887" s="18">
        <f>IF(B887="","",IFERROR(MONTH(B887),""))</f>
        <v/>
      </c>
      <c r="L887" s="5">
        <f>IF(COUNTA(A887:J887)=0,"",IF(E887="","Mangler motkonto",IF((F887="")=(G887=""),"Fyll ut enten Inn eller Ut",IF(OR(IFERROR(INDEX('Kontoplan'!$D$3:$D$302,MATCH(D887,'Kontoplan'!$H$3:$H$302,0))="Støttes ikke",FALSE),IFERROR(INDEX('Kontoplan'!$D$3:$D$302,MATCH(E887,'Kontoplan'!$H$3:$H$302,0))="Støttes ikke",FALSE)),"Kontoen støttes ikke",IF(IFERROR(AND(A887&gt;1,COUNTIF($A$3:$A$2002,A887-1)=0),FALSE),"Nummeret hopper over",IF(OR(NOT(ISNUMBER(B887)),B887&lt;DATE(2027,1,1),B887&gt;DATE(2027,12,31)),"Datoen er ikke i 2027",""))))))</f>
        <v/>
      </c>
    </row>
    <row r="888">
      <c r="A888" s="17" t="n"/>
      <c r="B888" s="9" t="n"/>
      <c r="C888" s="8" t="n"/>
      <c r="D888" s="8" t="n"/>
      <c r="E888" s="8" t="n"/>
      <c r="F888" s="14" t="n"/>
      <c r="G888" s="14" t="n"/>
      <c r="H888" s="8" t="n"/>
      <c r="I888" s="8" t="n"/>
      <c r="J888" s="8" t="n"/>
      <c r="K888" s="18">
        <f>IF(B888="","",IFERROR(MONTH(B888),""))</f>
        <v/>
      </c>
      <c r="L888" s="5">
        <f>IF(COUNTA(A888:J888)=0,"",IF(E888="","Mangler motkonto",IF((F888="")=(G888=""),"Fyll ut enten Inn eller Ut",IF(OR(IFERROR(INDEX('Kontoplan'!$D$3:$D$302,MATCH(D888,'Kontoplan'!$H$3:$H$302,0))="Støttes ikke",FALSE),IFERROR(INDEX('Kontoplan'!$D$3:$D$302,MATCH(E888,'Kontoplan'!$H$3:$H$302,0))="Støttes ikke",FALSE)),"Kontoen støttes ikke",IF(IFERROR(AND(A888&gt;1,COUNTIF($A$3:$A$2002,A888-1)=0),FALSE),"Nummeret hopper over",IF(OR(NOT(ISNUMBER(B888)),B888&lt;DATE(2027,1,1),B888&gt;DATE(2027,12,31)),"Datoen er ikke i 2027",""))))))</f>
        <v/>
      </c>
    </row>
    <row r="889">
      <c r="A889" s="17" t="n"/>
      <c r="B889" s="9" t="n"/>
      <c r="C889" s="8" t="n"/>
      <c r="D889" s="8" t="n"/>
      <c r="E889" s="8" t="n"/>
      <c r="F889" s="14" t="n"/>
      <c r="G889" s="14" t="n"/>
      <c r="H889" s="8" t="n"/>
      <c r="I889" s="8" t="n"/>
      <c r="J889" s="8" t="n"/>
      <c r="K889" s="18">
        <f>IF(B889="","",IFERROR(MONTH(B889),""))</f>
        <v/>
      </c>
      <c r="L889" s="5">
        <f>IF(COUNTA(A889:J889)=0,"",IF(E889="","Mangler motkonto",IF((F889="")=(G889=""),"Fyll ut enten Inn eller Ut",IF(OR(IFERROR(INDEX('Kontoplan'!$D$3:$D$302,MATCH(D889,'Kontoplan'!$H$3:$H$302,0))="Støttes ikke",FALSE),IFERROR(INDEX('Kontoplan'!$D$3:$D$302,MATCH(E889,'Kontoplan'!$H$3:$H$302,0))="Støttes ikke",FALSE)),"Kontoen støttes ikke",IF(IFERROR(AND(A889&gt;1,COUNTIF($A$3:$A$2002,A889-1)=0),FALSE),"Nummeret hopper over",IF(OR(NOT(ISNUMBER(B889)),B889&lt;DATE(2027,1,1),B889&gt;DATE(2027,12,31)),"Datoen er ikke i 2027",""))))))</f>
        <v/>
      </c>
    </row>
    <row r="890">
      <c r="A890" s="17" t="n"/>
      <c r="B890" s="9" t="n"/>
      <c r="C890" s="8" t="n"/>
      <c r="D890" s="8" t="n"/>
      <c r="E890" s="8" t="n"/>
      <c r="F890" s="14" t="n"/>
      <c r="G890" s="14" t="n"/>
      <c r="H890" s="8" t="n"/>
      <c r="I890" s="8" t="n"/>
      <c r="J890" s="8" t="n"/>
      <c r="K890" s="18">
        <f>IF(B890="","",IFERROR(MONTH(B890),""))</f>
        <v/>
      </c>
      <c r="L890" s="5">
        <f>IF(COUNTA(A890:J890)=0,"",IF(E890="","Mangler motkonto",IF((F890="")=(G890=""),"Fyll ut enten Inn eller Ut",IF(OR(IFERROR(INDEX('Kontoplan'!$D$3:$D$302,MATCH(D890,'Kontoplan'!$H$3:$H$302,0))="Støttes ikke",FALSE),IFERROR(INDEX('Kontoplan'!$D$3:$D$302,MATCH(E890,'Kontoplan'!$H$3:$H$302,0))="Støttes ikke",FALSE)),"Kontoen støttes ikke",IF(IFERROR(AND(A890&gt;1,COUNTIF($A$3:$A$2002,A890-1)=0),FALSE),"Nummeret hopper over",IF(OR(NOT(ISNUMBER(B890)),B890&lt;DATE(2027,1,1),B890&gt;DATE(2027,12,31)),"Datoen er ikke i 2027",""))))))</f>
        <v/>
      </c>
    </row>
    <row r="891">
      <c r="A891" s="17" t="n"/>
      <c r="B891" s="9" t="n"/>
      <c r="C891" s="8" t="n"/>
      <c r="D891" s="8" t="n"/>
      <c r="E891" s="8" t="n"/>
      <c r="F891" s="14" t="n"/>
      <c r="G891" s="14" t="n"/>
      <c r="H891" s="8" t="n"/>
      <c r="I891" s="8" t="n"/>
      <c r="J891" s="8" t="n"/>
      <c r="K891" s="18">
        <f>IF(B891="","",IFERROR(MONTH(B891),""))</f>
        <v/>
      </c>
      <c r="L891" s="5">
        <f>IF(COUNTA(A891:J891)=0,"",IF(E891="","Mangler motkonto",IF((F891="")=(G891=""),"Fyll ut enten Inn eller Ut",IF(OR(IFERROR(INDEX('Kontoplan'!$D$3:$D$302,MATCH(D891,'Kontoplan'!$H$3:$H$302,0))="Støttes ikke",FALSE),IFERROR(INDEX('Kontoplan'!$D$3:$D$302,MATCH(E891,'Kontoplan'!$H$3:$H$302,0))="Støttes ikke",FALSE)),"Kontoen støttes ikke",IF(IFERROR(AND(A891&gt;1,COUNTIF($A$3:$A$2002,A891-1)=0),FALSE),"Nummeret hopper over",IF(OR(NOT(ISNUMBER(B891)),B891&lt;DATE(2027,1,1),B891&gt;DATE(2027,12,31)),"Datoen er ikke i 2027",""))))))</f>
        <v/>
      </c>
    </row>
    <row r="892">
      <c r="A892" s="17" t="n"/>
      <c r="B892" s="9" t="n"/>
      <c r="C892" s="8" t="n"/>
      <c r="D892" s="8" t="n"/>
      <c r="E892" s="8" t="n"/>
      <c r="F892" s="14" t="n"/>
      <c r="G892" s="14" t="n"/>
      <c r="H892" s="8" t="n"/>
      <c r="I892" s="8" t="n"/>
      <c r="J892" s="8" t="n"/>
      <c r="K892" s="18">
        <f>IF(B892="","",IFERROR(MONTH(B892),""))</f>
        <v/>
      </c>
      <c r="L892" s="5">
        <f>IF(COUNTA(A892:J892)=0,"",IF(E892="","Mangler motkonto",IF((F892="")=(G892=""),"Fyll ut enten Inn eller Ut",IF(OR(IFERROR(INDEX('Kontoplan'!$D$3:$D$302,MATCH(D892,'Kontoplan'!$H$3:$H$302,0))="Støttes ikke",FALSE),IFERROR(INDEX('Kontoplan'!$D$3:$D$302,MATCH(E892,'Kontoplan'!$H$3:$H$302,0))="Støttes ikke",FALSE)),"Kontoen støttes ikke",IF(IFERROR(AND(A892&gt;1,COUNTIF($A$3:$A$2002,A892-1)=0),FALSE),"Nummeret hopper over",IF(OR(NOT(ISNUMBER(B892)),B892&lt;DATE(2027,1,1),B892&gt;DATE(2027,12,31)),"Datoen er ikke i 2027",""))))))</f>
        <v/>
      </c>
    </row>
    <row r="893">
      <c r="A893" s="17" t="n"/>
      <c r="B893" s="9" t="n"/>
      <c r="C893" s="8" t="n"/>
      <c r="D893" s="8" t="n"/>
      <c r="E893" s="8" t="n"/>
      <c r="F893" s="14" t="n"/>
      <c r="G893" s="14" t="n"/>
      <c r="H893" s="8" t="n"/>
      <c r="I893" s="8" t="n"/>
      <c r="J893" s="8" t="n"/>
      <c r="K893" s="18">
        <f>IF(B893="","",IFERROR(MONTH(B893),""))</f>
        <v/>
      </c>
      <c r="L893" s="5">
        <f>IF(COUNTA(A893:J893)=0,"",IF(E893="","Mangler motkonto",IF((F893="")=(G893=""),"Fyll ut enten Inn eller Ut",IF(OR(IFERROR(INDEX('Kontoplan'!$D$3:$D$302,MATCH(D893,'Kontoplan'!$H$3:$H$302,0))="Støttes ikke",FALSE),IFERROR(INDEX('Kontoplan'!$D$3:$D$302,MATCH(E893,'Kontoplan'!$H$3:$H$302,0))="Støttes ikke",FALSE)),"Kontoen støttes ikke",IF(IFERROR(AND(A893&gt;1,COUNTIF($A$3:$A$2002,A893-1)=0),FALSE),"Nummeret hopper over",IF(OR(NOT(ISNUMBER(B893)),B893&lt;DATE(2027,1,1),B893&gt;DATE(2027,12,31)),"Datoen er ikke i 2027",""))))))</f>
        <v/>
      </c>
    </row>
    <row r="894">
      <c r="A894" s="17" t="n"/>
      <c r="B894" s="9" t="n"/>
      <c r="C894" s="8" t="n"/>
      <c r="D894" s="8" t="n"/>
      <c r="E894" s="8" t="n"/>
      <c r="F894" s="14" t="n"/>
      <c r="G894" s="14" t="n"/>
      <c r="H894" s="8" t="n"/>
      <c r="I894" s="8" t="n"/>
      <c r="J894" s="8" t="n"/>
      <c r="K894" s="18">
        <f>IF(B894="","",IFERROR(MONTH(B894),""))</f>
        <v/>
      </c>
      <c r="L894" s="5">
        <f>IF(COUNTA(A894:J894)=0,"",IF(E894="","Mangler motkonto",IF((F894="")=(G894=""),"Fyll ut enten Inn eller Ut",IF(OR(IFERROR(INDEX('Kontoplan'!$D$3:$D$302,MATCH(D894,'Kontoplan'!$H$3:$H$302,0))="Støttes ikke",FALSE),IFERROR(INDEX('Kontoplan'!$D$3:$D$302,MATCH(E894,'Kontoplan'!$H$3:$H$302,0))="Støttes ikke",FALSE)),"Kontoen støttes ikke",IF(IFERROR(AND(A894&gt;1,COUNTIF($A$3:$A$2002,A894-1)=0),FALSE),"Nummeret hopper over",IF(OR(NOT(ISNUMBER(B894)),B894&lt;DATE(2027,1,1),B894&gt;DATE(2027,12,31)),"Datoen er ikke i 2027",""))))))</f>
        <v/>
      </c>
    </row>
    <row r="895">
      <c r="A895" s="17" t="n"/>
      <c r="B895" s="9" t="n"/>
      <c r="C895" s="8" t="n"/>
      <c r="D895" s="8" t="n"/>
      <c r="E895" s="8" t="n"/>
      <c r="F895" s="14" t="n"/>
      <c r="G895" s="14" t="n"/>
      <c r="H895" s="8" t="n"/>
      <c r="I895" s="8" t="n"/>
      <c r="J895" s="8" t="n"/>
      <c r="K895" s="18">
        <f>IF(B895="","",IFERROR(MONTH(B895),""))</f>
        <v/>
      </c>
      <c r="L895" s="5">
        <f>IF(COUNTA(A895:J895)=0,"",IF(E895="","Mangler motkonto",IF((F895="")=(G895=""),"Fyll ut enten Inn eller Ut",IF(OR(IFERROR(INDEX('Kontoplan'!$D$3:$D$302,MATCH(D895,'Kontoplan'!$H$3:$H$302,0))="Støttes ikke",FALSE),IFERROR(INDEX('Kontoplan'!$D$3:$D$302,MATCH(E895,'Kontoplan'!$H$3:$H$302,0))="Støttes ikke",FALSE)),"Kontoen støttes ikke",IF(IFERROR(AND(A895&gt;1,COUNTIF($A$3:$A$2002,A895-1)=0),FALSE),"Nummeret hopper over",IF(OR(NOT(ISNUMBER(B895)),B895&lt;DATE(2027,1,1),B895&gt;DATE(2027,12,31)),"Datoen er ikke i 2027",""))))))</f>
        <v/>
      </c>
    </row>
    <row r="896">
      <c r="A896" s="17" t="n"/>
      <c r="B896" s="9" t="n"/>
      <c r="C896" s="8" t="n"/>
      <c r="D896" s="8" t="n"/>
      <c r="E896" s="8" t="n"/>
      <c r="F896" s="14" t="n"/>
      <c r="G896" s="14" t="n"/>
      <c r="H896" s="8" t="n"/>
      <c r="I896" s="8" t="n"/>
      <c r="J896" s="8" t="n"/>
      <c r="K896" s="18">
        <f>IF(B896="","",IFERROR(MONTH(B896),""))</f>
        <v/>
      </c>
      <c r="L896" s="5">
        <f>IF(COUNTA(A896:J896)=0,"",IF(E896="","Mangler motkonto",IF((F896="")=(G896=""),"Fyll ut enten Inn eller Ut",IF(OR(IFERROR(INDEX('Kontoplan'!$D$3:$D$302,MATCH(D896,'Kontoplan'!$H$3:$H$302,0))="Støttes ikke",FALSE),IFERROR(INDEX('Kontoplan'!$D$3:$D$302,MATCH(E896,'Kontoplan'!$H$3:$H$302,0))="Støttes ikke",FALSE)),"Kontoen støttes ikke",IF(IFERROR(AND(A896&gt;1,COUNTIF($A$3:$A$2002,A896-1)=0),FALSE),"Nummeret hopper over",IF(OR(NOT(ISNUMBER(B896)),B896&lt;DATE(2027,1,1),B896&gt;DATE(2027,12,31)),"Datoen er ikke i 2027",""))))))</f>
        <v/>
      </c>
    </row>
    <row r="897">
      <c r="A897" s="17" t="n"/>
      <c r="B897" s="9" t="n"/>
      <c r="C897" s="8" t="n"/>
      <c r="D897" s="8" t="n"/>
      <c r="E897" s="8" t="n"/>
      <c r="F897" s="14" t="n"/>
      <c r="G897" s="14" t="n"/>
      <c r="H897" s="8" t="n"/>
      <c r="I897" s="8" t="n"/>
      <c r="J897" s="8" t="n"/>
      <c r="K897" s="18">
        <f>IF(B897="","",IFERROR(MONTH(B897),""))</f>
        <v/>
      </c>
      <c r="L897" s="5">
        <f>IF(COUNTA(A897:J897)=0,"",IF(E897="","Mangler motkonto",IF((F897="")=(G897=""),"Fyll ut enten Inn eller Ut",IF(OR(IFERROR(INDEX('Kontoplan'!$D$3:$D$302,MATCH(D897,'Kontoplan'!$H$3:$H$302,0))="Støttes ikke",FALSE),IFERROR(INDEX('Kontoplan'!$D$3:$D$302,MATCH(E897,'Kontoplan'!$H$3:$H$302,0))="Støttes ikke",FALSE)),"Kontoen støttes ikke",IF(IFERROR(AND(A897&gt;1,COUNTIF($A$3:$A$2002,A897-1)=0),FALSE),"Nummeret hopper over",IF(OR(NOT(ISNUMBER(B897)),B897&lt;DATE(2027,1,1),B897&gt;DATE(2027,12,31)),"Datoen er ikke i 2027",""))))))</f>
        <v/>
      </c>
    </row>
    <row r="898">
      <c r="A898" s="17" t="n"/>
      <c r="B898" s="9" t="n"/>
      <c r="C898" s="8" t="n"/>
      <c r="D898" s="8" t="n"/>
      <c r="E898" s="8" t="n"/>
      <c r="F898" s="14" t="n"/>
      <c r="G898" s="14" t="n"/>
      <c r="H898" s="8" t="n"/>
      <c r="I898" s="8" t="n"/>
      <c r="J898" s="8" t="n"/>
      <c r="K898" s="18">
        <f>IF(B898="","",IFERROR(MONTH(B898),""))</f>
        <v/>
      </c>
      <c r="L898" s="5">
        <f>IF(COUNTA(A898:J898)=0,"",IF(E898="","Mangler motkonto",IF((F898="")=(G898=""),"Fyll ut enten Inn eller Ut",IF(OR(IFERROR(INDEX('Kontoplan'!$D$3:$D$302,MATCH(D898,'Kontoplan'!$H$3:$H$302,0))="Støttes ikke",FALSE),IFERROR(INDEX('Kontoplan'!$D$3:$D$302,MATCH(E898,'Kontoplan'!$H$3:$H$302,0))="Støttes ikke",FALSE)),"Kontoen støttes ikke",IF(IFERROR(AND(A898&gt;1,COUNTIF($A$3:$A$2002,A898-1)=0),FALSE),"Nummeret hopper over",IF(OR(NOT(ISNUMBER(B898)),B898&lt;DATE(2027,1,1),B898&gt;DATE(2027,12,31)),"Datoen er ikke i 2027",""))))))</f>
        <v/>
      </c>
    </row>
    <row r="899">
      <c r="A899" s="17" t="n"/>
      <c r="B899" s="9" t="n"/>
      <c r="C899" s="8" t="n"/>
      <c r="D899" s="8" t="n"/>
      <c r="E899" s="8" t="n"/>
      <c r="F899" s="14" t="n"/>
      <c r="G899" s="14" t="n"/>
      <c r="H899" s="8" t="n"/>
      <c r="I899" s="8" t="n"/>
      <c r="J899" s="8" t="n"/>
      <c r="K899" s="18">
        <f>IF(B899="","",IFERROR(MONTH(B899),""))</f>
        <v/>
      </c>
      <c r="L899" s="5">
        <f>IF(COUNTA(A899:J899)=0,"",IF(E899="","Mangler motkonto",IF((F899="")=(G899=""),"Fyll ut enten Inn eller Ut",IF(OR(IFERROR(INDEX('Kontoplan'!$D$3:$D$302,MATCH(D899,'Kontoplan'!$H$3:$H$302,0))="Støttes ikke",FALSE),IFERROR(INDEX('Kontoplan'!$D$3:$D$302,MATCH(E899,'Kontoplan'!$H$3:$H$302,0))="Støttes ikke",FALSE)),"Kontoen støttes ikke",IF(IFERROR(AND(A899&gt;1,COUNTIF($A$3:$A$2002,A899-1)=0),FALSE),"Nummeret hopper over",IF(OR(NOT(ISNUMBER(B899)),B899&lt;DATE(2027,1,1),B899&gt;DATE(2027,12,31)),"Datoen er ikke i 2027",""))))))</f>
        <v/>
      </c>
    </row>
    <row r="900">
      <c r="A900" s="17" t="n"/>
      <c r="B900" s="9" t="n"/>
      <c r="C900" s="8" t="n"/>
      <c r="D900" s="8" t="n"/>
      <c r="E900" s="8" t="n"/>
      <c r="F900" s="14" t="n"/>
      <c r="G900" s="14" t="n"/>
      <c r="H900" s="8" t="n"/>
      <c r="I900" s="8" t="n"/>
      <c r="J900" s="8" t="n"/>
      <c r="K900" s="18">
        <f>IF(B900="","",IFERROR(MONTH(B900),""))</f>
        <v/>
      </c>
      <c r="L900" s="5">
        <f>IF(COUNTA(A900:J900)=0,"",IF(E900="","Mangler motkonto",IF((F900="")=(G900=""),"Fyll ut enten Inn eller Ut",IF(OR(IFERROR(INDEX('Kontoplan'!$D$3:$D$302,MATCH(D900,'Kontoplan'!$H$3:$H$302,0))="Støttes ikke",FALSE),IFERROR(INDEX('Kontoplan'!$D$3:$D$302,MATCH(E900,'Kontoplan'!$H$3:$H$302,0))="Støttes ikke",FALSE)),"Kontoen støttes ikke",IF(IFERROR(AND(A900&gt;1,COUNTIF($A$3:$A$2002,A900-1)=0),FALSE),"Nummeret hopper over",IF(OR(NOT(ISNUMBER(B900)),B900&lt;DATE(2027,1,1),B900&gt;DATE(2027,12,31)),"Datoen er ikke i 2027",""))))))</f>
        <v/>
      </c>
    </row>
    <row r="901">
      <c r="A901" s="17" t="n"/>
      <c r="B901" s="9" t="n"/>
      <c r="C901" s="8" t="n"/>
      <c r="D901" s="8" t="n"/>
      <c r="E901" s="8" t="n"/>
      <c r="F901" s="14" t="n"/>
      <c r="G901" s="14" t="n"/>
      <c r="H901" s="8" t="n"/>
      <c r="I901" s="8" t="n"/>
      <c r="J901" s="8" t="n"/>
      <c r="K901" s="18">
        <f>IF(B901="","",IFERROR(MONTH(B901),""))</f>
        <v/>
      </c>
      <c r="L901" s="5">
        <f>IF(COUNTA(A901:J901)=0,"",IF(E901="","Mangler motkonto",IF((F901="")=(G901=""),"Fyll ut enten Inn eller Ut",IF(OR(IFERROR(INDEX('Kontoplan'!$D$3:$D$302,MATCH(D901,'Kontoplan'!$H$3:$H$302,0))="Støttes ikke",FALSE),IFERROR(INDEX('Kontoplan'!$D$3:$D$302,MATCH(E901,'Kontoplan'!$H$3:$H$302,0))="Støttes ikke",FALSE)),"Kontoen støttes ikke",IF(IFERROR(AND(A901&gt;1,COUNTIF($A$3:$A$2002,A901-1)=0),FALSE),"Nummeret hopper over",IF(OR(NOT(ISNUMBER(B901)),B901&lt;DATE(2027,1,1),B901&gt;DATE(2027,12,31)),"Datoen er ikke i 2027",""))))))</f>
        <v/>
      </c>
    </row>
    <row r="902">
      <c r="A902" s="17" t="n"/>
      <c r="B902" s="9" t="n"/>
      <c r="C902" s="8" t="n"/>
      <c r="D902" s="8" t="n"/>
      <c r="E902" s="8" t="n"/>
      <c r="F902" s="14" t="n"/>
      <c r="G902" s="14" t="n"/>
      <c r="H902" s="8" t="n"/>
      <c r="I902" s="8" t="n"/>
      <c r="J902" s="8" t="n"/>
      <c r="K902" s="18">
        <f>IF(B902="","",IFERROR(MONTH(B902),""))</f>
        <v/>
      </c>
      <c r="L902" s="5">
        <f>IF(COUNTA(A902:J902)=0,"",IF(E902="","Mangler motkonto",IF((F902="")=(G902=""),"Fyll ut enten Inn eller Ut",IF(OR(IFERROR(INDEX('Kontoplan'!$D$3:$D$302,MATCH(D902,'Kontoplan'!$H$3:$H$302,0))="Støttes ikke",FALSE),IFERROR(INDEX('Kontoplan'!$D$3:$D$302,MATCH(E902,'Kontoplan'!$H$3:$H$302,0))="Støttes ikke",FALSE)),"Kontoen støttes ikke",IF(IFERROR(AND(A902&gt;1,COUNTIF($A$3:$A$2002,A902-1)=0),FALSE),"Nummeret hopper over",IF(OR(NOT(ISNUMBER(B902)),B902&lt;DATE(2027,1,1),B902&gt;DATE(2027,12,31)),"Datoen er ikke i 2027",""))))))</f>
        <v/>
      </c>
    </row>
    <row r="903">
      <c r="A903" s="17" t="n"/>
      <c r="B903" s="9" t="n"/>
      <c r="C903" s="8" t="n"/>
      <c r="D903" s="8" t="n"/>
      <c r="E903" s="8" t="n"/>
      <c r="F903" s="14" t="n"/>
      <c r="G903" s="14" t="n"/>
      <c r="H903" s="8" t="n"/>
      <c r="I903" s="8" t="n"/>
      <c r="J903" s="8" t="n"/>
      <c r="K903" s="18">
        <f>IF(B903="","",IFERROR(MONTH(B903),""))</f>
        <v/>
      </c>
      <c r="L903" s="5">
        <f>IF(COUNTA(A903:J903)=0,"",IF(E903="","Mangler motkonto",IF((F903="")=(G903=""),"Fyll ut enten Inn eller Ut",IF(OR(IFERROR(INDEX('Kontoplan'!$D$3:$D$302,MATCH(D903,'Kontoplan'!$H$3:$H$302,0))="Støttes ikke",FALSE),IFERROR(INDEX('Kontoplan'!$D$3:$D$302,MATCH(E903,'Kontoplan'!$H$3:$H$302,0))="Støttes ikke",FALSE)),"Kontoen støttes ikke",IF(IFERROR(AND(A903&gt;1,COUNTIF($A$3:$A$2002,A903-1)=0),FALSE),"Nummeret hopper over",IF(OR(NOT(ISNUMBER(B903)),B903&lt;DATE(2027,1,1),B903&gt;DATE(2027,12,31)),"Datoen er ikke i 2027",""))))))</f>
        <v/>
      </c>
    </row>
    <row r="904">
      <c r="A904" s="17" t="n"/>
      <c r="B904" s="9" t="n"/>
      <c r="C904" s="8" t="n"/>
      <c r="D904" s="8" t="n"/>
      <c r="E904" s="8" t="n"/>
      <c r="F904" s="14" t="n"/>
      <c r="G904" s="14" t="n"/>
      <c r="H904" s="8" t="n"/>
      <c r="I904" s="8" t="n"/>
      <c r="J904" s="8" t="n"/>
      <c r="K904" s="18">
        <f>IF(B904="","",IFERROR(MONTH(B904),""))</f>
        <v/>
      </c>
      <c r="L904" s="5">
        <f>IF(COUNTA(A904:J904)=0,"",IF(E904="","Mangler motkonto",IF((F904="")=(G904=""),"Fyll ut enten Inn eller Ut",IF(OR(IFERROR(INDEX('Kontoplan'!$D$3:$D$302,MATCH(D904,'Kontoplan'!$H$3:$H$302,0))="Støttes ikke",FALSE),IFERROR(INDEX('Kontoplan'!$D$3:$D$302,MATCH(E904,'Kontoplan'!$H$3:$H$302,0))="Støttes ikke",FALSE)),"Kontoen støttes ikke",IF(IFERROR(AND(A904&gt;1,COUNTIF($A$3:$A$2002,A904-1)=0),FALSE),"Nummeret hopper over",IF(OR(NOT(ISNUMBER(B904)),B904&lt;DATE(2027,1,1),B904&gt;DATE(2027,12,31)),"Datoen er ikke i 2027",""))))))</f>
        <v/>
      </c>
    </row>
    <row r="905">
      <c r="A905" s="17" t="n"/>
      <c r="B905" s="9" t="n"/>
      <c r="C905" s="8" t="n"/>
      <c r="D905" s="8" t="n"/>
      <c r="E905" s="8" t="n"/>
      <c r="F905" s="14" t="n"/>
      <c r="G905" s="14" t="n"/>
      <c r="H905" s="8" t="n"/>
      <c r="I905" s="8" t="n"/>
      <c r="J905" s="8" t="n"/>
      <c r="K905" s="18">
        <f>IF(B905="","",IFERROR(MONTH(B905),""))</f>
        <v/>
      </c>
      <c r="L905" s="5">
        <f>IF(COUNTA(A905:J905)=0,"",IF(E905="","Mangler motkonto",IF((F905="")=(G905=""),"Fyll ut enten Inn eller Ut",IF(OR(IFERROR(INDEX('Kontoplan'!$D$3:$D$302,MATCH(D905,'Kontoplan'!$H$3:$H$302,0))="Støttes ikke",FALSE),IFERROR(INDEX('Kontoplan'!$D$3:$D$302,MATCH(E905,'Kontoplan'!$H$3:$H$302,0))="Støttes ikke",FALSE)),"Kontoen støttes ikke",IF(IFERROR(AND(A905&gt;1,COUNTIF($A$3:$A$2002,A905-1)=0),FALSE),"Nummeret hopper over",IF(OR(NOT(ISNUMBER(B905)),B905&lt;DATE(2027,1,1),B905&gt;DATE(2027,12,31)),"Datoen er ikke i 2027",""))))))</f>
        <v/>
      </c>
    </row>
    <row r="906">
      <c r="A906" s="17" t="n"/>
      <c r="B906" s="9" t="n"/>
      <c r="C906" s="8" t="n"/>
      <c r="D906" s="8" t="n"/>
      <c r="E906" s="8" t="n"/>
      <c r="F906" s="14" t="n"/>
      <c r="G906" s="14" t="n"/>
      <c r="H906" s="8" t="n"/>
      <c r="I906" s="8" t="n"/>
      <c r="J906" s="8" t="n"/>
      <c r="K906" s="18">
        <f>IF(B906="","",IFERROR(MONTH(B906),""))</f>
        <v/>
      </c>
      <c r="L906" s="5">
        <f>IF(COUNTA(A906:J906)=0,"",IF(E906="","Mangler motkonto",IF((F906="")=(G906=""),"Fyll ut enten Inn eller Ut",IF(OR(IFERROR(INDEX('Kontoplan'!$D$3:$D$302,MATCH(D906,'Kontoplan'!$H$3:$H$302,0))="Støttes ikke",FALSE),IFERROR(INDEX('Kontoplan'!$D$3:$D$302,MATCH(E906,'Kontoplan'!$H$3:$H$302,0))="Støttes ikke",FALSE)),"Kontoen støttes ikke",IF(IFERROR(AND(A906&gt;1,COUNTIF($A$3:$A$2002,A906-1)=0),FALSE),"Nummeret hopper over",IF(OR(NOT(ISNUMBER(B906)),B906&lt;DATE(2027,1,1),B906&gt;DATE(2027,12,31)),"Datoen er ikke i 2027",""))))))</f>
        <v/>
      </c>
    </row>
    <row r="907">
      <c r="A907" s="17" t="n"/>
      <c r="B907" s="9" t="n"/>
      <c r="C907" s="8" t="n"/>
      <c r="D907" s="8" t="n"/>
      <c r="E907" s="8" t="n"/>
      <c r="F907" s="14" t="n"/>
      <c r="G907" s="14" t="n"/>
      <c r="H907" s="8" t="n"/>
      <c r="I907" s="8" t="n"/>
      <c r="J907" s="8" t="n"/>
      <c r="K907" s="18">
        <f>IF(B907="","",IFERROR(MONTH(B907),""))</f>
        <v/>
      </c>
      <c r="L907" s="5">
        <f>IF(COUNTA(A907:J907)=0,"",IF(E907="","Mangler motkonto",IF((F907="")=(G907=""),"Fyll ut enten Inn eller Ut",IF(OR(IFERROR(INDEX('Kontoplan'!$D$3:$D$302,MATCH(D907,'Kontoplan'!$H$3:$H$302,0))="Støttes ikke",FALSE),IFERROR(INDEX('Kontoplan'!$D$3:$D$302,MATCH(E907,'Kontoplan'!$H$3:$H$302,0))="Støttes ikke",FALSE)),"Kontoen støttes ikke",IF(IFERROR(AND(A907&gt;1,COUNTIF($A$3:$A$2002,A907-1)=0),FALSE),"Nummeret hopper over",IF(OR(NOT(ISNUMBER(B907)),B907&lt;DATE(2027,1,1),B907&gt;DATE(2027,12,31)),"Datoen er ikke i 2027",""))))))</f>
        <v/>
      </c>
    </row>
    <row r="908">
      <c r="A908" s="17" t="n"/>
      <c r="B908" s="9" t="n"/>
      <c r="C908" s="8" t="n"/>
      <c r="D908" s="8" t="n"/>
      <c r="E908" s="8" t="n"/>
      <c r="F908" s="14" t="n"/>
      <c r="G908" s="14" t="n"/>
      <c r="H908" s="8" t="n"/>
      <c r="I908" s="8" t="n"/>
      <c r="J908" s="8" t="n"/>
      <c r="K908" s="18">
        <f>IF(B908="","",IFERROR(MONTH(B908),""))</f>
        <v/>
      </c>
      <c r="L908" s="5">
        <f>IF(COUNTA(A908:J908)=0,"",IF(E908="","Mangler motkonto",IF((F908="")=(G908=""),"Fyll ut enten Inn eller Ut",IF(OR(IFERROR(INDEX('Kontoplan'!$D$3:$D$302,MATCH(D908,'Kontoplan'!$H$3:$H$302,0))="Støttes ikke",FALSE),IFERROR(INDEX('Kontoplan'!$D$3:$D$302,MATCH(E908,'Kontoplan'!$H$3:$H$302,0))="Støttes ikke",FALSE)),"Kontoen støttes ikke",IF(IFERROR(AND(A908&gt;1,COUNTIF($A$3:$A$2002,A908-1)=0),FALSE),"Nummeret hopper over",IF(OR(NOT(ISNUMBER(B908)),B908&lt;DATE(2027,1,1),B908&gt;DATE(2027,12,31)),"Datoen er ikke i 2027",""))))))</f>
        <v/>
      </c>
    </row>
    <row r="909">
      <c r="A909" s="17" t="n"/>
      <c r="B909" s="9" t="n"/>
      <c r="C909" s="8" t="n"/>
      <c r="D909" s="8" t="n"/>
      <c r="E909" s="8" t="n"/>
      <c r="F909" s="14" t="n"/>
      <c r="G909" s="14" t="n"/>
      <c r="H909" s="8" t="n"/>
      <c r="I909" s="8" t="n"/>
      <c r="J909" s="8" t="n"/>
      <c r="K909" s="18">
        <f>IF(B909="","",IFERROR(MONTH(B909),""))</f>
        <v/>
      </c>
      <c r="L909" s="5">
        <f>IF(COUNTA(A909:J909)=0,"",IF(E909="","Mangler motkonto",IF((F909="")=(G909=""),"Fyll ut enten Inn eller Ut",IF(OR(IFERROR(INDEX('Kontoplan'!$D$3:$D$302,MATCH(D909,'Kontoplan'!$H$3:$H$302,0))="Støttes ikke",FALSE),IFERROR(INDEX('Kontoplan'!$D$3:$D$302,MATCH(E909,'Kontoplan'!$H$3:$H$302,0))="Støttes ikke",FALSE)),"Kontoen støttes ikke",IF(IFERROR(AND(A909&gt;1,COUNTIF($A$3:$A$2002,A909-1)=0),FALSE),"Nummeret hopper over",IF(OR(NOT(ISNUMBER(B909)),B909&lt;DATE(2027,1,1),B909&gt;DATE(2027,12,31)),"Datoen er ikke i 2027",""))))))</f>
        <v/>
      </c>
    </row>
    <row r="910">
      <c r="A910" s="17" t="n"/>
      <c r="B910" s="9" t="n"/>
      <c r="C910" s="8" t="n"/>
      <c r="D910" s="8" t="n"/>
      <c r="E910" s="8" t="n"/>
      <c r="F910" s="14" t="n"/>
      <c r="G910" s="14" t="n"/>
      <c r="H910" s="8" t="n"/>
      <c r="I910" s="8" t="n"/>
      <c r="J910" s="8" t="n"/>
      <c r="K910" s="18">
        <f>IF(B910="","",IFERROR(MONTH(B910),""))</f>
        <v/>
      </c>
      <c r="L910" s="5">
        <f>IF(COUNTA(A910:J910)=0,"",IF(E910="","Mangler motkonto",IF((F910="")=(G910=""),"Fyll ut enten Inn eller Ut",IF(OR(IFERROR(INDEX('Kontoplan'!$D$3:$D$302,MATCH(D910,'Kontoplan'!$H$3:$H$302,0))="Støttes ikke",FALSE),IFERROR(INDEX('Kontoplan'!$D$3:$D$302,MATCH(E910,'Kontoplan'!$H$3:$H$302,0))="Støttes ikke",FALSE)),"Kontoen støttes ikke",IF(IFERROR(AND(A910&gt;1,COUNTIF($A$3:$A$2002,A910-1)=0),FALSE),"Nummeret hopper over",IF(OR(NOT(ISNUMBER(B910)),B910&lt;DATE(2027,1,1),B910&gt;DATE(2027,12,31)),"Datoen er ikke i 2027",""))))))</f>
        <v/>
      </c>
    </row>
    <row r="911">
      <c r="A911" s="17" t="n"/>
      <c r="B911" s="9" t="n"/>
      <c r="C911" s="8" t="n"/>
      <c r="D911" s="8" t="n"/>
      <c r="E911" s="8" t="n"/>
      <c r="F911" s="14" t="n"/>
      <c r="G911" s="14" t="n"/>
      <c r="H911" s="8" t="n"/>
      <c r="I911" s="8" t="n"/>
      <c r="J911" s="8" t="n"/>
      <c r="K911" s="18">
        <f>IF(B911="","",IFERROR(MONTH(B911),""))</f>
        <v/>
      </c>
      <c r="L911" s="5">
        <f>IF(COUNTA(A911:J911)=0,"",IF(E911="","Mangler motkonto",IF((F911="")=(G911=""),"Fyll ut enten Inn eller Ut",IF(OR(IFERROR(INDEX('Kontoplan'!$D$3:$D$302,MATCH(D911,'Kontoplan'!$H$3:$H$302,0))="Støttes ikke",FALSE),IFERROR(INDEX('Kontoplan'!$D$3:$D$302,MATCH(E911,'Kontoplan'!$H$3:$H$302,0))="Støttes ikke",FALSE)),"Kontoen støttes ikke",IF(IFERROR(AND(A911&gt;1,COUNTIF($A$3:$A$2002,A911-1)=0),FALSE),"Nummeret hopper over",IF(OR(NOT(ISNUMBER(B911)),B911&lt;DATE(2027,1,1),B911&gt;DATE(2027,12,31)),"Datoen er ikke i 2027",""))))))</f>
        <v/>
      </c>
    </row>
    <row r="912">
      <c r="A912" s="17" t="n"/>
      <c r="B912" s="9" t="n"/>
      <c r="C912" s="8" t="n"/>
      <c r="D912" s="8" t="n"/>
      <c r="E912" s="8" t="n"/>
      <c r="F912" s="14" t="n"/>
      <c r="G912" s="14" t="n"/>
      <c r="H912" s="8" t="n"/>
      <c r="I912" s="8" t="n"/>
      <c r="J912" s="8" t="n"/>
      <c r="K912" s="18">
        <f>IF(B912="","",IFERROR(MONTH(B912),""))</f>
        <v/>
      </c>
      <c r="L912" s="5">
        <f>IF(COUNTA(A912:J912)=0,"",IF(E912="","Mangler motkonto",IF((F912="")=(G912=""),"Fyll ut enten Inn eller Ut",IF(OR(IFERROR(INDEX('Kontoplan'!$D$3:$D$302,MATCH(D912,'Kontoplan'!$H$3:$H$302,0))="Støttes ikke",FALSE),IFERROR(INDEX('Kontoplan'!$D$3:$D$302,MATCH(E912,'Kontoplan'!$H$3:$H$302,0))="Støttes ikke",FALSE)),"Kontoen støttes ikke",IF(IFERROR(AND(A912&gt;1,COUNTIF($A$3:$A$2002,A912-1)=0),FALSE),"Nummeret hopper over",IF(OR(NOT(ISNUMBER(B912)),B912&lt;DATE(2027,1,1),B912&gt;DATE(2027,12,31)),"Datoen er ikke i 2027",""))))))</f>
        <v/>
      </c>
    </row>
    <row r="913">
      <c r="A913" s="17" t="n"/>
      <c r="B913" s="9" t="n"/>
      <c r="C913" s="8" t="n"/>
      <c r="D913" s="8" t="n"/>
      <c r="E913" s="8" t="n"/>
      <c r="F913" s="14" t="n"/>
      <c r="G913" s="14" t="n"/>
      <c r="H913" s="8" t="n"/>
      <c r="I913" s="8" t="n"/>
      <c r="J913" s="8" t="n"/>
      <c r="K913" s="18">
        <f>IF(B913="","",IFERROR(MONTH(B913),""))</f>
        <v/>
      </c>
      <c r="L913" s="5">
        <f>IF(COUNTA(A913:J913)=0,"",IF(E913="","Mangler motkonto",IF((F913="")=(G913=""),"Fyll ut enten Inn eller Ut",IF(OR(IFERROR(INDEX('Kontoplan'!$D$3:$D$302,MATCH(D913,'Kontoplan'!$H$3:$H$302,0))="Støttes ikke",FALSE),IFERROR(INDEX('Kontoplan'!$D$3:$D$302,MATCH(E913,'Kontoplan'!$H$3:$H$302,0))="Støttes ikke",FALSE)),"Kontoen støttes ikke",IF(IFERROR(AND(A913&gt;1,COUNTIF($A$3:$A$2002,A913-1)=0),FALSE),"Nummeret hopper over",IF(OR(NOT(ISNUMBER(B913)),B913&lt;DATE(2027,1,1),B913&gt;DATE(2027,12,31)),"Datoen er ikke i 2027",""))))))</f>
        <v/>
      </c>
    </row>
    <row r="914">
      <c r="A914" s="17" t="n"/>
      <c r="B914" s="9" t="n"/>
      <c r="C914" s="8" t="n"/>
      <c r="D914" s="8" t="n"/>
      <c r="E914" s="8" t="n"/>
      <c r="F914" s="14" t="n"/>
      <c r="G914" s="14" t="n"/>
      <c r="H914" s="8" t="n"/>
      <c r="I914" s="8" t="n"/>
      <c r="J914" s="8" t="n"/>
      <c r="K914" s="18">
        <f>IF(B914="","",IFERROR(MONTH(B914),""))</f>
        <v/>
      </c>
      <c r="L914" s="5">
        <f>IF(COUNTA(A914:J914)=0,"",IF(E914="","Mangler motkonto",IF((F914="")=(G914=""),"Fyll ut enten Inn eller Ut",IF(OR(IFERROR(INDEX('Kontoplan'!$D$3:$D$302,MATCH(D914,'Kontoplan'!$H$3:$H$302,0))="Støttes ikke",FALSE),IFERROR(INDEX('Kontoplan'!$D$3:$D$302,MATCH(E914,'Kontoplan'!$H$3:$H$302,0))="Støttes ikke",FALSE)),"Kontoen støttes ikke",IF(IFERROR(AND(A914&gt;1,COUNTIF($A$3:$A$2002,A914-1)=0),FALSE),"Nummeret hopper over",IF(OR(NOT(ISNUMBER(B914)),B914&lt;DATE(2027,1,1),B914&gt;DATE(2027,12,31)),"Datoen er ikke i 2027",""))))))</f>
        <v/>
      </c>
    </row>
    <row r="915">
      <c r="A915" s="17" t="n"/>
      <c r="B915" s="9" t="n"/>
      <c r="C915" s="8" t="n"/>
      <c r="D915" s="8" t="n"/>
      <c r="E915" s="8" t="n"/>
      <c r="F915" s="14" t="n"/>
      <c r="G915" s="14" t="n"/>
      <c r="H915" s="8" t="n"/>
      <c r="I915" s="8" t="n"/>
      <c r="J915" s="8" t="n"/>
      <c r="K915" s="18">
        <f>IF(B915="","",IFERROR(MONTH(B915),""))</f>
        <v/>
      </c>
      <c r="L915" s="5">
        <f>IF(COUNTA(A915:J915)=0,"",IF(E915="","Mangler motkonto",IF((F915="")=(G915=""),"Fyll ut enten Inn eller Ut",IF(OR(IFERROR(INDEX('Kontoplan'!$D$3:$D$302,MATCH(D915,'Kontoplan'!$H$3:$H$302,0))="Støttes ikke",FALSE),IFERROR(INDEX('Kontoplan'!$D$3:$D$302,MATCH(E915,'Kontoplan'!$H$3:$H$302,0))="Støttes ikke",FALSE)),"Kontoen støttes ikke",IF(IFERROR(AND(A915&gt;1,COUNTIF($A$3:$A$2002,A915-1)=0),FALSE),"Nummeret hopper over",IF(OR(NOT(ISNUMBER(B915)),B915&lt;DATE(2027,1,1),B915&gt;DATE(2027,12,31)),"Datoen er ikke i 2027",""))))))</f>
        <v/>
      </c>
    </row>
    <row r="916">
      <c r="A916" s="17" t="n"/>
      <c r="B916" s="9" t="n"/>
      <c r="C916" s="8" t="n"/>
      <c r="D916" s="8" t="n"/>
      <c r="E916" s="8" t="n"/>
      <c r="F916" s="14" t="n"/>
      <c r="G916" s="14" t="n"/>
      <c r="H916" s="8" t="n"/>
      <c r="I916" s="8" t="n"/>
      <c r="J916" s="8" t="n"/>
      <c r="K916" s="18">
        <f>IF(B916="","",IFERROR(MONTH(B916),""))</f>
        <v/>
      </c>
      <c r="L916" s="5">
        <f>IF(COUNTA(A916:J916)=0,"",IF(E916="","Mangler motkonto",IF((F916="")=(G916=""),"Fyll ut enten Inn eller Ut",IF(OR(IFERROR(INDEX('Kontoplan'!$D$3:$D$302,MATCH(D916,'Kontoplan'!$H$3:$H$302,0))="Støttes ikke",FALSE),IFERROR(INDEX('Kontoplan'!$D$3:$D$302,MATCH(E916,'Kontoplan'!$H$3:$H$302,0))="Støttes ikke",FALSE)),"Kontoen støttes ikke",IF(IFERROR(AND(A916&gt;1,COUNTIF($A$3:$A$2002,A916-1)=0),FALSE),"Nummeret hopper over",IF(OR(NOT(ISNUMBER(B916)),B916&lt;DATE(2027,1,1),B916&gt;DATE(2027,12,31)),"Datoen er ikke i 2027",""))))))</f>
        <v/>
      </c>
    </row>
    <row r="917">
      <c r="A917" s="17" t="n"/>
      <c r="B917" s="9" t="n"/>
      <c r="C917" s="8" t="n"/>
      <c r="D917" s="8" t="n"/>
      <c r="E917" s="8" t="n"/>
      <c r="F917" s="14" t="n"/>
      <c r="G917" s="14" t="n"/>
      <c r="H917" s="8" t="n"/>
      <c r="I917" s="8" t="n"/>
      <c r="J917" s="8" t="n"/>
      <c r="K917" s="18">
        <f>IF(B917="","",IFERROR(MONTH(B917),""))</f>
        <v/>
      </c>
      <c r="L917" s="5">
        <f>IF(COUNTA(A917:J917)=0,"",IF(E917="","Mangler motkonto",IF((F917="")=(G917=""),"Fyll ut enten Inn eller Ut",IF(OR(IFERROR(INDEX('Kontoplan'!$D$3:$D$302,MATCH(D917,'Kontoplan'!$H$3:$H$302,0))="Støttes ikke",FALSE),IFERROR(INDEX('Kontoplan'!$D$3:$D$302,MATCH(E917,'Kontoplan'!$H$3:$H$302,0))="Støttes ikke",FALSE)),"Kontoen støttes ikke",IF(IFERROR(AND(A917&gt;1,COUNTIF($A$3:$A$2002,A917-1)=0),FALSE),"Nummeret hopper over",IF(OR(NOT(ISNUMBER(B917)),B917&lt;DATE(2027,1,1),B917&gt;DATE(2027,12,31)),"Datoen er ikke i 2027",""))))))</f>
        <v/>
      </c>
    </row>
    <row r="918">
      <c r="A918" s="17" t="n"/>
      <c r="B918" s="9" t="n"/>
      <c r="C918" s="8" t="n"/>
      <c r="D918" s="8" t="n"/>
      <c r="E918" s="8" t="n"/>
      <c r="F918" s="14" t="n"/>
      <c r="G918" s="14" t="n"/>
      <c r="H918" s="8" t="n"/>
      <c r="I918" s="8" t="n"/>
      <c r="J918" s="8" t="n"/>
      <c r="K918" s="18">
        <f>IF(B918="","",IFERROR(MONTH(B918),""))</f>
        <v/>
      </c>
      <c r="L918" s="5">
        <f>IF(COUNTA(A918:J918)=0,"",IF(E918="","Mangler motkonto",IF((F918="")=(G918=""),"Fyll ut enten Inn eller Ut",IF(OR(IFERROR(INDEX('Kontoplan'!$D$3:$D$302,MATCH(D918,'Kontoplan'!$H$3:$H$302,0))="Støttes ikke",FALSE),IFERROR(INDEX('Kontoplan'!$D$3:$D$302,MATCH(E918,'Kontoplan'!$H$3:$H$302,0))="Støttes ikke",FALSE)),"Kontoen støttes ikke",IF(IFERROR(AND(A918&gt;1,COUNTIF($A$3:$A$2002,A918-1)=0),FALSE),"Nummeret hopper over",IF(OR(NOT(ISNUMBER(B918)),B918&lt;DATE(2027,1,1),B918&gt;DATE(2027,12,31)),"Datoen er ikke i 2027",""))))))</f>
        <v/>
      </c>
    </row>
    <row r="919">
      <c r="A919" s="17" t="n"/>
      <c r="B919" s="9" t="n"/>
      <c r="C919" s="8" t="n"/>
      <c r="D919" s="8" t="n"/>
      <c r="E919" s="8" t="n"/>
      <c r="F919" s="14" t="n"/>
      <c r="G919" s="14" t="n"/>
      <c r="H919" s="8" t="n"/>
      <c r="I919" s="8" t="n"/>
      <c r="J919" s="8" t="n"/>
      <c r="K919" s="18">
        <f>IF(B919="","",IFERROR(MONTH(B919),""))</f>
        <v/>
      </c>
      <c r="L919" s="5">
        <f>IF(COUNTA(A919:J919)=0,"",IF(E919="","Mangler motkonto",IF((F919="")=(G919=""),"Fyll ut enten Inn eller Ut",IF(OR(IFERROR(INDEX('Kontoplan'!$D$3:$D$302,MATCH(D919,'Kontoplan'!$H$3:$H$302,0))="Støttes ikke",FALSE),IFERROR(INDEX('Kontoplan'!$D$3:$D$302,MATCH(E919,'Kontoplan'!$H$3:$H$302,0))="Støttes ikke",FALSE)),"Kontoen støttes ikke",IF(IFERROR(AND(A919&gt;1,COUNTIF($A$3:$A$2002,A919-1)=0),FALSE),"Nummeret hopper over",IF(OR(NOT(ISNUMBER(B919)),B919&lt;DATE(2027,1,1),B919&gt;DATE(2027,12,31)),"Datoen er ikke i 2027",""))))))</f>
        <v/>
      </c>
    </row>
    <row r="920">
      <c r="A920" s="17" t="n"/>
      <c r="B920" s="9" t="n"/>
      <c r="C920" s="8" t="n"/>
      <c r="D920" s="8" t="n"/>
      <c r="E920" s="8" t="n"/>
      <c r="F920" s="14" t="n"/>
      <c r="G920" s="14" t="n"/>
      <c r="H920" s="8" t="n"/>
      <c r="I920" s="8" t="n"/>
      <c r="J920" s="8" t="n"/>
      <c r="K920" s="18">
        <f>IF(B920="","",IFERROR(MONTH(B920),""))</f>
        <v/>
      </c>
      <c r="L920" s="5">
        <f>IF(COUNTA(A920:J920)=0,"",IF(E920="","Mangler motkonto",IF((F920="")=(G920=""),"Fyll ut enten Inn eller Ut",IF(OR(IFERROR(INDEX('Kontoplan'!$D$3:$D$302,MATCH(D920,'Kontoplan'!$H$3:$H$302,0))="Støttes ikke",FALSE),IFERROR(INDEX('Kontoplan'!$D$3:$D$302,MATCH(E920,'Kontoplan'!$H$3:$H$302,0))="Støttes ikke",FALSE)),"Kontoen støttes ikke",IF(IFERROR(AND(A920&gt;1,COUNTIF($A$3:$A$2002,A920-1)=0),FALSE),"Nummeret hopper over",IF(OR(NOT(ISNUMBER(B920)),B920&lt;DATE(2027,1,1),B920&gt;DATE(2027,12,31)),"Datoen er ikke i 2027",""))))))</f>
        <v/>
      </c>
    </row>
    <row r="921">
      <c r="A921" s="17" t="n"/>
      <c r="B921" s="9" t="n"/>
      <c r="C921" s="8" t="n"/>
      <c r="D921" s="8" t="n"/>
      <c r="E921" s="8" t="n"/>
      <c r="F921" s="14" t="n"/>
      <c r="G921" s="14" t="n"/>
      <c r="H921" s="8" t="n"/>
      <c r="I921" s="8" t="n"/>
      <c r="J921" s="8" t="n"/>
      <c r="K921" s="18">
        <f>IF(B921="","",IFERROR(MONTH(B921),""))</f>
        <v/>
      </c>
      <c r="L921" s="5">
        <f>IF(COUNTA(A921:J921)=0,"",IF(E921="","Mangler motkonto",IF((F921="")=(G921=""),"Fyll ut enten Inn eller Ut",IF(OR(IFERROR(INDEX('Kontoplan'!$D$3:$D$302,MATCH(D921,'Kontoplan'!$H$3:$H$302,0))="Støttes ikke",FALSE),IFERROR(INDEX('Kontoplan'!$D$3:$D$302,MATCH(E921,'Kontoplan'!$H$3:$H$302,0))="Støttes ikke",FALSE)),"Kontoen støttes ikke",IF(IFERROR(AND(A921&gt;1,COUNTIF($A$3:$A$2002,A921-1)=0),FALSE),"Nummeret hopper over",IF(OR(NOT(ISNUMBER(B921)),B921&lt;DATE(2027,1,1),B921&gt;DATE(2027,12,31)),"Datoen er ikke i 2027",""))))))</f>
        <v/>
      </c>
    </row>
    <row r="922">
      <c r="A922" s="17" t="n"/>
      <c r="B922" s="9" t="n"/>
      <c r="C922" s="8" t="n"/>
      <c r="D922" s="8" t="n"/>
      <c r="E922" s="8" t="n"/>
      <c r="F922" s="14" t="n"/>
      <c r="G922" s="14" t="n"/>
      <c r="H922" s="8" t="n"/>
      <c r="I922" s="8" t="n"/>
      <c r="J922" s="8" t="n"/>
      <c r="K922" s="18">
        <f>IF(B922="","",IFERROR(MONTH(B922),""))</f>
        <v/>
      </c>
      <c r="L922" s="5">
        <f>IF(COUNTA(A922:J922)=0,"",IF(E922="","Mangler motkonto",IF((F922="")=(G922=""),"Fyll ut enten Inn eller Ut",IF(OR(IFERROR(INDEX('Kontoplan'!$D$3:$D$302,MATCH(D922,'Kontoplan'!$H$3:$H$302,0))="Støttes ikke",FALSE),IFERROR(INDEX('Kontoplan'!$D$3:$D$302,MATCH(E922,'Kontoplan'!$H$3:$H$302,0))="Støttes ikke",FALSE)),"Kontoen støttes ikke",IF(IFERROR(AND(A922&gt;1,COUNTIF($A$3:$A$2002,A922-1)=0),FALSE),"Nummeret hopper over",IF(OR(NOT(ISNUMBER(B922)),B922&lt;DATE(2027,1,1),B922&gt;DATE(2027,12,31)),"Datoen er ikke i 2027",""))))))</f>
        <v/>
      </c>
    </row>
    <row r="923">
      <c r="A923" s="17" t="n"/>
      <c r="B923" s="9" t="n"/>
      <c r="C923" s="8" t="n"/>
      <c r="D923" s="8" t="n"/>
      <c r="E923" s="8" t="n"/>
      <c r="F923" s="14" t="n"/>
      <c r="G923" s="14" t="n"/>
      <c r="H923" s="8" t="n"/>
      <c r="I923" s="8" t="n"/>
      <c r="J923" s="8" t="n"/>
      <c r="K923" s="18">
        <f>IF(B923="","",IFERROR(MONTH(B923),""))</f>
        <v/>
      </c>
      <c r="L923" s="5">
        <f>IF(COUNTA(A923:J923)=0,"",IF(E923="","Mangler motkonto",IF((F923="")=(G923=""),"Fyll ut enten Inn eller Ut",IF(OR(IFERROR(INDEX('Kontoplan'!$D$3:$D$302,MATCH(D923,'Kontoplan'!$H$3:$H$302,0))="Støttes ikke",FALSE),IFERROR(INDEX('Kontoplan'!$D$3:$D$302,MATCH(E923,'Kontoplan'!$H$3:$H$302,0))="Støttes ikke",FALSE)),"Kontoen støttes ikke",IF(IFERROR(AND(A923&gt;1,COUNTIF($A$3:$A$2002,A923-1)=0),FALSE),"Nummeret hopper over",IF(OR(NOT(ISNUMBER(B923)),B923&lt;DATE(2027,1,1),B923&gt;DATE(2027,12,31)),"Datoen er ikke i 2027",""))))))</f>
        <v/>
      </c>
    </row>
    <row r="924">
      <c r="A924" s="17" t="n"/>
      <c r="B924" s="9" t="n"/>
      <c r="C924" s="8" t="n"/>
      <c r="D924" s="8" t="n"/>
      <c r="E924" s="8" t="n"/>
      <c r="F924" s="14" t="n"/>
      <c r="G924" s="14" t="n"/>
      <c r="H924" s="8" t="n"/>
      <c r="I924" s="8" t="n"/>
      <c r="J924" s="8" t="n"/>
      <c r="K924" s="18">
        <f>IF(B924="","",IFERROR(MONTH(B924),""))</f>
        <v/>
      </c>
      <c r="L924" s="5">
        <f>IF(COUNTA(A924:J924)=0,"",IF(E924="","Mangler motkonto",IF((F924="")=(G924=""),"Fyll ut enten Inn eller Ut",IF(OR(IFERROR(INDEX('Kontoplan'!$D$3:$D$302,MATCH(D924,'Kontoplan'!$H$3:$H$302,0))="Støttes ikke",FALSE),IFERROR(INDEX('Kontoplan'!$D$3:$D$302,MATCH(E924,'Kontoplan'!$H$3:$H$302,0))="Støttes ikke",FALSE)),"Kontoen støttes ikke",IF(IFERROR(AND(A924&gt;1,COUNTIF($A$3:$A$2002,A924-1)=0),FALSE),"Nummeret hopper over",IF(OR(NOT(ISNUMBER(B924)),B924&lt;DATE(2027,1,1),B924&gt;DATE(2027,12,31)),"Datoen er ikke i 2027",""))))))</f>
        <v/>
      </c>
    </row>
    <row r="925">
      <c r="A925" s="17" t="n"/>
      <c r="B925" s="9" t="n"/>
      <c r="C925" s="8" t="n"/>
      <c r="D925" s="8" t="n"/>
      <c r="E925" s="8" t="n"/>
      <c r="F925" s="14" t="n"/>
      <c r="G925" s="14" t="n"/>
      <c r="H925" s="8" t="n"/>
      <c r="I925" s="8" t="n"/>
      <c r="J925" s="8" t="n"/>
      <c r="K925" s="18">
        <f>IF(B925="","",IFERROR(MONTH(B925),""))</f>
        <v/>
      </c>
      <c r="L925" s="5">
        <f>IF(COUNTA(A925:J925)=0,"",IF(E925="","Mangler motkonto",IF((F925="")=(G925=""),"Fyll ut enten Inn eller Ut",IF(OR(IFERROR(INDEX('Kontoplan'!$D$3:$D$302,MATCH(D925,'Kontoplan'!$H$3:$H$302,0))="Støttes ikke",FALSE),IFERROR(INDEX('Kontoplan'!$D$3:$D$302,MATCH(E925,'Kontoplan'!$H$3:$H$302,0))="Støttes ikke",FALSE)),"Kontoen støttes ikke",IF(IFERROR(AND(A925&gt;1,COUNTIF($A$3:$A$2002,A925-1)=0),FALSE),"Nummeret hopper over",IF(OR(NOT(ISNUMBER(B925)),B925&lt;DATE(2027,1,1),B925&gt;DATE(2027,12,31)),"Datoen er ikke i 2027",""))))))</f>
        <v/>
      </c>
    </row>
    <row r="926">
      <c r="A926" s="17" t="n"/>
      <c r="B926" s="9" t="n"/>
      <c r="C926" s="8" t="n"/>
      <c r="D926" s="8" t="n"/>
      <c r="E926" s="8" t="n"/>
      <c r="F926" s="14" t="n"/>
      <c r="G926" s="14" t="n"/>
      <c r="H926" s="8" t="n"/>
      <c r="I926" s="8" t="n"/>
      <c r="J926" s="8" t="n"/>
      <c r="K926" s="18">
        <f>IF(B926="","",IFERROR(MONTH(B926),""))</f>
        <v/>
      </c>
      <c r="L926" s="5">
        <f>IF(COUNTA(A926:J926)=0,"",IF(E926="","Mangler motkonto",IF((F926="")=(G926=""),"Fyll ut enten Inn eller Ut",IF(OR(IFERROR(INDEX('Kontoplan'!$D$3:$D$302,MATCH(D926,'Kontoplan'!$H$3:$H$302,0))="Støttes ikke",FALSE),IFERROR(INDEX('Kontoplan'!$D$3:$D$302,MATCH(E926,'Kontoplan'!$H$3:$H$302,0))="Støttes ikke",FALSE)),"Kontoen støttes ikke",IF(IFERROR(AND(A926&gt;1,COUNTIF($A$3:$A$2002,A926-1)=0),FALSE),"Nummeret hopper over",IF(OR(NOT(ISNUMBER(B926)),B926&lt;DATE(2027,1,1),B926&gt;DATE(2027,12,31)),"Datoen er ikke i 2027",""))))))</f>
        <v/>
      </c>
    </row>
    <row r="927">
      <c r="A927" s="17" t="n"/>
      <c r="B927" s="9" t="n"/>
      <c r="C927" s="8" t="n"/>
      <c r="D927" s="8" t="n"/>
      <c r="E927" s="8" t="n"/>
      <c r="F927" s="14" t="n"/>
      <c r="G927" s="14" t="n"/>
      <c r="H927" s="8" t="n"/>
      <c r="I927" s="8" t="n"/>
      <c r="J927" s="8" t="n"/>
      <c r="K927" s="18">
        <f>IF(B927="","",IFERROR(MONTH(B927),""))</f>
        <v/>
      </c>
      <c r="L927" s="5">
        <f>IF(COUNTA(A927:J927)=0,"",IF(E927="","Mangler motkonto",IF((F927="")=(G927=""),"Fyll ut enten Inn eller Ut",IF(OR(IFERROR(INDEX('Kontoplan'!$D$3:$D$302,MATCH(D927,'Kontoplan'!$H$3:$H$302,0))="Støttes ikke",FALSE),IFERROR(INDEX('Kontoplan'!$D$3:$D$302,MATCH(E927,'Kontoplan'!$H$3:$H$302,0))="Støttes ikke",FALSE)),"Kontoen støttes ikke",IF(IFERROR(AND(A927&gt;1,COUNTIF($A$3:$A$2002,A927-1)=0),FALSE),"Nummeret hopper over",IF(OR(NOT(ISNUMBER(B927)),B927&lt;DATE(2027,1,1),B927&gt;DATE(2027,12,31)),"Datoen er ikke i 2027",""))))))</f>
        <v/>
      </c>
    </row>
    <row r="928">
      <c r="A928" s="17" t="n"/>
      <c r="B928" s="9" t="n"/>
      <c r="C928" s="8" t="n"/>
      <c r="D928" s="8" t="n"/>
      <c r="E928" s="8" t="n"/>
      <c r="F928" s="14" t="n"/>
      <c r="G928" s="14" t="n"/>
      <c r="H928" s="8" t="n"/>
      <c r="I928" s="8" t="n"/>
      <c r="J928" s="8" t="n"/>
      <c r="K928" s="18">
        <f>IF(B928="","",IFERROR(MONTH(B928),""))</f>
        <v/>
      </c>
      <c r="L928" s="5">
        <f>IF(COUNTA(A928:J928)=0,"",IF(E928="","Mangler motkonto",IF((F928="")=(G928=""),"Fyll ut enten Inn eller Ut",IF(OR(IFERROR(INDEX('Kontoplan'!$D$3:$D$302,MATCH(D928,'Kontoplan'!$H$3:$H$302,0))="Støttes ikke",FALSE),IFERROR(INDEX('Kontoplan'!$D$3:$D$302,MATCH(E928,'Kontoplan'!$H$3:$H$302,0))="Støttes ikke",FALSE)),"Kontoen støttes ikke",IF(IFERROR(AND(A928&gt;1,COUNTIF($A$3:$A$2002,A928-1)=0),FALSE),"Nummeret hopper over",IF(OR(NOT(ISNUMBER(B928)),B928&lt;DATE(2027,1,1),B928&gt;DATE(2027,12,31)),"Datoen er ikke i 2027",""))))))</f>
        <v/>
      </c>
    </row>
    <row r="929">
      <c r="A929" s="17" t="n"/>
      <c r="B929" s="9" t="n"/>
      <c r="C929" s="8" t="n"/>
      <c r="D929" s="8" t="n"/>
      <c r="E929" s="8" t="n"/>
      <c r="F929" s="14" t="n"/>
      <c r="G929" s="14" t="n"/>
      <c r="H929" s="8" t="n"/>
      <c r="I929" s="8" t="n"/>
      <c r="J929" s="8" t="n"/>
      <c r="K929" s="18">
        <f>IF(B929="","",IFERROR(MONTH(B929),""))</f>
        <v/>
      </c>
      <c r="L929" s="5">
        <f>IF(COUNTA(A929:J929)=0,"",IF(E929="","Mangler motkonto",IF((F929="")=(G929=""),"Fyll ut enten Inn eller Ut",IF(OR(IFERROR(INDEX('Kontoplan'!$D$3:$D$302,MATCH(D929,'Kontoplan'!$H$3:$H$302,0))="Støttes ikke",FALSE),IFERROR(INDEX('Kontoplan'!$D$3:$D$302,MATCH(E929,'Kontoplan'!$H$3:$H$302,0))="Støttes ikke",FALSE)),"Kontoen støttes ikke",IF(IFERROR(AND(A929&gt;1,COUNTIF($A$3:$A$2002,A929-1)=0),FALSE),"Nummeret hopper over",IF(OR(NOT(ISNUMBER(B929)),B929&lt;DATE(2027,1,1),B929&gt;DATE(2027,12,31)),"Datoen er ikke i 2027",""))))))</f>
        <v/>
      </c>
    </row>
    <row r="930">
      <c r="A930" s="17" t="n"/>
      <c r="B930" s="9" t="n"/>
      <c r="C930" s="8" t="n"/>
      <c r="D930" s="8" t="n"/>
      <c r="E930" s="8" t="n"/>
      <c r="F930" s="14" t="n"/>
      <c r="G930" s="14" t="n"/>
      <c r="H930" s="8" t="n"/>
      <c r="I930" s="8" t="n"/>
      <c r="J930" s="8" t="n"/>
      <c r="K930" s="18">
        <f>IF(B930="","",IFERROR(MONTH(B930),""))</f>
        <v/>
      </c>
      <c r="L930" s="5">
        <f>IF(COUNTA(A930:J930)=0,"",IF(E930="","Mangler motkonto",IF((F930="")=(G930=""),"Fyll ut enten Inn eller Ut",IF(OR(IFERROR(INDEX('Kontoplan'!$D$3:$D$302,MATCH(D930,'Kontoplan'!$H$3:$H$302,0))="Støttes ikke",FALSE),IFERROR(INDEX('Kontoplan'!$D$3:$D$302,MATCH(E930,'Kontoplan'!$H$3:$H$302,0))="Støttes ikke",FALSE)),"Kontoen støttes ikke",IF(IFERROR(AND(A930&gt;1,COUNTIF($A$3:$A$2002,A930-1)=0),FALSE),"Nummeret hopper over",IF(OR(NOT(ISNUMBER(B930)),B930&lt;DATE(2027,1,1),B930&gt;DATE(2027,12,31)),"Datoen er ikke i 2027",""))))))</f>
        <v/>
      </c>
    </row>
    <row r="931">
      <c r="A931" s="17" t="n"/>
      <c r="B931" s="9" t="n"/>
      <c r="C931" s="8" t="n"/>
      <c r="D931" s="8" t="n"/>
      <c r="E931" s="8" t="n"/>
      <c r="F931" s="14" t="n"/>
      <c r="G931" s="14" t="n"/>
      <c r="H931" s="8" t="n"/>
      <c r="I931" s="8" t="n"/>
      <c r="J931" s="8" t="n"/>
      <c r="K931" s="18">
        <f>IF(B931="","",IFERROR(MONTH(B931),""))</f>
        <v/>
      </c>
      <c r="L931" s="5">
        <f>IF(COUNTA(A931:J931)=0,"",IF(E931="","Mangler motkonto",IF((F931="")=(G931=""),"Fyll ut enten Inn eller Ut",IF(OR(IFERROR(INDEX('Kontoplan'!$D$3:$D$302,MATCH(D931,'Kontoplan'!$H$3:$H$302,0))="Støttes ikke",FALSE),IFERROR(INDEX('Kontoplan'!$D$3:$D$302,MATCH(E931,'Kontoplan'!$H$3:$H$302,0))="Støttes ikke",FALSE)),"Kontoen støttes ikke",IF(IFERROR(AND(A931&gt;1,COUNTIF($A$3:$A$2002,A931-1)=0),FALSE),"Nummeret hopper over",IF(OR(NOT(ISNUMBER(B931)),B931&lt;DATE(2027,1,1),B931&gt;DATE(2027,12,31)),"Datoen er ikke i 2027",""))))))</f>
        <v/>
      </c>
    </row>
    <row r="932">
      <c r="A932" s="17" t="n"/>
      <c r="B932" s="9" t="n"/>
      <c r="C932" s="8" t="n"/>
      <c r="D932" s="8" t="n"/>
      <c r="E932" s="8" t="n"/>
      <c r="F932" s="14" t="n"/>
      <c r="G932" s="14" t="n"/>
      <c r="H932" s="8" t="n"/>
      <c r="I932" s="8" t="n"/>
      <c r="J932" s="8" t="n"/>
      <c r="K932" s="18">
        <f>IF(B932="","",IFERROR(MONTH(B932),""))</f>
        <v/>
      </c>
      <c r="L932" s="5">
        <f>IF(COUNTA(A932:J932)=0,"",IF(E932="","Mangler motkonto",IF((F932="")=(G932=""),"Fyll ut enten Inn eller Ut",IF(OR(IFERROR(INDEX('Kontoplan'!$D$3:$D$302,MATCH(D932,'Kontoplan'!$H$3:$H$302,0))="Støttes ikke",FALSE),IFERROR(INDEX('Kontoplan'!$D$3:$D$302,MATCH(E932,'Kontoplan'!$H$3:$H$302,0))="Støttes ikke",FALSE)),"Kontoen støttes ikke",IF(IFERROR(AND(A932&gt;1,COUNTIF($A$3:$A$2002,A932-1)=0),FALSE),"Nummeret hopper over",IF(OR(NOT(ISNUMBER(B932)),B932&lt;DATE(2027,1,1),B932&gt;DATE(2027,12,31)),"Datoen er ikke i 2027",""))))))</f>
        <v/>
      </c>
    </row>
    <row r="933">
      <c r="A933" s="17" t="n"/>
      <c r="B933" s="9" t="n"/>
      <c r="C933" s="8" t="n"/>
      <c r="D933" s="8" t="n"/>
      <c r="E933" s="8" t="n"/>
      <c r="F933" s="14" t="n"/>
      <c r="G933" s="14" t="n"/>
      <c r="H933" s="8" t="n"/>
      <c r="I933" s="8" t="n"/>
      <c r="J933" s="8" t="n"/>
      <c r="K933" s="18">
        <f>IF(B933="","",IFERROR(MONTH(B933),""))</f>
        <v/>
      </c>
      <c r="L933" s="5">
        <f>IF(COUNTA(A933:J933)=0,"",IF(E933="","Mangler motkonto",IF((F933="")=(G933=""),"Fyll ut enten Inn eller Ut",IF(OR(IFERROR(INDEX('Kontoplan'!$D$3:$D$302,MATCH(D933,'Kontoplan'!$H$3:$H$302,0))="Støttes ikke",FALSE),IFERROR(INDEX('Kontoplan'!$D$3:$D$302,MATCH(E933,'Kontoplan'!$H$3:$H$302,0))="Støttes ikke",FALSE)),"Kontoen støttes ikke",IF(IFERROR(AND(A933&gt;1,COUNTIF($A$3:$A$2002,A933-1)=0),FALSE),"Nummeret hopper over",IF(OR(NOT(ISNUMBER(B933)),B933&lt;DATE(2027,1,1),B933&gt;DATE(2027,12,31)),"Datoen er ikke i 2027",""))))))</f>
        <v/>
      </c>
    </row>
    <row r="934">
      <c r="A934" s="17" t="n"/>
      <c r="B934" s="9" t="n"/>
      <c r="C934" s="8" t="n"/>
      <c r="D934" s="8" t="n"/>
      <c r="E934" s="8" t="n"/>
      <c r="F934" s="14" t="n"/>
      <c r="G934" s="14" t="n"/>
      <c r="H934" s="8" t="n"/>
      <c r="I934" s="8" t="n"/>
      <c r="J934" s="8" t="n"/>
      <c r="K934" s="18">
        <f>IF(B934="","",IFERROR(MONTH(B934),""))</f>
        <v/>
      </c>
      <c r="L934" s="5">
        <f>IF(COUNTA(A934:J934)=0,"",IF(E934="","Mangler motkonto",IF((F934="")=(G934=""),"Fyll ut enten Inn eller Ut",IF(OR(IFERROR(INDEX('Kontoplan'!$D$3:$D$302,MATCH(D934,'Kontoplan'!$H$3:$H$302,0))="Støttes ikke",FALSE),IFERROR(INDEX('Kontoplan'!$D$3:$D$302,MATCH(E934,'Kontoplan'!$H$3:$H$302,0))="Støttes ikke",FALSE)),"Kontoen støttes ikke",IF(IFERROR(AND(A934&gt;1,COUNTIF($A$3:$A$2002,A934-1)=0),FALSE),"Nummeret hopper over",IF(OR(NOT(ISNUMBER(B934)),B934&lt;DATE(2027,1,1),B934&gt;DATE(2027,12,31)),"Datoen er ikke i 2027",""))))))</f>
        <v/>
      </c>
    </row>
    <row r="935">
      <c r="A935" s="17" t="n"/>
      <c r="B935" s="9" t="n"/>
      <c r="C935" s="8" t="n"/>
      <c r="D935" s="8" t="n"/>
      <c r="E935" s="8" t="n"/>
      <c r="F935" s="14" t="n"/>
      <c r="G935" s="14" t="n"/>
      <c r="H935" s="8" t="n"/>
      <c r="I935" s="8" t="n"/>
      <c r="J935" s="8" t="n"/>
      <c r="K935" s="18">
        <f>IF(B935="","",IFERROR(MONTH(B935),""))</f>
        <v/>
      </c>
      <c r="L935" s="5">
        <f>IF(COUNTA(A935:J935)=0,"",IF(E935="","Mangler motkonto",IF((F935="")=(G935=""),"Fyll ut enten Inn eller Ut",IF(OR(IFERROR(INDEX('Kontoplan'!$D$3:$D$302,MATCH(D935,'Kontoplan'!$H$3:$H$302,0))="Støttes ikke",FALSE),IFERROR(INDEX('Kontoplan'!$D$3:$D$302,MATCH(E935,'Kontoplan'!$H$3:$H$302,0))="Støttes ikke",FALSE)),"Kontoen støttes ikke",IF(IFERROR(AND(A935&gt;1,COUNTIF($A$3:$A$2002,A935-1)=0),FALSE),"Nummeret hopper over",IF(OR(NOT(ISNUMBER(B935)),B935&lt;DATE(2027,1,1),B935&gt;DATE(2027,12,31)),"Datoen er ikke i 2027",""))))))</f>
        <v/>
      </c>
    </row>
    <row r="936">
      <c r="A936" s="17" t="n"/>
      <c r="B936" s="9" t="n"/>
      <c r="C936" s="8" t="n"/>
      <c r="D936" s="8" t="n"/>
      <c r="E936" s="8" t="n"/>
      <c r="F936" s="14" t="n"/>
      <c r="G936" s="14" t="n"/>
      <c r="H936" s="8" t="n"/>
      <c r="I936" s="8" t="n"/>
      <c r="J936" s="8" t="n"/>
      <c r="K936" s="18">
        <f>IF(B936="","",IFERROR(MONTH(B936),""))</f>
        <v/>
      </c>
      <c r="L936" s="5">
        <f>IF(COUNTA(A936:J936)=0,"",IF(E936="","Mangler motkonto",IF((F936="")=(G936=""),"Fyll ut enten Inn eller Ut",IF(OR(IFERROR(INDEX('Kontoplan'!$D$3:$D$302,MATCH(D936,'Kontoplan'!$H$3:$H$302,0))="Støttes ikke",FALSE),IFERROR(INDEX('Kontoplan'!$D$3:$D$302,MATCH(E936,'Kontoplan'!$H$3:$H$302,0))="Støttes ikke",FALSE)),"Kontoen støttes ikke",IF(IFERROR(AND(A936&gt;1,COUNTIF($A$3:$A$2002,A936-1)=0),FALSE),"Nummeret hopper over",IF(OR(NOT(ISNUMBER(B936)),B936&lt;DATE(2027,1,1),B936&gt;DATE(2027,12,31)),"Datoen er ikke i 2027",""))))))</f>
        <v/>
      </c>
    </row>
    <row r="937">
      <c r="A937" s="17" t="n"/>
      <c r="B937" s="9" t="n"/>
      <c r="C937" s="8" t="n"/>
      <c r="D937" s="8" t="n"/>
      <c r="E937" s="8" t="n"/>
      <c r="F937" s="14" t="n"/>
      <c r="G937" s="14" t="n"/>
      <c r="H937" s="8" t="n"/>
      <c r="I937" s="8" t="n"/>
      <c r="J937" s="8" t="n"/>
      <c r="K937" s="18">
        <f>IF(B937="","",IFERROR(MONTH(B937),""))</f>
        <v/>
      </c>
      <c r="L937" s="5">
        <f>IF(COUNTA(A937:J937)=0,"",IF(E937="","Mangler motkonto",IF((F937="")=(G937=""),"Fyll ut enten Inn eller Ut",IF(OR(IFERROR(INDEX('Kontoplan'!$D$3:$D$302,MATCH(D937,'Kontoplan'!$H$3:$H$302,0))="Støttes ikke",FALSE),IFERROR(INDEX('Kontoplan'!$D$3:$D$302,MATCH(E937,'Kontoplan'!$H$3:$H$302,0))="Støttes ikke",FALSE)),"Kontoen støttes ikke",IF(IFERROR(AND(A937&gt;1,COUNTIF($A$3:$A$2002,A937-1)=0),FALSE),"Nummeret hopper over",IF(OR(NOT(ISNUMBER(B937)),B937&lt;DATE(2027,1,1),B937&gt;DATE(2027,12,31)),"Datoen er ikke i 2027",""))))))</f>
        <v/>
      </c>
    </row>
    <row r="938">
      <c r="A938" s="17" t="n"/>
      <c r="B938" s="9" t="n"/>
      <c r="C938" s="8" t="n"/>
      <c r="D938" s="8" t="n"/>
      <c r="E938" s="8" t="n"/>
      <c r="F938" s="14" t="n"/>
      <c r="G938" s="14" t="n"/>
      <c r="H938" s="8" t="n"/>
      <c r="I938" s="8" t="n"/>
      <c r="J938" s="8" t="n"/>
      <c r="K938" s="18">
        <f>IF(B938="","",IFERROR(MONTH(B938),""))</f>
        <v/>
      </c>
      <c r="L938" s="5">
        <f>IF(COUNTA(A938:J938)=0,"",IF(E938="","Mangler motkonto",IF((F938="")=(G938=""),"Fyll ut enten Inn eller Ut",IF(OR(IFERROR(INDEX('Kontoplan'!$D$3:$D$302,MATCH(D938,'Kontoplan'!$H$3:$H$302,0))="Støttes ikke",FALSE),IFERROR(INDEX('Kontoplan'!$D$3:$D$302,MATCH(E938,'Kontoplan'!$H$3:$H$302,0))="Støttes ikke",FALSE)),"Kontoen støttes ikke",IF(IFERROR(AND(A938&gt;1,COUNTIF($A$3:$A$2002,A938-1)=0),FALSE),"Nummeret hopper over",IF(OR(NOT(ISNUMBER(B938)),B938&lt;DATE(2027,1,1),B938&gt;DATE(2027,12,31)),"Datoen er ikke i 2027",""))))))</f>
        <v/>
      </c>
    </row>
    <row r="939">
      <c r="A939" s="17" t="n"/>
      <c r="B939" s="9" t="n"/>
      <c r="C939" s="8" t="n"/>
      <c r="D939" s="8" t="n"/>
      <c r="E939" s="8" t="n"/>
      <c r="F939" s="14" t="n"/>
      <c r="G939" s="14" t="n"/>
      <c r="H939" s="8" t="n"/>
      <c r="I939" s="8" t="n"/>
      <c r="J939" s="8" t="n"/>
      <c r="K939" s="18">
        <f>IF(B939="","",IFERROR(MONTH(B939),""))</f>
        <v/>
      </c>
      <c r="L939" s="5">
        <f>IF(COUNTA(A939:J939)=0,"",IF(E939="","Mangler motkonto",IF((F939="")=(G939=""),"Fyll ut enten Inn eller Ut",IF(OR(IFERROR(INDEX('Kontoplan'!$D$3:$D$302,MATCH(D939,'Kontoplan'!$H$3:$H$302,0))="Støttes ikke",FALSE),IFERROR(INDEX('Kontoplan'!$D$3:$D$302,MATCH(E939,'Kontoplan'!$H$3:$H$302,0))="Støttes ikke",FALSE)),"Kontoen støttes ikke",IF(IFERROR(AND(A939&gt;1,COUNTIF($A$3:$A$2002,A939-1)=0),FALSE),"Nummeret hopper over",IF(OR(NOT(ISNUMBER(B939)),B939&lt;DATE(2027,1,1),B939&gt;DATE(2027,12,31)),"Datoen er ikke i 2027",""))))))</f>
        <v/>
      </c>
    </row>
    <row r="940">
      <c r="A940" s="17" t="n"/>
      <c r="B940" s="9" t="n"/>
      <c r="C940" s="8" t="n"/>
      <c r="D940" s="8" t="n"/>
      <c r="E940" s="8" t="n"/>
      <c r="F940" s="14" t="n"/>
      <c r="G940" s="14" t="n"/>
      <c r="H940" s="8" t="n"/>
      <c r="I940" s="8" t="n"/>
      <c r="J940" s="8" t="n"/>
      <c r="K940" s="18">
        <f>IF(B940="","",IFERROR(MONTH(B940),""))</f>
        <v/>
      </c>
      <c r="L940" s="5">
        <f>IF(COUNTA(A940:J940)=0,"",IF(E940="","Mangler motkonto",IF((F940="")=(G940=""),"Fyll ut enten Inn eller Ut",IF(OR(IFERROR(INDEX('Kontoplan'!$D$3:$D$302,MATCH(D940,'Kontoplan'!$H$3:$H$302,0))="Støttes ikke",FALSE),IFERROR(INDEX('Kontoplan'!$D$3:$D$302,MATCH(E940,'Kontoplan'!$H$3:$H$302,0))="Støttes ikke",FALSE)),"Kontoen støttes ikke",IF(IFERROR(AND(A940&gt;1,COUNTIF($A$3:$A$2002,A940-1)=0),FALSE),"Nummeret hopper over",IF(OR(NOT(ISNUMBER(B940)),B940&lt;DATE(2027,1,1),B940&gt;DATE(2027,12,31)),"Datoen er ikke i 2027",""))))))</f>
        <v/>
      </c>
    </row>
    <row r="941">
      <c r="A941" s="17" t="n"/>
      <c r="B941" s="9" t="n"/>
      <c r="C941" s="8" t="n"/>
      <c r="D941" s="8" t="n"/>
      <c r="E941" s="8" t="n"/>
      <c r="F941" s="14" t="n"/>
      <c r="G941" s="14" t="n"/>
      <c r="H941" s="8" t="n"/>
      <c r="I941" s="8" t="n"/>
      <c r="J941" s="8" t="n"/>
      <c r="K941" s="18">
        <f>IF(B941="","",IFERROR(MONTH(B941),""))</f>
        <v/>
      </c>
      <c r="L941" s="5">
        <f>IF(COUNTA(A941:J941)=0,"",IF(E941="","Mangler motkonto",IF((F941="")=(G941=""),"Fyll ut enten Inn eller Ut",IF(OR(IFERROR(INDEX('Kontoplan'!$D$3:$D$302,MATCH(D941,'Kontoplan'!$H$3:$H$302,0))="Støttes ikke",FALSE),IFERROR(INDEX('Kontoplan'!$D$3:$D$302,MATCH(E941,'Kontoplan'!$H$3:$H$302,0))="Støttes ikke",FALSE)),"Kontoen støttes ikke",IF(IFERROR(AND(A941&gt;1,COUNTIF($A$3:$A$2002,A941-1)=0),FALSE),"Nummeret hopper over",IF(OR(NOT(ISNUMBER(B941)),B941&lt;DATE(2027,1,1),B941&gt;DATE(2027,12,31)),"Datoen er ikke i 2027",""))))))</f>
        <v/>
      </c>
    </row>
    <row r="942">
      <c r="A942" s="17" t="n"/>
      <c r="B942" s="9" t="n"/>
      <c r="C942" s="8" t="n"/>
      <c r="D942" s="8" t="n"/>
      <c r="E942" s="8" t="n"/>
      <c r="F942" s="14" t="n"/>
      <c r="G942" s="14" t="n"/>
      <c r="H942" s="8" t="n"/>
      <c r="I942" s="8" t="n"/>
      <c r="J942" s="8" t="n"/>
      <c r="K942" s="18">
        <f>IF(B942="","",IFERROR(MONTH(B942),""))</f>
        <v/>
      </c>
      <c r="L942" s="5">
        <f>IF(COUNTA(A942:J942)=0,"",IF(E942="","Mangler motkonto",IF((F942="")=(G942=""),"Fyll ut enten Inn eller Ut",IF(OR(IFERROR(INDEX('Kontoplan'!$D$3:$D$302,MATCH(D942,'Kontoplan'!$H$3:$H$302,0))="Støttes ikke",FALSE),IFERROR(INDEX('Kontoplan'!$D$3:$D$302,MATCH(E942,'Kontoplan'!$H$3:$H$302,0))="Støttes ikke",FALSE)),"Kontoen støttes ikke",IF(IFERROR(AND(A942&gt;1,COUNTIF($A$3:$A$2002,A942-1)=0),FALSE),"Nummeret hopper over",IF(OR(NOT(ISNUMBER(B942)),B942&lt;DATE(2027,1,1),B942&gt;DATE(2027,12,31)),"Datoen er ikke i 2027",""))))))</f>
        <v/>
      </c>
    </row>
    <row r="943">
      <c r="A943" s="17" t="n"/>
      <c r="B943" s="9" t="n"/>
      <c r="C943" s="8" t="n"/>
      <c r="D943" s="8" t="n"/>
      <c r="E943" s="8" t="n"/>
      <c r="F943" s="14" t="n"/>
      <c r="G943" s="14" t="n"/>
      <c r="H943" s="8" t="n"/>
      <c r="I943" s="8" t="n"/>
      <c r="J943" s="8" t="n"/>
      <c r="K943" s="18">
        <f>IF(B943="","",IFERROR(MONTH(B943),""))</f>
        <v/>
      </c>
      <c r="L943" s="5">
        <f>IF(COUNTA(A943:J943)=0,"",IF(E943="","Mangler motkonto",IF((F943="")=(G943=""),"Fyll ut enten Inn eller Ut",IF(OR(IFERROR(INDEX('Kontoplan'!$D$3:$D$302,MATCH(D943,'Kontoplan'!$H$3:$H$302,0))="Støttes ikke",FALSE),IFERROR(INDEX('Kontoplan'!$D$3:$D$302,MATCH(E943,'Kontoplan'!$H$3:$H$302,0))="Støttes ikke",FALSE)),"Kontoen støttes ikke",IF(IFERROR(AND(A943&gt;1,COUNTIF($A$3:$A$2002,A943-1)=0),FALSE),"Nummeret hopper over",IF(OR(NOT(ISNUMBER(B943)),B943&lt;DATE(2027,1,1),B943&gt;DATE(2027,12,31)),"Datoen er ikke i 2027",""))))))</f>
        <v/>
      </c>
    </row>
    <row r="944">
      <c r="A944" s="17" t="n"/>
      <c r="B944" s="9" t="n"/>
      <c r="C944" s="8" t="n"/>
      <c r="D944" s="8" t="n"/>
      <c r="E944" s="8" t="n"/>
      <c r="F944" s="14" t="n"/>
      <c r="G944" s="14" t="n"/>
      <c r="H944" s="8" t="n"/>
      <c r="I944" s="8" t="n"/>
      <c r="J944" s="8" t="n"/>
      <c r="K944" s="18">
        <f>IF(B944="","",IFERROR(MONTH(B944),""))</f>
        <v/>
      </c>
      <c r="L944" s="5">
        <f>IF(COUNTA(A944:J944)=0,"",IF(E944="","Mangler motkonto",IF((F944="")=(G944=""),"Fyll ut enten Inn eller Ut",IF(OR(IFERROR(INDEX('Kontoplan'!$D$3:$D$302,MATCH(D944,'Kontoplan'!$H$3:$H$302,0))="Støttes ikke",FALSE),IFERROR(INDEX('Kontoplan'!$D$3:$D$302,MATCH(E944,'Kontoplan'!$H$3:$H$302,0))="Støttes ikke",FALSE)),"Kontoen støttes ikke",IF(IFERROR(AND(A944&gt;1,COUNTIF($A$3:$A$2002,A944-1)=0),FALSE),"Nummeret hopper over",IF(OR(NOT(ISNUMBER(B944)),B944&lt;DATE(2027,1,1),B944&gt;DATE(2027,12,31)),"Datoen er ikke i 2027",""))))))</f>
        <v/>
      </c>
    </row>
    <row r="945">
      <c r="A945" s="17" t="n"/>
      <c r="B945" s="9" t="n"/>
      <c r="C945" s="8" t="n"/>
      <c r="D945" s="8" t="n"/>
      <c r="E945" s="8" t="n"/>
      <c r="F945" s="14" t="n"/>
      <c r="G945" s="14" t="n"/>
      <c r="H945" s="8" t="n"/>
      <c r="I945" s="8" t="n"/>
      <c r="J945" s="8" t="n"/>
      <c r="K945" s="18">
        <f>IF(B945="","",IFERROR(MONTH(B945),""))</f>
        <v/>
      </c>
      <c r="L945" s="5">
        <f>IF(COUNTA(A945:J945)=0,"",IF(E945="","Mangler motkonto",IF((F945="")=(G945=""),"Fyll ut enten Inn eller Ut",IF(OR(IFERROR(INDEX('Kontoplan'!$D$3:$D$302,MATCH(D945,'Kontoplan'!$H$3:$H$302,0))="Støttes ikke",FALSE),IFERROR(INDEX('Kontoplan'!$D$3:$D$302,MATCH(E945,'Kontoplan'!$H$3:$H$302,0))="Støttes ikke",FALSE)),"Kontoen støttes ikke",IF(IFERROR(AND(A945&gt;1,COUNTIF($A$3:$A$2002,A945-1)=0),FALSE),"Nummeret hopper over",IF(OR(NOT(ISNUMBER(B945)),B945&lt;DATE(2027,1,1),B945&gt;DATE(2027,12,31)),"Datoen er ikke i 2027",""))))))</f>
        <v/>
      </c>
    </row>
    <row r="946">
      <c r="A946" s="17" t="n"/>
      <c r="B946" s="9" t="n"/>
      <c r="C946" s="8" t="n"/>
      <c r="D946" s="8" t="n"/>
      <c r="E946" s="8" t="n"/>
      <c r="F946" s="14" t="n"/>
      <c r="G946" s="14" t="n"/>
      <c r="H946" s="8" t="n"/>
      <c r="I946" s="8" t="n"/>
      <c r="J946" s="8" t="n"/>
      <c r="K946" s="18">
        <f>IF(B946="","",IFERROR(MONTH(B946),""))</f>
        <v/>
      </c>
      <c r="L946" s="5">
        <f>IF(COUNTA(A946:J946)=0,"",IF(E946="","Mangler motkonto",IF((F946="")=(G946=""),"Fyll ut enten Inn eller Ut",IF(OR(IFERROR(INDEX('Kontoplan'!$D$3:$D$302,MATCH(D946,'Kontoplan'!$H$3:$H$302,0))="Støttes ikke",FALSE),IFERROR(INDEX('Kontoplan'!$D$3:$D$302,MATCH(E946,'Kontoplan'!$H$3:$H$302,0))="Støttes ikke",FALSE)),"Kontoen støttes ikke",IF(IFERROR(AND(A946&gt;1,COUNTIF($A$3:$A$2002,A946-1)=0),FALSE),"Nummeret hopper over",IF(OR(NOT(ISNUMBER(B946)),B946&lt;DATE(2027,1,1),B946&gt;DATE(2027,12,31)),"Datoen er ikke i 2027",""))))))</f>
        <v/>
      </c>
    </row>
    <row r="947">
      <c r="A947" s="17" t="n"/>
      <c r="B947" s="9" t="n"/>
      <c r="C947" s="8" t="n"/>
      <c r="D947" s="8" t="n"/>
      <c r="E947" s="8" t="n"/>
      <c r="F947" s="14" t="n"/>
      <c r="G947" s="14" t="n"/>
      <c r="H947" s="8" t="n"/>
      <c r="I947" s="8" t="n"/>
      <c r="J947" s="8" t="n"/>
      <c r="K947" s="18">
        <f>IF(B947="","",IFERROR(MONTH(B947),""))</f>
        <v/>
      </c>
      <c r="L947" s="5">
        <f>IF(COUNTA(A947:J947)=0,"",IF(E947="","Mangler motkonto",IF((F947="")=(G947=""),"Fyll ut enten Inn eller Ut",IF(OR(IFERROR(INDEX('Kontoplan'!$D$3:$D$302,MATCH(D947,'Kontoplan'!$H$3:$H$302,0))="Støttes ikke",FALSE),IFERROR(INDEX('Kontoplan'!$D$3:$D$302,MATCH(E947,'Kontoplan'!$H$3:$H$302,0))="Støttes ikke",FALSE)),"Kontoen støttes ikke",IF(IFERROR(AND(A947&gt;1,COUNTIF($A$3:$A$2002,A947-1)=0),FALSE),"Nummeret hopper over",IF(OR(NOT(ISNUMBER(B947)),B947&lt;DATE(2027,1,1),B947&gt;DATE(2027,12,31)),"Datoen er ikke i 2027",""))))))</f>
        <v/>
      </c>
    </row>
    <row r="948">
      <c r="A948" s="17" t="n"/>
      <c r="B948" s="9" t="n"/>
      <c r="C948" s="8" t="n"/>
      <c r="D948" s="8" t="n"/>
      <c r="E948" s="8" t="n"/>
      <c r="F948" s="14" t="n"/>
      <c r="G948" s="14" t="n"/>
      <c r="H948" s="8" t="n"/>
      <c r="I948" s="8" t="n"/>
      <c r="J948" s="8" t="n"/>
      <c r="K948" s="18">
        <f>IF(B948="","",IFERROR(MONTH(B948),""))</f>
        <v/>
      </c>
      <c r="L948" s="5">
        <f>IF(COUNTA(A948:J948)=0,"",IF(E948="","Mangler motkonto",IF((F948="")=(G948=""),"Fyll ut enten Inn eller Ut",IF(OR(IFERROR(INDEX('Kontoplan'!$D$3:$D$302,MATCH(D948,'Kontoplan'!$H$3:$H$302,0))="Støttes ikke",FALSE),IFERROR(INDEX('Kontoplan'!$D$3:$D$302,MATCH(E948,'Kontoplan'!$H$3:$H$302,0))="Støttes ikke",FALSE)),"Kontoen støttes ikke",IF(IFERROR(AND(A948&gt;1,COUNTIF($A$3:$A$2002,A948-1)=0),FALSE),"Nummeret hopper over",IF(OR(NOT(ISNUMBER(B948)),B948&lt;DATE(2027,1,1),B948&gt;DATE(2027,12,31)),"Datoen er ikke i 2027",""))))))</f>
        <v/>
      </c>
    </row>
    <row r="949">
      <c r="A949" s="17" t="n"/>
      <c r="B949" s="9" t="n"/>
      <c r="C949" s="8" t="n"/>
      <c r="D949" s="8" t="n"/>
      <c r="E949" s="8" t="n"/>
      <c r="F949" s="14" t="n"/>
      <c r="G949" s="14" t="n"/>
      <c r="H949" s="8" t="n"/>
      <c r="I949" s="8" t="n"/>
      <c r="J949" s="8" t="n"/>
      <c r="K949" s="18">
        <f>IF(B949="","",IFERROR(MONTH(B949),""))</f>
        <v/>
      </c>
      <c r="L949" s="5">
        <f>IF(COUNTA(A949:J949)=0,"",IF(E949="","Mangler motkonto",IF((F949="")=(G949=""),"Fyll ut enten Inn eller Ut",IF(OR(IFERROR(INDEX('Kontoplan'!$D$3:$D$302,MATCH(D949,'Kontoplan'!$H$3:$H$302,0))="Støttes ikke",FALSE),IFERROR(INDEX('Kontoplan'!$D$3:$D$302,MATCH(E949,'Kontoplan'!$H$3:$H$302,0))="Støttes ikke",FALSE)),"Kontoen støttes ikke",IF(IFERROR(AND(A949&gt;1,COUNTIF($A$3:$A$2002,A949-1)=0),FALSE),"Nummeret hopper over",IF(OR(NOT(ISNUMBER(B949)),B949&lt;DATE(2027,1,1),B949&gt;DATE(2027,12,31)),"Datoen er ikke i 2027",""))))))</f>
        <v/>
      </c>
    </row>
    <row r="950">
      <c r="A950" s="17" t="n"/>
      <c r="B950" s="9" t="n"/>
      <c r="C950" s="8" t="n"/>
      <c r="D950" s="8" t="n"/>
      <c r="E950" s="8" t="n"/>
      <c r="F950" s="14" t="n"/>
      <c r="G950" s="14" t="n"/>
      <c r="H950" s="8" t="n"/>
      <c r="I950" s="8" t="n"/>
      <c r="J950" s="8" t="n"/>
      <c r="K950" s="18">
        <f>IF(B950="","",IFERROR(MONTH(B950),""))</f>
        <v/>
      </c>
      <c r="L950" s="5">
        <f>IF(COUNTA(A950:J950)=0,"",IF(E950="","Mangler motkonto",IF((F950="")=(G950=""),"Fyll ut enten Inn eller Ut",IF(OR(IFERROR(INDEX('Kontoplan'!$D$3:$D$302,MATCH(D950,'Kontoplan'!$H$3:$H$302,0))="Støttes ikke",FALSE),IFERROR(INDEX('Kontoplan'!$D$3:$D$302,MATCH(E950,'Kontoplan'!$H$3:$H$302,0))="Støttes ikke",FALSE)),"Kontoen støttes ikke",IF(IFERROR(AND(A950&gt;1,COUNTIF($A$3:$A$2002,A950-1)=0),FALSE),"Nummeret hopper over",IF(OR(NOT(ISNUMBER(B950)),B950&lt;DATE(2027,1,1),B950&gt;DATE(2027,12,31)),"Datoen er ikke i 2027",""))))))</f>
        <v/>
      </c>
    </row>
    <row r="951">
      <c r="A951" s="17" t="n"/>
      <c r="B951" s="9" t="n"/>
      <c r="C951" s="8" t="n"/>
      <c r="D951" s="8" t="n"/>
      <c r="E951" s="8" t="n"/>
      <c r="F951" s="14" t="n"/>
      <c r="G951" s="14" t="n"/>
      <c r="H951" s="8" t="n"/>
      <c r="I951" s="8" t="n"/>
      <c r="J951" s="8" t="n"/>
      <c r="K951" s="18">
        <f>IF(B951="","",IFERROR(MONTH(B951),""))</f>
        <v/>
      </c>
      <c r="L951" s="5">
        <f>IF(COUNTA(A951:J951)=0,"",IF(E951="","Mangler motkonto",IF((F951="")=(G951=""),"Fyll ut enten Inn eller Ut",IF(OR(IFERROR(INDEX('Kontoplan'!$D$3:$D$302,MATCH(D951,'Kontoplan'!$H$3:$H$302,0))="Støttes ikke",FALSE),IFERROR(INDEX('Kontoplan'!$D$3:$D$302,MATCH(E951,'Kontoplan'!$H$3:$H$302,0))="Støttes ikke",FALSE)),"Kontoen støttes ikke",IF(IFERROR(AND(A951&gt;1,COUNTIF($A$3:$A$2002,A951-1)=0),FALSE),"Nummeret hopper over",IF(OR(NOT(ISNUMBER(B951)),B951&lt;DATE(2027,1,1),B951&gt;DATE(2027,12,31)),"Datoen er ikke i 2027",""))))))</f>
        <v/>
      </c>
    </row>
    <row r="952">
      <c r="A952" s="17" t="n"/>
      <c r="B952" s="9" t="n"/>
      <c r="C952" s="8" t="n"/>
      <c r="D952" s="8" t="n"/>
      <c r="E952" s="8" t="n"/>
      <c r="F952" s="14" t="n"/>
      <c r="G952" s="14" t="n"/>
      <c r="H952" s="8" t="n"/>
      <c r="I952" s="8" t="n"/>
      <c r="J952" s="8" t="n"/>
      <c r="K952" s="18">
        <f>IF(B952="","",IFERROR(MONTH(B952),""))</f>
        <v/>
      </c>
      <c r="L952" s="5">
        <f>IF(COUNTA(A952:J952)=0,"",IF(E952="","Mangler motkonto",IF((F952="")=(G952=""),"Fyll ut enten Inn eller Ut",IF(OR(IFERROR(INDEX('Kontoplan'!$D$3:$D$302,MATCH(D952,'Kontoplan'!$H$3:$H$302,0))="Støttes ikke",FALSE),IFERROR(INDEX('Kontoplan'!$D$3:$D$302,MATCH(E952,'Kontoplan'!$H$3:$H$302,0))="Støttes ikke",FALSE)),"Kontoen støttes ikke",IF(IFERROR(AND(A952&gt;1,COUNTIF($A$3:$A$2002,A952-1)=0),FALSE),"Nummeret hopper over",IF(OR(NOT(ISNUMBER(B952)),B952&lt;DATE(2027,1,1),B952&gt;DATE(2027,12,31)),"Datoen er ikke i 2027",""))))))</f>
        <v/>
      </c>
    </row>
    <row r="953">
      <c r="A953" s="17" t="n"/>
      <c r="B953" s="9" t="n"/>
      <c r="C953" s="8" t="n"/>
      <c r="D953" s="8" t="n"/>
      <c r="E953" s="8" t="n"/>
      <c r="F953" s="14" t="n"/>
      <c r="G953" s="14" t="n"/>
      <c r="H953" s="8" t="n"/>
      <c r="I953" s="8" t="n"/>
      <c r="J953" s="8" t="n"/>
      <c r="K953" s="18">
        <f>IF(B953="","",IFERROR(MONTH(B953),""))</f>
        <v/>
      </c>
      <c r="L953" s="5">
        <f>IF(COUNTA(A953:J953)=0,"",IF(E953="","Mangler motkonto",IF((F953="")=(G953=""),"Fyll ut enten Inn eller Ut",IF(OR(IFERROR(INDEX('Kontoplan'!$D$3:$D$302,MATCH(D953,'Kontoplan'!$H$3:$H$302,0))="Støttes ikke",FALSE),IFERROR(INDEX('Kontoplan'!$D$3:$D$302,MATCH(E953,'Kontoplan'!$H$3:$H$302,0))="Støttes ikke",FALSE)),"Kontoen støttes ikke",IF(IFERROR(AND(A953&gt;1,COUNTIF($A$3:$A$2002,A953-1)=0),FALSE),"Nummeret hopper over",IF(OR(NOT(ISNUMBER(B953)),B953&lt;DATE(2027,1,1),B953&gt;DATE(2027,12,31)),"Datoen er ikke i 2027",""))))))</f>
        <v/>
      </c>
    </row>
    <row r="954">
      <c r="A954" s="17" t="n"/>
      <c r="B954" s="9" t="n"/>
      <c r="C954" s="8" t="n"/>
      <c r="D954" s="8" t="n"/>
      <c r="E954" s="8" t="n"/>
      <c r="F954" s="14" t="n"/>
      <c r="G954" s="14" t="n"/>
      <c r="H954" s="8" t="n"/>
      <c r="I954" s="8" t="n"/>
      <c r="J954" s="8" t="n"/>
      <c r="K954" s="18">
        <f>IF(B954="","",IFERROR(MONTH(B954),""))</f>
        <v/>
      </c>
      <c r="L954" s="5">
        <f>IF(COUNTA(A954:J954)=0,"",IF(E954="","Mangler motkonto",IF((F954="")=(G954=""),"Fyll ut enten Inn eller Ut",IF(OR(IFERROR(INDEX('Kontoplan'!$D$3:$D$302,MATCH(D954,'Kontoplan'!$H$3:$H$302,0))="Støttes ikke",FALSE),IFERROR(INDEX('Kontoplan'!$D$3:$D$302,MATCH(E954,'Kontoplan'!$H$3:$H$302,0))="Støttes ikke",FALSE)),"Kontoen støttes ikke",IF(IFERROR(AND(A954&gt;1,COUNTIF($A$3:$A$2002,A954-1)=0),FALSE),"Nummeret hopper over",IF(OR(NOT(ISNUMBER(B954)),B954&lt;DATE(2027,1,1),B954&gt;DATE(2027,12,31)),"Datoen er ikke i 2027",""))))))</f>
        <v/>
      </c>
    </row>
    <row r="955">
      <c r="A955" s="17" t="n"/>
      <c r="B955" s="9" t="n"/>
      <c r="C955" s="8" t="n"/>
      <c r="D955" s="8" t="n"/>
      <c r="E955" s="8" t="n"/>
      <c r="F955" s="14" t="n"/>
      <c r="G955" s="14" t="n"/>
      <c r="H955" s="8" t="n"/>
      <c r="I955" s="8" t="n"/>
      <c r="J955" s="8" t="n"/>
      <c r="K955" s="18">
        <f>IF(B955="","",IFERROR(MONTH(B955),""))</f>
        <v/>
      </c>
      <c r="L955" s="5">
        <f>IF(COUNTA(A955:J955)=0,"",IF(E955="","Mangler motkonto",IF((F955="")=(G955=""),"Fyll ut enten Inn eller Ut",IF(OR(IFERROR(INDEX('Kontoplan'!$D$3:$D$302,MATCH(D955,'Kontoplan'!$H$3:$H$302,0))="Støttes ikke",FALSE),IFERROR(INDEX('Kontoplan'!$D$3:$D$302,MATCH(E955,'Kontoplan'!$H$3:$H$302,0))="Støttes ikke",FALSE)),"Kontoen støttes ikke",IF(IFERROR(AND(A955&gt;1,COUNTIF($A$3:$A$2002,A955-1)=0),FALSE),"Nummeret hopper over",IF(OR(NOT(ISNUMBER(B955)),B955&lt;DATE(2027,1,1),B955&gt;DATE(2027,12,31)),"Datoen er ikke i 2027",""))))))</f>
        <v/>
      </c>
    </row>
    <row r="956">
      <c r="A956" s="17" t="n"/>
      <c r="B956" s="9" t="n"/>
      <c r="C956" s="8" t="n"/>
      <c r="D956" s="8" t="n"/>
      <c r="E956" s="8" t="n"/>
      <c r="F956" s="14" t="n"/>
      <c r="G956" s="14" t="n"/>
      <c r="H956" s="8" t="n"/>
      <c r="I956" s="8" t="n"/>
      <c r="J956" s="8" t="n"/>
      <c r="K956" s="18">
        <f>IF(B956="","",IFERROR(MONTH(B956),""))</f>
        <v/>
      </c>
      <c r="L956" s="5">
        <f>IF(COUNTA(A956:J956)=0,"",IF(E956="","Mangler motkonto",IF((F956="")=(G956=""),"Fyll ut enten Inn eller Ut",IF(OR(IFERROR(INDEX('Kontoplan'!$D$3:$D$302,MATCH(D956,'Kontoplan'!$H$3:$H$302,0))="Støttes ikke",FALSE),IFERROR(INDEX('Kontoplan'!$D$3:$D$302,MATCH(E956,'Kontoplan'!$H$3:$H$302,0))="Støttes ikke",FALSE)),"Kontoen støttes ikke",IF(IFERROR(AND(A956&gt;1,COUNTIF($A$3:$A$2002,A956-1)=0),FALSE),"Nummeret hopper over",IF(OR(NOT(ISNUMBER(B956)),B956&lt;DATE(2027,1,1),B956&gt;DATE(2027,12,31)),"Datoen er ikke i 2027",""))))))</f>
        <v/>
      </c>
    </row>
    <row r="957">
      <c r="A957" s="17" t="n"/>
      <c r="B957" s="9" t="n"/>
      <c r="C957" s="8" t="n"/>
      <c r="D957" s="8" t="n"/>
      <c r="E957" s="8" t="n"/>
      <c r="F957" s="14" t="n"/>
      <c r="G957" s="14" t="n"/>
      <c r="H957" s="8" t="n"/>
      <c r="I957" s="8" t="n"/>
      <c r="J957" s="8" t="n"/>
      <c r="K957" s="18">
        <f>IF(B957="","",IFERROR(MONTH(B957),""))</f>
        <v/>
      </c>
      <c r="L957" s="5">
        <f>IF(COUNTA(A957:J957)=0,"",IF(E957="","Mangler motkonto",IF((F957="")=(G957=""),"Fyll ut enten Inn eller Ut",IF(OR(IFERROR(INDEX('Kontoplan'!$D$3:$D$302,MATCH(D957,'Kontoplan'!$H$3:$H$302,0))="Støttes ikke",FALSE),IFERROR(INDEX('Kontoplan'!$D$3:$D$302,MATCH(E957,'Kontoplan'!$H$3:$H$302,0))="Støttes ikke",FALSE)),"Kontoen støttes ikke",IF(IFERROR(AND(A957&gt;1,COUNTIF($A$3:$A$2002,A957-1)=0),FALSE),"Nummeret hopper over",IF(OR(NOT(ISNUMBER(B957)),B957&lt;DATE(2027,1,1),B957&gt;DATE(2027,12,31)),"Datoen er ikke i 2027",""))))))</f>
        <v/>
      </c>
    </row>
    <row r="958">
      <c r="A958" s="17" t="n"/>
      <c r="B958" s="9" t="n"/>
      <c r="C958" s="8" t="n"/>
      <c r="D958" s="8" t="n"/>
      <c r="E958" s="8" t="n"/>
      <c r="F958" s="14" t="n"/>
      <c r="G958" s="14" t="n"/>
      <c r="H958" s="8" t="n"/>
      <c r="I958" s="8" t="n"/>
      <c r="J958" s="8" t="n"/>
      <c r="K958" s="18">
        <f>IF(B958="","",IFERROR(MONTH(B958),""))</f>
        <v/>
      </c>
      <c r="L958" s="5">
        <f>IF(COUNTA(A958:J958)=0,"",IF(E958="","Mangler motkonto",IF((F958="")=(G958=""),"Fyll ut enten Inn eller Ut",IF(OR(IFERROR(INDEX('Kontoplan'!$D$3:$D$302,MATCH(D958,'Kontoplan'!$H$3:$H$302,0))="Støttes ikke",FALSE),IFERROR(INDEX('Kontoplan'!$D$3:$D$302,MATCH(E958,'Kontoplan'!$H$3:$H$302,0))="Støttes ikke",FALSE)),"Kontoen støttes ikke",IF(IFERROR(AND(A958&gt;1,COUNTIF($A$3:$A$2002,A958-1)=0),FALSE),"Nummeret hopper over",IF(OR(NOT(ISNUMBER(B958)),B958&lt;DATE(2027,1,1),B958&gt;DATE(2027,12,31)),"Datoen er ikke i 2027",""))))))</f>
        <v/>
      </c>
    </row>
    <row r="959">
      <c r="A959" s="17" t="n"/>
      <c r="B959" s="9" t="n"/>
      <c r="C959" s="8" t="n"/>
      <c r="D959" s="8" t="n"/>
      <c r="E959" s="8" t="n"/>
      <c r="F959" s="14" t="n"/>
      <c r="G959" s="14" t="n"/>
      <c r="H959" s="8" t="n"/>
      <c r="I959" s="8" t="n"/>
      <c r="J959" s="8" t="n"/>
      <c r="K959" s="18">
        <f>IF(B959="","",IFERROR(MONTH(B959),""))</f>
        <v/>
      </c>
      <c r="L959" s="5">
        <f>IF(COUNTA(A959:J959)=0,"",IF(E959="","Mangler motkonto",IF((F959="")=(G959=""),"Fyll ut enten Inn eller Ut",IF(OR(IFERROR(INDEX('Kontoplan'!$D$3:$D$302,MATCH(D959,'Kontoplan'!$H$3:$H$302,0))="Støttes ikke",FALSE),IFERROR(INDEX('Kontoplan'!$D$3:$D$302,MATCH(E959,'Kontoplan'!$H$3:$H$302,0))="Støttes ikke",FALSE)),"Kontoen støttes ikke",IF(IFERROR(AND(A959&gt;1,COUNTIF($A$3:$A$2002,A959-1)=0),FALSE),"Nummeret hopper over",IF(OR(NOT(ISNUMBER(B959)),B959&lt;DATE(2027,1,1),B959&gt;DATE(2027,12,31)),"Datoen er ikke i 2027",""))))))</f>
        <v/>
      </c>
    </row>
    <row r="960">
      <c r="A960" s="17" t="n"/>
      <c r="B960" s="9" t="n"/>
      <c r="C960" s="8" t="n"/>
      <c r="D960" s="8" t="n"/>
      <c r="E960" s="8" t="n"/>
      <c r="F960" s="14" t="n"/>
      <c r="G960" s="14" t="n"/>
      <c r="H960" s="8" t="n"/>
      <c r="I960" s="8" t="n"/>
      <c r="J960" s="8" t="n"/>
      <c r="K960" s="18">
        <f>IF(B960="","",IFERROR(MONTH(B960),""))</f>
        <v/>
      </c>
      <c r="L960" s="5">
        <f>IF(COUNTA(A960:J960)=0,"",IF(E960="","Mangler motkonto",IF((F960="")=(G960=""),"Fyll ut enten Inn eller Ut",IF(OR(IFERROR(INDEX('Kontoplan'!$D$3:$D$302,MATCH(D960,'Kontoplan'!$H$3:$H$302,0))="Støttes ikke",FALSE),IFERROR(INDEX('Kontoplan'!$D$3:$D$302,MATCH(E960,'Kontoplan'!$H$3:$H$302,0))="Støttes ikke",FALSE)),"Kontoen støttes ikke",IF(IFERROR(AND(A960&gt;1,COUNTIF($A$3:$A$2002,A960-1)=0),FALSE),"Nummeret hopper over",IF(OR(NOT(ISNUMBER(B960)),B960&lt;DATE(2027,1,1),B960&gt;DATE(2027,12,31)),"Datoen er ikke i 2027",""))))))</f>
        <v/>
      </c>
    </row>
    <row r="961">
      <c r="A961" s="17" t="n"/>
      <c r="B961" s="9" t="n"/>
      <c r="C961" s="8" t="n"/>
      <c r="D961" s="8" t="n"/>
      <c r="E961" s="8" t="n"/>
      <c r="F961" s="14" t="n"/>
      <c r="G961" s="14" t="n"/>
      <c r="H961" s="8" t="n"/>
      <c r="I961" s="8" t="n"/>
      <c r="J961" s="8" t="n"/>
      <c r="K961" s="18">
        <f>IF(B961="","",IFERROR(MONTH(B961),""))</f>
        <v/>
      </c>
      <c r="L961" s="5">
        <f>IF(COUNTA(A961:J961)=0,"",IF(E961="","Mangler motkonto",IF((F961="")=(G961=""),"Fyll ut enten Inn eller Ut",IF(OR(IFERROR(INDEX('Kontoplan'!$D$3:$D$302,MATCH(D961,'Kontoplan'!$H$3:$H$302,0))="Støttes ikke",FALSE),IFERROR(INDEX('Kontoplan'!$D$3:$D$302,MATCH(E961,'Kontoplan'!$H$3:$H$302,0))="Støttes ikke",FALSE)),"Kontoen støttes ikke",IF(IFERROR(AND(A961&gt;1,COUNTIF($A$3:$A$2002,A961-1)=0),FALSE),"Nummeret hopper over",IF(OR(NOT(ISNUMBER(B961)),B961&lt;DATE(2027,1,1),B961&gt;DATE(2027,12,31)),"Datoen er ikke i 2027",""))))))</f>
        <v/>
      </c>
    </row>
    <row r="962">
      <c r="A962" s="17" t="n"/>
      <c r="B962" s="9" t="n"/>
      <c r="C962" s="8" t="n"/>
      <c r="D962" s="8" t="n"/>
      <c r="E962" s="8" t="n"/>
      <c r="F962" s="14" t="n"/>
      <c r="G962" s="14" t="n"/>
      <c r="H962" s="8" t="n"/>
      <c r="I962" s="8" t="n"/>
      <c r="J962" s="8" t="n"/>
      <c r="K962" s="18">
        <f>IF(B962="","",IFERROR(MONTH(B962),""))</f>
        <v/>
      </c>
      <c r="L962" s="5">
        <f>IF(COUNTA(A962:J962)=0,"",IF(E962="","Mangler motkonto",IF((F962="")=(G962=""),"Fyll ut enten Inn eller Ut",IF(OR(IFERROR(INDEX('Kontoplan'!$D$3:$D$302,MATCH(D962,'Kontoplan'!$H$3:$H$302,0))="Støttes ikke",FALSE),IFERROR(INDEX('Kontoplan'!$D$3:$D$302,MATCH(E962,'Kontoplan'!$H$3:$H$302,0))="Støttes ikke",FALSE)),"Kontoen støttes ikke",IF(IFERROR(AND(A962&gt;1,COUNTIF($A$3:$A$2002,A962-1)=0),FALSE),"Nummeret hopper over",IF(OR(NOT(ISNUMBER(B962)),B962&lt;DATE(2027,1,1),B962&gt;DATE(2027,12,31)),"Datoen er ikke i 2027",""))))))</f>
        <v/>
      </c>
    </row>
    <row r="963">
      <c r="A963" s="17" t="n"/>
      <c r="B963" s="9" t="n"/>
      <c r="C963" s="8" t="n"/>
      <c r="D963" s="8" t="n"/>
      <c r="E963" s="8" t="n"/>
      <c r="F963" s="14" t="n"/>
      <c r="G963" s="14" t="n"/>
      <c r="H963" s="8" t="n"/>
      <c r="I963" s="8" t="n"/>
      <c r="J963" s="8" t="n"/>
      <c r="K963" s="18">
        <f>IF(B963="","",IFERROR(MONTH(B963),""))</f>
        <v/>
      </c>
      <c r="L963" s="5">
        <f>IF(COUNTA(A963:J963)=0,"",IF(E963="","Mangler motkonto",IF((F963="")=(G963=""),"Fyll ut enten Inn eller Ut",IF(OR(IFERROR(INDEX('Kontoplan'!$D$3:$D$302,MATCH(D963,'Kontoplan'!$H$3:$H$302,0))="Støttes ikke",FALSE),IFERROR(INDEX('Kontoplan'!$D$3:$D$302,MATCH(E963,'Kontoplan'!$H$3:$H$302,0))="Støttes ikke",FALSE)),"Kontoen støttes ikke",IF(IFERROR(AND(A963&gt;1,COUNTIF($A$3:$A$2002,A963-1)=0),FALSE),"Nummeret hopper over",IF(OR(NOT(ISNUMBER(B963)),B963&lt;DATE(2027,1,1),B963&gt;DATE(2027,12,31)),"Datoen er ikke i 2027",""))))))</f>
        <v/>
      </c>
    </row>
    <row r="964">
      <c r="A964" s="17" t="n"/>
      <c r="B964" s="9" t="n"/>
      <c r="C964" s="8" t="n"/>
      <c r="D964" s="8" t="n"/>
      <c r="E964" s="8" t="n"/>
      <c r="F964" s="14" t="n"/>
      <c r="G964" s="14" t="n"/>
      <c r="H964" s="8" t="n"/>
      <c r="I964" s="8" t="n"/>
      <c r="J964" s="8" t="n"/>
      <c r="K964" s="18">
        <f>IF(B964="","",IFERROR(MONTH(B964),""))</f>
        <v/>
      </c>
      <c r="L964" s="5">
        <f>IF(COUNTA(A964:J964)=0,"",IF(E964="","Mangler motkonto",IF((F964="")=(G964=""),"Fyll ut enten Inn eller Ut",IF(OR(IFERROR(INDEX('Kontoplan'!$D$3:$D$302,MATCH(D964,'Kontoplan'!$H$3:$H$302,0))="Støttes ikke",FALSE),IFERROR(INDEX('Kontoplan'!$D$3:$D$302,MATCH(E964,'Kontoplan'!$H$3:$H$302,0))="Støttes ikke",FALSE)),"Kontoen støttes ikke",IF(IFERROR(AND(A964&gt;1,COUNTIF($A$3:$A$2002,A964-1)=0),FALSE),"Nummeret hopper over",IF(OR(NOT(ISNUMBER(B964)),B964&lt;DATE(2027,1,1),B964&gt;DATE(2027,12,31)),"Datoen er ikke i 2027",""))))))</f>
        <v/>
      </c>
    </row>
    <row r="965">
      <c r="A965" s="17" t="n"/>
      <c r="B965" s="9" t="n"/>
      <c r="C965" s="8" t="n"/>
      <c r="D965" s="8" t="n"/>
      <c r="E965" s="8" t="n"/>
      <c r="F965" s="14" t="n"/>
      <c r="G965" s="14" t="n"/>
      <c r="H965" s="8" t="n"/>
      <c r="I965" s="8" t="n"/>
      <c r="J965" s="8" t="n"/>
      <c r="K965" s="18">
        <f>IF(B965="","",IFERROR(MONTH(B965),""))</f>
        <v/>
      </c>
      <c r="L965" s="5">
        <f>IF(COUNTA(A965:J965)=0,"",IF(E965="","Mangler motkonto",IF((F965="")=(G965=""),"Fyll ut enten Inn eller Ut",IF(OR(IFERROR(INDEX('Kontoplan'!$D$3:$D$302,MATCH(D965,'Kontoplan'!$H$3:$H$302,0))="Støttes ikke",FALSE),IFERROR(INDEX('Kontoplan'!$D$3:$D$302,MATCH(E965,'Kontoplan'!$H$3:$H$302,0))="Støttes ikke",FALSE)),"Kontoen støttes ikke",IF(IFERROR(AND(A965&gt;1,COUNTIF($A$3:$A$2002,A965-1)=0),FALSE),"Nummeret hopper over",IF(OR(NOT(ISNUMBER(B965)),B965&lt;DATE(2027,1,1),B965&gt;DATE(2027,12,31)),"Datoen er ikke i 2027",""))))))</f>
        <v/>
      </c>
    </row>
    <row r="966">
      <c r="A966" s="17" t="n"/>
      <c r="B966" s="9" t="n"/>
      <c r="C966" s="8" t="n"/>
      <c r="D966" s="8" t="n"/>
      <c r="E966" s="8" t="n"/>
      <c r="F966" s="14" t="n"/>
      <c r="G966" s="14" t="n"/>
      <c r="H966" s="8" t="n"/>
      <c r="I966" s="8" t="n"/>
      <c r="J966" s="8" t="n"/>
      <c r="K966" s="18">
        <f>IF(B966="","",IFERROR(MONTH(B966),""))</f>
        <v/>
      </c>
      <c r="L966" s="5">
        <f>IF(COUNTA(A966:J966)=0,"",IF(E966="","Mangler motkonto",IF((F966="")=(G966=""),"Fyll ut enten Inn eller Ut",IF(OR(IFERROR(INDEX('Kontoplan'!$D$3:$D$302,MATCH(D966,'Kontoplan'!$H$3:$H$302,0))="Støttes ikke",FALSE),IFERROR(INDEX('Kontoplan'!$D$3:$D$302,MATCH(E966,'Kontoplan'!$H$3:$H$302,0))="Støttes ikke",FALSE)),"Kontoen støttes ikke",IF(IFERROR(AND(A966&gt;1,COUNTIF($A$3:$A$2002,A966-1)=0),FALSE),"Nummeret hopper over",IF(OR(NOT(ISNUMBER(B966)),B966&lt;DATE(2027,1,1),B966&gt;DATE(2027,12,31)),"Datoen er ikke i 2027",""))))))</f>
        <v/>
      </c>
    </row>
    <row r="967">
      <c r="A967" s="17" t="n"/>
      <c r="B967" s="9" t="n"/>
      <c r="C967" s="8" t="n"/>
      <c r="D967" s="8" t="n"/>
      <c r="E967" s="8" t="n"/>
      <c r="F967" s="14" t="n"/>
      <c r="G967" s="14" t="n"/>
      <c r="H967" s="8" t="n"/>
      <c r="I967" s="8" t="n"/>
      <c r="J967" s="8" t="n"/>
      <c r="K967" s="18">
        <f>IF(B967="","",IFERROR(MONTH(B967),""))</f>
        <v/>
      </c>
      <c r="L967" s="5">
        <f>IF(COUNTA(A967:J967)=0,"",IF(E967="","Mangler motkonto",IF((F967="")=(G967=""),"Fyll ut enten Inn eller Ut",IF(OR(IFERROR(INDEX('Kontoplan'!$D$3:$D$302,MATCH(D967,'Kontoplan'!$H$3:$H$302,0))="Støttes ikke",FALSE),IFERROR(INDEX('Kontoplan'!$D$3:$D$302,MATCH(E967,'Kontoplan'!$H$3:$H$302,0))="Støttes ikke",FALSE)),"Kontoen støttes ikke",IF(IFERROR(AND(A967&gt;1,COUNTIF($A$3:$A$2002,A967-1)=0),FALSE),"Nummeret hopper over",IF(OR(NOT(ISNUMBER(B967)),B967&lt;DATE(2027,1,1),B967&gt;DATE(2027,12,31)),"Datoen er ikke i 2027",""))))))</f>
        <v/>
      </c>
    </row>
    <row r="968">
      <c r="A968" s="17" t="n"/>
      <c r="B968" s="9" t="n"/>
      <c r="C968" s="8" t="n"/>
      <c r="D968" s="8" t="n"/>
      <c r="E968" s="8" t="n"/>
      <c r="F968" s="14" t="n"/>
      <c r="G968" s="14" t="n"/>
      <c r="H968" s="8" t="n"/>
      <c r="I968" s="8" t="n"/>
      <c r="J968" s="8" t="n"/>
      <c r="K968" s="18">
        <f>IF(B968="","",IFERROR(MONTH(B968),""))</f>
        <v/>
      </c>
      <c r="L968" s="5">
        <f>IF(COUNTA(A968:J968)=0,"",IF(E968="","Mangler motkonto",IF((F968="")=(G968=""),"Fyll ut enten Inn eller Ut",IF(OR(IFERROR(INDEX('Kontoplan'!$D$3:$D$302,MATCH(D968,'Kontoplan'!$H$3:$H$302,0))="Støttes ikke",FALSE),IFERROR(INDEX('Kontoplan'!$D$3:$D$302,MATCH(E968,'Kontoplan'!$H$3:$H$302,0))="Støttes ikke",FALSE)),"Kontoen støttes ikke",IF(IFERROR(AND(A968&gt;1,COUNTIF($A$3:$A$2002,A968-1)=0),FALSE),"Nummeret hopper over",IF(OR(NOT(ISNUMBER(B968)),B968&lt;DATE(2027,1,1),B968&gt;DATE(2027,12,31)),"Datoen er ikke i 2027",""))))))</f>
        <v/>
      </c>
    </row>
    <row r="969">
      <c r="A969" s="17" t="n"/>
      <c r="B969" s="9" t="n"/>
      <c r="C969" s="8" t="n"/>
      <c r="D969" s="8" t="n"/>
      <c r="E969" s="8" t="n"/>
      <c r="F969" s="14" t="n"/>
      <c r="G969" s="14" t="n"/>
      <c r="H969" s="8" t="n"/>
      <c r="I969" s="8" t="n"/>
      <c r="J969" s="8" t="n"/>
      <c r="K969" s="18">
        <f>IF(B969="","",IFERROR(MONTH(B969),""))</f>
        <v/>
      </c>
      <c r="L969" s="5">
        <f>IF(COUNTA(A969:J969)=0,"",IF(E969="","Mangler motkonto",IF((F969="")=(G969=""),"Fyll ut enten Inn eller Ut",IF(OR(IFERROR(INDEX('Kontoplan'!$D$3:$D$302,MATCH(D969,'Kontoplan'!$H$3:$H$302,0))="Støttes ikke",FALSE),IFERROR(INDEX('Kontoplan'!$D$3:$D$302,MATCH(E969,'Kontoplan'!$H$3:$H$302,0))="Støttes ikke",FALSE)),"Kontoen støttes ikke",IF(IFERROR(AND(A969&gt;1,COUNTIF($A$3:$A$2002,A969-1)=0),FALSE),"Nummeret hopper over",IF(OR(NOT(ISNUMBER(B969)),B969&lt;DATE(2027,1,1),B969&gt;DATE(2027,12,31)),"Datoen er ikke i 2027",""))))))</f>
        <v/>
      </c>
    </row>
    <row r="970">
      <c r="A970" s="17" t="n"/>
      <c r="B970" s="9" t="n"/>
      <c r="C970" s="8" t="n"/>
      <c r="D970" s="8" t="n"/>
      <c r="E970" s="8" t="n"/>
      <c r="F970" s="14" t="n"/>
      <c r="G970" s="14" t="n"/>
      <c r="H970" s="8" t="n"/>
      <c r="I970" s="8" t="n"/>
      <c r="J970" s="8" t="n"/>
      <c r="K970" s="18">
        <f>IF(B970="","",IFERROR(MONTH(B970),""))</f>
        <v/>
      </c>
      <c r="L970" s="5">
        <f>IF(COUNTA(A970:J970)=0,"",IF(E970="","Mangler motkonto",IF((F970="")=(G970=""),"Fyll ut enten Inn eller Ut",IF(OR(IFERROR(INDEX('Kontoplan'!$D$3:$D$302,MATCH(D970,'Kontoplan'!$H$3:$H$302,0))="Støttes ikke",FALSE),IFERROR(INDEX('Kontoplan'!$D$3:$D$302,MATCH(E970,'Kontoplan'!$H$3:$H$302,0))="Støttes ikke",FALSE)),"Kontoen støttes ikke",IF(IFERROR(AND(A970&gt;1,COUNTIF($A$3:$A$2002,A970-1)=0),FALSE),"Nummeret hopper over",IF(OR(NOT(ISNUMBER(B970)),B970&lt;DATE(2027,1,1),B970&gt;DATE(2027,12,31)),"Datoen er ikke i 2027",""))))))</f>
        <v/>
      </c>
    </row>
    <row r="971">
      <c r="A971" s="17" t="n"/>
      <c r="B971" s="9" t="n"/>
      <c r="C971" s="8" t="n"/>
      <c r="D971" s="8" t="n"/>
      <c r="E971" s="8" t="n"/>
      <c r="F971" s="14" t="n"/>
      <c r="G971" s="14" t="n"/>
      <c r="H971" s="8" t="n"/>
      <c r="I971" s="8" t="n"/>
      <c r="J971" s="8" t="n"/>
      <c r="K971" s="18">
        <f>IF(B971="","",IFERROR(MONTH(B971),""))</f>
        <v/>
      </c>
      <c r="L971" s="5">
        <f>IF(COUNTA(A971:J971)=0,"",IF(E971="","Mangler motkonto",IF((F971="")=(G971=""),"Fyll ut enten Inn eller Ut",IF(OR(IFERROR(INDEX('Kontoplan'!$D$3:$D$302,MATCH(D971,'Kontoplan'!$H$3:$H$302,0))="Støttes ikke",FALSE),IFERROR(INDEX('Kontoplan'!$D$3:$D$302,MATCH(E971,'Kontoplan'!$H$3:$H$302,0))="Støttes ikke",FALSE)),"Kontoen støttes ikke",IF(IFERROR(AND(A971&gt;1,COUNTIF($A$3:$A$2002,A971-1)=0),FALSE),"Nummeret hopper over",IF(OR(NOT(ISNUMBER(B971)),B971&lt;DATE(2027,1,1),B971&gt;DATE(2027,12,31)),"Datoen er ikke i 2027",""))))))</f>
        <v/>
      </c>
    </row>
    <row r="972">
      <c r="A972" s="17" t="n"/>
      <c r="B972" s="9" t="n"/>
      <c r="C972" s="8" t="n"/>
      <c r="D972" s="8" t="n"/>
      <c r="E972" s="8" t="n"/>
      <c r="F972" s="14" t="n"/>
      <c r="G972" s="14" t="n"/>
      <c r="H972" s="8" t="n"/>
      <c r="I972" s="8" t="n"/>
      <c r="J972" s="8" t="n"/>
      <c r="K972" s="18">
        <f>IF(B972="","",IFERROR(MONTH(B972),""))</f>
        <v/>
      </c>
      <c r="L972" s="5">
        <f>IF(COUNTA(A972:J972)=0,"",IF(E972="","Mangler motkonto",IF((F972="")=(G972=""),"Fyll ut enten Inn eller Ut",IF(OR(IFERROR(INDEX('Kontoplan'!$D$3:$D$302,MATCH(D972,'Kontoplan'!$H$3:$H$302,0))="Støttes ikke",FALSE),IFERROR(INDEX('Kontoplan'!$D$3:$D$302,MATCH(E972,'Kontoplan'!$H$3:$H$302,0))="Støttes ikke",FALSE)),"Kontoen støttes ikke",IF(IFERROR(AND(A972&gt;1,COUNTIF($A$3:$A$2002,A972-1)=0),FALSE),"Nummeret hopper over",IF(OR(NOT(ISNUMBER(B972)),B972&lt;DATE(2027,1,1),B972&gt;DATE(2027,12,31)),"Datoen er ikke i 2027",""))))))</f>
        <v/>
      </c>
    </row>
    <row r="973">
      <c r="A973" s="17" t="n"/>
      <c r="B973" s="9" t="n"/>
      <c r="C973" s="8" t="n"/>
      <c r="D973" s="8" t="n"/>
      <c r="E973" s="8" t="n"/>
      <c r="F973" s="14" t="n"/>
      <c r="G973" s="14" t="n"/>
      <c r="H973" s="8" t="n"/>
      <c r="I973" s="8" t="n"/>
      <c r="J973" s="8" t="n"/>
      <c r="K973" s="18">
        <f>IF(B973="","",IFERROR(MONTH(B973),""))</f>
        <v/>
      </c>
      <c r="L973" s="5">
        <f>IF(COUNTA(A973:J973)=0,"",IF(E973="","Mangler motkonto",IF((F973="")=(G973=""),"Fyll ut enten Inn eller Ut",IF(OR(IFERROR(INDEX('Kontoplan'!$D$3:$D$302,MATCH(D973,'Kontoplan'!$H$3:$H$302,0))="Støttes ikke",FALSE),IFERROR(INDEX('Kontoplan'!$D$3:$D$302,MATCH(E973,'Kontoplan'!$H$3:$H$302,0))="Støttes ikke",FALSE)),"Kontoen støttes ikke",IF(IFERROR(AND(A973&gt;1,COUNTIF($A$3:$A$2002,A973-1)=0),FALSE),"Nummeret hopper over",IF(OR(NOT(ISNUMBER(B973)),B973&lt;DATE(2027,1,1),B973&gt;DATE(2027,12,31)),"Datoen er ikke i 2027",""))))))</f>
        <v/>
      </c>
    </row>
    <row r="974">
      <c r="A974" s="17" t="n"/>
      <c r="B974" s="9" t="n"/>
      <c r="C974" s="8" t="n"/>
      <c r="D974" s="8" t="n"/>
      <c r="E974" s="8" t="n"/>
      <c r="F974" s="14" t="n"/>
      <c r="G974" s="14" t="n"/>
      <c r="H974" s="8" t="n"/>
      <c r="I974" s="8" t="n"/>
      <c r="J974" s="8" t="n"/>
      <c r="K974" s="18">
        <f>IF(B974="","",IFERROR(MONTH(B974),""))</f>
        <v/>
      </c>
      <c r="L974" s="5">
        <f>IF(COUNTA(A974:J974)=0,"",IF(E974="","Mangler motkonto",IF((F974="")=(G974=""),"Fyll ut enten Inn eller Ut",IF(OR(IFERROR(INDEX('Kontoplan'!$D$3:$D$302,MATCH(D974,'Kontoplan'!$H$3:$H$302,0))="Støttes ikke",FALSE),IFERROR(INDEX('Kontoplan'!$D$3:$D$302,MATCH(E974,'Kontoplan'!$H$3:$H$302,0))="Støttes ikke",FALSE)),"Kontoen støttes ikke",IF(IFERROR(AND(A974&gt;1,COUNTIF($A$3:$A$2002,A974-1)=0),FALSE),"Nummeret hopper over",IF(OR(NOT(ISNUMBER(B974)),B974&lt;DATE(2027,1,1),B974&gt;DATE(2027,12,31)),"Datoen er ikke i 2027",""))))))</f>
        <v/>
      </c>
    </row>
    <row r="975">
      <c r="A975" s="17" t="n"/>
      <c r="B975" s="9" t="n"/>
      <c r="C975" s="8" t="n"/>
      <c r="D975" s="8" t="n"/>
      <c r="E975" s="8" t="n"/>
      <c r="F975" s="14" t="n"/>
      <c r="G975" s="14" t="n"/>
      <c r="H975" s="8" t="n"/>
      <c r="I975" s="8" t="n"/>
      <c r="J975" s="8" t="n"/>
      <c r="K975" s="18">
        <f>IF(B975="","",IFERROR(MONTH(B975),""))</f>
        <v/>
      </c>
      <c r="L975" s="5">
        <f>IF(COUNTA(A975:J975)=0,"",IF(E975="","Mangler motkonto",IF((F975="")=(G975=""),"Fyll ut enten Inn eller Ut",IF(OR(IFERROR(INDEX('Kontoplan'!$D$3:$D$302,MATCH(D975,'Kontoplan'!$H$3:$H$302,0))="Støttes ikke",FALSE),IFERROR(INDEX('Kontoplan'!$D$3:$D$302,MATCH(E975,'Kontoplan'!$H$3:$H$302,0))="Støttes ikke",FALSE)),"Kontoen støttes ikke",IF(IFERROR(AND(A975&gt;1,COUNTIF($A$3:$A$2002,A975-1)=0),FALSE),"Nummeret hopper over",IF(OR(NOT(ISNUMBER(B975)),B975&lt;DATE(2027,1,1),B975&gt;DATE(2027,12,31)),"Datoen er ikke i 2027",""))))))</f>
        <v/>
      </c>
    </row>
    <row r="976">
      <c r="A976" s="17" t="n"/>
      <c r="B976" s="9" t="n"/>
      <c r="C976" s="8" t="n"/>
      <c r="D976" s="8" t="n"/>
      <c r="E976" s="8" t="n"/>
      <c r="F976" s="14" t="n"/>
      <c r="G976" s="14" t="n"/>
      <c r="H976" s="8" t="n"/>
      <c r="I976" s="8" t="n"/>
      <c r="J976" s="8" t="n"/>
      <c r="K976" s="18">
        <f>IF(B976="","",IFERROR(MONTH(B976),""))</f>
        <v/>
      </c>
      <c r="L976" s="5">
        <f>IF(COUNTA(A976:J976)=0,"",IF(E976="","Mangler motkonto",IF((F976="")=(G976=""),"Fyll ut enten Inn eller Ut",IF(OR(IFERROR(INDEX('Kontoplan'!$D$3:$D$302,MATCH(D976,'Kontoplan'!$H$3:$H$302,0))="Støttes ikke",FALSE),IFERROR(INDEX('Kontoplan'!$D$3:$D$302,MATCH(E976,'Kontoplan'!$H$3:$H$302,0))="Støttes ikke",FALSE)),"Kontoen støttes ikke",IF(IFERROR(AND(A976&gt;1,COUNTIF($A$3:$A$2002,A976-1)=0),FALSE),"Nummeret hopper over",IF(OR(NOT(ISNUMBER(B976)),B976&lt;DATE(2027,1,1),B976&gt;DATE(2027,12,31)),"Datoen er ikke i 2027",""))))))</f>
        <v/>
      </c>
    </row>
    <row r="977">
      <c r="A977" s="17" t="n"/>
      <c r="B977" s="9" t="n"/>
      <c r="C977" s="8" t="n"/>
      <c r="D977" s="8" t="n"/>
      <c r="E977" s="8" t="n"/>
      <c r="F977" s="14" t="n"/>
      <c r="G977" s="14" t="n"/>
      <c r="H977" s="8" t="n"/>
      <c r="I977" s="8" t="n"/>
      <c r="J977" s="8" t="n"/>
      <c r="K977" s="18">
        <f>IF(B977="","",IFERROR(MONTH(B977),""))</f>
        <v/>
      </c>
      <c r="L977" s="5">
        <f>IF(COUNTA(A977:J977)=0,"",IF(E977="","Mangler motkonto",IF((F977="")=(G977=""),"Fyll ut enten Inn eller Ut",IF(OR(IFERROR(INDEX('Kontoplan'!$D$3:$D$302,MATCH(D977,'Kontoplan'!$H$3:$H$302,0))="Støttes ikke",FALSE),IFERROR(INDEX('Kontoplan'!$D$3:$D$302,MATCH(E977,'Kontoplan'!$H$3:$H$302,0))="Støttes ikke",FALSE)),"Kontoen støttes ikke",IF(IFERROR(AND(A977&gt;1,COUNTIF($A$3:$A$2002,A977-1)=0),FALSE),"Nummeret hopper over",IF(OR(NOT(ISNUMBER(B977)),B977&lt;DATE(2027,1,1),B977&gt;DATE(2027,12,31)),"Datoen er ikke i 2027",""))))))</f>
        <v/>
      </c>
    </row>
    <row r="978">
      <c r="A978" s="17" t="n"/>
      <c r="B978" s="9" t="n"/>
      <c r="C978" s="8" t="n"/>
      <c r="D978" s="8" t="n"/>
      <c r="E978" s="8" t="n"/>
      <c r="F978" s="14" t="n"/>
      <c r="G978" s="14" t="n"/>
      <c r="H978" s="8" t="n"/>
      <c r="I978" s="8" t="n"/>
      <c r="J978" s="8" t="n"/>
      <c r="K978" s="18">
        <f>IF(B978="","",IFERROR(MONTH(B978),""))</f>
        <v/>
      </c>
      <c r="L978" s="5">
        <f>IF(COUNTA(A978:J978)=0,"",IF(E978="","Mangler motkonto",IF((F978="")=(G978=""),"Fyll ut enten Inn eller Ut",IF(OR(IFERROR(INDEX('Kontoplan'!$D$3:$D$302,MATCH(D978,'Kontoplan'!$H$3:$H$302,0))="Støttes ikke",FALSE),IFERROR(INDEX('Kontoplan'!$D$3:$D$302,MATCH(E978,'Kontoplan'!$H$3:$H$302,0))="Støttes ikke",FALSE)),"Kontoen støttes ikke",IF(IFERROR(AND(A978&gt;1,COUNTIF($A$3:$A$2002,A978-1)=0),FALSE),"Nummeret hopper over",IF(OR(NOT(ISNUMBER(B978)),B978&lt;DATE(2027,1,1),B978&gt;DATE(2027,12,31)),"Datoen er ikke i 2027",""))))))</f>
        <v/>
      </c>
    </row>
    <row r="979">
      <c r="A979" s="17" t="n"/>
      <c r="B979" s="9" t="n"/>
      <c r="C979" s="8" t="n"/>
      <c r="D979" s="8" t="n"/>
      <c r="E979" s="8" t="n"/>
      <c r="F979" s="14" t="n"/>
      <c r="G979" s="14" t="n"/>
      <c r="H979" s="8" t="n"/>
      <c r="I979" s="8" t="n"/>
      <c r="J979" s="8" t="n"/>
      <c r="K979" s="18">
        <f>IF(B979="","",IFERROR(MONTH(B979),""))</f>
        <v/>
      </c>
      <c r="L979" s="5">
        <f>IF(COUNTA(A979:J979)=0,"",IF(E979="","Mangler motkonto",IF((F979="")=(G979=""),"Fyll ut enten Inn eller Ut",IF(OR(IFERROR(INDEX('Kontoplan'!$D$3:$D$302,MATCH(D979,'Kontoplan'!$H$3:$H$302,0))="Støttes ikke",FALSE),IFERROR(INDEX('Kontoplan'!$D$3:$D$302,MATCH(E979,'Kontoplan'!$H$3:$H$302,0))="Støttes ikke",FALSE)),"Kontoen støttes ikke",IF(IFERROR(AND(A979&gt;1,COUNTIF($A$3:$A$2002,A979-1)=0),FALSE),"Nummeret hopper over",IF(OR(NOT(ISNUMBER(B979)),B979&lt;DATE(2027,1,1),B979&gt;DATE(2027,12,31)),"Datoen er ikke i 2027",""))))))</f>
        <v/>
      </c>
    </row>
    <row r="980">
      <c r="A980" s="17" t="n"/>
      <c r="B980" s="9" t="n"/>
      <c r="C980" s="8" t="n"/>
      <c r="D980" s="8" t="n"/>
      <c r="E980" s="8" t="n"/>
      <c r="F980" s="14" t="n"/>
      <c r="G980" s="14" t="n"/>
      <c r="H980" s="8" t="n"/>
      <c r="I980" s="8" t="n"/>
      <c r="J980" s="8" t="n"/>
      <c r="K980" s="18">
        <f>IF(B980="","",IFERROR(MONTH(B980),""))</f>
        <v/>
      </c>
      <c r="L980" s="5">
        <f>IF(COUNTA(A980:J980)=0,"",IF(E980="","Mangler motkonto",IF((F980="")=(G980=""),"Fyll ut enten Inn eller Ut",IF(OR(IFERROR(INDEX('Kontoplan'!$D$3:$D$302,MATCH(D980,'Kontoplan'!$H$3:$H$302,0))="Støttes ikke",FALSE),IFERROR(INDEX('Kontoplan'!$D$3:$D$302,MATCH(E980,'Kontoplan'!$H$3:$H$302,0))="Støttes ikke",FALSE)),"Kontoen støttes ikke",IF(IFERROR(AND(A980&gt;1,COUNTIF($A$3:$A$2002,A980-1)=0),FALSE),"Nummeret hopper over",IF(OR(NOT(ISNUMBER(B980)),B980&lt;DATE(2027,1,1),B980&gt;DATE(2027,12,31)),"Datoen er ikke i 2027",""))))))</f>
        <v/>
      </c>
    </row>
    <row r="981">
      <c r="A981" s="17" t="n"/>
      <c r="B981" s="9" t="n"/>
      <c r="C981" s="8" t="n"/>
      <c r="D981" s="8" t="n"/>
      <c r="E981" s="8" t="n"/>
      <c r="F981" s="14" t="n"/>
      <c r="G981" s="14" t="n"/>
      <c r="H981" s="8" t="n"/>
      <c r="I981" s="8" t="n"/>
      <c r="J981" s="8" t="n"/>
      <c r="K981" s="18">
        <f>IF(B981="","",IFERROR(MONTH(B981),""))</f>
        <v/>
      </c>
      <c r="L981" s="5">
        <f>IF(COUNTA(A981:J981)=0,"",IF(E981="","Mangler motkonto",IF((F981="")=(G981=""),"Fyll ut enten Inn eller Ut",IF(OR(IFERROR(INDEX('Kontoplan'!$D$3:$D$302,MATCH(D981,'Kontoplan'!$H$3:$H$302,0))="Støttes ikke",FALSE),IFERROR(INDEX('Kontoplan'!$D$3:$D$302,MATCH(E981,'Kontoplan'!$H$3:$H$302,0))="Støttes ikke",FALSE)),"Kontoen støttes ikke",IF(IFERROR(AND(A981&gt;1,COUNTIF($A$3:$A$2002,A981-1)=0),FALSE),"Nummeret hopper over",IF(OR(NOT(ISNUMBER(B981)),B981&lt;DATE(2027,1,1),B981&gt;DATE(2027,12,31)),"Datoen er ikke i 2027",""))))))</f>
        <v/>
      </c>
    </row>
    <row r="982">
      <c r="A982" s="17" t="n"/>
      <c r="B982" s="9" t="n"/>
      <c r="C982" s="8" t="n"/>
      <c r="D982" s="8" t="n"/>
      <c r="E982" s="8" t="n"/>
      <c r="F982" s="14" t="n"/>
      <c r="G982" s="14" t="n"/>
      <c r="H982" s="8" t="n"/>
      <c r="I982" s="8" t="n"/>
      <c r="J982" s="8" t="n"/>
      <c r="K982" s="18">
        <f>IF(B982="","",IFERROR(MONTH(B982),""))</f>
        <v/>
      </c>
      <c r="L982" s="5">
        <f>IF(COUNTA(A982:J982)=0,"",IF(E982="","Mangler motkonto",IF((F982="")=(G982=""),"Fyll ut enten Inn eller Ut",IF(OR(IFERROR(INDEX('Kontoplan'!$D$3:$D$302,MATCH(D982,'Kontoplan'!$H$3:$H$302,0))="Støttes ikke",FALSE),IFERROR(INDEX('Kontoplan'!$D$3:$D$302,MATCH(E982,'Kontoplan'!$H$3:$H$302,0))="Støttes ikke",FALSE)),"Kontoen støttes ikke",IF(IFERROR(AND(A982&gt;1,COUNTIF($A$3:$A$2002,A982-1)=0),FALSE),"Nummeret hopper over",IF(OR(NOT(ISNUMBER(B982)),B982&lt;DATE(2027,1,1),B982&gt;DATE(2027,12,31)),"Datoen er ikke i 2027",""))))))</f>
        <v/>
      </c>
    </row>
    <row r="983">
      <c r="A983" s="17" t="n"/>
      <c r="B983" s="9" t="n"/>
      <c r="C983" s="8" t="n"/>
      <c r="D983" s="8" t="n"/>
      <c r="E983" s="8" t="n"/>
      <c r="F983" s="14" t="n"/>
      <c r="G983" s="14" t="n"/>
      <c r="H983" s="8" t="n"/>
      <c r="I983" s="8" t="n"/>
      <c r="J983" s="8" t="n"/>
      <c r="K983" s="18">
        <f>IF(B983="","",IFERROR(MONTH(B983),""))</f>
        <v/>
      </c>
      <c r="L983" s="5">
        <f>IF(COUNTA(A983:J983)=0,"",IF(E983="","Mangler motkonto",IF((F983="")=(G983=""),"Fyll ut enten Inn eller Ut",IF(OR(IFERROR(INDEX('Kontoplan'!$D$3:$D$302,MATCH(D983,'Kontoplan'!$H$3:$H$302,0))="Støttes ikke",FALSE),IFERROR(INDEX('Kontoplan'!$D$3:$D$302,MATCH(E983,'Kontoplan'!$H$3:$H$302,0))="Støttes ikke",FALSE)),"Kontoen støttes ikke",IF(IFERROR(AND(A983&gt;1,COUNTIF($A$3:$A$2002,A983-1)=0),FALSE),"Nummeret hopper over",IF(OR(NOT(ISNUMBER(B983)),B983&lt;DATE(2027,1,1),B983&gt;DATE(2027,12,31)),"Datoen er ikke i 2027",""))))))</f>
        <v/>
      </c>
    </row>
    <row r="984">
      <c r="A984" s="17" t="n"/>
      <c r="B984" s="9" t="n"/>
      <c r="C984" s="8" t="n"/>
      <c r="D984" s="8" t="n"/>
      <c r="E984" s="8" t="n"/>
      <c r="F984" s="14" t="n"/>
      <c r="G984" s="14" t="n"/>
      <c r="H984" s="8" t="n"/>
      <c r="I984" s="8" t="n"/>
      <c r="J984" s="8" t="n"/>
      <c r="K984" s="18">
        <f>IF(B984="","",IFERROR(MONTH(B984),""))</f>
        <v/>
      </c>
      <c r="L984" s="5">
        <f>IF(COUNTA(A984:J984)=0,"",IF(E984="","Mangler motkonto",IF((F984="")=(G984=""),"Fyll ut enten Inn eller Ut",IF(OR(IFERROR(INDEX('Kontoplan'!$D$3:$D$302,MATCH(D984,'Kontoplan'!$H$3:$H$302,0))="Støttes ikke",FALSE),IFERROR(INDEX('Kontoplan'!$D$3:$D$302,MATCH(E984,'Kontoplan'!$H$3:$H$302,0))="Støttes ikke",FALSE)),"Kontoen støttes ikke",IF(IFERROR(AND(A984&gt;1,COUNTIF($A$3:$A$2002,A984-1)=0),FALSE),"Nummeret hopper over",IF(OR(NOT(ISNUMBER(B984)),B984&lt;DATE(2027,1,1),B984&gt;DATE(2027,12,31)),"Datoen er ikke i 2027",""))))))</f>
        <v/>
      </c>
    </row>
    <row r="985">
      <c r="A985" s="17" t="n"/>
      <c r="B985" s="9" t="n"/>
      <c r="C985" s="8" t="n"/>
      <c r="D985" s="8" t="n"/>
      <c r="E985" s="8" t="n"/>
      <c r="F985" s="14" t="n"/>
      <c r="G985" s="14" t="n"/>
      <c r="H985" s="8" t="n"/>
      <c r="I985" s="8" t="n"/>
      <c r="J985" s="8" t="n"/>
      <c r="K985" s="18">
        <f>IF(B985="","",IFERROR(MONTH(B985),""))</f>
        <v/>
      </c>
      <c r="L985" s="5">
        <f>IF(COUNTA(A985:J985)=0,"",IF(E985="","Mangler motkonto",IF((F985="")=(G985=""),"Fyll ut enten Inn eller Ut",IF(OR(IFERROR(INDEX('Kontoplan'!$D$3:$D$302,MATCH(D985,'Kontoplan'!$H$3:$H$302,0))="Støttes ikke",FALSE),IFERROR(INDEX('Kontoplan'!$D$3:$D$302,MATCH(E985,'Kontoplan'!$H$3:$H$302,0))="Støttes ikke",FALSE)),"Kontoen støttes ikke",IF(IFERROR(AND(A985&gt;1,COUNTIF($A$3:$A$2002,A985-1)=0),FALSE),"Nummeret hopper over",IF(OR(NOT(ISNUMBER(B985)),B985&lt;DATE(2027,1,1),B985&gt;DATE(2027,12,31)),"Datoen er ikke i 2027",""))))))</f>
        <v/>
      </c>
    </row>
    <row r="986">
      <c r="A986" s="17" t="n"/>
      <c r="B986" s="9" t="n"/>
      <c r="C986" s="8" t="n"/>
      <c r="D986" s="8" t="n"/>
      <c r="E986" s="8" t="n"/>
      <c r="F986" s="14" t="n"/>
      <c r="G986" s="14" t="n"/>
      <c r="H986" s="8" t="n"/>
      <c r="I986" s="8" t="n"/>
      <c r="J986" s="8" t="n"/>
      <c r="K986" s="18">
        <f>IF(B986="","",IFERROR(MONTH(B986),""))</f>
        <v/>
      </c>
      <c r="L986" s="5">
        <f>IF(COUNTA(A986:J986)=0,"",IF(E986="","Mangler motkonto",IF((F986="")=(G986=""),"Fyll ut enten Inn eller Ut",IF(OR(IFERROR(INDEX('Kontoplan'!$D$3:$D$302,MATCH(D986,'Kontoplan'!$H$3:$H$302,0))="Støttes ikke",FALSE),IFERROR(INDEX('Kontoplan'!$D$3:$D$302,MATCH(E986,'Kontoplan'!$H$3:$H$302,0))="Støttes ikke",FALSE)),"Kontoen støttes ikke",IF(IFERROR(AND(A986&gt;1,COUNTIF($A$3:$A$2002,A986-1)=0),FALSE),"Nummeret hopper over",IF(OR(NOT(ISNUMBER(B986)),B986&lt;DATE(2027,1,1),B986&gt;DATE(2027,12,31)),"Datoen er ikke i 2027",""))))))</f>
        <v/>
      </c>
    </row>
    <row r="987">
      <c r="A987" s="17" t="n"/>
      <c r="B987" s="9" t="n"/>
      <c r="C987" s="8" t="n"/>
      <c r="D987" s="8" t="n"/>
      <c r="E987" s="8" t="n"/>
      <c r="F987" s="14" t="n"/>
      <c r="G987" s="14" t="n"/>
      <c r="H987" s="8" t="n"/>
      <c r="I987" s="8" t="n"/>
      <c r="J987" s="8" t="n"/>
      <c r="K987" s="18">
        <f>IF(B987="","",IFERROR(MONTH(B987),""))</f>
        <v/>
      </c>
      <c r="L987" s="5">
        <f>IF(COUNTA(A987:J987)=0,"",IF(E987="","Mangler motkonto",IF((F987="")=(G987=""),"Fyll ut enten Inn eller Ut",IF(OR(IFERROR(INDEX('Kontoplan'!$D$3:$D$302,MATCH(D987,'Kontoplan'!$H$3:$H$302,0))="Støttes ikke",FALSE),IFERROR(INDEX('Kontoplan'!$D$3:$D$302,MATCH(E987,'Kontoplan'!$H$3:$H$302,0))="Støttes ikke",FALSE)),"Kontoen støttes ikke",IF(IFERROR(AND(A987&gt;1,COUNTIF($A$3:$A$2002,A987-1)=0),FALSE),"Nummeret hopper over",IF(OR(NOT(ISNUMBER(B987)),B987&lt;DATE(2027,1,1),B987&gt;DATE(2027,12,31)),"Datoen er ikke i 2027",""))))))</f>
        <v/>
      </c>
    </row>
    <row r="988">
      <c r="A988" s="17" t="n"/>
      <c r="B988" s="9" t="n"/>
      <c r="C988" s="8" t="n"/>
      <c r="D988" s="8" t="n"/>
      <c r="E988" s="8" t="n"/>
      <c r="F988" s="14" t="n"/>
      <c r="G988" s="14" t="n"/>
      <c r="H988" s="8" t="n"/>
      <c r="I988" s="8" t="n"/>
      <c r="J988" s="8" t="n"/>
      <c r="K988" s="18">
        <f>IF(B988="","",IFERROR(MONTH(B988),""))</f>
        <v/>
      </c>
      <c r="L988" s="5">
        <f>IF(COUNTA(A988:J988)=0,"",IF(E988="","Mangler motkonto",IF((F988="")=(G988=""),"Fyll ut enten Inn eller Ut",IF(OR(IFERROR(INDEX('Kontoplan'!$D$3:$D$302,MATCH(D988,'Kontoplan'!$H$3:$H$302,0))="Støttes ikke",FALSE),IFERROR(INDEX('Kontoplan'!$D$3:$D$302,MATCH(E988,'Kontoplan'!$H$3:$H$302,0))="Støttes ikke",FALSE)),"Kontoen støttes ikke",IF(IFERROR(AND(A988&gt;1,COUNTIF($A$3:$A$2002,A988-1)=0),FALSE),"Nummeret hopper over",IF(OR(NOT(ISNUMBER(B988)),B988&lt;DATE(2027,1,1),B988&gt;DATE(2027,12,31)),"Datoen er ikke i 2027",""))))))</f>
        <v/>
      </c>
    </row>
    <row r="989">
      <c r="A989" s="17" t="n"/>
      <c r="B989" s="9" t="n"/>
      <c r="C989" s="8" t="n"/>
      <c r="D989" s="8" t="n"/>
      <c r="E989" s="8" t="n"/>
      <c r="F989" s="14" t="n"/>
      <c r="G989" s="14" t="n"/>
      <c r="H989" s="8" t="n"/>
      <c r="I989" s="8" t="n"/>
      <c r="J989" s="8" t="n"/>
      <c r="K989" s="18">
        <f>IF(B989="","",IFERROR(MONTH(B989),""))</f>
        <v/>
      </c>
      <c r="L989" s="5">
        <f>IF(COUNTA(A989:J989)=0,"",IF(E989="","Mangler motkonto",IF((F989="")=(G989=""),"Fyll ut enten Inn eller Ut",IF(OR(IFERROR(INDEX('Kontoplan'!$D$3:$D$302,MATCH(D989,'Kontoplan'!$H$3:$H$302,0))="Støttes ikke",FALSE),IFERROR(INDEX('Kontoplan'!$D$3:$D$302,MATCH(E989,'Kontoplan'!$H$3:$H$302,0))="Støttes ikke",FALSE)),"Kontoen støttes ikke",IF(IFERROR(AND(A989&gt;1,COUNTIF($A$3:$A$2002,A989-1)=0),FALSE),"Nummeret hopper over",IF(OR(NOT(ISNUMBER(B989)),B989&lt;DATE(2027,1,1),B989&gt;DATE(2027,12,31)),"Datoen er ikke i 2027",""))))))</f>
        <v/>
      </c>
    </row>
    <row r="990">
      <c r="A990" s="17" t="n"/>
      <c r="B990" s="9" t="n"/>
      <c r="C990" s="8" t="n"/>
      <c r="D990" s="8" t="n"/>
      <c r="E990" s="8" t="n"/>
      <c r="F990" s="14" t="n"/>
      <c r="G990" s="14" t="n"/>
      <c r="H990" s="8" t="n"/>
      <c r="I990" s="8" t="n"/>
      <c r="J990" s="8" t="n"/>
      <c r="K990" s="18">
        <f>IF(B990="","",IFERROR(MONTH(B990),""))</f>
        <v/>
      </c>
      <c r="L990" s="5">
        <f>IF(COUNTA(A990:J990)=0,"",IF(E990="","Mangler motkonto",IF((F990="")=(G990=""),"Fyll ut enten Inn eller Ut",IF(OR(IFERROR(INDEX('Kontoplan'!$D$3:$D$302,MATCH(D990,'Kontoplan'!$H$3:$H$302,0))="Støttes ikke",FALSE),IFERROR(INDEX('Kontoplan'!$D$3:$D$302,MATCH(E990,'Kontoplan'!$H$3:$H$302,0))="Støttes ikke",FALSE)),"Kontoen støttes ikke",IF(IFERROR(AND(A990&gt;1,COUNTIF($A$3:$A$2002,A990-1)=0),FALSE),"Nummeret hopper over",IF(OR(NOT(ISNUMBER(B990)),B990&lt;DATE(2027,1,1),B990&gt;DATE(2027,12,31)),"Datoen er ikke i 2027",""))))))</f>
        <v/>
      </c>
    </row>
    <row r="991">
      <c r="A991" s="17" t="n"/>
      <c r="B991" s="9" t="n"/>
      <c r="C991" s="8" t="n"/>
      <c r="D991" s="8" t="n"/>
      <c r="E991" s="8" t="n"/>
      <c r="F991" s="14" t="n"/>
      <c r="G991" s="14" t="n"/>
      <c r="H991" s="8" t="n"/>
      <c r="I991" s="8" t="n"/>
      <c r="J991" s="8" t="n"/>
      <c r="K991" s="18">
        <f>IF(B991="","",IFERROR(MONTH(B991),""))</f>
        <v/>
      </c>
      <c r="L991" s="5">
        <f>IF(COUNTA(A991:J991)=0,"",IF(E991="","Mangler motkonto",IF((F991="")=(G991=""),"Fyll ut enten Inn eller Ut",IF(OR(IFERROR(INDEX('Kontoplan'!$D$3:$D$302,MATCH(D991,'Kontoplan'!$H$3:$H$302,0))="Støttes ikke",FALSE),IFERROR(INDEX('Kontoplan'!$D$3:$D$302,MATCH(E991,'Kontoplan'!$H$3:$H$302,0))="Støttes ikke",FALSE)),"Kontoen støttes ikke",IF(IFERROR(AND(A991&gt;1,COUNTIF($A$3:$A$2002,A991-1)=0),FALSE),"Nummeret hopper over",IF(OR(NOT(ISNUMBER(B991)),B991&lt;DATE(2027,1,1),B991&gt;DATE(2027,12,31)),"Datoen er ikke i 2027",""))))))</f>
        <v/>
      </c>
    </row>
    <row r="992">
      <c r="A992" s="17" t="n"/>
      <c r="B992" s="9" t="n"/>
      <c r="C992" s="8" t="n"/>
      <c r="D992" s="8" t="n"/>
      <c r="E992" s="8" t="n"/>
      <c r="F992" s="14" t="n"/>
      <c r="G992" s="14" t="n"/>
      <c r="H992" s="8" t="n"/>
      <c r="I992" s="8" t="n"/>
      <c r="J992" s="8" t="n"/>
      <c r="K992" s="18">
        <f>IF(B992="","",IFERROR(MONTH(B992),""))</f>
        <v/>
      </c>
      <c r="L992" s="5">
        <f>IF(COUNTA(A992:J992)=0,"",IF(E992="","Mangler motkonto",IF((F992="")=(G992=""),"Fyll ut enten Inn eller Ut",IF(OR(IFERROR(INDEX('Kontoplan'!$D$3:$D$302,MATCH(D992,'Kontoplan'!$H$3:$H$302,0))="Støttes ikke",FALSE),IFERROR(INDEX('Kontoplan'!$D$3:$D$302,MATCH(E992,'Kontoplan'!$H$3:$H$302,0))="Støttes ikke",FALSE)),"Kontoen støttes ikke",IF(IFERROR(AND(A992&gt;1,COUNTIF($A$3:$A$2002,A992-1)=0),FALSE),"Nummeret hopper over",IF(OR(NOT(ISNUMBER(B992)),B992&lt;DATE(2027,1,1),B992&gt;DATE(2027,12,31)),"Datoen er ikke i 2027",""))))))</f>
        <v/>
      </c>
    </row>
    <row r="993">
      <c r="A993" s="17" t="n"/>
      <c r="B993" s="9" t="n"/>
      <c r="C993" s="8" t="n"/>
      <c r="D993" s="8" t="n"/>
      <c r="E993" s="8" t="n"/>
      <c r="F993" s="14" t="n"/>
      <c r="G993" s="14" t="n"/>
      <c r="H993" s="8" t="n"/>
      <c r="I993" s="8" t="n"/>
      <c r="J993" s="8" t="n"/>
      <c r="K993" s="18">
        <f>IF(B993="","",IFERROR(MONTH(B993),""))</f>
        <v/>
      </c>
      <c r="L993" s="5">
        <f>IF(COUNTA(A993:J993)=0,"",IF(E993="","Mangler motkonto",IF((F993="")=(G993=""),"Fyll ut enten Inn eller Ut",IF(OR(IFERROR(INDEX('Kontoplan'!$D$3:$D$302,MATCH(D993,'Kontoplan'!$H$3:$H$302,0))="Støttes ikke",FALSE),IFERROR(INDEX('Kontoplan'!$D$3:$D$302,MATCH(E993,'Kontoplan'!$H$3:$H$302,0))="Støttes ikke",FALSE)),"Kontoen støttes ikke",IF(IFERROR(AND(A993&gt;1,COUNTIF($A$3:$A$2002,A993-1)=0),FALSE),"Nummeret hopper over",IF(OR(NOT(ISNUMBER(B993)),B993&lt;DATE(2027,1,1),B993&gt;DATE(2027,12,31)),"Datoen er ikke i 2027",""))))))</f>
        <v/>
      </c>
    </row>
    <row r="994">
      <c r="A994" s="17" t="n"/>
      <c r="B994" s="9" t="n"/>
      <c r="C994" s="8" t="n"/>
      <c r="D994" s="8" t="n"/>
      <c r="E994" s="8" t="n"/>
      <c r="F994" s="14" t="n"/>
      <c r="G994" s="14" t="n"/>
      <c r="H994" s="8" t="n"/>
      <c r="I994" s="8" t="n"/>
      <c r="J994" s="8" t="n"/>
      <c r="K994" s="18">
        <f>IF(B994="","",IFERROR(MONTH(B994),""))</f>
        <v/>
      </c>
      <c r="L994" s="5">
        <f>IF(COUNTA(A994:J994)=0,"",IF(E994="","Mangler motkonto",IF((F994="")=(G994=""),"Fyll ut enten Inn eller Ut",IF(OR(IFERROR(INDEX('Kontoplan'!$D$3:$D$302,MATCH(D994,'Kontoplan'!$H$3:$H$302,0))="Støttes ikke",FALSE),IFERROR(INDEX('Kontoplan'!$D$3:$D$302,MATCH(E994,'Kontoplan'!$H$3:$H$302,0))="Støttes ikke",FALSE)),"Kontoen støttes ikke",IF(IFERROR(AND(A994&gt;1,COUNTIF($A$3:$A$2002,A994-1)=0),FALSE),"Nummeret hopper over",IF(OR(NOT(ISNUMBER(B994)),B994&lt;DATE(2027,1,1),B994&gt;DATE(2027,12,31)),"Datoen er ikke i 2027",""))))))</f>
        <v/>
      </c>
    </row>
    <row r="995">
      <c r="A995" s="17" t="n"/>
      <c r="B995" s="9" t="n"/>
      <c r="C995" s="8" t="n"/>
      <c r="D995" s="8" t="n"/>
      <c r="E995" s="8" t="n"/>
      <c r="F995" s="14" t="n"/>
      <c r="G995" s="14" t="n"/>
      <c r="H995" s="8" t="n"/>
      <c r="I995" s="8" t="n"/>
      <c r="J995" s="8" t="n"/>
      <c r="K995" s="18">
        <f>IF(B995="","",IFERROR(MONTH(B995),""))</f>
        <v/>
      </c>
      <c r="L995" s="5">
        <f>IF(COUNTA(A995:J995)=0,"",IF(E995="","Mangler motkonto",IF((F995="")=(G995=""),"Fyll ut enten Inn eller Ut",IF(OR(IFERROR(INDEX('Kontoplan'!$D$3:$D$302,MATCH(D995,'Kontoplan'!$H$3:$H$302,0))="Støttes ikke",FALSE),IFERROR(INDEX('Kontoplan'!$D$3:$D$302,MATCH(E995,'Kontoplan'!$H$3:$H$302,0))="Støttes ikke",FALSE)),"Kontoen støttes ikke",IF(IFERROR(AND(A995&gt;1,COUNTIF($A$3:$A$2002,A995-1)=0),FALSE),"Nummeret hopper over",IF(OR(NOT(ISNUMBER(B995)),B995&lt;DATE(2027,1,1),B995&gt;DATE(2027,12,31)),"Datoen er ikke i 2027",""))))))</f>
        <v/>
      </c>
    </row>
    <row r="996">
      <c r="A996" s="17" t="n"/>
      <c r="B996" s="9" t="n"/>
      <c r="C996" s="8" t="n"/>
      <c r="D996" s="8" t="n"/>
      <c r="E996" s="8" t="n"/>
      <c r="F996" s="14" t="n"/>
      <c r="G996" s="14" t="n"/>
      <c r="H996" s="8" t="n"/>
      <c r="I996" s="8" t="n"/>
      <c r="J996" s="8" t="n"/>
      <c r="K996" s="18">
        <f>IF(B996="","",IFERROR(MONTH(B996),""))</f>
        <v/>
      </c>
      <c r="L996" s="5">
        <f>IF(COUNTA(A996:J996)=0,"",IF(E996="","Mangler motkonto",IF((F996="")=(G996=""),"Fyll ut enten Inn eller Ut",IF(OR(IFERROR(INDEX('Kontoplan'!$D$3:$D$302,MATCH(D996,'Kontoplan'!$H$3:$H$302,0))="Støttes ikke",FALSE),IFERROR(INDEX('Kontoplan'!$D$3:$D$302,MATCH(E996,'Kontoplan'!$H$3:$H$302,0))="Støttes ikke",FALSE)),"Kontoen støttes ikke",IF(IFERROR(AND(A996&gt;1,COUNTIF($A$3:$A$2002,A996-1)=0),FALSE),"Nummeret hopper over",IF(OR(NOT(ISNUMBER(B996)),B996&lt;DATE(2027,1,1),B996&gt;DATE(2027,12,31)),"Datoen er ikke i 2027",""))))))</f>
        <v/>
      </c>
    </row>
    <row r="997">
      <c r="A997" s="17" t="n"/>
      <c r="B997" s="9" t="n"/>
      <c r="C997" s="8" t="n"/>
      <c r="D997" s="8" t="n"/>
      <c r="E997" s="8" t="n"/>
      <c r="F997" s="14" t="n"/>
      <c r="G997" s="14" t="n"/>
      <c r="H997" s="8" t="n"/>
      <c r="I997" s="8" t="n"/>
      <c r="J997" s="8" t="n"/>
      <c r="K997" s="18">
        <f>IF(B997="","",IFERROR(MONTH(B997),""))</f>
        <v/>
      </c>
      <c r="L997" s="5">
        <f>IF(COUNTA(A997:J997)=0,"",IF(E997="","Mangler motkonto",IF((F997="")=(G997=""),"Fyll ut enten Inn eller Ut",IF(OR(IFERROR(INDEX('Kontoplan'!$D$3:$D$302,MATCH(D997,'Kontoplan'!$H$3:$H$302,0))="Støttes ikke",FALSE),IFERROR(INDEX('Kontoplan'!$D$3:$D$302,MATCH(E997,'Kontoplan'!$H$3:$H$302,0))="Støttes ikke",FALSE)),"Kontoen støttes ikke",IF(IFERROR(AND(A997&gt;1,COUNTIF($A$3:$A$2002,A997-1)=0),FALSE),"Nummeret hopper over",IF(OR(NOT(ISNUMBER(B997)),B997&lt;DATE(2027,1,1),B997&gt;DATE(2027,12,31)),"Datoen er ikke i 2027",""))))))</f>
        <v/>
      </c>
    </row>
    <row r="998">
      <c r="A998" s="17" t="n"/>
      <c r="B998" s="9" t="n"/>
      <c r="C998" s="8" t="n"/>
      <c r="D998" s="8" t="n"/>
      <c r="E998" s="8" t="n"/>
      <c r="F998" s="14" t="n"/>
      <c r="G998" s="14" t="n"/>
      <c r="H998" s="8" t="n"/>
      <c r="I998" s="8" t="n"/>
      <c r="J998" s="8" t="n"/>
      <c r="K998" s="18">
        <f>IF(B998="","",IFERROR(MONTH(B998),""))</f>
        <v/>
      </c>
      <c r="L998" s="5">
        <f>IF(COUNTA(A998:J998)=0,"",IF(E998="","Mangler motkonto",IF((F998="")=(G998=""),"Fyll ut enten Inn eller Ut",IF(OR(IFERROR(INDEX('Kontoplan'!$D$3:$D$302,MATCH(D998,'Kontoplan'!$H$3:$H$302,0))="Støttes ikke",FALSE),IFERROR(INDEX('Kontoplan'!$D$3:$D$302,MATCH(E998,'Kontoplan'!$H$3:$H$302,0))="Støttes ikke",FALSE)),"Kontoen støttes ikke",IF(IFERROR(AND(A998&gt;1,COUNTIF($A$3:$A$2002,A998-1)=0),FALSE),"Nummeret hopper over",IF(OR(NOT(ISNUMBER(B998)),B998&lt;DATE(2027,1,1),B998&gt;DATE(2027,12,31)),"Datoen er ikke i 2027",""))))))</f>
        <v/>
      </c>
    </row>
    <row r="999">
      <c r="A999" s="17" t="n"/>
      <c r="B999" s="9" t="n"/>
      <c r="C999" s="8" t="n"/>
      <c r="D999" s="8" t="n"/>
      <c r="E999" s="8" t="n"/>
      <c r="F999" s="14" t="n"/>
      <c r="G999" s="14" t="n"/>
      <c r="H999" s="8" t="n"/>
      <c r="I999" s="8" t="n"/>
      <c r="J999" s="8" t="n"/>
      <c r="K999" s="18">
        <f>IF(B999="","",IFERROR(MONTH(B999),""))</f>
        <v/>
      </c>
      <c r="L999" s="5">
        <f>IF(COUNTA(A999:J999)=0,"",IF(E999="","Mangler motkonto",IF((F999="")=(G999=""),"Fyll ut enten Inn eller Ut",IF(OR(IFERROR(INDEX('Kontoplan'!$D$3:$D$302,MATCH(D999,'Kontoplan'!$H$3:$H$302,0))="Støttes ikke",FALSE),IFERROR(INDEX('Kontoplan'!$D$3:$D$302,MATCH(E999,'Kontoplan'!$H$3:$H$302,0))="Støttes ikke",FALSE)),"Kontoen støttes ikke",IF(IFERROR(AND(A999&gt;1,COUNTIF($A$3:$A$2002,A999-1)=0),FALSE),"Nummeret hopper over",IF(OR(NOT(ISNUMBER(B999)),B999&lt;DATE(2027,1,1),B999&gt;DATE(2027,12,31)),"Datoen er ikke i 2027",""))))))</f>
        <v/>
      </c>
    </row>
    <row r="1000">
      <c r="A1000" s="17" t="n"/>
      <c r="B1000" s="9" t="n"/>
      <c r="C1000" s="8" t="n"/>
      <c r="D1000" s="8" t="n"/>
      <c r="E1000" s="8" t="n"/>
      <c r="F1000" s="14" t="n"/>
      <c r="G1000" s="14" t="n"/>
      <c r="H1000" s="8" t="n"/>
      <c r="I1000" s="8" t="n"/>
      <c r="J1000" s="8" t="n"/>
      <c r="K1000" s="18">
        <f>IF(B1000="","",IFERROR(MONTH(B1000),""))</f>
        <v/>
      </c>
      <c r="L1000" s="5">
        <f>IF(COUNTA(A1000:J1000)=0,"",IF(E1000="","Mangler motkonto",IF((F1000="")=(G1000=""),"Fyll ut enten Inn eller Ut",IF(OR(IFERROR(INDEX('Kontoplan'!$D$3:$D$302,MATCH(D1000,'Kontoplan'!$H$3:$H$302,0))="Støttes ikke",FALSE),IFERROR(INDEX('Kontoplan'!$D$3:$D$302,MATCH(E1000,'Kontoplan'!$H$3:$H$302,0))="Støttes ikke",FALSE)),"Kontoen støttes ikke",IF(IFERROR(AND(A1000&gt;1,COUNTIF($A$3:$A$2002,A1000-1)=0),FALSE),"Nummeret hopper over",IF(OR(NOT(ISNUMBER(B1000)),B1000&lt;DATE(2027,1,1),B1000&gt;DATE(2027,12,31)),"Datoen er ikke i 2027",""))))))</f>
        <v/>
      </c>
    </row>
    <row r="1001">
      <c r="A1001" s="17" t="n"/>
      <c r="B1001" s="9" t="n"/>
      <c r="C1001" s="8" t="n"/>
      <c r="D1001" s="8" t="n"/>
      <c r="E1001" s="8" t="n"/>
      <c r="F1001" s="14" t="n"/>
      <c r="G1001" s="14" t="n"/>
      <c r="H1001" s="8" t="n"/>
      <c r="I1001" s="8" t="n"/>
      <c r="J1001" s="8" t="n"/>
      <c r="K1001" s="18">
        <f>IF(B1001="","",IFERROR(MONTH(B1001),""))</f>
        <v/>
      </c>
      <c r="L1001" s="5">
        <f>IF(COUNTA(A1001:J1001)=0,"",IF(E1001="","Mangler motkonto",IF((F1001="")=(G1001=""),"Fyll ut enten Inn eller Ut",IF(OR(IFERROR(INDEX('Kontoplan'!$D$3:$D$302,MATCH(D1001,'Kontoplan'!$H$3:$H$302,0))="Støttes ikke",FALSE),IFERROR(INDEX('Kontoplan'!$D$3:$D$302,MATCH(E1001,'Kontoplan'!$H$3:$H$302,0))="Støttes ikke",FALSE)),"Kontoen støttes ikke",IF(IFERROR(AND(A1001&gt;1,COUNTIF($A$3:$A$2002,A1001-1)=0),FALSE),"Nummeret hopper over",IF(OR(NOT(ISNUMBER(B1001)),B1001&lt;DATE(2027,1,1),B1001&gt;DATE(2027,12,31)),"Datoen er ikke i 2027",""))))))</f>
        <v/>
      </c>
    </row>
    <row r="1002">
      <c r="A1002" s="17" t="n"/>
      <c r="B1002" s="9" t="n"/>
      <c r="C1002" s="8" t="n"/>
      <c r="D1002" s="8" t="n"/>
      <c r="E1002" s="8" t="n"/>
      <c r="F1002" s="14" t="n"/>
      <c r="G1002" s="14" t="n"/>
      <c r="H1002" s="8" t="n"/>
      <c r="I1002" s="8" t="n"/>
      <c r="J1002" s="8" t="n"/>
      <c r="K1002" s="18">
        <f>IF(B1002="","",IFERROR(MONTH(B1002),""))</f>
        <v/>
      </c>
      <c r="L1002" s="5">
        <f>IF(COUNTA(A1002:J1002)=0,"",IF(E1002="","Mangler motkonto",IF((F1002="")=(G1002=""),"Fyll ut enten Inn eller Ut",IF(OR(IFERROR(INDEX('Kontoplan'!$D$3:$D$302,MATCH(D1002,'Kontoplan'!$H$3:$H$302,0))="Støttes ikke",FALSE),IFERROR(INDEX('Kontoplan'!$D$3:$D$302,MATCH(E1002,'Kontoplan'!$H$3:$H$302,0))="Støttes ikke",FALSE)),"Kontoen støttes ikke",IF(IFERROR(AND(A1002&gt;1,COUNTIF($A$3:$A$2002,A1002-1)=0),FALSE),"Nummeret hopper over",IF(OR(NOT(ISNUMBER(B1002)),B1002&lt;DATE(2027,1,1),B1002&gt;DATE(2027,12,31)),"Datoen er ikke i 2027",""))))))</f>
        <v/>
      </c>
    </row>
    <row r="1003">
      <c r="A1003" s="17" t="n"/>
      <c r="B1003" s="9" t="n"/>
      <c r="C1003" s="8" t="n"/>
      <c r="D1003" s="8" t="n"/>
      <c r="E1003" s="8" t="n"/>
      <c r="F1003" s="14" t="n"/>
      <c r="G1003" s="14" t="n"/>
      <c r="H1003" s="8" t="n"/>
      <c r="I1003" s="8" t="n"/>
      <c r="J1003" s="8" t="n"/>
      <c r="K1003" s="18">
        <f>IF(B1003="","",IFERROR(MONTH(B1003),""))</f>
        <v/>
      </c>
      <c r="L1003" s="5">
        <f>IF(COUNTA(A1003:J1003)=0,"",IF(E1003="","Mangler motkonto",IF((F1003="")=(G1003=""),"Fyll ut enten Inn eller Ut",IF(OR(IFERROR(INDEX('Kontoplan'!$D$3:$D$302,MATCH(D1003,'Kontoplan'!$H$3:$H$302,0))="Støttes ikke",FALSE),IFERROR(INDEX('Kontoplan'!$D$3:$D$302,MATCH(E1003,'Kontoplan'!$H$3:$H$302,0))="Støttes ikke",FALSE)),"Kontoen støttes ikke",IF(IFERROR(AND(A1003&gt;1,COUNTIF($A$3:$A$2002,A1003-1)=0),FALSE),"Nummeret hopper over",IF(OR(NOT(ISNUMBER(B1003)),B1003&lt;DATE(2027,1,1),B1003&gt;DATE(2027,12,31)),"Datoen er ikke i 2027",""))))))</f>
        <v/>
      </c>
    </row>
    <row r="1004">
      <c r="A1004" s="17" t="n"/>
      <c r="B1004" s="9" t="n"/>
      <c r="C1004" s="8" t="n"/>
      <c r="D1004" s="8" t="n"/>
      <c r="E1004" s="8" t="n"/>
      <c r="F1004" s="14" t="n"/>
      <c r="G1004" s="14" t="n"/>
      <c r="H1004" s="8" t="n"/>
      <c r="I1004" s="8" t="n"/>
      <c r="J1004" s="8" t="n"/>
      <c r="K1004" s="18">
        <f>IF(B1004="","",IFERROR(MONTH(B1004),""))</f>
        <v/>
      </c>
      <c r="L1004" s="5">
        <f>IF(COUNTA(A1004:J1004)=0,"",IF(E1004="","Mangler motkonto",IF((F1004="")=(G1004=""),"Fyll ut enten Inn eller Ut",IF(OR(IFERROR(INDEX('Kontoplan'!$D$3:$D$302,MATCH(D1004,'Kontoplan'!$H$3:$H$302,0))="Støttes ikke",FALSE),IFERROR(INDEX('Kontoplan'!$D$3:$D$302,MATCH(E1004,'Kontoplan'!$H$3:$H$302,0))="Støttes ikke",FALSE)),"Kontoen støttes ikke",IF(IFERROR(AND(A1004&gt;1,COUNTIF($A$3:$A$2002,A1004-1)=0),FALSE),"Nummeret hopper over",IF(OR(NOT(ISNUMBER(B1004)),B1004&lt;DATE(2027,1,1),B1004&gt;DATE(2027,12,31)),"Datoen er ikke i 2027",""))))))</f>
        <v/>
      </c>
    </row>
    <row r="1005">
      <c r="A1005" s="17" t="n"/>
      <c r="B1005" s="9" t="n"/>
      <c r="C1005" s="8" t="n"/>
      <c r="D1005" s="8" t="n"/>
      <c r="E1005" s="8" t="n"/>
      <c r="F1005" s="14" t="n"/>
      <c r="G1005" s="14" t="n"/>
      <c r="H1005" s="8" t="n"/>
      <c r="I1005" s="8" t="n"/>
      <c r="J1005" s="8" t="n"/>
      <c r="K1005" s="18">
        <f>IF(B1005="","",IFERROR(MONTH(B1005),""))</f>
        <v/>
      </c>
      <c r="L1005" s="5">
        <f>IF(COUNTA(A1005:J1005)=0,"",IF(E1005="","Mangler motkonto",IF((F1005="")=(G1005=""),"Fyll ut enten Inn eller Ut",IF(OR(IFERROR(INDEX('Kontoplan'!$D$3:$D$302,MATCH(D1005,'Kontoplan'!$H$3:$H$302,0))="Støttes ikke",FALSE),IFERROR(INDEX('Kontoplan'!$D$3:$D$302,MATCH(E1005,'Kontoplan'!$H$3:$H$302,0))="Støttes ikke",FALSE)),"Kontoen støttes ikke",IF(IFERROR(AND(A1005&gt;1,COUNTIF($A$3:$A$2002,A1005-1)=0),FALSE),"Nummeret hopper over",IF(OR(NOT(ISNUMBER(B1005)),B1005&lt;DATE(2027,1,1),B1005&gt;DATE(2027,12,31)),"Datoen er ikke i 2027",""))))))</f>
        <v/>
      </c>
    </row>
    <row r="1006">
      <c r="A1006" s="17" t="n"/>
      <c r="B1006" s="9" t="n"/>
      <c r="C1006" s="8" t="n"/>
      <c r="D1006" s="8" t="n"/>
      <c r="E1006" s="8" t="n"/>
      <c r="F1006" s="14" t="n"/>
      <c r="G1006" s="14" t="n"/>
      <c r="H1006" s="8" t="n"/>
      <c r="I1006" s="8" t="n"/>
      <c r="J1006" s="8" t="n"/>
      <c r="K1006" s="18">
        <f>IF(B1006="","",IFERROR(MONTH(B1006),""))</f>
        <v/>
      </c>
      <c r="L1006" s="5">
        <f>IF(COUNTA(A1006:J1006)=0,"",IF(E1006="","Mangler motkonto",IF((F1006="")=(G1006=""),"Fyll ut enten Inn eller Ut",IF(OR(IFERROR(INDEX('Kontoplan'!$D$3:$D$302,MATCH(D1006,'Kontoplan'!$H$3:$H$302,0))="Støttes ikke",FALSE),IFERROR(INDEX('Kontoplan'!$D$3:$D$302,MATCH(E1006,'Kontoplan'!$H$3:$H$302,0))="Støttes ikke",FALSE)),"Kontoen støttes ikke",IF(IFERROR(AND(A1006&gt;1,COUNTIF($A$3:$A$2002,A1006-1)=0),FALSE),"Nummeret hopper over",IF(OR(NOT(ISNUMBER(B1006)),B1006&lt;DATE(2027,1,1),B1006&gt;DATE(2027,12,31)),"Datoen er ikke i 2027",""))))))</f>
        <v/>
      </c>
    </row>
    <row r="1007">
      <c r="A1007" s="17" t="n"/>
      <c r="B1007" s="9" t="n"/>
      <c r="C1007" s="8" t="n"/>
      <c r="D1007" s="8" t="n"/>
      <c r="E1007" s="8" t="n"/>
      <c r="F1007" s="14" t="n"/>
      <c r="G1007" s="14" t="n"/>
      <c r="H1007" s="8" t="n"/>
      <c r="I1007" s="8" t="n"/>
      <c r="J1007" s="8" t="n"/>
      <c r="K1007" s="18">
        <f>IF(B1007="","",IFERROR(MONTH(B1007),""))</f>
        <v/>
      </c>
      <c r="L1007" s="5">
        <f>IF(COUNTA(A1007:J1007)=0,"",IF(E1007="","Mangler motkonto",IF((F1007="")=(G1007=""),"Fyll ut enten Inn eller Ut",IF(OR(IFERROR(INDEX('Kontoplan'!$D$3:$D$302,MATCH(D1007,'Kontoplan'!$H$3:$H$302,0))="Støttes ikke",FALSE),IFERROR(INDEX('Kontoplan'!$D$3:$D$302,MATCH(E1007,'Kontoplan'!$H$3:$H$302,0))="Støttes ikke",FALSE)),"Kontoen støttes ikke",IF(IFERROR(AND(A1007&gt;1,COUNTIF($A$3:$A$2002,A1007-1)=0),FALSE),"Nummeret hopper over",IF(OR(NOT(ISNUMBER(B1007)),B1007&lt;DATE(2027,1,1),B1007&gt;DATE(2027,12,31)),"Datoen er ikke i 2027",""))))))</f>
        <v/>
      </c>
    </row>
    <row r="1008">
      <c r="A1008" s="17" t="n"/>
      <c r="B1008" s="9" t="n"/>
      <c r="C1008" s="8" t="n"/>
      <c r="D1008" s="8" t="n"/>
      <c r="E1008" s="8" t="n"/>
      <c r="F1008" s="14" t="n"/>
      <c r="G1008" s="14" t="n"/>
      <c r="H1008" s="8" t="n"/>
      <c r="I1008" s="8" t="n"/>
      <c r="J1008" s="8" t="n"/>
      <c r="K1008" s="18">
        <f>IF(B1008="","",IFERROR(MONTH(B1008),""))</f>
        <v/>
      </c>
      <c r="L1008" s="5">
        <f>IF(COUNTA(A1008:J1008)=0,"",IF(E1008="","Mangler motkonto",IF((F1008="")=(G1008=""),"Fyll ut enten Inn eller Ut",IF(OR(IFERROR(INDEX('Kontoplan'!$D$3:$D$302,MATCH(D1008,'Kontoplan'!$H$3:$H$302,0))="Støttes ikke",FALSE),IFERROR(INDEX('Kontoplan'!$D$3:$D$302,MATCH(E1008,'Kontoplan'!$H$3:$H$302,0))="Støttes ikke",FALSE)),"Kontoen støttes ikke",IF(IFERROR(AND(A1008&gt;1,COUNTIF($A$3:$A$2002,A1008-1)=0),FALSE),"Nummeret hopper over",IF(OR(NOT(ISNUMBER(B1008)),B1008&lt;DATE(2027,1,1),B1008&gt;DATE(2027,12,31)),"Datoen er ikke i 2027",""))))))</f>
        <v/>
      </c>
    </row>
    <row r="1009">
      <c r="A1009" s="17" t="n"/>
      <c r="B1009" s="9" t="n"/>
      <c r="C1009" s="8" t="n"/>
      <c r="D1009" s="8" t="n"/>
      <c r="E1009" s="8" t="n"/>
      <c r="F1009" s="14" t="n"/>
      <c r="G1009" s="14" t="n"/>
      <c r="H1009" s="8" t="n"/>
      <c r="I1009" s="8" t="n"/>
      <c r="J1009" s="8" t="n"/>
      <c r="K1009" s="18">
        <f>IF(B1009="","",IFERROR(MONTH(B1009),""))</f>
        <v/>
      </c>
      <c r="L1009" s="5">
        <f>IF(COUNTA(A1009:J1009)=0,"",IF(E1009="","Mangler motkonto",IF((F1009="")=(G1009=""),"Fyll ut enten Inn eller Ut",IF(OR(IFERROR(INDEX('Kontoplan'!$D$3:$D$302,MATCH(D1009,'Kontoplan'!$H$3:$H$302,0))="Støttes ikke",FALSE),IFERROR(INDEX('Kontoplan'!$D$3:$D$302,MATCH(E1009,'Kontoplan'!$H$3:$H$302,0))="Støttes ikke",FALSE)),"Kontoen støttes ikke",IF(IFERROR(AND(A1009&gt;1,COUNTIF($A$3:$A$2002,A1009-1)=0),FALSE),"Nummeret hopper over",IF(OR(NOT(ISNUMBER(B1009)),B1009&lt;DATE(2027,1,1),B1009&gt;DATE(2027,12,31)),"Datoen er ikke i 2027",""))))))</f>
        <v/>
      </c>
    </row>
    <row r="1010">
      <c r="A1010" s="17" t="n"/>
      <c r="B1010" s="9" t="n"/>
      <c r="C1010" s="8" t="n"/>
      <c r="D1010" s="8" t="n"/>
      <c r="E1010" s="8" t="n"/>
      <c r="F1010" s="14" t="n"/>
      <c r="G1010" s="14" t="n"/>
      <c r="H1010" s="8" t="n"/>
      <c r="I1010" s="8" t="n"/>
      <c r="J1010" s="8" t="n"/>
      <c r="K1010" s="18">
        <f>IF(B1010="","",IFERROR(MONTH(B1010),""))</f>
        <v/>
      </c>
      <c r="L1010" s="5">
        <f>IF(COUNTA(A1010:J1010)=0,"",IF(E1010="","Mangler motkonto",IF((F1010="")=(G1010=""),"Fyll ut enten Inn eller Ut",IF(OR(IFERROR(INDEX('Kontoplan'!$D$3:$D$302,MATCH(D1010,'Kontoplan'!$H$3:$H$302,0))="Støttes ikke",FALSE),IFERROR(INDEX('Kontoplan'!$D$3:$D$302,MATCH(E1010,'Kontoplan'!$H$3:$H$302,0))="Støttes ikke",FALSE)),"Kontoen støttes ikke",IF(IFERROR(AND(A1010&gt;1,COUNTIF($A$3:$A$2002,A1010-1)=0),FALSE),"Nummeret hopper over",IF(OR(NOT(ISNUMBER(B1010)),B1010&lt;DATE(2027,1,1),B1010&gt;DATE(2027,12,31)),"Datoen er ikke i 2027",""))))))</f>
        <v/>
      </c>
    </row>
    <row r="1011">
      <c r="A1011" s="17" t="n"/>
      <c r="B1011" s="9" t="n"/>
      <c r="C1011" s="8" t="n"/>
      <c r="D1011" s="8" t="n"/>
      <c r="E1011" s="8" t="n"/>
      <c r="F1011" s="14" t="n"/>
      <c r="G1011" s="14" t="n"/>
      <c r="H1011" s="8" t="n"/>
      <c r="I1011" s="8" t="n"/>
      <c r="J1011" s="8" t="n"/>
      <c r="K1011" s="18">
        <f>IF(B1011="","",IFERROR(MONTH(B1011),""))</f>
        <v/>
      </c>
      <c r="L1011" s="5">
        <f>IF(COUNTA(A1011:J1011)=0,"",IF(E1011="","Mangler motkonto",IF((F1011="")=(G1011=""),"Fyll ut enten Inn eller Ut",IF(OR(IFERROR(INDEX('Kontoplan'!$D$3:$D$302,MATCH(D1011,'Kontoplan'!$H$3:$H$302,0))="Støttes ikke",FALSE),IFERROR(INDEX('Kontoplan'!$D$3:$D$302,MATCH(E1011,'Kontoplan'!$H$3:$H$302,0))="Støttes ikke",FALSE)),"Kontoen støttes ikke",IF(IFERROR(AND(A1011&gt;1,COUNTIF($A$3:$A$2002,A1011-1)=0),FALSE),"Nummeret hopper over",IF(OR(NOT(ISNUMBER(B1011)),B1011&lt;DATE(2027,1,1),B1011&gt;DATE(2027,12,31)),"Datoen er ikke i 2027",""))))))</f>
        <v/>
      </c>
    </row>
    <row r="1012">
      <c r="A1012" s="17" t="n"/>
      <c r="B1012" s="9" t="n"/>
      <c r="C1012" s="8" t="n"/>
      <c r="D1012" s="8" t="n"/>
      <c r="E1012" s="8" t="n"/>
      <c r="F1012" s="14" t="n"/>
      <c r="G1012" s="14" t="n"/>
      <c r="H1012" s="8" t="n"/>
      <c r="I1012" s="8" t="n"/>
      <c r="J1012" s="8" t="n"/>
      <c r="K1012" s="18">
        <f>IF(B1012="","",IFERROR(MONTH(B1012),""))</f>
        <v/>
      </c>
      <c r="L1012" s="5">
        <f>IF(COUNTA(A1012:J1012)=0,"",IF(E1012="","Mangler motkonto",IF((F1012="")=(G1012=""),"Fyll ut enten Inn eller Ut",IF(OR(IFERROR(INDEX('Kontoplan'!$D$3:$D$302,MATCH(D1012,'Kontoplan'!$H$3:$H$302,0))="Støttes ikke",FALSE),IFERROR(INDEX('Kontoplan'!$D$3:$D$302,MATCH(E1012,'Kontoplan'!$H$3:$H$302,0))="Støttes ikke",FALSE)),"Kontoen støttes ikke",IF(IFERROR(AND(A1012&gt;1,COUNTIF($A$3:$A$2002,A1012-1)=0),FALSE),"Nummeret hopper over",IF(OR(NOT(ISNUMBER(B1012)),B1012&lt;DATE(2027,1,1),B1012&gt;DATE(2027,12,31)),"Datoen er ikke i 2027",""))))))</f>
        <v/>
      </c>
    </row>
    <row r="1013">
      <c r="A1013" s="17" t="n"/>
      <c r="B1013" s="9" t="n"/>
      <c r="C1013" s="8" t="n"/>
      <c r="D1013" s="8" t="n"/>
      <c r="E1013" s="8" t="n"/>
      <c r="F1013" s="14" t="n"/>
      <c r="G1013" s="14" t="n"/>
      <c r="H1013" s="8" t="n"/>
      <c r="I1013" s="8" t="n"/>
      <c r="J1013" s="8" t="n"/>
      <c r="K1013" s="18">
        <f>IF(B1013="","",IFERROR(MONTH(B1013),""))</f>
        <v/>
      </c>
      <c r="L1013" s="5">
        <f>IF(COUNTA(A1013:J1013)=0,"",IF(E1013="","Mangler motkonto",IF((F1013="")=(G1013=""),"Fyll ut enten Inn eller Ut",IF(OR(IFERROR(INDEX('Kontoplan'!$D$3:$D$302,MATCH(D1013,'Kontoplan'!$H$3:$H$302,0))="Støttes ikke",FALSE),IFERROR(INDEX('Kontoplan'!$D$3:$D$302,MATCH(E1013,'Kontoplan'!$H$3:$H$302,0))="Støttes ikke",FALSE)),"Kontoen støttes ikke",IF(IFERROR(AND(A1013&gt;1,COUNTIF($A$3:$A$2002,A1013-1)=0),FALSE),"Nummeret hopper over",IF(OR(NOT(ISNUMBER(B1013)),B1013&lt;DATE(2027,1,1),B1013&gt;DATE(2027,12,31)),"Datoen er ikke i 2027",""))))))</f>
        <v/>
      </c>
    </row>
    <row r="1014">
      <c r="A1014" s="17" t="n"/>
      <c r="B1014" s="9" t="n"/>
      <c r="C1014" s="8" t="n"/>
      <c r="D1014" s="8" t="n"/>
      <c r="E1014" s="8" t="n"/>
      <c r="F1014" s="14" t="n"/>
      <c r="G1014" s="14" t="n"/>
      <c r="H1014" s="8" t="n"/>
      <c r="I1014" s="8" t="n"/>
      <c r="J1014" s="8" t="n"/>
      <c r="K1014" s="18">
        <f>IF(B1014="","",IFERROR(MONTH(B1014),""))</f>
        <v/>
      </c>
      <c r="L1014" s="5">
        <f>IF(COUNTA(A1014:J1014)=0,"",IF(E1014="","Mangler motkonto",IF((F1014="")=(G1014=""),"Fyll ut enten Inn eller Ut",IF(OR(IFERROR(INDEX('Kontoplan'!$D$3:$D$302,MATCH(D1014,'Kontoplan'!$H$3:$H$302,0))="Støttes ikke",FALSE),IFERROR(INDEX('Kontoplan'!$D$3:$D$302,MATCH(E1014,'Kontoplan'!$H$3:$H$302,0))="Støttes ikke",FALSE)),"Kontoen støttes ikke",IF(IFERROR(AND(A1014&gt;1,COUNTIF($A$3:$A$2002,A1014-1)=0),FALSE),"Nummeret hopper over",IF(OR(NOT(ISNUMBER(B1014)),B1014&lt;DATE(2027,1,1),B1014&gt;DATE(2027,12,31)),"Datoen er ikke i 2027",""))))))</f>
        <v/>
      </c>
    </row>
    <row r="1015">
      <c r="A1015" s="17" t="n"/>
      <c r="B1015" s="9" t="n"/>
      <c r="C1015" s="8" t="n"/>
      <c r="D1015" s="8" t="n"/>
      <c r="E1015" s="8" t="n"/>
      <c r="F1015" s="14" t="n"/>
      <c r="G1015" s="14" t="n"/>
      <c r="H1015" s="8" t="n"/>
      <c r="I1015" s="8" t="n"/>
      <c r="J1015" s="8" t="n"/>
      <c r="K1015" s="18">
        <f>IF(B1015="","",IFERROR(MONTH(B1015),""))</f>
        <v/>
      </c>
      <c r="L1015" s="5">
        <f>IF(COUNTA(A1015:J1015)=0,"",IF(E1015="","Mangler motkonto",IF((F1015="")=(G1015=""),"Fyll ut enten Inn eller Ut",IF(OR(IFERROR(INDEX('Kontoplan'!$D$3:$D$302,MATCH(D1015,'Kontoplan'!$H$3:$H$302,0))="Støttes ikke",FALSE),IFERROR(INDEX('Kontoplan'!$D$3:$D$302,MATCH(E1015,'Kontoplan'!$H$3:$H$302,0))="Støttes ikke",FALSE)),"Kontoen støttes ikke",IF(IFERROR(AND(A1015&gt;1,COUNTIF($A$3:$A$2002,A1015-1)=0),FALSE),"Nummeret hopper over",IF(OR(NOT(ISNUMBER(B1015)),B1015&lt;DATE(2027,1,1),B1015&gt;DATE(2027,12,31)),"Datoen er ikke i 2027",""))))))</f>
        <v/>
      </c>
    </row>
    <row r="1016">
      <c r="A1016" s="17" t="n"/>
      <c r="B1016" s="9" t="n"/>
      <c r="C1016" s="8" t="n"/>
      <c r="D1016" s="8" t="n"/>
      <c r="E1016" s="8" t="n"/>
      <c r="F1016" s="14" t="n"/>
      <c r="G1016" s="14" t="n"/>
      <c r="H1016" s="8" t="n"/>
      <c r="I1016" s="8" t="n"/>
      <c r="J1016" s="8" t="n"/>
      <c r="K1016" s="18">
        <f>IF(B1016="","",IFERROR(MONTH(B1016),""))</f>
        <v/>
      </c>
      <c r="L1016" s="5">
        <f>IF(COUNTA(A1016:J1016)=0,"",IF(E1016="","Mangler motkonto",IF((F1016="")=(G1016=""),"Fyll ut enten Inn eller Ut",IF(OR(IFERROR(INDEX('Kontoplan'!$D$3:$D$302,MATCH(D1016,'Kontoplan'!$H$3:$H$302,0))="Støttes ikke",FALSE),IFERROR(INDEX('Kontoplan'!$D$3:$D$302,MATCH(E1016,'Kontoplan'!$H$3:$H$302,0))="Støttes ikke",FALSE)),"Kontoen støttes ikke",IF(IFERROR(AND(A1016&gt;1,COUNTIF($A$3:$A$2002,A1016-1)=0),FALSE),"Nummeret hopper over",IF(OR(NOT(ISNUMBER(B1016)),B1016&lt;DATE(2027,1,1),B1016&gt;DATE(2027,12,31)),"Datoen er ikke i 2027",""))))))</f>
        <v/>
      </c>
    </row>
    <row r="1017">
      <c r="A1017" s="17" t="n"/>
      <c r="B1017" s="9" t="n"/>
      <c r="C1017" s="8" t="n"/>
      <c r="D1017" s="8" t="n"/>
      <c r="E1017" s="8" t="n"/>
      <c r="F1017" s="14" t="n"/>
      <c r="G1017" s="14" t="n"/>
      <c r="H1017" s="8" t="n"/>
      <c r="I1017" s="8" t="n"/>
      <c r="J1017" s="8" t="n"/>
      <c r="K1017" s="18">
        <f>IF(B1017="","",IFERROR(MONTH(B1017),""))</f>
        <v/>
      </c>
      <c r="L1017" s="5">
        <f>IF(COUNTA(A1017:J1017)=0,"",IF(E1017="","Mangler motkonto",IF((F1017="")=(G1017=""),"Fyll ut enten Inn eller Ut",IF(OR(IFERROR(INDEX('Kontoplan'!$D$3:$D$302,MATCH(D1017,'Kontoplan'!$H$3:$H$302,0))="Støttes ikke",FALSE),IFERROR(INDEX('Kontoplan'!$D$3:$D$302,MATCH(E1017,'Kontoplan'!$H$3:$H$302,0))="Støttes ikke",FALSE)),"Kontoen støttes ikke",IF(IFERROR(AND(A1017&gt;1,COUNTIF($A$3:$A$2002,A1017-1)=0),FALSE),"Nummeret hopper over",IF(OR(NOT(ISNUMBER(B1017)),B1017&lt;DATE(2027,1,1),B1017&gt;DATE(2027,12,31)),"Datoen er ikke i 2027",""))))))</f>
        <v/>
      </c>
    </row>
    <row r="1018">
      <c r="A1018" s="17" t="n"/>
      <c r="B1018" s="9" t="n"/>
      <c r="C1018" s="8" t="n"/>
      <c r="D1018" s="8" t="n"/>
      <c r="E1018" s="8" t="n"/>
      <c r="F1018" s="14" t="n"/>
      <c r="G1018" s="14" t="n"/>
      <c r="H1018" s="8" t="n"/>
      <c r="I1018" s="8" t="n"/>
      <c r="J1018" s="8" t="n"/>
      <c r="K1018" s="18">
        <f>IF(B1018="","",IFERROR(MONTH(B1018),""))</f>
        <v/>
      </c>
      <c r="L1018" s="5">
        <f>IF(COUNTA(A1018:J1018)=0,"",IF(E1018="","Mangler motkonto",IF((F1018="")=(G1018=""),"Fyll ut enten Inn eller Ut",IF(OR(IFERROR(INDEX('Kontoplan'!$D$3:$D$302,MATCH(D1018,'Kontoplan'!$H$3:$H$302,0))="Støttes ikke",FALSE),IFERROR(INDEX('Kontoplan'!$D$3:$D$302,MATCH(E1018,'Kontoplan'!$H$3:$H$302,0))="Støttes ikke",FALSE)),"Kontoen støttes ikke",IF(IFERROR(AND(A1018&gt;1,COUNTIF($A$3:$A$2002,A1018-1)=0),FALSE),"Nummeret hopper over",IF(OR(NOT(ISNUMBER(B1018)),B1018&lt;DATE(2027,1,1),B1018&gt;DATE(2027,12,31)),"Datoen er ikke i 2027",""))))))</f>
        <v/>
      </c>
    </row>
    <row r="1019">
      <c r="A1019" s="17" t="n"/>
      <c r="B1019" s="9" t="n"/>
      <c r="C1019" s="8" t="n"/>
      <c r="D1019" s="8" t="n"/>
      <c r="E1019" s="8" t="n"/>
      <c r="F1019" s="14" t="n"/>
      <c r="G1019" s="14" t="n"/>
      <c r="H1019" s="8" t="n"/>
      <c r="I1019" s="8" t="n"/>
      <c r="J1019" s="8" t="n"/>
      <c r="K1019" s="18">
        <f>IF(B1019="","",IFERROR(MONTH(B1019),""))</f>
        <v/>
      </c>
      <c r="L1019" s="5">
        <f>IF(COUNTA(A1019:J1019)=0,"",IF(E1019="","Mangler motkonto",IF((F1019="")=(G1019=""),"Fyll ut enten Inn eller Ut",IF(OR(IFERROR(INDEX('Kontoplan'!$D$3:$D$302,MATCH(D1019,'Kontoplan'!$H$3:$H$302,0))="Støttes ikke",FALSE),IFERROR(INDEX('Kontoplan'!$D$3:$D$302,MATCH(E1019,'Kontoplan'!$H$3:$H$302,0))="Støttes ikke",FALSE)),"Kontoen støttes ikke",IF(IFERROR(AND(A1019&gt;1,COUNTIF($A$3:$A$2002,A1019-1)=0),FALSE),"Nummeret hopper over",IF(OR(NOT(ISNUMBER(B1019)),B1019&lt;DATE(2027,1,1),B1019&gt;DATE(2027,12,31)),"Datoen er ikke i 2027",""))))))</f>
        <v/>
      </c>
    </row>
    <row r="1020">
      <c r="A1020" s="17" t="n"/>
      <c r="B1020" s="9" t="n"/>
      <c r="C1020" s="8" t="n"/>
      <c r="D1020" s="8" t="n"/>
      <c r="E1020" s="8" t="n"/>
      <c r="F1020" s="14" t="n"/>
      <c r="G1020" s="14" t="n"/>
      <c r="H1020" s="8" t="n"/>
      <c r="I1020" s="8" t="n"/>
      <c r="J1020" s="8" t="n"/>
      <c r="K1020" s="18">
        <f>IF(B1020="","",IFERROR(MONTH(B1020),""))</f>
        <v/>
      </c>
      <c r="L1020" s="5">
        <f>IF(COUNTA(A1020:J1020)=0,"",IF(E1020="","Mangler motkonto",IF((F1020="")=(G1020=""),"Fyll ut enten Inn eller Ut",IF(OR(IFERROR(INDEX('Kontoplan'!$D$3:$D$302,MATCH(D1020,'Kontoplan'!$H$3:$H$302,0))="Støttes ikke",FALSE),IFERROR(INDEX('Kontoplan'!$D$3:$D$302,MATCH(E1020,'Kontoplan'!$H$3:$H$302,0))="Støttes ikke",FALSE)),"Kontoen støttes ikke",IF(IFERROR(AND(A1020&gt;1,COUNTIF($A$3:$A$2002,A1020-1)=0),FALSE),"Nummeret hopper over",IF(OR(NOT(ISNUMBER(B1020)),B1020&lt;DATE(2027,1,1),B1020&gt;DATE(2027,12,31)),"Datoen er ikke i 2027",""))))))</f>
        <v/>
      </c>
    </row>
    <row r="1021">
      <c r="A1021" s="17" t="n"/>
      <c r="B1021" s="9" t="n"/>
      <c r="C1021" s="8" t="n"/>
      <c r="D1021" s="8" t="n"/>
      <c r="E1021" s="8" t="n"/>
      <c r="F1021" s="14" t="n"/>
      <c r="G1021" s="14" t="n"/>
      <c r="H1021" s="8" t="n"/>
      <c r="I1021" s="8" t="n"/>
      <c r="J1021" s="8" t="n"/>
      <c r="K1021" s="18">
        <f>IF(B1021="","",IFERROR(MONTH(B1021),""))</f>
        <v/>
      </c>
      <c r="L1021" s="5">
        <f>IF(COUNTA(A1021:J1021)=0,"",IF(E1021="","Mangler motkonto",IF((F1021="")=(G1021=""),"Fyll ut enten Inn eller Ut",IF(OR(IFERROR(INDEX('Kontoplan'!$D$3:$D$302,MATCH(D1021,'Kontoplan'!$H$3:$H$302,0))="Støttes ikke",FALSE),IFERROR(INDEX('Kontoplan'!$D$3:$D$302,MATCH(E1021,'Kontoplan'!$H$3:$H$302,0))="Støttes ikke",FALSE)),"Kontoen støttes ikke",IF(IFERROR(AND(A1021&gt;1,COUNTIF($A$3:$A$2002,A1021-1)=0),FALSE),"Nummeret hopper over",IF(OR(NOT(ISNUMBER(B1021)),B1021&lt;DATE(2027,1,1),B1021&gt;DATE(2027,12,31)),"Datoen er ikke i 2027",""))))))</f>
        <v/>
      </c>
    </row>
    <row r="1022">
      <c r="A1022" s="17" t="n"/>
      <c r="B1022" s="9" t="n"/>
      <c r="C1022" s="8" t="n"/>
      <c r="D1022" s="8" t="n"/>
      <c r="E1022" s="8" t="n"/>
      <c r="F1022" s="14" t="n"/>
      <c r="G1022" s="14" t="n"/>
      <c r="H1022" s="8" t="n"/>
      <c r="I1022" s="8" t="n"/>
      <c r="J1022" s="8" t="n"/>
      <c r="K1022" s="18">
        <f>IF(B1022="","",IFERROR(MONTH(B1022),""))</f>
        <v/>
      </c>
      <c r="L1022" s="5">
        <f>IF(COUNTA(A1022:J1022)=0,"",IF(E1022="","Mangler motkonto",IF((F1022="")=(G1022=""),"Fyll ut enten Inn eller Ut",IF(OR(IFERROR(INDEX('Kontoplan'!$D$3:$D$302,MATCH(D1022,'Kontoplan'!$H$3:$H$302,0))="Støttes ikke",FALSE),IFERROR(INDEX('Kontoplan'!$D$3:$D$302,MATCH(E1022,'Kontoplan'!$H$3:$H$302,0))="Støttes ikke",FALSE)),"Kontoen støttes ikke",IF(IFERROR(AND(A1022&gt;1,COUNTIF($A$3:$A$2002,A1022-1)=0),FALSE),"Nummeret hopper over",IF(OR(NOT(ISNUMBER(B1022)),B1022&lt;DATE(2027,1,1),B1022&gt;DATE(2027,12,31)),"Datoen er ikke i 2027",""))))))</f>
        <v/>
      </c>
    </row>
    <row r="1023">
      <c r="A1023" s="17" t="n"/>
      <c r="B1023" s="9" t="n"/>
      <c r="C1023" s="8" t="n"/>
      <c r="D1023" s="8" t="n"/>
      <c r="E1023" s="8" t="n"/>
      <c r="F1023" s="14" t="n"/>
      <c r="G1023" s="14" t="n"/>
      <c r="H1023" s="8" t="n"/>
      <c r="I1023" s="8" t="n"/>
      <c r="J1023" s="8" t="n"/>
      <c r="K1023" s="18">
        <f>IF(B1023="","",IFERROR(MONTH(B1023),""))</f>
        <v/>
      </c>
      <c r="L1023" s="5">
        <f>IF(COUNTA(A1023:J1023)=0,"",IF(E1023="","Mangler motkonto",IF((F1023="")=(G1023=""),"Fyll ut enten Inn eller Ut",IF(OR(IFERROR(INDEX('Kontoplan'!$D$3:$D$302,MATCH(D1023,'Kontoplan'!$H$3:$H$302,0))="Støttes ikke",FALSE),IFERROR(INDEX('Kontoplan'!$D$3:$D$302,MATCH(E1023,'Kontoplan'!$H$3:$H$302,0))="Støttes ikke",FALSE)),"Kontoen støttes ikke",IF(IFERROR(AND(A1023&gt;1,COUNTIF($A$3:$A$2002,A1023-1)=0),FALSE),"Nummeret hopper over",IF(OR(NOT(ISNUMBER(B1023)),B1023&lt;DATE(2027,1,1),B1023&gt;DATE(2027,12,31)),"Datoen er ikke i 2027",""))))))</f>
        <v/>
      </c>
    </row>
    <row r="1024">
      <c r="A1024" s="17" t="n"/>
      <c r="B1024" s="9" t="n"/>
      <c r="C1024" s="8" t="n"/>
      <c r="D1024" s="8" t="n"/>
      <c r="E1024" s="8" t="n"/>
      <c r="F1024" s="14" t="n"/>
      <c r="G1024" s="14" t="n"/>
      <c r="H1024" s="8" t="n"/>
      <c r="I1024" s="8" t="n"/>
      <c r="J1024" s="8" t="n"/>
      <c r="K1024" s="18">
        <f>IF(B1024="","",IFERROR(MONTH(B1024),""))</f>
        <v/>
      </c>
      <c r="L1024" s="5">
        <f>IF(COUNTA(A1024:J1024)=0,"",IF(E1024="","Mangler motkonto",IF((F1024="")=(G1024=""),"Fyll ut enten Inn eller Ut",IF(OR(IFERROR(INDEX('Kontoplan'!$D$3:$D$302,MATCH(D1024,'Kontoplan'!$H$3:$H$302,0))="Støttes ikke",FALSE),IFERROR(INDEX('Kontoplan'!$D$3:$D$302,MATCH(E1024,'Kontoplan'!$H$3:$H$302,0))="Støttes ikke",FALSE)),"Kontoen støttes ikke",IF(IFERROR(AND(A1024&gt;1,COUNTIF($A$3:$A$2002,A1024-1)=0),FALSE),"Nummeret hopper over",IF(OR(NOT(ISNUMBER(B1024)),B1024&lt;DATE(2027,1,1),B1024&gt;DATE(2027,12,31)),"Datoen er ikke i 2027",""))))))</f>
        <v/>
      </c>
    </row>
    <row r="1025">
      <c r="A1025" s="17" t="n"/>
      <c r="B1025" s="9" t="n"/>
      <c r="C1025" s="8" t="n"/>
      <c r="D1025" s="8" t="n"/>
      <c r="E1025" s="8" t="n"/>
      <c r="F1025" s="14" t="n"/>
      <c r="G1025" s="14" t="n"/>
      <c r="H1025" s="8" t="n"/>
      <c r="I1025" s="8" t="n"/>
      <c r="J1025" s="8" t="n"/>
      <c r="K1025" s="18">
        <f>IF(B1025="","",IFERROR(MONTH(B1025),""))</f>
        <v/>
      </c>
      <c r="L1025" s="5">
        <f>IF(COUNTA(A1025:J1025)=0,"",IF(E1025="","Mangler motkonto",IF((F1025="")=(G1025=""),"Fyll ut enten Inn eller Ut",IF(OR(IFERROR(INDEX('Kontoplan'!$D$3:$D$302,MATCH(D1025,'Kontoplan'!$H$3:$H$302,0))="Støttes ikke",FALSE),IFERROR(INDEX('Kontoplan'!$D$3:$D$302,MATCH(E1025,'Kontoplan'!$H$3:$H$302,0))="Støttes ikke",FALSE)),"Kontoen støttes ikke",IF(IFERROR(AND(A1025&gt;1,COUNTIF($A$3:$A$2002,A1025-1)=0),FALSE),"Nummeret hopper over",IF(OR(NOT(ISNUMBER(B1025)),B1025&lt;DATE(2027,1,1),B1025&gt;DATE(2027,12,31)),"Datoen er ikke i 2027",""))))))</f>
        <v/>
      </c>
    </row>
    <row r="1026">
      <c r="A1026" s="17" t="n"/>
      <c r="B1026" s="9" t="n"/>
      <c r="C1026" s="8" t="n"/>
      <c r="D1026" s="8" t="n"/>
      <c r="E1026" s="8" t="n"/>
      <c r="F1026" s="14" t="n"/>
      <c r="G1026" s="14" t="n"/>
      <c r="H1026" s="8" t="n"/>
      <c r="I1026" s="8" t="n"/>
      <c r="J1026" s="8" t="n"/>
      <c r="K1026" s="18">
        <f>IF(B1026="","",IFERROR(MONTH(B1026),""))</f>
        <v/>
      </c>
      <c r="L1026" s="5">
        <f>IF(COUNTA(A1026:J1026)=0,"",IF(E1026="","Mangler motkonto",IF((F1026="")=(G1026=""),"Fyll ut enten Inn eller Ut",IF(OR(IFERROR(INDEX('Kontoplan'!$D$3:$D$302,MATCH(D1026,'Kontoplan'!$H$3:$H$302,0))="Støttes ikke",FALSE),IFERROR(INDEX('Kontoplan'!$D$3:$D$302,MATCH(E1026,'Kontoplan'!$H$3:$H$302,0))="Støttes ikke",FALSE)),"Kontoen støttes ikke",IF(IFERROR(AND(A1026&gt;1,COUNTIF($A$3:$A$2002,A1026-1)=0),FALSE),"Nummeret hopper over",IF(OR(NOT(ISNUMBER(B1026)),B1026&lt;DATE(2027,1,1),B1026&gt;DATE(2027,12,31)),"Datoen er ikke i 2027",""))))))</f>
        <v/>
      </c>
    </row>
    <row r="1027">
      <c r="A1027" s="17" t="n"/>
      <c r="B1027" s="9" t="n"/>
      <c r="C1027" s="8" t="n"/>
      <c r="D1027" s="8" t="n"/>
      <c r="E1027" s="8" t="n"/>
      <c r="F1027" s="14" t="n"/>
      <c r="G1027" s="14" t="n"/>
      <c r="H1027" s="8" t="n"/>
      <c r="I1027" s="8" t="n"/>
      <c r="J1027" s="8" t="n"/>
      <c r="K1027" s="18">
        <f>IF(B1027="","",IFERROR(MONTH(B1027),""))</f>
        <v/>
      </c>
      <c r="L1027" s="5">
        <f>IF(COUNTA(A1027:J1027)=0,"",IF(E1027="","Mangler motkonto",IF((F1027="")=(G1027=""),"Fyll ut enten Inn eller Ut",IF(OR(IFERROR(INDEX('Kontoplan'!$D$3:$D$302,MATCH(D1027,'Kontoplan'!$H$3:$H$302,0))="Støttes ikke",FALSE),IFERROR(INDEX('Kontoplan'!$D$3:$D$302,MATCH(E1027,'Kontoplan'!$H$3:$H$302,0))="Støttes ikke",FALSE)),"Kontoen støttes ikke",IF(IFERROR(AND(A1027&gt;1,COUNTIF($A$3:$A$2002,A1027-1)=0),FALSE),"Nummeret hopper over",IF(OR(NOT(ISNUMBER(B1027)),B1027&lt;DATE(2027,1,1),B1027&gt;DATE(2027,12,31)),"Datoen er ikke i 2027",""))))))</f>
        <v/>
      </c>
    </row>
    <row r="1028">
      <c r="A1028" s="17" t="n"/>
      <c r="B1028" s="9" t="n"/>
      <c r="C1028" s="8" t="n"/>
      <c r="D1028" s="8" t="n"/>
      <c r="E1028" s="8" t="n"/>
      <c r="F1028" s="14" t="n"/>
      <c r="G1028" s="14" t="n"/>
      <c r="H1028" s="8" t="n"/>
      <c r="I1028" s="8" t="n"/>
      <c r="J1028" s="8" t="n"/>
      <c r="K1028" s="18">
        <f>IF(B1028="","",IFERROR(MONTH(B1028),""))</f>
        <v/>
      </c>
      <c r="L1028" s="5">
        <f>IF(COUNTA(A1028:J1028)=0,"",IF(E1028="","Mangler motkonto",IF((F1028="")=(G1028=""),"Fyll ut enten Inn eller Ut",IF(OR(IFERROR(INDEX('Kontoplan'!$D$3:$D$302,MATCH(D1028,'Kontoplan'!$H$3:$H$302,0))="Støttes ikke",FALSE),IFERROR(INDEX('Kontoplan'!$D$3:$D$302,MATCH(E1028,'Kontoplan'!$H$3:$H$302,0))="Støttes ikke",FALSE)),"Kontoen støttes ikke",IF(IFERROR(AND(A1028&gt;1,COUNTIF($A$3:$A$2002,A1028-1)=0),FALSE),"Nummeret hopper over",IF(OR(NOT(ISNUMBER(B1028)),B1028&lt;DATE(2027,1,1),B1028&gt;DATE(2027,12,31)),"Datoen er ikke i 2027",""))))))</f>
        <v/>
      </c>
    </row>
    <row r="1029">
      <c r="A1029" s="17" t="n"/>
      <c r="B1029" s="9" t="n"/>
      <c r="C1029" s="8" t="n"/>
      <c r="D1029" s="8" t="n"/>
      <c r="E1029" s="8" t="n"/>
      <c r="F1029" s="14" t="n"/>
      <c r="G1029" s="14" t="n"/>
      <c r="H1029" s="8" t="n"/>
      <c r="I1029" s="8" t="n"/>
      <c r="J1029" s="8" t="n"/>
      <c r="K1029" s="18">
        <f>IF(B1029="","",IFERROR(MONTH(B1029),""))</f>
        <v/>
      </c>
      <c r="L1029" s="5">
        <f>IF(COUNTA(A1029:J1029)=0,"",IF(E1029="","Mangler motkonto",IF((F1029="")=(G1029=""),"Fyll ut enten Inn eller Ut",IF(OR(IFERROR(INDEX('Kontoplan'!$D$3:$D$302,MATCH(D1029,'Kontoplan'!$H$3:$H$302,0))="Støttes ikke",FALSE),IFERROR(INDEX('Kontoplan'!$D$3:$D$302,MATCH(E1029,'Kontoplan'!$H$3:$H$302,0))="Støttes ikke",FALSE)),"Kontoen støttes ikke",IF(IFERROR(AND(A1029&gt;1,COUNTIF($A$3:$A$2002,A1029-1)=0),FALSE),"Nummeret hopper over",IF(OR(NOT(ISNUMBER(B1029)),B1029&lt;DATE(2027,1,1),B1029&gt;DATE(2027,12,31)),"Datoen er ikke i 2027",""))))))</f>
        <v/>
      </c>
    </row>
    <row r="1030">
      <c r="A1030" s="17" t="n"/>
      <c r="B1030" s="9" t="n"/>
      <c r="C1030" s="8" t="n"/>
      <c r="D1030" s="8" t="n"/>
      <c r="E1030" s="8" t="n"/>
      <c r="F1030" s="14" t="n"/>
      <c r="G1030" s="14" t="n"/>
      <c r="H1030" s="8" t="n"/>
      <c r="I1030" s="8" t="n"/>
      <c r="J1030" s="8" t="n"/>
      <c r="K1030" s="18">
        <f>IF(B1030="","",IFERROR(MONTH(B1030),""))</f>
        <v/>
      </c>
      <c r="L1030" s="5">
        <f>IF(COUNTA(A1030:J1030)=0,"",IF(E1030="","Mangler motkonto",IF((F1030="")=(G1030=""),"Fyll ut enten Inn eller Ut",IF(OR(IFERROR(INDEX('Kontoplan'!$D$3:$D$302,MATCH(D1030,'Kontoplan'!$H$3:$H$302,0))="Støttes ikke",FALSE),IFERROR(INDEX('Kontoplan'!$D$3:$D$302,MATCH(E1030,'Kontoplan'!$H$3:$H$302,0))="Støttes ikke",FALSE)),"Kontoen støttes ikke",IF(IFERROR(AND(A1030&gt;1,COUNTIF($A$3:$A$2002,A1030-1)=0),FALSE),"Nummeret hopper over",IF(OR(NOT(ISNUMBER(B1030)),B1030&lt;DATE(2027,1,1),B1030&gt;DATE(2027,12,31)),"Datoen er ikke i 2027",""))))))</f>
        <v/>
      </c>
    </row>
    <row r="1031">
      <c r="A1031" s="17" t="n"/>
      <c r="B1031" s="9" t="n"/>
      <c r="C1031" s="8" t="n"/>
      <c r="D1031" s="8" t="n"/>
      <c r="E1031" s="8" t="n"/>
      <c r="F1031" s="14" t="n"/>
      <c r="G1031" s="14" t="n"/>
      <c r="H1031" s="8" t="n"/>
      <c r="I1031" s="8" t="n"/>
      <c r="J1031" s="8" t="n"/>
      <c r="K1031" s="18">
        <f>IF(B1031="","",IFERROR(MONTH(B1031),""))</f>
        <v/>
      </c>
      <c r="L1031" s="5">
        <f>IF(COUNTA(A1031:J1031)=0,"",IF(E1031="","Mangler motkonto",IF((F1031="")=(G1031=""),"Fyll ut enten Inn eller Ut",IF(OR(IFERROR(INDEX('Kontoplan'!$D$3:$D$302,MATCH(D1031,'Kontoplan'!$H$3:$H$302,0))="Støttes ikke",FALSE),IFERROR(INDEX('Kontoplan'!$D$3:$D$302,MATCH(E1031,'Kontoplan'!$H$3:$H$302,0))="Støttes ikke",FALSE)),"Kontoen støttes ikke",IF(IFERROR(AND(A1031&gt;1,COUNTIF($A$3:$A$2002,A1031-1)=0),FALSE),"Nummeret hopper over",IF(OR(NOT(ISNUMBER(B1031)),B1031&lt;DATE(2027,1,1),B1031&gt;DATE(2027,12,31)),"Datoen er ikke i 2027",""))))))</f>
        <v/>
      </c>
    </row>
    <row r="1032">
      <c r="A1032" s="17" t="n"/>
      <c r="B1032" s="9" t="n"/>
      <c r="C1032" s="8" t="n"/>
      <c r="D1032" s="8" t="n"/>
      <c r="E1032" s="8" t="n"/>
      <c r="F1032" s="14" t="n"/>
      <c r="G1032" s="14" t="n"/>
      <c r="H1032" s="8" t="n"/>
      <c r="I1032" s="8" t="n"/>
      <c r="J1032" s="8" t="n"/>
      <c r="K1032" s="18">
        <f>IF(B1032="","",IFERROR(MONTH(B1032),""))</f>
        <v/>
      </c>
      <c r="L1032" s="5">
        <f>IF(COUNTA(A1032:J1032)=0,"",IF(E1032="","Mangler motkonto",IF((F1032="")=(G1032=""),"Fyll ut enten Inn eller Ut",IF(OR(IFERROR(INDEX('Kontoplan'!$D$3:$D$302,MATCH(D1032,'Kontoplan'!$H$3:$H$302,0))="Støttes ikke",FALSE),IFERROR(INDEX('Kontoplan'!$D$3:$D$302,MATCH(E1032,'Kontoplan'!$H$3:$H$302,0))="Støttes ikke",FALSE)),"Kontoen støttes ikke",IF(IFERROR(AND(A1032&gt;1,COUNTIF($A$3:$A$2002,A1032-1)=0),FALSE),"Nummeret hopper over",IF(OR(NOT(ISNUMBER(B1032)),B1032&lt;DATE(2027,1,1),B1032&gt;DATE(2027,12,31)),"Datoen er ikke i 2027",""))))))</f>
        <v/>
      </c>
    </row>
    <row r="1033">
      <c r="A1033" s="17" t="n"/>
      <c r="B1033" s="9" t="n"/>
      <c r="C1033" s="8" t="n"/>
      <c r="D1033" s="8" t="n"/>
      <c r="E1033" s="8" t="n"/>
      <c r="F1033" s="14" t="n"/>
      <c r="G1033" s="14" t="n"/>
      <c r="H1033" s="8" t="n"/>
      <c r="I1033" s="8" t="n"/>
      <c r="J1033" s="8" t="n"/>
      <c r="K1033" s="18">
        <f>IF(B1033="","",IFERROR(MONTH(B1033),""))</f>
        <v/>
      </c>
      <c r="L1033" s="5">
        <f>IF(COUNTA(A1033:J1033)=0,"",IF(E1033="","Mangler motkonto",IF((F1033="")=(G1033=""),"Fyll ut enten Inn eller Ut",IF(OR(IFERROR(INDEX('Kontoplan'!$D$3:$D$302,MATCH(D1033,'Kontoplan'!$H$3:$H$302,0))="Støttes ikke",FALSE),IFERROR(INDEX('Kontoplan'!$D$3:$D$302,MATCH(E1033,'Kontoplan'!$H$3:$H$302,0))="Støttes ikke",FALSE)),"Kontoen støttes ikke",IF(IFERROR(AND(A1033&gt;1,COUNTIF($A$3:$A$2002,A1033-1)=0),FALSE),"Nummeret hopper over",IF(OR(NOT(ISNUMBER(B1033)),B1033&lt;DATE(2027,1,1),B1033&gt;DATE(2027,12,31)),"Datoen er ikke i 2027",""))))))</f>
        <v/>
      </c>
    </row>
    <row r="1034">
      <c r="A1034" s="17" t="n"/>
      <c r="B1034" s="9" t="n"/>
      <c r="C1034" s="8" t="n"/>
      <c r="D1034" s="8" t="n"/>
      <c r="E1034" s="8" t="n"/>
      <c r="F1034" s="14" t="n"/>
      <c r="G1034" s="14" t="n"/>
      <c r="H1034" s="8" t="n"/>
      <c r="I1034" s="8" t="n"/>
      <c r="J1034" s="8" t="n"/>
      <c r="K1034" s="18">
        <f>IF(B1034="","",IFERROR(MONTH(B1034),""))</f>
        <v/>
      </c>
      <c r="L1034" s="5">
        <f>IF(COUNTA(A1034:J1034)=0,"",IF(E1034="","Mangler motkonto",IF((F1034="")=(G1034=""),"Fyll ut enten Inn eller Ut",IF(OR(IFERROR(INDEX('Kontoplan'!$D$3:$D$302,MATCH(D1034,'Kontoplan'!$H$3:$H$302,0))="Støttes ikke",FALSE),IFERROR(INDEX('Kontoplan'!$D$3:$D$302,MATCH(E1034,'Kontoplan'!$H$3:$H$302,0))="Støttes ikke",FALSE)),"Kontoen støttes ikke",IF(IFERROR(AND(A1034&gt;1,COUNTIF($A$3:$A$2002,A1034-1)=0),FALSE),"Nummeret hopper over",IF(OR(NOT(ISNUMBER(B1034)),B1034&lt;DATE(2027,1,1),B1034&gt;DATE(2027,12,31)),"Datoen er ikke i 2027",""))))))</f>
        <v/>
      </c>
    </row>
    <row r="1035">
      <c r="A1035" s="17" t="n"/>
      <c r="B1035" s="9" t="n"/>
      <c r="C1035" s="8" t="n"/>
      <c r="D1035" s="8" t="n"/>
      <c r="E1035" s="8" t="n"/>
      <c r="F1035" s="14" t="n"/>
      <c r="G1035" s="14" t="n"/>
      <c r="H1035" s="8" t="n"/>
      <c r="I1035" s="8" t="n"/>
      <c r="J1035" s="8" t="n"/>
      <c r="K1035" s="18">
        <f>IF(B1035="","",IFERROR(MONTH(B1035),""))</f>
        <v/>
      </c>
      <c r="L1035" s="5">
        <f>IF(COUNTA(A1035:J1035)=0,"",IF(E1035="","Mangler motkonto",IF((F1035="")=(G1035=""),"Fyll ut enten Inn eller Ut",IF(OR(IFERROR(INDEX('Kontoplan'!$D$3:$D$302,MATCH(D1035,'Kontoplan'!$H$3:$H$302,0))="Støttes ikke",FALSE),IFERROR(INDEX('Kontoplan'!$D$3:$D$302,MATCH(E1035,'Kontoplan'!$H$3:$H$302,0))="Støttes ikke",FALSE)),"Kontoen støttes ikke",IF(IFERROR(AND(A1035&gt;1,COUNTIF($A$3:$A$2002,A1035-1)=0),FALSE),"Nummeret hopper over",IF(OR(NOT(ISNUMBER(B1035)),B1035&lt;DATE(2027,1,1),B1035&gt;DATE(2027,12,31)),"Datoen er ikke i 2027",""))))))</f>
        <v/>
      </c>
    </row>
    <row r="1036">
      <c r="A1036" s="17" t="n"/>
      <c r="B1036" s="9" t="n"/>
      <c r="C1036" s="8" t="n"/>
      <c r="D1036" s="8" t="n"/>
      <c r="E1036" s="8" t="n"/>
      <c r="F1036" s="14" t="n"/>
      <c r="G1036" s="14" t="n"/>
      <c r="H1036" s="8" t="n"/>
      <c r="I1036" s="8" t="n"/>
      <c r="J1036" s="8" t="n"/>
      <c r="K1036" s="18">
        <f>IF(B1036="","",IFERROR(MONTH(B1036),""))</f>
        <v/>
      </c>
      <c r="L1036" s="5">
        <f>IF(COUNTA(A1036:J1036)=0,"",IF(E1036="","Mangler motkonto",IF((F1036="")=(G1036=""),"Fyll ut enten Inn eller Ut",IF(OR(IFERROR(INDEX('Kontoplan'!$D$3:$D$302,MATCH(D1036,'Kontoplan'!$H$3:$H$302,0))="Støttes ikke",FALSE),IFERROR(INDEX('Kontoplan'!$D$3:$D$302,MATCH(E1036,'Kontoplan'!$H$3:$H$302,0))="Støttes ikke",FALSE)),"Kontoen støttes ikke",IF(IFERROR(AND(A1036&gt;1,COUNTIF($A$3:$A$2002,A1036-1)=0),FALSE),"Nummeret hopper over",IF(OR(NOT(ISNUMBER(B1036)),B1036&lt;DATE(2027,1,1),B1036&gt;DATE(2027,12,31)),"Datoen er ikke i 2027",""))))))</f>
        <v/>
      </c>
    </row>
    <row r="1037">
      <c r="A1037" s="17" t="n"/>
      <c r="B1037" s="9" t="n"/>
      <c r="C1037" s="8" t="n"/>
      <c r="D1037" s="8" t="n"/>
      <c r="E1037" s="8" t="n"/>
      <c r="F1037" s="14" t="n"/>
      <c r="G1037" s="14" t="n"/>
      <c r="H1037" s="8" t="n"/>
      <c r="I1037" s="8" t="n"/>
      <c r="J1037" s="8" t="n"/>
      <c r="K1037" s="18">
        <f>IF(B1037="","",IFERROR(MONTH(B1037),""))</f>
        <v/>
      </c>
      <c r="L1037" s="5">
        <f>IF(COUNTA(A1037:J1037)=0,"",IF(E1037="","Mangler motkonto",IF((F1037="")=(G1037=""),"Fyll ut enten Inn eller Ut",IF(OR(IFERROR(INDEX('Kontoplan'!$D$3:$D$302,MATCH(D1037,'Kontoplan'!$H$3:$H$302,0))="Støttes ikke",FALSE),IFERROR(INDEX('Kontoplan'!$D$3:$D$302,MATCH(E1037,'Kontoplan'!$H$3:$H$302,0))="Støttes ikke",FALSE)),"Kontoen støttes ikke",IF(IFERROR(AND(A1037&gt;1,COUNTIF($A$3:$A$2002,A1037-1)=0),FALSE),"Nummeret hopper over",IF(OR(NOT(ISNUMBER(B1037)),B1037&lt;DATE(2027,1,1),B1037&gt;DATE(2027,12,31)),"Datoen er ikke i 2027",""))))))</f>
        <v/>
      </c>
    </row>
    <row r="1038">
      <c r="A1038" s="17" t="n"/>
      <c r="B1038" s="9" t="n"/>
      <c r="C1038" s="8" t="n"/>
      <c r="D1038" s="8" t="n"/>
      <c r="E1038" s="8" t="n"/>
      <c r="F1038" s="14" t="n"/>
      <c r="G1038" s="14" t="n"/>
      <c r="H1038" s="8" t="n"/>
      <c r="I1038" s="8" t="n"/>
      <c r="J1038" s="8" t="n"/>
      <c r="K1038" s="18">
        <f>IF(B1038="","",IFERROR(MONTH(B1038),""))</f>
        <v/>
      </c>
      <c r="L1038" s="5">
        <f>IF(COUNTA(A1038:J1038)=0,"",IF(E1038="","Mangler motkonto",IF((F1038="")=(G1038=""),"Fyll ut enten Inn eller Ut",IF(OR(IFERROR(INDEX('Kontoplan'!$D$3:$D$302,MATCH(D1038,'Kontoplan'!$H$3:$H$302,0))="Støttes ikke",FALSE),IFERROR(INDEX('Kontoplan'!$D$3:$D$302,MATCH(E1038,'Kontoplan'!$H$3:$H$302,0))="Støttes ikke",FALSE)),"Kontoen støttes ikke",IF(IFERROR(AND(A1038&gt;1,COUNTIF($A$3:$A$2002,A1038-1)=0),FALSE),"Nummeret hopper over",IF(OR(NOT(ISNUMBER(B1038)),B1038&lt;DATE(2027,1,1),B1038&gt;DATE(2027,12,31)),"Datoen er ikke i 2027",""))))))</f>
        <v/>
      </c>
    </row>
    <row r="1039">
      <c r="A1039" s="17" t="n"/>
      <c r="B1039" s="9" t="n"/>
      <c r="C1039" s="8" t="n"/>
      <c r="D1039" s="8" t="n"/>
      <c r="E1039" s="8" t="n"/>
      <c r="F1039" s="14" t="n"/>
      <c r="G1039" s="14" t="n"/>
      <c r="H1039" s="8" t="n"/>
      <c r="I1039" s="8" t="n"/>
      <c r="J1039" s="8" t="n"/>
      <c r="K1039" s="18">
        <f>IF(B1039="","",IFERROR(MONTH(B1039),""))</f>
        <v/>
      </c>
      <c r="L1039" s="5">
        <f>IF(COUNTA(A1039:J1039)=0,"",IF(E1039="","Mangler motkonto",IF((F1039="")=(G1039=""),"Fyll ut enten Inn eller Ut",IF(OR(IFERROR(INDEX('Kontoplan'!$D$3:$D$302,MATCH(D1039,'Kontoplan'!$H$3:$H$302,0))="Støttes ikke",FALSE),IFERROR(INDEX('Kontoplan'!$D$3:$D$302,MATCH(E1039,'Kontoplan'!$H$3:$H$302,0))="Støttes ikke",FALSE)),"Kontoen støttes ikke",IF(IFERROR(AND(A1039&gt;1,COUNTIF($A$3:$A$2002,A1039-1)=0),FALSE),"Nummeret hopper over",IF(OR(NOT(ISNUMBER(B1039)),B1039&lt;DATE(2027,1,1),B1039&gt;DATE(2027,12,31)),"Datoen er ikke i 2027",""))))))</f>
        <v/>
      </c>
    </row>
    <row r="1040">
      <c r="A1040" s="17" t="n"/>
      <c r="B1040" s="9" t="n"/>
      <c r="C1040" s="8" t="n"/>
      <c r="D1040" s="8" t="n"/>
      <c r="E1040" s="8" t="n"/>
      <c r="F1040" s="14" t="n"/>
      <c r="G1040" s="14" t="n"/>
      <c r="H1040" s="8" t="n"/>
      <c r="I1040" s="8" t="n"/>
      <c r="J1040" s="8" t="n"/>
      <c r="K1040" s="18">
        <f>IF(B1040="","",IFERROR(MONTH(B1040),""))</f>
        <v/>
      </c>
      <c r="L1040" s="5">
        <f>IF(COUNTA(A1040:J1040)=0,"",IF(E1040="","Mangler motkonto",IF((F1040="")=(G1040=""),"Fyll ut enten Inn eller Ut",IF(OR(IFERROR(INDEX('Kontoplan'!$D$3:$D$302,MATCH(D1040,'Kontoplan'!$H$3:$H$302,0))="Støttes ikke",FALSE),IFERROR(INDEX('Kontoplan'!$D$3:$D$302,MATCH(E1040,'Kontoplan'!$H$3:$H$302,0))="Støttes ikke",FALSE)),"Kontoen støttes ikke",IF(IFERROR(AND(A1040&gt;1,COUNTIF($A$3:$A$2002,A1040-1)=0),FALSE),"Nummeret hopper over",IF(OR(NOT(ISNUMBER(B1040)),B1040&lt;DATE(2027,1,1),B1040&gt;DATE(2027,12,31)),"Datoen er ikke i 2027",""))))))</f>
        <v/>
      </c>
    </row>
    <row r="1041">
      <c r="A1041" s="17" t="n"/>
      <c r="B1041" s="9" t="n"/>
      <c r="C1041" s="8" t="n"/>
      <c r="D1041" s="8" t="n"/>
      <c r="E1041" s="8" t="n"/>
      <c r="F1041" s="14" t="n"/>
      <c r="G1041" s="14" t="n"/>
      <c r="H1041" s="8" t="n"/>
      <c r="I1041" s="8" t="n"/>
      <c r="J1041" s="8" t="n"/>
      <c r="K1041" s="18">
        <f>IF(B1041="","",IFERROR(MONTH(B1041),""))</f>
        <v/>
      </c>
      <c r="L1041" s="5">
        <f>IF(COUNTA(A1041:J1041)=0,"",IF(E1041="","Mangler motkonto",IF((F1041="")=(G1041=""),"Fyll ut enten Inn eller Ut",IF(OR(IFERROR(INDEX('Kontoplan'!$D$3:$D$302,MATCH(D1041,'Kontoplan'!$H$3:$H$302,0))="Støttes ikke",FALSE),IFERROR(INDEX('Kontoplan'!$D$3:$D$302,MATCH(E1041,'Kontoplan'!$H$3:$H$302,0))="Støttes ikke",FALSE)),"Kontoen støttes ikke",IF(IFERROR(AND(A1041&gt;1,COUNTIF($A$3:$A$2002,A1041-1)=0),FALSE),"Nummeret hopper over",IF(OR(NOT(ISNUMBER(B1041)),B1041&lt;DATE(2027,1,1),B1041&gt;DATE(2027,12,31)),"Datoen er ikke i 2027",""))))))</f>
        <v/>
      </c>
    </row>
    <row r="1042">
      <c r="A1042" s="17" t="n"/>
      <c r="B1042" s="9" t="n"/>
      <c r="C1042" s="8" t="n"/>
      <c r="D1042" s="8" t="n"/>
      <c r="E1042" s="8" t="n"/>
      <c r="F1042" s="14" t="n"/>
      <c r="G1042" s="14" t="n"/>
      <c r="H1042" s="8" t="n"/>
      <c r="I1042" s="8" t="n"/>
      <c r="J1042" s="8" t="n"/>
      <c r="K1042" s="18">
        <f>IF(B1042="","",IFERROR(MONTH(B1042),""))</f>
        <v/>
      </c>
      <c r="L1042" s="5">
        <f>IF(COUNTA(A1042:J1042)=0,"",IF(E1042="","Mangler motkonto",IF((F1042="")=(G1042=""),"Fyll ut enten Inn eller Ut",IF(OR(IFERROR(INDEX('Kontoplan'!$D$3:$D$302,MATCH(D1042,'Kontoplan'!$H$3:$H$302,0))="Støttes ikke",FALSE),IFERROR(INDEX('Kontoplan'!$D$3:$D$302,MATCH(E1042,'Kontoplan'!$H$3:$H$302,0))="Støttes ikke",FALSE)),"Kontoen støttes ikke",IF(IFERROR(AND(A1042&gt;1,COUNTIF($A$3:$A$2002,A1042-1)=0),FALSE),"Nummeret hopper over",IF(OR(NOT(ISNUMBER(B1042)),B1042&lt;DATE(2027,1,1),B1042&gt;DATE(2027,12,31)),"Datoen er ikke i 2027",""))))))</f>
        <v/>
      </c>
    </row>
    <row r="1043">
      <c r="A1043" s="17" t="n"/>
      <c r="B1043" s="9" t="n"/>
      <c r="C1043" s="8" t="n"/>
      <c r="D1043" s="8" t="n"/>
      <c r="E1043" s="8" t="n"/>
      <c r="F1043" s="14" t="n"/>
      <c r="G1043" s="14" t="n"/>
      <c r="H1043" s="8" t="n"/>
      <c r="I1043" s="8" t="n"/>
      <c r="J1043" s="8" t="n"/>
      <c r="K1043" s="18">
        <f>IF(B1043="","",IFERROR(MONTH(B1043),""))</f>
        <v/>
      </c>
      <c r="L1043" s="5">
        <f>IF(COUNTA(A1043:J1043)=0,"",IF(E1043="","Mangler motkonto",IF((F1043="")=(G1043=""),"Fyll ut enten Inn eller Ut",IF(OR(IFERROR(INDEX('Kontoplan'!$D$3:$D$302,MATCH(D1043,'Kontoplan'!$H$3:$H$302,0))="Støttes ikke",FALSE),IFERROR(INDEX('Kontoplan'!$D$3:$D$302,MATCH(E1043,'Kontoplan'!$H$3:$H$302,0))="Støttes ikke",FALSE)),"Kontoen støttes ikke",IF(IFERROR(AND(A1043&gt;1,COUNTIF($A$3:$A$2002,A1043-1)=0),FALSE),"Nummeret hopper over",IF(OR(NOT(ISNUMBER(B1043)),B1043&lt;DATE(2027,1,1),B1043&gt;DATE(2027,12,31)),"Datoen er ikke i 2027",""))))))</f>
        <v/>
      </c>
    </row>
    <row r="1044">
      <c r="A1044" s="17" t="n"/>
      <c r="B1044" s="9" t="n"/>
      <c r="C1044" s="8" t="n"/>
      <c r="D1044" s="8" t="n"/>
      <c r="E1044" s="8" t="n"/>
      <c r="F1044" s="14" t="n"/>
      <c r="G1044" s="14" t="n"/>
      <c r="H1044" s="8" t="n"/>
      <c r="I1044" s="8" t="n"/>
      <c r="J1044" s="8" t="n"/>
      <c r="K1044" s="18">
        <f>IF(B1044="","",IFERROR(MONTH(B1044),""))</f>
        <v/>
      </c>
      <c r="L1044" s="5">
        <f>IF(COUNTA(A1044:J1044)=0,"",IF(E1044="","Mangler motkonto",IF((F1044="")=(G1044=""),"Fyll ut enten Inn eller Ut",IF(OR(IFERROR(INDEX('Kontoplan'!$D$3:$D$302,MATCH(D1044,'Kontoplan'!$H$3:$H$302,0))="Støttes ikke",FALSE),IFERROR(INDEX('Kontoplan'!$D$3:$D$302,MATCH(E1044,'Kontoplan'!$H$3:$H$302,0))="Støttes ikke",FALSE)),"Kontoen støttes ikke",IF(IFERROR(AND(A1044&gt;1,COUNTIF($A$3:$A$2002,A1044-1)=0),FALSE),"Nummeret hopper over",IF(OR(NOT(ISNUMBER(B1044)),B1044&lt;DATE(2027,1,1),B1044&gt;DATE(2027,12,31)),"Datoen er ikke i 2027",""))))))</f>
        <v/>
      </c>
    </row>
    <row r="1045">
      <c r="A1045" s="17" t="n"/>
      <c r="B1045" s="9" t="n"/>
      <c r="C1045" s="8" t="n"/>
      <c r="D1045" s="8" t="n"/>
      <c r="E1045" s="8" t="n"/>
      <c r="F1045" s="14" t="n"/>
      <c r="G1045" s="14" t="n"/>
      <c r="H1045" s="8" t="n"/>
      <c r="I1045" s="8" t="n"/>
      <c r="J1045" s="8" t="n"/>
      <c r="K1045" s="18">
        <f>IF(B1045="","",IFERROR(MONTH(B1045),""))</f>
        <v/>
      </c>
      <c r="L1045" s="5">
        <f>IF(COUNTA(A1045:J1045)=0,"",IF(E1045="","Mangler motkonto",IF((F1045="")=(G1045=""),"Fyll ut enten Inn eller Ut",IF(OR(IFERROR(INDEX('Kontoplan'!$D$3:$D$302,MATCH(D1045,'Kontoplan'!$H$3:$H$302,0))="Støttes ikke",FALSE),IFERROR(INDEX('Kontoplan'!$D$3:$D$302,MATCH(E1045,'Kontoplan'!$H$3:$H$302,0))="Støttes ikke",FALSE)),"Kontoen støttes ikke",IF(IFERROR(AND(A1045&gt;1,COUNTIF($A$3:$A$2002,A1045-1)=0),FALSE),"Nummeret hopper over",IF(OR(NOT(ISNUMBER(B1045)),B1045&lt;DATE(2027,1,1),B1045&gt;DATE(2027,12,31)),"Datoen er ikke i 2027",""))))))</f>
        <v/>
      </c>
    </row>
    <row r="1046">
      <c r="A1046" s="17" t="n"/>
      <c r="B1046" s="9" t="n"/>
      <c r="C1046" s="8" t="n"/>
      <c r="D1046" s="8" t="n"/>
      <c r="E1046" s="8" t="n"/>
      <c r="F1046" s="14" t="n"/>
      <c r="G1046" s="14" t="n"/>
      <c r="H1046" s="8" t="n"/>
      <c r="I1046" s="8" t="n"/>
      <c r="J1046" s="8" t="n"/>
      <c r="K1046" s="18">
        <f>IF(B1046="","",IFERROR(MONTH(B1046),""))</f>
        <v/>
      </c>
      <c r="L1046" s="5">
        <f>IF(COUNTA(A1046:J1046)=0,"",IF(E1046="","Mangler motkonto",IF((F1046="")=(G1046=""),"Fyll ut enten Inn eller Ut",IF(OR(IFERROR(INDEX('Kontoplan'!$D$3:$D$302,MATCH(D1046,'Kontoplan'!$H$3:$H$302,0))="Støttes ikke",FALSE),IFERROR(INDEX('Kontoplan'!$D$3:$D$302,MATCH(E1046,'Kontoplan'!$H$3:$H$302,0))="Støttes ikke",FALSE)),"Kontoen støttes ikke",IF(IFERROR(AND(A1046&gt;1,COUNTIF($A$3:$A$2002,A1046-1)=0),FALSE),"Nummeret hopper over",IF(OR(NOT(ISNUMBER(B1046)),B1046&lt;DATE(2027,1,1),B1046&gt;DATE(2027,12,31)),"Datoen er ikke i 2027",""))))))</f>
        <v/>
      </c>
    </row>
    <row r="1047">
      <c r="A1047" s="17" t="n"/>
      <c r="B1047" s="9" t="n"/>
      <c r="C1047" s="8" t="n"/>
      <c r="D1047" s="8" t="n"/>
      <c r="E1047" s="8" t="n"/>
      <c r="F1047" s="14" t="n"/>
      <c r="G1047" s="14" t="n"/>
      <c r="H1047" s="8" t="n"/>
      <c r="I1047" s="8" t="n"/>
      <c r="J1047" s="8" t="n"/>
      <c r="K1047" s="18">
        <f>IF(B1047="","",IFERROR(MONTH(B1047),""))</f>
        <v/>
      </c>
      <c r="L1047" s="5">
        <f>IF(COUNTA(A1047:J1047)=0,"",IF(E1047="","Mangler motkonto",IF((F1047="")=(G1047=""),"Fyll ut enten Inn eller Ut",IF(OR(IFERROR(INDEX('Kontoplan'!$D$3:$D$302,MATCH(D1047,'Kontoplan'!$H$3:$H$302,0))="Støttes ikke",FALSE),IFERROR(INDEX('Kontoplan'!$D$3:$D$302,MATCH(E1047,'Kontoplan'!$H$3:$H$302,0))="Støttes ikke",FALSE)),"Kontoen støttes ikke",IF(IFERROR(AND(A1047&gt;1,COUNTIF($A$3:$A$2002,A1047-1)=0),FALSE),"Nummeret hopper over",IF(OR(NOT(ISNUMBER(B1047)),B1047&lt;DATE(2027,1,1),B1047&gt;DATE(2027,12,31)),"Datoen er ikke i 2027",""))))))</f>
        <v/>
      </c>
    </row>
    <row r="1048">
      <c r="A1048" s="17" t="n"/>
      <c r="B1048" s="9" t="n"/>
      <c r="C1048" s="8" t="n"/>
      <c r="D1048" s="8" t="n"/>
      <c r="E1048" s="8" t="n"/>
      <c r="F1048" s="14" t="n"/>
      <c r="G1048" s="14" t="n"/>
      <c r="H1048" s="8" t="n"/>
      <c r="I1048" s="8" t="n"/>
      <c r="J1048" s="8" t="n"/>
      <c r="K1048" s="18">
        <f>IF(B1048="","",IFERROR(MONTH(B1048),""))</f>
        <v/>
      </c>
      <c r="L1048" s="5">
        <f>IF(COUNTA(A1048:J1048)=0,"",IF(E1048="","Mangler motkonto",IF((F1048="")=(G1048=""),"Fyll ut enten Inn eller Ut",IF(OR(IFERROR(INDEX('Kontoplan'!$D$3:$D$302,MATCH(D1048,'Kontoplan'!$H$3:$H$302,0))="Støttes ikke",FALSE),IFERROR(INDEX('Kontoplan'!$D$3:$D$302,MATCH(E1048,'Kontoplan'!$H$3:$H$302,0))="Støttes ikke",FALSE)),"Kontoen støttes ikke",IF(IFERROR(AND(A1048&gt;1,COUNTIF($A$3:$A$2002,A1048-1)=0),FALSE),"Nummeret hopper over",IF(OR(NOT(ISNUMBER(B1048)),B1048&lt;DATE(2027,1,1),B1048&gt;DATE(2027,12,31)),"Datoen er ikke i 2027",""))))))</f>
        <v/>
      </c>
    </row>
    <row r="1049">
      <c r="A1049" s="17" t="n"/>
      <c r="B1049" s="9" t="n"/>
      <c r="C1049" s="8" t="n"/>
      <c r="D1049" s="8" t="n"/>
      <c r="E1049" s="8" t="n"/>
      <c r="F1049" s="14" t="n"/>
      <c r="G1049" s="14" t="n"/>
      <c r="H1049" s="8" t="n"/>
      <c r="I1049" s="8" t="n"/>
      <c r="J1049" s="8" t="n"/>
      <c r="K1049" s="18">
        <f>IF(B1049="","",IFERROR(MONTH(B1049),""))</f>
        <v/>
      </c>
      <c r="L1049" s="5">
        <f>IF(COUNTA(A1049:J1049)=0,"",IF(E1049="","Mangler motkonto",IF((F1049="")=(G1049=""),"Fyll ut enten Inn eller Ut",IF(OR(IFERROR(INDEX('Kontoplan'!$D$3:$D$302,MATCH(D1049,'Kontoplan'!$H$3:$H$302,0))="Støttes ikke",FALSE),IFERROR(INDEX('Kontoplan'!$D$3:$D$302,MATCH(E1049,'Kontoplan'!$H$3:$H$302,0))="Støttes ikke",FALSE)),"Kontoen støttes ikke",IF(IFERROR(AND(A1049&gt;1,COUNTIF($A$3:$A$2002,A1049-1)=0),FALSE),"Nummeret hopper over",IF(OR(NOT(ISNUMBER(B1049)),B1049&lt;DATE(2027,1,1),B1049&gt;DATE(2027,12,31)),"Datoen er ikke i 2027",""))))))</f>
        <v/>
      </c>
    </row>
    <row r="1050">
      <c r="A1050" s="17" t="n"/>
      <c r="B1050" s="9" t="n"/>
      <c r="C1050" s="8" t="n"/>
      <c r="D1050" s="8" t="n"/>
      <c r="E1050" s="8" t="n"/>
      <c r="F1050" s="14" t="n"/>
      <c r="G1050" s="14" t="n"/>
      <c r="H1050" s="8" t="n"/>
      <c r="I1050" s="8" t="n"/>
      <c r="J1050" s="8" t="n"/>
      <c r="K1050" s="18">
        <f>IF(B1050="","",IFERROR(MONTH(B1050),""))</f>
        <v/>
      </c>
      <c r="L1050" s="5">
        <f>IF(COUNTA(A1050:J1050)=0,"",IF(E1050="","Mangler motkonto",IF((F1050="")=(G1050=""),"Fyll ut enten Inn eller Ut",IF(OR(IFERROR(INDEX('Kontoplan'!$D$3:$D$302,MATCH(D1050,'Kontoplan'!$H$3:$H$302,0))="Støttes ikke",FALSE),IFERROR(INDEX('Kontoplan'!$D$3:$D$302,MATCH(E1050,'Kontoplan'!$H$3:$H$302,0))="Støttes ikke",FALSE)),"Kontoen støttes ikke",IF(IFERROR(AND(A1050&gt;1,COUNTIF($A$3:$A$2002,A1050-1)=0),FALSE),"Nummeret hopper over",IF(OR(NOT(ISNUMBER(B1050)),B1050&lt;DATE(2027,1,1),B1050&gt;DATE(2027,12,31)),"Datoen er ikke i 2027",""))))))</f>
        <v/>
      </c>
    </row>
    <row r="1051">
      <c r="A1051" s="17" t="n"/>
      <c r="B1051" s="9" t="n"/>
      <c r="C1051" s="8" t="n"/>
      <c r="D1051" s="8" t="n"/>
      <c r="E1051" s="8" t="n"/>
      <c r="F1051" s="14" t="n"/>
      <c r="G1051" s="14" t="n"/>
      <c r="H1051" s="8" t="n"/>
      <c r="I1051" s="8" t="n"/>
      <c r="J1051" s="8" t="n"/>
      <c r="K1051" s="18">
        <f>IF(B1051="","",IFERROR(MONTH(B1051),""))</f>
        <v/>
      </c>
      <c r="L1051" s="5">
        <f>IF(COUNTA(A1051:J1051)=0,"",IF(E1051="","Mangler motkonto",IF((F1051="")=(G1051=""),"Fyll ut enten Inn eller Ut",IF(OR(IFERROR(INDEX('Kontoplan'!$D$3:$D$302,MATCH(D1051,'Kontoplan'!$H$3:$H$302,0))="Støttes ikke",FALSE),IFERROR(INDEX('Kontoplan'!$D$3:$D$302,MATCH(E1051,'Kontoplan'!$H$3:$H$302,0))="Støttes ikke",FALSE)),"Kontoen støttes ikke",IF(IFERROR(AND(A1051&gt;1,COUNTIF($A$3:$A$2002,A1051-1)=0),FALSE),"Nummeret hopper over",IF(OR(NOT(ISNUMBER(B1051)),B1051&lt;DATE(2027,1,1),B1051&gt;DATE(2027,12,31)),"Datoen er ikke i 2027",""))))))</f>
        <v/>
      </c>
    </row>
    <row r="1052">
      <c r="A1052" s="17" t="n"/>
      <c r="B1052" s="9" t="n"/>
      <c r="C1052" s="8" t="n"/>
      <c r="D1052" s="8" t="n"/>
      <c r="E1052" s="8" t="n"/>
      <c r="F1052" s="14" t="n"/>
      <c r="G1052" s="14" t="n"/>
      <c r="H1052" s="8" t="n"/>
      <c r="I1052" s="8" t="n"/>
      <c r="J1052" s="8" t="n"/>
      <c r="K1052" s="18">
        <f>IF(B1052="","",IFERROR(MONTH(B1052),""))</f>
        <v/>
      </c>
      <c r="L1052" s="5">
        <f>IF(COUNTA(A1052:J1052)=0,"",IF(E1052="","Mangler motkonto",IF((F1052="")=(G1052=""),"Fyll ut enten Inn eller Ut",IF(OR(IFERROR(INDEX('Kontoplan'!$D$3:$D$302,MATCH(D1052,'Kontoplan'!$H$3:$H$302,0))="Støttes ikke",FALSE),IFERROR(INDEX('Kontoplan'!$D$3:$D$302,MATCH(E1052,'Kontoplan'!$H$3:$H$302,0))="Støttes ikke",FALSE)),"Kontoen støttes ikke",IF(IFERROR(AND(A1052&gt;1,COUNTIF($A$3:$A$2002,A1052-1)=0),FALSE),"Nummeret hopper over",IF(OR(NOT(ISNUMBER(B1052)),B1052&lt;DATE(2027,1,1),B1052&gt;DATE(2027,12,31)),"Datoen er ikke i 2027",""))))))</f>
        <v/>
      </c>
    </row>
    <row r="1053">
      <c r="A1053" s="17" t="n"/>
      <c r="B1053" s="9" t="n"/>
      <c r="C1053" s="8" t="n"/>
      <c r="D1053" s="8" t="n"/>
      <c r="E1053" s="8" t="n"/>
      <c r="F1053" s="14" t="n"/>
      <c r="G1053" s="14" t="n"/>
      <c r="H1053" s="8" t="n"/>
      <c r="I1053" s="8" t="n"/>
      <c r="J1053" s="8" t="n"/>
      <c r="K1053" s="18">
        <f>IF(B1053="","",IFERROR(MONTH(B1053),""))</f>
        <v/>
      </c>
      <c r="L1053" s="5">
        <f>IF(COUNTA(A1053:J1053)=0,"",IF(E1053="","Mangler motkonto",IF((F1053="")=(G1053=""),"Fyll ut enten Inn eller Ut",IF(OR(IFERROR(INDEX('Kontoplan'!$D$3:$D$302,MATCH(D1053,'Kontoplan'!$H$3:$H$302,0))="Støttes ikke",FALSE),IFERROR(INDEX('Kontoplan'!$D$3:$D$302,MATCH(E1053,'Kontoplan'!$H$3:$H$302,0))="Støttes ikke",FALSE)),"Kontoen støttes ikke",IF(IFERROR(AND(A1053&gt;1,COUNTIF($A$3:$A$2002,A1053-1)=0),FALSE),"Nummeret hopper over",IF(OR(NOT(ISNUMBER(B1053)),B1053&lt;DATE(2027,1,1),B1053&gt;DATE(2027,12,31)),"Datoen er ikke i 2027",""))))))</f>
        <v/>
      </c>
    </row>
    <row r="1054">
      <c r="A1054" s="17" t="n"/>
      <c r="B1054" s="9" t="n"/>
      <c r="C1054" s="8" t="n"/>
      <c r="D1054" s="8" t="n"/>
      <c r="E1054" s="8" t="n"/>
      <c r="F1054" s="14" t="n"/>
      <c r="G1054" s="14" t="n"/>
      <c r="H1054" s="8" t="n"/>
      <c r="I1054" s="8" t="n"/>
      <c r="J1054" s="8" t="n"/>
      <c r="K1054" s="18">
        <f>IF(B1054="","",IFERROR(MONTH(B1054),""))</f>
        <v/>
      </c>
      <c r="L1054" s="5">
        <f>IF(COUNTA(A1054:J1054)=0,"",IF(E1054="","Mangler motkonto",IF((F1054="")=(G1054=""),"Fyll ut enten Inn eller Ut",IF(OR(IFERROR(INDEX('Kontoplan'!$D$3:$D$302,MATCH(D1054,'Kontoplan'!$H$3:$H$302,0))="Støttes ikke",FALSE),IFERROR(INDEX('Kontoplan'!$D$3:$D$302,MATCH(E1054,'Kontoplan'!$H$3:$H$302,0))="Støttes ikke",FALSE)),"Kontoen støttes ikke",IF(IFERROR(AND(A1054&gt;1,COUNTIF($A$3:$A$2002,A1054-1)=0),FALSE),"Nummeret hopper over",IF(OR(NOT(ISNUMBER(B1054)),B1054&lt;DATE(2027,1,1),B1054&gt;DATE(2027,12,31)),"Datoen er ikke i 2027",""))))))</f>
        <v/>
      </c>
    </row>
    <row r="1055">
      <c r="A1055" s="17" t="n"/>
      <c r="B1055" s="9" t="n"/>
      <c r="C1055" s="8" t="n"/>
      <c r="D1055" s="8" t="n"/>
      <c r="E1055" s="8" t="n"/>
      <c r="F1055" s="14" t="n"/>
      <c r="G1055" s="14" t="n"/>
      <c r="H1055" s="8" t="n"/>
      <c r="I1055" s="8" t="n"/>
      <c r="J1055" s="8" t="n"/>
      <c r="K1055" s="18">
        <f>IF(B1055="","",IFERROR(MONTH(B1055),""))</f>
        <v/>
      </c>
      <c r="L1055" s="5">
        <f>IF(COUNTA(A1055:J1055)=0,"",IF(E1055="","Mangler motkonto",IF((F1055="")=(G1055=""),"Fyll ut enten Inn eller Ut",IF(OR(IFERROR(INDEX('Kontoplan'!$D$3:$D$302,MATCH(D1055,'Kontoplan'!$H$3:$H$302,0))="Støttes ikke",FALSE),IFERROR(INDEX('Kontoplan'!$D$3:$D$302,MATCH(E1055,'Kontoplan'!$H$3:$H$302,0))="Støttes ikke",FALSE)),"Kontoen støttes ikke",IF(IFERROR(AND(A1055&gt;1,COUNTIF($A$3:$A$2002,A1055-1)=0),FALSE),"Nummeret hopper over",IF(OR(NOT(ISNUMBER(B1055)),B1055&lt;DATE(2027,1,1),B1055&gt;DATE(2027,12,31)),"Datoen er ikke i 2027",""))))))</f>
        <v/>
      </c>
    </row>
    <row r="1056">
      <c r="A1056" s="17" t="n"/>
      <c r="B1056" s="9" t="n"/>
      <c r="C1056" s="8" t="n"/>
      <c r="D1056" s="8" t="n"/>
      <c r="E1056" s="8" t="n"/>
      <c r="F1056" s="14" t="n"/>
      <c r="G1056" s="14" t="n"/>
      <c r="H1056" s="8" t="n"/>
      <c r="I1056" s="8" t="n"/>
      <c r="J1056" s="8" t="n"/>
      <c r="K1056" s="18">
        <f>IF(B1056="","",IFERROR(MONTH(B1056),""))</f>
        <v/>
      </c>
      <c r="L1056" s="5">
        <f>IF(COUNTA(A1056:J1056)=0,"",IF(E1056="","Mangler motkonto",IF((F1056="")=(G1056=""),"Fyll ut enten Inn eller Ut",IF(OR(IFERROR(INDEX('Kontoplan'!$D$3:$D$302,MATCH(D1056,'Kontoplan'!$H$3:$H$302,0))="Støttes ikke",FALSE),IFERROR(INDEX('Kontoplan'!$D$3:$D$302,MATCH(E1056,'Kontoplan'!$H$3:$H$302,0))="Støttes ikke",FALSE)),"Kontoen støttes ikke",IF(IFERROR(AND(A1056&gt;1,COUNTIF($A$3:$A$2002,A1056-1)=0),FALSE),"Nummeret hopper over",IF(OR(NOT(ISNUMBER(B1056)),B1056&lt;DATE(2027,1,1),B1056&gt;DATE(2027,12,31)),"Datoen er ikke i 2027",""))))))</f>
        <v/>
      </c>
    </row>
    <row r="1057">
      <c r="A1057" s="17" t="n"/>
      <c r="B1057" s="9" t="n"/>
      <c r="C1057" s="8" t="n"/>
      <c r="D1057" s="8" t="n"/>
      <c r="E1057" s="8" t="n"/>
      <c r="F1057" s="14" t="n"/>
      <c r="G1057" s="14" t="n"/>
      <c r="H1057" s="8" t="n"/>
      <c r="I1057" s="8" t="n"/>
      <c r="J1057" s="8" t="n"/>
      <c r="K1057" s="18">
        <f>IF(B1057="","",IFERROR(MONTH(B1057),""))</f>
        <v/>
      </c>
      <c r="L1057" s="5">
        <f>IF(COUNTA(A1057:J1057)=0,"",IF(E1057="","Mangler motkonto",IF((F1057="")=(G1057=""),"Fyll ut enten Inn eller Ut",IF(OR(IFERROR(INDEX('Kontoplan'!$D$3:$D$302,MATCH(D1057,'Kontoplan'!$H$3:$H$302,0))="Støttes ikke",FALSE),IFERROR(INDEX('Kontoplan'!$D$3:$D$302,MATCH(E1057,'Kontoplan'!$H$3:$H$302,0))="Støttes ikke",FALSE)),"Kontoen støttes ikke",IF(IFERROR(AND(A1057&gt;1,COUNTIF($A$3:$A$2002,A1057-1)=0),FALSE),"Nummeret hopper over",IF(OR(NOT(ISNUMBER(B1057)),B1057&lt;DATE(2027,1,1),B1057&gt;DATE(2027,12,31)),"Datoen er ikke i 2027",""))))))</f>
        <v/>
      </c>
    </row>
    <row r="1058">
      <c r="A1058" s="17" t="n"/>
      <c r="B1058" s="9" t="n"/>
      <c r="C1058" s="8" t="n"/>
      <c r="D1058" s="8" t="n"/>
      <c r="E1058" s="8" t="n"/>
      <c r="F1058" s="14" t="n"/>
      <c r="G1058" s="14" t="n"/>
      <c r="H1058" s="8" t="n"/>
      <c r="I1058" s="8" t="n"/>
      <c r="J1058" s="8" t="n"/>
      <c r="K1058" s="18">
        <f>IF(B1058="","",IFERROR(MONTH(B1058),""))</f>
        <v/>
      </c>
      <c r="L1058" s="5">
        <f>IF(COUNTA(A1058:J1058)=0,"",IF(E1058="","Mangler motkonto",IF((F1058="")=(G1058=""),"Fyll ut enten Inn eller Ut",IF(OR(IFERROR(INDEX('Kontoplan'!$D$3:$D$302,MATCH(D1058,'Kontoplan'!$H$3:$H$302,0))="Støttes ikke",FALSE),IFERROR(INDEX('Kontoplan'!$D$3:$D$302,MATCH(E1058,'Kontoplan'!$H$3:$H$302,0))="Støttes ikke",FALSE)),"Kontoen støttes ikke",IF(IFERROR(AND(A1058&gt;1,COUNTIF($A$3:$A$2002,A1058-1)=0),FALSE),"Nummeret hopper over",IF(OR(NOT(ISNUMBER(B1058)),B1058&lt;DATE(2027,1,1),B1058&gt;DATE(2027,12,31)),"Datoen er ikke i 2027",""))))))</f>
        <v/>
      </c>
    </row>
    <row r="1059">
      <c r="A1059" s="17" t="n"/>
      <c r="B1059" s="9" t="n"/>
      <c r="C1059" s="8" t="n"/>
      <c r="D1059" s="8" t="n"/>
      <c r="E1059" s="8" t="n"/>
      <c r="F1059" s="14" t="n"/>
      <c r="G1059" s="14" t="n"/>
      <c r="H1059" s="8" t="n"/>
      <c r="I1059" s="8" t="n"/>
      <c r="J1059" s="8" t="n"/>
      <c r="K1059" s="18">
        <f>IF(B1059="","",IFERROR(MONTH(B1059),""))</f>
        <v/>
      </c>
      <c r="L1059" s="5">
        <f>IF(COUNTA(A1059:J1059)=0,"",IF(E1059="","Mangler motkonto",IF((F1059="")=(G1059=""),"Fyll ut enten Inn eller Ut",IF(OR(IFERROR(INDEX('Kontoplan'!$D$3:$D$302,MATCH(D1059,'Kontoplan'!$H$3:$H$302,0))="Støttes ikke",FALSE),IFERROR(INDEX('Kontoplan'!$D$3:$D$302,MATCH(E1059,'Kontoplan'!$H$3:$H$302,0))="Støttes ikke",FALSE)),"Kontoen støttes ikke",IF(IFERROR(AND(A1059&gt;1,COUNTIF($A$3:$A$2002,A1059-1)=0),FALSE),"Nummeret hopper over",IF(OR(NOT(ISNUMBER(B1059)),B1059&lt;DATE(2027,1,1),B1059&gt;DATE(2027,12,31)),"Datoen er ikke i 2027",""))))))</f>
        <v/>
      </c>
    </row>
    <row r="1060">
      <c r="A1060" s="17" t="n"/>
      <c r="B1060" s="9" t="n"/>
      <c r="C1060" s="8" t="n"/>
      <c r="D1060" s="8" t="n"/>
      <c r="E1060" s="8" t="n"/>
      <c r="F1060" s="14" t="n"/>
      <c r="G1060" s="14" t="n"/>
      <c r="H1060" s="8" t="n"/>
      <c r="I1060" s="8" t="n"/>
      <c r="J1060" s="8" t="n"/>
      <c r="K1060" s="18">
        <f>IF(B1060="","",IFERROR(MONTH(B1060),""))</f>
        <v/>
      </c>
      <c r="L1060" s="5">
        <f>IF(COUNTA(A1060:J1060)=0,"",IF(E1060="","Mangler motkonto",IF((F1060="")=(G1060=""),"Fyll ut enten Inn eller Ut",IF(OR(IFERROR(INDEX('Kontoplan'!$D$3:$D$302,MATCH(D1060,'Kontoplan'!$H$3:$H$302,0))="Støttes ikke",FALSE),IFERROR(INDEX('Kontoplan'!$D$3:$D$302,MATCH(E1060,'Kontoplan'!$H$3:$H$302,0))="Støttes ikke",FALSE)),"Kontoen støttes ikke",IF(IFERROR(AND(A1060&gt;1,COUNTIF($A$3:$A$2002,A1060-1)=0),FALSE),"Nummeret hopper over",IF(OR(NOT(ISNUMBER(B1060)),B1060&lt;DATE(2027,1,1),B1060&gt;DATE(2027,12,31)),"Datoen er ikke i 2027",""))))))</f>
        <v/>
      </c>
    </row>
    <row r="1061">
      <c r="A1061" s="17" t="n"/>
      <c r="B1061" s="9" t="n"/>
      <c r="C1061" s="8" t="n"/>
      <c r="D1061" s="8" t="n"/>
      <c r="E1061" s="8" t="n"/>
      <c r="F1061" s="14" t="n"/>
      <c r="G1061" s="14" t="n"/>
      <c r="H1061" s="8" t="n"/>
      <c r="I1061" s="8" t="n"/>
      <c r="J1061" s="8" t="n"/>
      <c r="K1061" s="18">
        <f>IF(B1061="","",IFERROR(MONTH(B1061),""))</f>
        <v/>
      </c>
      <c r="L1061" s="5">
        <f>IF(COUNTA(A1061:J1061)=0,"",IF(E1061="","Mangler motkonto",IF((F1061="")=(G1061=""),"Fyll ut enten Inn eller Ut",IF(OR(IFERROR(INDEX('Kontoplan'!$D$3:$D$302,MATCH(D1061,'Kontoplan'!$H$3:$H$302,0))="Støttes ikke",FALSE),IFERROR(INDEX('Kontoplan'!$D$3:$D$302,MATCH(E1061,'Kontoplan'!$H$3:$H$302,0))="Støttes ikke",FALSE)),"Kontoen støttes ikke",IF(IFERROR(AND(A1061&gt;1,COUNTIF($A$3:$A$2002,A1061-1)=0),FALSE),"Nummeret hopper over",IF(OR(NOT(ISNUMBER(B1061)),B1061&lt;DATE(2027,1,1),B1061&gt;DATE(2027,12,31)),"Datoen er ikke i 2027",""))))))</f>
        <v/>
      </c>
    </row>
    <row r="1062">
      <c r="A1062" s="17" t="n"/>
      <c r="B1062" s="9" t="n"/>
      <c r="C1062" s="8" t="n"/>
      <c r="D1062" s="8" t="n"/>
      <c r="E1062" s="8" t="n"/>
      <c r="F1062" s="14" t="n"/>
      <c r="G1062" s="14" t="n"/>
      <c r="H1062" s="8" t="n"/>
      <c r="I1062" s="8" t="n"/>
      <c r="J1062" s="8" t="n"/>
      <c r="K1062" s="18">
        <f>IF(B1062="","",IFERROR(MONTH(B1062),""))</f>
        <v/>
      </c>
      <c r="L1062" s="5">
        <f>IF(COUNTA(A1062:J1062)=0,"",IF(E1062="","Mangler motkonto",IF((F1062="")=(G1062=""),"Fyll ut enten Inn eller Ut",IF(OR(IFERROR(INDEX('Kontoplan'!$D$3:$D$302,MATCH(D1062,'Kontoplan'!$H$3:$H$302,0))="Støttes ikke",FALSE),IFERROR(INDEX('Kontoplan'!$D$3:$D$302,MATCH(E1062,'Kontoplan'!$H$3:$H$302,0))="Støttes ikke",FALSE)),"Kontoen støttes ikke",IF(IFERROR(AND(A1062&gt;1,COUNTIF($A$3:$A$2002,A1062-1)=0),FALSE),"Nummeret hopper over",IF(OR(NOT(ISNUMBER(B1062)),B1062&lt;DATE(2027,1,1),B1062&gt;DATE(2027,12,31)),"Datoen er ikke i 2027",""))))))</f>
        <v/>
      </c>
    </row>
    <row r="1063">
      <c r="A1063" s="17" t="n"/>
      <c r="B1063" s="9" t="n"/>
      <c r="C1063" s="8" t="n"/>
      <c r="D1063" s="8" t="n"/>
      <c r="E1063" s="8" t="n"/>
      <c r="F1063" s="14" t="n"/>
      <c r="G1063" s="14" t="n"/>
      <c r="H1063" s="8" t="n"/>
      <c r="I1063" s="8" t="n"/>
      <c r="J1063" s="8" t="n"/>
      <c r="K1063" s="18">
        <f>IF(B1063="","",IFERROR(MONTH(B1063),""))</f>
        <v/>
      </c>
      <c r="L1063" s="5">
        <f>IF(COUNTA(A1063:J1063)=0,"",IF(E1063="","Mangler motkonto",IF((F1063="")=(G1063=""),"Fyll ut enten Inn eller Ut",IF(OR(IFERROR(INDEX('Kontoplan'!$D$3:$D$302,MATCH(D1063,'Kontoplan'!$H$3:$H$302,0))="Støttes ikke",FALSE),IFERROR(INDEX('Kontoplan'!$D$3:$D$302,MATCH(E1063,'Kontoplan'!$H$3:$H$302,0))="Støttes ikke",FALSE)),"Kontoen støttes ikke",IF(IFERROR(AND(A1063&gt;1,COUNTIF($A$3:$A$2002,A1063-1)=0),FALSE),"Nummeret hopper over",IF(OR(NOT(ISNUMBER(B1063)),B1063&lt;DATE(2027,1,1),B1063&gt;DATE(2027,12,31)),"Datoen er ikke i 2027",""))))))</f>
        <v/>
      </c>
    </row>
    <row r="1064">
      <c r="A1064" s="17" t="n"/>
      <c r="B1064" s="9" t="n"/>
      <c r="C1064" s="8" t="n"/>
      <c r="D1064" s="8" t="n"/>
      <c r="E1064" s="8" t="n"/>
      <c r="F1064" s="14" t="n"/>
      <c r="G1064" s="14" t="n"/>
      <c r="H1064" s="8" t="n"/>
      <c r="I1064" s="8" t="n"/>
      <c r="J1064" s="8" t="n"/>
      <c r="K1064" s="18">
        <f>IF(B1064="","",IFERROR(MONTH(B1064),""))</f>
        <v/>
      </c>
      <c r="L1064" s="5">
        <f>IF(COUNTA(A1064:J1064)=0,"",IF(E1064="","Mangler motkonto",IF((F1064="")=(G1064=""),"Fyll ut enten Inn eller Ut",IF(OR(IFERROR(INDEX('Kontoplan'!$D$3:$D$302,MATCH(D1064,'Kontoplan'!$H$3:$H$302,0))="Støttes ikke",FALSE),IFERROR(INDEX('Kontoplan'!$D$3:$D$302,MATCH(E1064,'Kontoplan'!$H$3:$H$302,0))="Støttes ikke",FALSE)),"Kontoen støttes ikke",IF(IFERROR(AND(A1064&gt;1,COUNTIF($A$3:$A$2002,A1064-1)=0),FALSE),"Nummeret hopper over",IF(OR(NOT(ISNUMBER(B1064)),B1064&lt;DATE(2027,1,1),B1064&gt;DATE(2027,12,31)),"Datoen er ikke i 2027",""))))))</f>
        <v/>
      </c>
    </row>
    <row r="1065">
      <c r="A1065" s="17" t="n"/>
      <c r="B1065" s="9" t="n"/>
      <c r="C1065" s="8" t="n"/>
      <c r="D1065" s="8" t="n"/>
      <c r="E1065" s="8" t="n"/>
      <c r="F1065" s="14" t="n"/>
      <c r="G1065" s="14" t="n"/>
      <c r="H1065" s="8" t="n"/>
      <c r="I1065" s="8" t="n"/>
      <c r="J1065" s="8" t="n"/>
      <c r="K1065" s="18">
        <f>IF(B1065="","",IFERROR(MONTH(B1065),""))</f>
        <v/>
      </c>
      <c r="L1065" s="5">
        <f>IF(COUNTA(A1065:J1065)=0,"",IF(E1065="","Mangler motkonto",IF((F1065="")=(G1065=""),"Fyll ut enten Inn eller Ut",IF(OR(IFERROR(INDEX('Kontoplan'!$D$3:$D$302,MATCH(D1065,'Kontoplan'!$H$3:$H$302,0))="Støttes ikke",FALSE),IFERROR(INDEX('Kontoplan'!$D$3:$D$302,MATCH(E1065,'Kontoplan'!$H$3:$H$302,0))="Støttes ikke",FALSE)),"Kontoen støttes ikke",IF(IFERROR(AND(A1065&gt;1,COUNTIF($A$3:$A$2002,A1065-1)=0),FALSE),"Nummeret hopper over",IF(OR(NOT(ISNUMBER(B1065)),B1065&lt;DATE(2027,1,1),B1065&gt;DATE(2027,12,31)),"Datoen er ikke i 2027",""))))))</f>
        <v/>
      </c>
    </row>
    <row r="1066">
      <c r="A1066" s="17" t="n"/>
      <c r="B1066" s="9" t="n"/>
      <c r="C1066" s="8" t="n"/>
      <c r="D1066" s="8" t="n"/>
      <c r="E1066" s="8" t="n"/>
      <c r="F1066" s="14" t="n"/>
      <c r="G1066" s="14" t="n"/>
      <c r="H1066" s="8" t="n"/>
      <c r="I1066" s="8" t="n"/>
      <c r="J1066" s="8" t="n"/>
      <c r="K1066" s="18">
        <f>IF(B1066="","",IFERROR(MONTH(B1066),""))</f>
        <v/>
      </c>
      <c r="L1066" s="5">
        <f>IF(COUNTA(A1066:J1066)=0,"",IF(E1066="","Mangler motkonto",IF((F1066="")=(G1066=""),"Fyll ut enten Inn eller Ut",IF(OR(IFERROR(INDEX('Kontoplan'!$D$3:$D$302,MATCH(D1066,'Kontoplan'!$H$3:$H$302,0))="Støttes ikke",FALSE),IFERROR(INDEX('Kontoplan'!$D$3:$D$302,MATCH(E1066,'Kontoplan'!$H$3:$H$302,0))="Støttes ikke",FALSE)),"Kontoen støttes ikke",IF(IFERROR(AND(A1066&gt;1,COUNTIF($A$3:$A$2002,A1066-1)=0),FALSE),"Nummeret hopper over",IF(OR(NOT(ISNUMBER(B1066)),B1066&lt;DATE(2027,1,1),B1066&gt;DATE(2027,12,31)),"Datoen er ikke i 2027",""))))))</f>
        <v/>
      </c>
    </row>
    <row r="1067">
      <c r="A1067" s="17" t="n"/>
      <c r="B1067" s="9" t="n"/>
      <c r="C1067" s="8" t="n"/>
      <c r="D1067" s="8" t="n"/>
      <c r="E1067" s="8" t="n"/>
      <c r="F1067" s="14" t="n"/>
      <c r="G1067" s="14" t="n"/>
      <c r="H1067" s="8" t="n"/>
      <c r="I1067" s="8" t="n"/>
      <c r="J1067" s="8" t="n"/>
      <c r="K1067" s="18">
        <f>IF(B1067="","",IFERROR(MONTH(B1067),""))</f>
        <v/>
      </c>
      <c r="L1067" s="5">
        <f>IF(COUNTA(A1067:J1067)=0,"",IF(E1067="","Mangler motkonto",IF((F1067="")=(G1067=""),"Fyll ut enten Inn eller Ut",IF(OR(IFERROR(INDEX('Kontoplan'!$D$3:$D$302,MATCH(D1067,'Kontoplan'!$H$3:$H$302,0))="Støttes ikke",FALSE),IFERROR(INDEX('Kontoplan'!$D$3:$D$302,MATCH(E1067,'Kontoplan'!$H$3:$H$302,0))="Støttes ikke",FALSE)),"Kontoen støttes ikke",IF(IFERROR(AND(A1067&gt;1,COUNTIF($A$3:$A$2002,A1067-1)=0),FALSE),"Nummeret hopper over",IF(OR(NOT(ISNUMBER(B1067)),B1067&lt;DATE(2027,1,1),B1067&gt;DATE(2027,12,31)),"Datoen er ikke i 2027",""))))))</f>
        <v/>
      </c>
    </row>
    <row r="1068">
      <c r="A1068" s="17" t="n"/>
      <c r="B1068" s="9" t="n"/>
      <c r="C1068" s="8" t="n"/>
      <c r="D1068" s="8" t="n"/>
      <c r="E1068" s="8" t="n"/>
      <c r="F1068" s="14" t="n"/>
      <c r="G1068" s="14" t="n"/>
      <c r="H1068" s="8" t="n"/>
      <c r="I1068" s="8" t="n"/>
      <c r="J1068" s="8" t="n"/>
      <c r="K1068" s="18">
        <f>IF(B1068="","",IFERROR(MONTH(B1068),""))</f>
        <v/>
      </c>
      <c r="L1068" s="5">
        <f>IF(COUNTA(A1068:J1068)=0,"",IF(E1068="","Mangler motkonto",IF((F1068="")=(G1068=""),"Fyll ut enten Inn eller Ut",IF(OR(IFERROR(INDEX('Kontoplan'!$D$3:$D$302,MATCH(D1068,'Kontoplan'!$H$3:$H$302,0))="Støttes ikke",FALSE),IFERROR(INDEX('Kontoplan'!$D$3:$D$302,MATCH(E1068,'Kontoplan'!$H$3:$H$302,0))="Støttes ikke",FALSE)),"Kontoen støttes ikke",IF(IFERROR(AND(A1068&gt;1,COUNTIF($A$3:$A$2002,A1068-1)=0),FALSE),"Nummeret hopper over",IF(OR(NOT(ISNUMBER(B1068)),B1068&lt;DATE(2027,1,1),B1068&gt;DATE(2027,12,31)),"Datoen er ikke i 2027",""))))))</f>
        <v/>
      </c>
    </row>
    <row r="1069">
      <c r="A1069" s="17" t="n"/>
      <c r="B1069" s="9" t="n"/>
      <c r="C1069" s="8" t="n"/>
      <c r="D1069" s="8" t="n"/>
      <c r="E1069" s="8" t="n"/>
      <c r="F1069" s="14" t="n"/>
      <c r="G1069" s="14" t="n"/>
      <c r="H1069" s="8" t="n"/>
      <c r="I1069" s="8" t="n"/>
      <c r="J1069" s="8" t="n"/>
      <c r="K1069" s="18">
        <f>IF(B1069="","",IFERROR(MONTH(B1069),""))</f>
        <v/>
      </c>
      <c r="L1069" s="5">
        <f>IF(COUNTA(A1069:J1069)=0,"",IF(E1069="","Mangler motkonto",IF((F1069="")=(G1069=""),"Fyll ut enten Inn eller Ut",IF(OR(IFERROR(INDEX('Kontoplan'!$D$3:$D$302,MATCH(D1069,'Kontoplan'!$H$3:$H$302,0))="Støttes ikke",FALSE),IFERROR(INDEX('Kontoplan'!$D$3:$D$302,MATCH(E1069,'Kontoplan'!$H$3:$H$302,0))="Støttes ikke",FALSE)),"Kontoen støttes ikke",IF(IFERROR(AND(A1069&gt;1,COUNTIF($A$3:$A$2002,A1069-1)=0),FALSE),"Nummeret hopper over",IF(OR(NOT(ISNUMBER(B1069)),B1069&lt;DATE(2027,1,1),B1069&gt;DATE(2027,12,31)),"Datoen er ikke i 2027",""))))))</f>
        <v/>
      </c>
    </row>
    <row r="1070">
      <c r="A1070" s="17" t="n"/>
      <c r="B1070" s="9" t="n"/>
      <c r="C1070" s="8" t="n"/>
      <c r="D1070" s="8" t="n"/>
      <c r="E1070" s="8" t="n"/>
      <c r="F1070" s="14" t="n"/>
      <c r="G1070" s="14" t="n"/>
      <c r="H1070" s="8" t="n"/>
      <c r="I1070" s="8" t="n"/>
      <c r="J1070" s="8" t="n"/>
      <c r="K1070" s="18">
        <f>IF(B1070="","",IFERROR(MONTH(B1070),""))</f>
        <v/>
      </c>
      <c r="L1070" s="5">
        <f>IF(COUNTA(A1070:J1070)=0,"",IF(E1070="","Mangler motkonto",IF((F1070="")=(G1070=""),"Fyll ut enten Inn eller Ut",IF(OR(IFERROR(INDEX('Kontoplan'!$D$3:$D$302,MATCH(D1070,'Kontoplan'!$H$3:$H$302,0))="Støttes ikke",FALSE),IFERROR(INDEX('Kontoplan'!$D$3:$D$302,MATCH(E1070,'Kontoplan'!$H$3:$H$302,0))="Støttes ikke",FALSE)),"Kontoen støttes ikke",IF(IFERROR(AND(A1070&gt;1,COUNTIF($A$3:$A$2002,A1070-1)=0),FALSE),"Nummeret hopper over",IF(OR(NOT(ISNUMBER(B1070)),B1070&lt;DATE(2027,1,1),B1070&gt;DATE(2027,12,31)),"Datoen er ikke i 2027",""))))))</f>
        <v/>
      </c>
    </row>
    <row r="1071">
      <c r="A1071" s="17" t="n"/>
      <c r="B1071" s="9" t="n"/>
      <c r="C1071" s="8" t="n"/>
      <c r="D1071" s="8" t="n"/>
      <c r="E1071" s="8" t="n"/>
      <c r="F1071" s="14" t="n"/>
      <c r="G1071" s="14" t="n"/>
      <c r="H1071" s="8" t="n"/>
      <c r="I1071" s="8" t="n"/>
      <c r="J1071" s="8" t="n"/>
      <c r="K1071" s="18">
        <f>IF(B1071="","",IFERROR(MONTH(B1071),""))</f>
        <v/>
      </c>
      <c r="L1071" s="5">
        <f>IF(COUNTA(A1071:J1071)=0,"",IF(E1071="","Mangler motkonto",IF((F1071="")=(G1071=""),"Fyll ut enten Inn eller Ut",IF(OR(IFERROR(INDEX('Kontoplan'!$D$3:$D$302,MATCH(D1071,'Kontoplan'!$H$3:$H$302,0))="Støttes ikke",FALSE),IFERROR(INDEX('Kontoplan'!$D$3:$D$302,MATCH(E1071,'Kontoplan'!$H$3:$H$302,0))="Støttes ikke",FALSE)),"Kontoen støttes ikke",IF(IFERROR(AND(A1071&gt;1,COUNTIF($A$3:$A$2002,A1071-1)=0),FALSE),"Nummeret hopper over",IF(OR(NOT(ISNUMBER(B1071)),B1071&lt;DATE(2027,1,1),B1071&gt;DATE(2027,12,31)),"Datoen er ikke i 2027",""))))))</f>
        <v/>
      </c>
    </row>
    <row r="1072">
      <c r="A1072" s="17" t="n"/>
      <c r="B1072" s="9" t="n"/>
      <c r="C1072" s="8" t="n"/>
      <c r="D1072" s="8" t="n"/>
      <c r="E1072" s="8" t="n"/>
      <c r="F1072" s="14" t="n"/>
      <c r="G1072" s="14" t="n"/>
      <c r="H1072" s="8" t="n"/>
      <c r="I1072" s="8" t="n"/>
      <c r="J1072" s="8" t="n"/>
      <c r="K1072" s="18">
        <f>IF(B1072="","",IFERROR(MONTH(B1072),""))</f>
        <v/>
      </c>
      <c r="L1072" s="5">
        <f>IF(COUNTA(A1072:J1072)=0,"",IF(E1072="","Mangler motkonto",IF((F1072="")=(G1072=""),"Fyll ut enten Inn eller Ut",IF(OR(IFERROR(INDEX('Kontoplan'!$D$3:$D$302,MATCH(D1072,'Kontoplan'!$H$3:$H$302,0))="Støttes ikke",FALSE),IFERROR(INDEX('Kontoplan'!$D$3:$D$302,MATCH(E1072,'Kontoplan'!$H$3:$H$302,0))="Støttes ikke",FALSE)),"Kontoen støttes ikke",IF(IFERROR(AND(A1072&gt;1,COUNTIF($A$3:$A$2002,A1072-1)=0),FALSE),"Nummeret hopper over",IF(OR(NOT(ISNUMBER(B1072)),B1072&lt;DATE(2027,1,1),B1072&gt;DATE(2027,12,31)),"Datoen er ikke i 2027",""))))))</f>
        <v/>
      </c>
    </row>
    <row r="1073">
      <c r="A1073" s="17" t="n"/>
      <c r="B1073" s="9" t="n"/>
      <c r="C1073" s="8" t="n"/>
      <c r="D1073" s="8" t="n"/>
      <c r="E1073" s="8" t="n"/>
      <c r="F1073" s="14" t="n"/>
      <c r="G1073" s="14" t="n"/>
      <c r="H1073" s="8" t="n"/>
      <c r="I1073" s="8" t="n"/>
      <c r="J1073" s="8" t="n"/>
      <c r="K1073" s="18">
        <f>IF(B1073="","",IFERROR(MONTH(B1073),""))</f>
        <v/>
      </c>
      <c r="L1073" s="5">
        <f>IF(COUNTA(A1073:J1073)=0,"",IF(E1073="","Mangler motkonto",IF((F1073="")=(G1073=""),"Fyll ut enten Inn eller Ut",IF(OR(IFERROR(INDEX('Kontoplan'!$D$3:$D$302,MATCH(D1073,'Kontoplan'!$H$3:$H$302,0))="Støttes ikke",FALSE),IFERROR(INDEX('Kontoplan'!$D$3:$D$302,MATCH(E1073,'Kontoplan'!$H$3:$H$302,0))="Støttes ikke",FALSE)),"Kontoen støttes ikke",IF(IFERROR(AND(A1073&gt;1,COUNTIF($A$3:$A$2002,A1073-1)=0),FALSE),"Nummeret hopper over",IF(OR(NOT(ISNUMBER(B1073)),B1073&lt;DATE(2027,1,1),B1073&gt;DATE(2027,12,31)),"Datoen er ikke i 2027",""))))))</f>
        <v/>
      </c>
    </row>
    <row r="1074">
      <c r="A1074" s="17" t="n"/>
      <c r="B1074" s="9" t="n"/>
      <c r="C1074" s="8" t="n"/>
      <c r="D1074" s="8" t="n"/>
      <c r="E1074" s="8" t="n"/>
      <c r="F1074" s="14" t="n"/>
      <c r="G1074" s="14" t="n"/>
      <c r="H1074" s="8" t="n"/>
      <c r="I1074" s="8" t="n"/>
      <c r="J1074" s="8" t="n"/>
      <c r="K1074" s="18">
        <f>IF(B1074="","",IFERROR(MONTH(B1074),""))</f>
        <v/>
      </c>
      <c r="L1074" s="5">
        <f>IF(COUNTA(A1074:J1074)=0,"",IF(E1074="","Mangler motkonto",IF((F1074="")=(G1074=""),"Fyll ut enten Inn eller Ut",IF(OR(IFERROR(INDEX('Kontoplan'!$D$3:$D$302,MATCH(D1074,'Kontoplan'!$H$3:$H$302,0))="Støttes ikke",FALSE),IFERROR(INDEX('Kontoplan'!$D$3:$D$302,MATCH(E1074,'Kontoplan'!$H$3:$H$302,0))="Støttes ikke",FALSE)),"Kontoen støttes ikke",IF(IFERROR(AND(A1074&gt;1,COUNTIF($A$3:$A$2002,A1074-1)=0),FALSE),"Nummeret hopper over",IF(OR(NOT(ISNUMBER(B1074)),B1074&lt;DATE(2027,1,1),B1074&gt;DATE(2027,12,31)),"Datoen er ikke i 2027",""))))))</f>
        <v/>
      </c>
    </row>
    <row r="1075">
      <c r="A1075" s="17" t="n"/>
      <c r="B1075" s="9" t="n"/>
      <c r="C1075" s="8" t="n"/>
      <c r="D1075" s="8" t="n"/>
      <c r="E1075" s="8" t="n"/>
      <c r="F1075" s="14" t="n"/>
      <c r="G1075" s="14" t="n"/>
      <c r="H1075" s="8" t="n"/>
      <c r="I1075" s="8" t="n"/>
      <c r="J1075" s="8" t="n"/>
      <c r="K1075" s="18">
        <f>IF(B1075="","",IFERROR(MONTH(B1075),""))</f>
        <v/>
      </c>
      <c r="L1075" s="5">
        <f>IF(COUNTA(A1075:J1075)=0,"",IF(E1075="","Mangler motkonto",IF((F1075="")=(G1075=""),"Fyll ut enten Inn eller Ut",IF(OR(IFERROR(INDEX('Kontoplan'!$D$3:$D$302,MATCH(D1075,'Kontoplan'!$H$3:$H$302,0))="Støttes ikke",FALSE),IFERROR(INDEX('Kontoplan'!$D$3:$D$302,MATCH(E1075,'Kontoplan'!$H$3:$H$302,0))="Støttes ikke",FALSE)),"Kontoen støttes ikke",IF(IFERROR(AND(A1075&gt;1,COUNTIF($A$3:$A$2002,A1075-1)=0),FALSE),"Nummeret hopper over",IF(OR(NOT(ISNUMBER(B1075)),B1075&lt;DATE(2027,1,1),B1075&gt;DATE(2027,12,31)),"Datoen er ikke i 2027",""))))))</f>
        <v/>
      </c>
    </row>
    <row r="1076">
      <c r="A1076" s="17" t="n"/>
      <c r="B1076" s="9" t="n"/>
      <c r="C1076" s="8" t="n"/>
      <c r="D1076" s="8" t="n"/>
      <c r="E1076" s="8" t="n"/>
      <c r="F1076" s="14" t="n"/>
      <c r="G1076" s="14" t="n"/>
      <c r="H1076" s="8" t="n"/>
      <c r="I1076" s="8" t="n"/>
      <c r="J1076" s="8" t="n"/>
      <c r="K1076" s="18">
        <f>IF(B1076="","",IFERROR(MONTH(B1076),""))</f>
        <v/>
      </c>
      <c r="L1076" s="5">
        <f>IF(COUNTA(A1076:J1076)=0,"",IF(E1076="","Mangler motkonto",IF((F1076="")=(G1076=""),"Fyll ut enten Inn eller Ut",IF(OR(IFERROR(INDEX('Kontoplan'!$D$3:$D$302,MATCH(D1076,'Kontoplan'!$H$3:$H$302,0))="Støttes ikke",FALSE),IFERROR(INDEX('Kontoplan'!$D$3:$D$302,MATCH(E1076,'Kontoplan'!$H$3:$H$302,0))="Støttes ikke",FALSE)),"Kontoen støttes ikke",IF(IFERROR(AND(A1076&gt;1,COUNTIF($A$3:$A$2002,A1076-1)=0),FALSE),"Nummeret hopper over",IF(OR(NOT(ISNUMBER(B1076)),B1076&lt;DATE(2027,1,1),B1076&gt;DATE(2027,12,31)),"Datoen er ikke i 2027",""))))))</f>
        <v/>
      </c>
    </row>
    <row r="1077">
      <c r="A1077" s="17" t="n"/>
      <c r="B1077" s="9" t="n"/>
      <c r="C1077" s="8" t="n"/>
      <c r="D1077" s="8" t="n"/>
      <c r="E1077" s="8" t="n"/>
      <c r="F1077" s="14" t="n"/>
      <c r="G1077" s="14" t="n"/>
      <c r="H1077" s="8" t="n"/>
      <c r="I1077" s="8" t="n"/>
      <c r="J1077" s="8" t="n"/>
      <c r="K1077" s="18">
        <f>IF(B1077="","",IFERROR(MONTH(B1077),""))</f>
        <v/>
      </c>
      <c r="L1077" s="5">
        <f>IF(COUNTA(A1077:J1077)=0,"",IF(E1077="","Mangler motkonto",IF((F1077="")=(G1077=""),"Fyll ut enten Inn eller Ut",IF(OR(IFERROR(INDEX('Kontoplan'!$D$3:$D$302,MATCH(D1077,'Kontoplan'!$H$3:$H$302,0))="Støttes ikke",FALSE),IFERROR(INDEX('Kontoplan'!$D$3:$D$302,MATCH(E1077,'Kontoplan'!$H$3:$H$302,0))="Støttes ikke",FALSE)),"Kontoen støttes ikke",IF(IFERROR(AND(A1077&gt;1,COUNTIF($A$3:$A$2002,A1077-1)=0),FALSE),"Nummeret hopper over",IF(OR(NOT(ISNUMBER(B1077)),B1077&lt;DATE(2027,1,1),B1077&gt;DATE(2027,12,31)),"Datoen er ikke i 2027",""))))))</f>
        <v/>
      </c>
    </row>
    <row r="1078">
      <c r="A1078" s="17" t="n"/>
      <c r="B1078" s="9" t="n"/>
      <c r="C1078" s="8" t="n"/>
      <c r="D1078" s="8" t="n"/>
      <c r="E1078" s="8" t="n"/>
      <c r="F1078" s="14" t="n"/>
      <c r="G1078" s="14" t="n"/>
      <c r="H1078" s="8" t="n"/>
      <c r="I1078" s="8" t="n"/>
      <c r="J1078" s="8" t="n"/>
      <c r="K1078" s="18">
        <f>IF(B1078="","",IFERROR(MONTH(B1078),""))</f>
        <v/>
      </c>
      <c r="L1078" s="5">
        <f>IF(COUNTA(A1078:J1078)=0,"",IF(E1078="","Mangler motkonto",IF((F1078="")=(G1078=""),"Fyll ut enten Inn eller Ut",IF(OR(IFERROR(INDEX('Kontoplan'!$D$3:$D$302,MATCH(D1078,'Kontoplan'!$H$3:$H$302,0))="Støttes ikke",FALSE),IFERROR(INDEX('Kontoplan'!$D$3:$D$302,MATCH(E1078,'Kontoplan'!$H$3:$H$302,0))="Støttes ikke",FALSE)),"Kontoen støttes ikke",IF(IFERROR(AND(A1078&gt;1,COUNTIF($A$3:$A$2002,A1078-1)=0),FALSE),"Nummeret hopper over",IF(OR(NOT(ISNUMBER(B1078)),B1078&lt;DATE(2027,1,1),B1078&gt;DATE(2027,12,31)),"Datoen er ikke i 2027",""))))))</f>
        <v/>
      </c>
    </row>
    <row r="1079">
      <c r="A1079" s="17" t="n"/>
      <c r="B1079" s="9" t="n"/>
      <c r="C1079" s="8" t="n"/>
      <c r="D1079" s="8" t="n"/>
      <c r="E1079" s="8" t="n"/>
      <c r="F1079" s="14" t="n"/>
      <c r="G1079" s="14" t="n"/>
      <c r="H1079" s="8" t="n"/>
      <c r="I1079" s="8" t="n"/>
      <c r="J1079" s="8" t="n"/>
      <c r="K1079" s="18">
        <f>IF(B1079="","",IFERROR(MONTH(B1079),""))</f>
        <v/>
      </c>
      <c r="L1079" s="5">
        <f>IF(COUNTA(A1079:J1079)=0,"",IF(E1079="","Mangler motkonto",IF((F1079="")=(G1079=""),"Fyll ut enten Inn eller Ut",IF(OR(IFERROR(INDEX('Kontoplan'!$D$3:$D$302,MATCH(D1079,'Kontoplan'!$H$3:$H$302,0))="Støttes ikke",FALSE),IFERROR(INDEX('Kontoplan'!$D$3:$D$302,MATCH(E1079,'Kontoplan'!$H$3:$H$302,0))="Støttes ikke",FALSE)),"Kontoen støttes ikke",IF(IFERROR(AND(A1079&gt;1,COUNTIF($A$3:$A$2002,A1079-1)=0),FALSE),"Nummeret hopper over",IF(OR(NOT(ISNUMBER(B1079)),B1079&lt;DATE(2027,1,1),B1079&gt;DATE(2027,12,31)),"Datoen er ikke i 2027",""))))))</f>
        <v/>
      </c>
    </row>
    <row r="1080">
      <c r="A1080" s="17" t="n"/>
      <c r="B1080" s="9" t="n"/>
      <c r="C1080" s="8" t="n"/>
      <c r="D1080" s="8" t="n"/>
      <c r="E1080" s="8" t="n"/>
      <c r="F1080" s="14" t="n"/>
      <c r="G1080" s="14" t="n"/>
      <c r="H1080" s="8" t="n"/>
      <c r="I1080" s="8" t="n"/>
      <c r="J1080" s="8" t="n"/>
      <c r="K1080" s="18">
        <f>IF(B1080="","",IFERROR(MONTH(B1080),""))</f>
        <v/>
      </c>
      <c r="L1080" s="5">
        <f>IF(COUNTA(A1080:J1080)=0,"",IF(E1080="","Mangler motkonto",IF((F1080="")=(G1080=""),"Fyll ut enten Inn eller Ut",IF(OR(IFERROR(INDEX('Kontoplan'!$D$3:$D$302,MATCH(D1080,'Kontoplan'!$H$3:$H$302,0))="Støttes ikke",FALSE),IFERROR(INDEX('Kontoplan'!$D$3:$D$302,MATCH(E1080,'Kontoplan'!$H$3:$H$302,0))="Støttes ikke",FALSE)),"Kontoen støttes ikke",IF(IFERROR(AND(A1080&gt;1,COUNTIF($A$3:$A$2002,A1080-1)=0),FALSE),"Nummeret hopper over",IF(OR(NOT(ISNUMBER(B1080)),B1080&lt;DATE(2027,1,1),B1080&gt;DATE(2027,12,31)),"Datoen er ikke i 2027",""))))))</f>
        <v/>
      </c>
    </row>
    <row r="1081">
      <c r="A1081" s="17" t="n"/>
      <c r="B1081" s="9" t="n"/>
      <c r="C1081" s="8" t="n"/>
      <c r="D1081" s="8" t="n"/>
      <c r="E1081" s="8" t="n"/>
      <c r="F1081" s="14" t="n"/>
      <c r="G1081" s="14" t="n"/>
      <c r="H1081" s="8" t="n"/>
      <c r="I1081" s="8" t="n"/>
      <c r="J1081" s="8" t="n"/>
      <c r="K1081" s="18">
        <f>IF(B1081="","",IFERROR(MONTH(B1081),""))</f>
        <v/>
      </c>
      <c r="L1081" s="5">
        <f>IF(COUNTA(A1081:J1081)=0,"",IF(E1081="","Mangler motkonto",IF((F1081="")=(G1081=""),"Fyll ut enten Inn eller Ut",IF(OR(IFERROR(INDEX('Kontoplan'!$D$3:$D$302,MATCH(D1081,'Kontoplan'!$H$3:$H$302,0))="Støttes ikke",FALSE),IFERROR(INDEX('Kontoplan'!$D$3:$D$302,MATCH(E1081,'Kontoplan'!$H$3:$H$302,0))="Støttes ikke",FALSE)),"Kontoen støttes ikke",IF(IFERROR(AND(A1081&gt;1,COUNTIF($A$3:$A$2002,A1081-1)=0),FALSE),"Nummeret hopper over",IF(OR(NOT(ISNUMBER(B1081)),B1081&lt;DATE(2027,1,1),B1081&gt;DATE(2027,12,31)),"Datoen er ikke i 2027",""))))))</f>
        <v/>
      </c>
    </row>
    <row r="1082">
      <c r="A1082" s="17" t="n"/>
      <c r="B1082" s="9" t="n"/>
      <c r="C1082" s="8" t="n"/>
      <c r="D1082" s="8" t="n"/>
      <c r="E1082" s="8" t="n"/>
      <c r="F1082" s="14" t="n"/>
      <c r="G1082" s="14" t="n"/>
      <c r="H1082" s="8" t="n"/>
      <c r="I1082" s="8" t="n"/>
      <c r="J1082" s="8" t="n"/>
      <c r="K1082" s="18">
        <f>IF(B1082="","",IFERROR(MONTH(B1082),""))</f>
        <v/>
      </c>
      <c r="L1082" s="5">
        <f>IF(COUNTA(A1082:J1082)=0,"",IF(E1082="","Mangler motkonto",IF((F1082="")=(G1082=""),"Fyll ut enten Inn eller Ut",IF(OR(IFERROR(INDEX('Kontoplan'!$D$3:$D$302,MATCH(D1082,'Kontoplan'!$H$3:$H$302,0))="Støttes ikke",FALSE),IFERROR(INDEX('Kontoplan'!$D$3:$D$302,MATCH(E1082,'Kontoplan'!$H$3:$H$302,0))="Støttes ikke",FALSE)),"Kontoen støttes ikke",IF(IFERROR(AND(A1082&gt;1,COUNTIF($A$3:$A$2002,A1082-1)=0),FALSE),"Nummeret hopper over",IF(OR(NOT(ISNUMBER(B1082)),B1082&lt;DATE(2027,1,1),B1082&gt;DATE(2027,12,31)),"Datoen er ikke i 2027",""))))))</f>
        <v/>
      </c>
    </row>
    <row r="1083">
      <c r="A1083" s="17" t="n"/>
      <c r="B1083" s="9" t="n"/>
      <c r="C1083" s="8" t="n"/>
      <c r="D1083" s="8" t="n"/>
      <c r="E1083" s="8" t="n"/>
      <c r="F1083" s="14" t="n"/>
      <c r="G1083" s="14" t="n"/>
      <c r="H1083" s="8" t="n"/>
      <c r="I1083" s="8" t="n"/>
      <c r="J1083" s="8" t="n"/>
      <c r="K1083" s="18">
        <f>IF(B1083="","",IFERROR(MONTH(B1083),""))</f>
        <v/>
      </c>
      <c r="L1083" s="5">
        <f>IF(COUNTA(A1083:J1083)=0,"",IF(E1083="","Mangler motkonto",IF((F1083="")=(G1083=""),"Fyll ut enten Inn eller Ut",IF(OR(IFERROR(INDEX('Kontoplan'!$D$3:$D$302,MATCH(D1083,'Kontoplan'!$H$3:$H$302,0))="Støttes ikke",FALSE),IFERROR(INDEX('Kontoplan'!$D$3:$D$302,MATCH(E1083,'Kontoplan'!$H$3:$H$302,0))="Støttes ikke",FALSE)),"Kontoen støttes ikke",IF(IFERROR(AND(A1083&gt;1,COUNTIF($A$3:$A$2002,A1083-1)=0),FALSE),"Nummeret hopper over",IF(OR(NOT(ISNUMBER(B1083)),B1083&lt;DATE(2027,1,1),B1083&gt;DATE(2027,12,31)),"Datoen er ikke i 2027",""))))))</f>
        <v/>
      </c>
    </row>
    <row r="1084">
      <c r="A1084" s="17" t="n"/>
      <c r="B1084" s="9" t="n"/>
      <c r="C1084" s="8" t="n"/>
      <c r="D1084" s="8" t="n"/>
      <c r="E1084" s="8" t="n"/>
      <c r="F1084" s="14" t="n"/>
      <c r="G1084" s="14" t="n"/>
      <c r="H1084" s="8" t="n"/>
      <c r="I1084" s="8" t="n"/>
      <c r="J1084" s="8" t="n"/>
      <c r="K1084" s="18">
        <f>IF(B1084="","",IFERROR(MONTH(B1084),""))</f>
        <v/>
      </c>
      <c r="L1084" s="5">
        <f>IF(COUNTA(A1084:J1084)=0,"",IF(E1084="","Mangler motkonto",IF((F1084="")=(G1084=""),"Fyll ut enten Inn eller Ut",IF(OR(IFERROR(INDEX('Kontoplan'!$D$3:$D$302,MATCH(D1084,'Kontoplan'!$H$3:$H$302,0))="Støttes ikke",FALSE),IFERROR(INDEX('Kontoplan'!$D$3:$D$302,MATCH(E1084,'Kontoplan'!$H$3:$H$302,0))="Støttes ikke",FALSE)),"Kontoen støttes ikke",IF(IFERROR(AND(A1084&gt;1,COUNTIF($A$3:$A$2002,A1084-1)=0),FALSE),"Nummeret hopper over",IF(OR(NOT(ISNUMBER(B1084)),B1084&lt;DATE(2027,1,1),B1084&gt;DATE(2027,12,31)),"Datoen er ikke i 2027",""))))))</f>
        <v/>
      </c>
    </row>
    <row r="1085">
      <c r="A1085" s="17" t="n"/>
      <c r="B1085" s="9" t="n"/>
      <c r="C1085" s="8" t="n"/>
      <c r="D1085" s="8" t="n"/>
      <c r="E1085" s="8" t="n"/>
      <c r="F1085" s="14" t="n"/>
      <c r="G1085" s="14" t="n"/>
      <c r="H1085" s="8" t="n"/>
      <c r="I1085" s="8" t="n"/>
      <c r="J1085" s="8" t="n"/>
      <c r="K1085" s="18">
        <f>IF(B1085="","",IFERROR(MONTH(B1085),""))</f>
        <v/>
      </c>
      <c r="L1085" s="5">
        <f>IF(COUNTA(A1085:J1085)=0,"",IF(E1085="","Mangler motkonto",IF((F1085="")=(G1085=""),"Fyll ut enten Inn eller Ut",IF(OR(IFERROR(INDEX('Kontoplan'!$D$3:$D$302,MATCH(D1085,'Kontoplan'!$H$3:$H$302,0))="Støttes ikke",FALSE),IFERROR(INDEX('Kontoplan'!$D$3:$D$302,MATCH(E1085,'Kontoplan'!$H$3:$H$302,0))="Støttes ikke",FALSE)),"Kontoen støttes ikke",IF(IFERROR(AND(A1085&gt;1,COUNTIF($A$3:$A$2002,A1085-1)=0),FALSE),"Nummeret hopper over",IF(OR(NOT(ISNUMBER(B1085)),B1085&lt;DATE(2027,1,1),B1085&gt;DATE(2027,12,31)),"Datoen er ikke i 2027",""))))))</f>
        <v/>
      </c>
    </row>
    <row r="1086">
      <c r="A1086" s="17" t="n"/>
      <c r="B1086" s="9" t="n"/>
      <c r="C1086" s="8" t="n"/>
      <c r="D1086" s="8" t="n"/>
      <c r="E1086" s="8" t="n"/>
      <c r="F1086" s="14" t="n"/>
      <c r="G1086" s="14" t="n"/>
      <c r="H1086" s="8" t="n"/>
      <c r="I1086" s="8" t="n"/>
      <c r="J1086" s="8" t="n"/>
      <c r="K1086" s="18">
        <f>IF(B1086="","",IFERROR(MONTH(B1086),""))</f>
        <v/>
      </c>
      <c r="L1086" s="5">
        <f>IF(COUNTA(A1086:J1086)=0,"",IF(E1086="","Mangler motkonto",IF((F1086="")=(G1086=""),"Fyll ut enten Inn eller Ut",IF(OR(IFERROR(INDEX('Kontoplan'!$D$3:$D$302,MATCH(D1086,'Kontoplan'!$H$3:$H$302,0))="Støttes ikke",FALSE),IFERROR(INDEX('Kontoplan'!$D$3:$D$302,MATCH(E1086,'Kontoplan'!$H$3:$H$302,0))="Støttes ikke",FALSE)),"Kontoen støttes ikke",IF(IFERROR(AND(A1086&gt;1,COUNTIF($A$3:$A$2002,A1086-1)=0),FALSE),"Nummeret hopper over",IF(OR(NOT(ISNUMBER(B1086)),B1086&lt;DATE(2027,1,1),B1086&gt;DATE(2027,12,31)),"Datoen er ikke i 2027",""))))))</f>
        <v/>
      </c>
    </row>
    <row r="1087">
      <c r="A1087" s="17" t="n"/>
      <c r="B1087" s="9" t="n"/>
      <c r="C1087" s="8" t="n"/>
      <c r="D1087" s="8" t="n"/>
      <c r="E1087" s="8" t="n"/>
      <c r="F1087" s="14" t="n"/>
      <c r="G1087" s="14" t="n"/>
      <c r="H1087" s="8" t="n"/>
      <c r="I1087" s="8" t="n"/>
      <c r="J1087" s="8" t="n"/>
      <c r="K1087" s="18">
        <f>IF(B1087="","",IFERROR(MONTH(B1087),""))</f>
        <v/>
      </c>
      <c r="L1087" s="5">
        <f>IF(COUNTA(A1087:J1087)=0,"",IF(E1087="","Mangler motkonto",IF((F1087="")=(G1087=""),"Fyll ut enten Inn eller Ut",IF(OR(IFERROR(INDEX('Kontoplan'!$D$3:$D$302,MATCH(D1087,'Kontoplan'!$H$3:$H$302,0))="Støttes ikke",FALSE),IFERROR(INDEX('Kontoplan'!$D$3:$D$302,MATCH(E1087,'Kontoplan'!$H$3:$H$302,0))="Støttes ikke",FALSE)),"Kontoen støttes ikke",IF(IFERROR(AND(A1087&gt;1,COUNTIF($A$3:$A$2002,A1087-1)=0),FALSE),"Nummeret hopper over",IF(OR(NOT(ISNUMBER(B1087)),B1087&lt;DATE(2027,1,1),B1087&gt;DATE(2027,12,31)),"Datoen er ikke i 2027",""))))))</f>
        <v/>
      </c>
    </row>
    <row r="1088">
      <c r="A1088" s="17" t="n"/>
      <c r="B1088" s="9" t="n"/>
      <c r="C1088" s="8" t="n"/>
      <c r="D1088" s="8" t="n"/>
      <c r="E1088" s="8" t="n"/>
      <c r="F1088" s="14" t="n"/>
      <c r="G1088" s="14" t="n"/>
      <c r="H1088" s="8" t="n"/>
      <c r="I1088" s="8" t="n"/>
      <c r="J1088" s="8" t="n"/>
      <c r="K1088" s="18">
        <f>IF(B1088="","",IFERROR(MONTH(B1088),""))</f>
        <v/>
      </c>
      <c r="L1088" s="5">
        <f>IF(COUNTA(A1088:J1088)=0,"",IF(E1088="","Mangler motkonto",IF((F1088="")=(G1088=""),"Fyll ut enten Inn eller Ut",IF(OR(IFERROR(INDEX('Kontoplan'!$D$3:$D$302,MATCH(D1088,'Kontoplan'!$H$3:$H$302,0))="Støttes ikke",FALSE),IFERROR(INDEX('Kontoplan'!$D$3:$D$302,MATCH(E1088,'Kontoplan'!$H$3:$H$302,0))="Støttes ikke",FALSE)),"Kontoen støttes ikke",IF(IFERROR(AND(A1088&gt;1,COUNTIF($A$3:$A$2002,A1088-1)=0),FALSE),"Nummeret hopper over",IF(OR(NOT(ISNUMBER(B1088)),B1088&lt;DATE(2027,1,1),B1088&gt;DATE(2027,12,31)),"Datoen er ikke i 2027",""))))))</f>
        <v/>
      </c>
    </row>
    <row r="1089">
      <c r="A1089" s="17" t="n"/>
      <c r="B1089" s="9" t="n"/>
      <c r="C1089" s="8" t="n"/>
      <c r="D1089" s="8" t="n"/>
      <c r="E1089" s="8" t="n"/>
      <c r="F1089" s="14" t="n"/>
      <c r="G1089" s="14" t="n"/>
      <c r="H1089" s="8" t="n"/>
      <c r="I1089" s="8" t="n"/>
      <c r="J1089" s="8" t="n"/>
      <c r="K1089" s="18">
        <f>IF(B1089="","",IFERROR(MONTH(B1089),""))</f>
        <v/>
      </c>
      <c r="L1089" s="5">
        <f>IF(COUNTA(A1089:J1089)=0,"",IF(E1089="","Mangler motkonto",IF((F1089="")=(G1089=""),"Fyll ut enten Inn eller Ut",IF(OR(IFERROR(INDEX('Kontoplan'!$D$3:$D$302,MATCH(D1089,'Kontoplan'!$H$3:$H$302,0))="Støttes ikke",FALSE),IFERROR(INDEX('Kontoplan'!$D$3:$D$302,MATCH(E1089,'Kontoplan'!$H$3:$H$302,0))="Støttes ikke",FALSE)),"Kontoen støttes ikke",IF(IFERROR(AND(A1089&gt;1,COUNTIF($A$3:$A$2002,A1089-1)=0),FALSE),"Nummeret hopper over",IF(OR(NOT(ISNUMBER(B1089)),B1089&lt;DATE(2027,1,1),B1089&gt;DATE(2027,12,31)),"Datoen er ikke i 2027",""))))))</f>
        <v/>
      </c>
    </row>
    <row r="1090">
      <c r="A1090" s="17" t="n"/>
      <c r="B1090" s="9" t="n"/>
      <c r="C1090" s="8" t="n"/>
      <c r="D1090" s="8" t="n"/>
      <c r="E1090" s="8" t="n"/>
      <c r="F1090" s="14" t="n"/>
      <c r="G1090" s="14" t="n"/>
      <c r="H1090" s="8" t="n"/>
      <c r="I1090" s="8" t="n"/>
      <c r="J1090" s="8" t="n"/>
      <c r="K1090" s="18">
        <f>IF(B1090="","",IFERROR(MONTH(B1090),""))</f>
        <v/>
      </c>
      <c r="L1090" s="5">
        <f>IF(COUNTA(A1090:J1090)=0,"",IF(E1090="","Mangler motkonto",IF((F1090="")=(G1090=""),"Fyll ut enten Inn eller Ut",IF(OR(IFERROR(INDEX('Kontoplan'!$D$3:$D$302,MATCH(D1090,'Kontoplan'!$H$3:$H$302,0))="Støttes ikke",FALSE),IFERROR(INDEX('Kontoplan'!$D$3:$D$302,MATCH(E1090,'Kontoplan'!$H$3:$H$302,0))="Støttes ikke",FALSE)),"Kontoen støttes ikke",IF(IFERROR(AND(A1090&gt;1,COUNTIF($A$3:$A$2002,A1090-1)=0),FALSE),"Nummeret hopper over",IF(OR(NOT(ISNUMBER(B1090)),B1090&lt;DATE(2027,1,1),B1090&gt;DATE(2027,12,31)),"Datoen er ikke i 2027",""))))))</f>
        <v/>
      </c>
    </row>
    <row r="1091">
      <c r="A1091" s="17" t="n"/>
      <c r="B1091" s="9" t="n"/>
      <c r="C1091" s="8" t="n"/>
      <c r="D1091" s="8" t="n"/>
      <c r="E1091" s="8" t="n"/>
      <c r="F1091" s="14" t="n"/>
      <c r="G1091" s="14" t="n"/>
      <c r="H1091" s="8" t="n"/>
      <c r="I1091" s="8" t="n"/>
      <c r="J1091" s="8" t="n"/>
      <c r="K1091" s="18">
        <f>IF(B1091="","",IFERROR(MONTH(B1091),""))</f>
        <v/>
      </c>
      <c r="L1091" s="5">
        <f>IF(COUNTA(A1091:J1091)=0,"",IF(E1091="","Mangler motkonto",IF((F1091="")=(G1091=""),"Fyll ut enten Inn eller Ut",IF(OR(IFERROR(INDEX('Kontoplan'!$D$3:$D$302,MATCH(D1091,'Kontoplan'!$H$3:$H$302,0))="Støttes ikke",FALSE),IFERROR(INDEX('Kontoplan'!$D$3:$D$302,MATCH(E1091,'Kontoplan'!$H$3:$H$302,0))="Støttes ikke",FALSE)),"Kontoen støttes ikke",IF(IFERROR(AND(A1091&gt;1,COUNTIF($A$3:$A$2002,A1091-1)=0),FALSE),"Nummeret hopper over",IF(OR(NOT(ISNUMBER(B1091)),B1091&lt;DATE(2027,1,1),B1091&gt;DATE(2027,12,31)),"Datoen er ikke i 2027",""))))))</f>
        <v/>
      </c>
    </row>
    <row r="1092">
      <c r="A1092" s="17" t="n"/>
      <c r="B1092" s="9" t="n"/>
      <c r="C1092" s="8" t="n"/>
      <c r="D1092" s="8" t="n"/>
      <c r="E1092" s="8" t="n"/>
      <c r="F1092" s="14" t="n"/>
      <c r="G1092" s="14" t="n"/>
      <c r="H1092" s="8" t="n"/>
      <c r="I1092" s="8" t="n"/>
      <c r="J1092" s="8" t="n"/>
      <c r="K1092" s="18">
        <f>IF(B1092="","",IFERROR(MONTH(B1092),""))</f>
        <v/>
      </c>
      <c r="L1092" s="5">
        <f>IF(COUNTA(A1092:J1092)=0,"",IF(E1092="","Mangler motkonto",IF((F1092="")=(G1092=""),"Fyll ut enten Inn eller Ut",IF(OR(IFERROR(INDEX('Kontoplan'!$D$3:$D$302,MATCH(D1092,'Kontoplan'!$H$3:$H$302,0))="Støttes ikke",FALSE),IFERROR(INDEX('Kontoplan'!$D$3:$D$302,MATCH(E1092,'Kontoplan'!$H$3:$H$302,0))="Støttes ikke",FALSE)),"Kontoen støttes ikke",IF(IFERROR(AND(A1092&gt;1,COUNTIF($A$3:$A$2002,A1092-1)=0),FALSE),"Nummeret hopper over",IF(OR(NOT(ISNUMBER(B1092)),B1092&lt;DATE(2027,1,1),B1092&gt;DATE(2027,12,31)),"Datoen er ikke i 2027",""))))))</f>
        <v/>
      </c>
    </row>
    <row r="1093">
      <c r="A1093" s="17" t="n"/>
      <c r="B1093" s="9" t="n"/>
      <c r="C1093" s="8" t="n"/>
      <c r="D1093" s="8" t="n"/>
      <c r="E1093" s="8" t="n"/>
      <c r="F1093" s="14" t="n"/>
      <c r="G1093" s="14" t="n"/>
      <c r="H1093" s="8" t="n"/>
      <c r="I1093" s="8" t="n"/>
      <c r="J1093" s="8" t="n"/>
      <c r="K1093" s="18">
        <f>IF(B1093="","",IFERROR(MONTH(B1093),""))</f>
        <v/>
      </c>
      <c r="L1093" s="5">
        <f>IF(COUNTA(A1093:J1093)=0,"",IF(E1093="","Mangler motkonto",IF((F1093="")=(G1093=""),"Fyll ut enten Inn eller Ut",IF(OR(IFERROR(INDEX('Kontoplan'!$D$3:$D$302,MATCH(D1093,'Kontoplan'!$H$3:$H$302,0))="Støttes ikke",FALSE),IFERROR(INDEX('Kontoplan'!$D$3:$D$302,MATCH(E1093,'Kontoplan'!$H$3:$H$302,0))="Støttes ikke",FALSE)),"Kontoen støttes ikke",IF(IFERROR(AND(A1093&gt;1,COUNTIF($A$3:$A$2002,A1093-1)=0),FALSE),"Nummeret hopper over",IF(OR(NOT(ISNUMBER(B1093)),B1093&lt;DATE(2027,1,1),B1093&gt;DATE(2027,12,31)),"Datoen er ikke i 2027",""))))))</f>
        <v/>
      </c>
    </row>
    <row r="1094">
      <c r="A1094" s="17" t="n"/>
      <c r="B1094" s="9" t="n"/>
      <c r="C1094" s="8" t="n"/>
      <c r="D1094" s="8" t="n"/>
      <c r="E1094" s="8" t="n"/>
      <c r="F1094" s="14" t="n"/>
      <c r="G1094" s="14" t="n"/>
      <c r="H1094" s="8" t="n"/>
      <c r="I1094" s="8" t="n"/>
      <c r="J1094" s="8" t="n"/>
      <c r="K1094" s="18">
        <f>IF(B1094="","",IFERROR(MONTH(B1094),""))</f>
        <v/>
      </c>
      <c r="L1094" s="5">
        <f>IF(COUNTA(A1094:J1094)=0,"",IF(E1094="","Mangler motkonto",IF((F1094="")=(G1094=""),"Fyll ut enten Inn eller Ut",IF(OR(IFERROR(INDEX('Kontoplan'!$D$3:$D$302,MATCH(D1094,'Kontoplan'!$H$3:$H$302,0))="Støttes ikke",FALSE),IFERROR(INDEX('Kontoplan'!$D$3:$D$302,MATCH(E1094,'Kontoplan'!$H$3:$H$302,0))="Støttes ikke",FALSE)),"Kontoen støttes ikke",IF(IFERROR(AND(A1094&gt;1,COUNTIF($A$3:$A$2002,A1094-1)=0),FALSE),"Nummeret hopper over",IF(OR(NOT(ISNUMBER(B1094)),B1094&lt;DATE(2027,1,1),B1094&gt;DATE(2027,12,31)),"Datoen er ikke i 2027",""))))))</f>
        <v/>
      </c>
    </row>
    <row r="1095">
      <c r="A1095" s="17" t="n"/>
      <c r="B1095" s="9" t="n"/>
      <c r="C1095" s="8" t="n"/>
      <c r="D1095" s="8" t="n"/>
      <c r="E1095" s="8" t="n"/>
      <c r="F1095" s="14" t="n"/>
      <c r="G1095" s="14" t="n"/>
      <c r="H1095" s="8" t="n"/>
      <c r="I1095" s="8" t="n"/>
      <c r="J1095" s="8" t="n"/>
      <c r="K1095" s="18">
        <f>IF(B1095="","",IFERROR(MONTH(B1095),""))</f>
        <v/>
      </c>
      <c r="L1095" s="5">
        <f>IF(COUNTA(A1095:J1095)=0,"",IF(E1095="","Mangler motkonto",IF((F1095="")=(G1095=""),"Fyll ut enten Inn eller Ut",IF(OR(IFERROR(INDEX('Kontoplan'!$D$3:$D$302,MATCH(D1095,'Kontoplan'!$H$3:$H$302,0))="Støttes ikke",FALSE),IFERROR(INDEX('Kontoplan'!$D$3:$D$302,MATCH(E1095,'Kontoplan'!$H$3:$H$302,0))="Støttes ikke",FALSE)),"Kontoen støttes ikke",IF(IFERROR(AND(A1095&gt;1,COUNTIF($A$3:$A$2002,A1095-1)=0),FALSE),"Nummeret hopper over",IF(OR(NOT(ISNUMBER(B1095)),B1095&lt;DATE(2027,1,1),B1095&gt;DATE(2027,12,31)),"Datoen er ikke i 2027",""))))))</f>
        <v/>
      </c>
    </row>
    <row r="1096">
      <c r="A1096" s="17" t="n"/>
      <c r="B1096" s="9" t="n"/>
      <c r="C1096" s="8" t="n"/>
      <c r="D1096" s="8" t="n"/>
      <c r="E1096" s="8" t="n"/>
      <c r="F1096" s="14" t="n"/>
      <c r="G1096" s="14" t="n"/>
      <c r="H1096" s="8" t="n"/>
      <c r="I1096" s="8" t="n"/>
      <c r="J1096" s="8" t="n"/>
      <c r="K1096" s="18">
        <f>IF(B1096="","",IFERROR(MONTH(B1096),""))</f>
        <v/>
      </c>
      <c r="L1096" s="5">
        <f>IF(COUNTA(A1096:J1096)=0,"",IF(E1096="","Mangler motkonto",IF((F1096="")=(G1096=""),"Fyll ut enten Inn eller Ut",IF(OR(IFERROR(INDEX('Kontoplan'!$D$3:$D$302,MATCH(D1096,'Kontoplan'!$H$3:$H$302,0))="Støttes ikke",FALSE),IFERROR(INDEX('Kontoplan'!$D$3:$D$302,MATCH(E1096,'Kontoplan'!$H$3:$H$302,0))="Støttes ikke",FALSE)),"Kontoen støttes ikke",IF(IFERROR(AND(A1096&gt;1,COUNTIF($A$3:$A$2002,A1096-1)=0),FALSE),"Nummeret hopper over",IF(OR(NOT(ISNUMBER(B1096)),B1096&lt;DATE(2027,1,1),B1096&gt;DATE(2027,12,31)),"Datoen er ikke i 2027",""))))))</f>
        <v/>
      </c>
    </row>
    <row r="1097">
      <c r="A1097" s="17" t="n"/>
      <c r="B1097" s="9" t="n"/>
      <c r="C1097" s="8" t="n"/>
      <c r="D1097" s="8" t="n"/>
      <c r="E1097" s="8" t="n"/>
      <c r="F1097" s="14" t="n"/>
      <c r="G1097" s="14" t="n"/>
      <c r="H1097" s="8" t="n"/>
      <c r="I1097" s="8" t="n"/>
      <c r="J1097" s="8" t="n"/>
      <c r="K1097" s="18">
        <f>IF(B1097="","",IFERROR(MONTH(B1097),""))</f>
        <v/>
      </c>
      <c r="L1097" s="5">
        <f>IF(COUNTA(A1097:J1097)=0,"",IF(E1097="","Mangler motkonto",IF((F1097="")=(G1097=""),"Fyll ut enten Inn eller Ut",IF(OR(IFERROR(INDEX('Kontoplan'!$D$3:$D$302,MATCH(D1097,'Kontoplan'!$H$3:$H$302,0))="Støttes ikke",FALSE),IFERROR(INDEX('Kontoplan'!$D$3:$D$302,MATCH(E1097,'Kontoplan'!$H$3:$H$302,0))="Støttes ikke",FALSE)),"Kontoen støttes ikke",IF(IFERROR(AND(A1097&gt;1,COUNTIF($A$3:$A$2002,A1097-1)=0),FALSE),"Nummeret hopper over",IF(OR(NOT(ISNUMBER(B1097)),B1097&lt;DATE(2027,1,1),B1097&gt;DATE(2027,12,31)),"Datoen er ikke i 2027",""))))))</f>
        <v/>
      </c>
    </row>
    <row r="1098">
      <c r="A1098" s="17" t="n"/>
      <c r="B1098" s="9" t="n"/>
      <c r="C1098" s="8" t="n"/>
      <c r="D1098" s="8" t="n"/>
      <c r="E1098" s="8" t="n"/>
      <c r="F1098" s="14" t="n"/>
      <c r="G1098" s="14" t="n"/>
      <c r="H1098" s="8" t="n"/>
      <c r="I1098" s="8" t="n"/>
      <c r="J1098" s="8" t="n"/>
      <c r="K1098" s="18">
        <f>IF(B1098="","",IFERROR(MONTH(B1098),""))</f>
        <v/>
      </c>
      <c r="L1098" s="5">
        <f>IF(COUNTA(A1098:J1098)=0,"",IF(E1098="","Mangler motkonto",IF((F1098="")=(G1098=""),"Fyll ut enten Inn eller Ut",IF(OR(IFERROR(INDEX('Kontoplan'!$D$3:$D$302,MATCH(D1098,'Kontoplan'!$H$3:$H$302,0))="Støttes ikke",FALSE),IFERROR(INDEX('Kontoplan'!$D$3:$D$302,MATCH(E1098,'Kontoplan'!$H$3:$H$302,0))="Støttes ikke",FALSE)),"Kontoen støttes ikke",IF(IFERROR(AND(A1098&gt;1,COUNTIF($A$3:$A$2002,A1098-1)=0),FALSE),"Nummeret hopper over",IF(OR(NOT(ISNUMBER(B1098)),B1098&lt;DATE(2027,1,1),B1098&gt;DATE(2027,12,31)),"Datoen er ikke i 2027",""))))))</f>
        <v/>
      </c>
    </row>
    <row r="1099">
      <c r="A1099" s="17" t="n"/>
      <c r="B1099" s="9" t="n"/>
      <c r="C1099" s="8" t="n"/>
      <c r="D1099" s="8" t="n"/>
      <c r="E1099" s="8" t="n"/>
      <c r="F1099" s="14" t="n"/>
      <c r="G1099" s="14" t="n"/>
      <c r="H1099" s="8" t="n"/>
      <c r="I1099" s="8" t="n"/>
      <c r="J1099" s="8" t="n"/>
      <c r="K1099" s="18">
        <f>IF(B1099="","",IFERROR(MONTH(B1099),""))</f>
        <v/>
      </c>
      <c r="L1099" s="5">
        <f>IF(COUNTA(A1099:J1099)=0,"",IF(E1099="","Mangler motkonto",IF((F1099="")=(G1099=""),"Fyll ut enten Inn eller Ut",IF(OR(IFERROR(INDEX('Kontoplan'!$D$3:$D$302,MATCH(D1099,'Kontoplan'!$H$3:$H$302,0))="Støttes ikke",FALSE),IFERROR(INDEX('Kontoplan'!$D$3:$D$302,MATCH(E1099,'Kontoplan'!$H$3:$H$302,0))="Støttes ikke",FALSE)),"Kontoen støttes ikke",IF(IFERROR(AND(A1099&gt;1,COUNTIF($A$3:$A$2002,A1099-1)=0),FALSE),"Nummeret hopper over",IF(OR(NOT(ISNUMBER(B1099)),B1099&lt;DATE(2027,1,1),B1099&gt;DATE(2027,12,31)),"Datoen er ikke i 2027",""))))))</f>
        <v/>
      </c>
    </row>
    <row r="1100">
      <c r="A1100" s="17" t="n"/>
      <c r="B1100" s="9" t="n"/>
      <c r="C1100" s="8" t="n"/>
      <c r="D1100" s="8" t="n"/>
      <c r="E1100" s="8" t="n"/>
      <c r="F1100" s="14" t="n"/>
      <c r="G1100" s="14" t="n"/>
      <c r="H1100" s="8" t="n"/>
      <c r="I1100" s="8" t="n"/>
      <c r="J1100" s="8" t="n"/>
      <c r="K1100" s="18">
        <f>IF(B1100="","",IFERROR(MONTH(B1100),""))</f>
        <v/>
      </c>
      <c r="L1100" s="5">
        <f>IF(COUNTA(A1100:J1100)=0,"",IF(E1100="","Mangler motkonto",IF((F1100="")=(G1100=""),"Fyll ut enten Inn eller Ut",IF(OR(IFERROR(INDEX('Kontoplan'!$D$3:$D$302,MATCH(D1100,'Kontoplan'!$H$3:$H$302,0))="Støttes ikke",FALSE),IFERROR(INDEX('Kontoplan'!$D$3:$D$302,MATCH(E1100,'Kontoplan'!$H$3:$H$302,0))="Støttes ikke",FALSE)),"Kontoen støttes ikke",IF(IFERROR(AND(A1100&gt;1,COUNTIF($A$3:$A$2002,A1100-1)=0),FALSE),"Nummeret hopper over",IF(OR(NOT(ISNUMBER(B1100)),B1100&lt;DATE(2027,1,1),B1100&gt;DATE(2027,12,31)),"Datoen er ikke i 2027",""))))))</f>
        <v/>
      </c>
    </row>
    <row r="1101">
      <c r="A1101" s="17" t="n"/>
      <c r="B1101" s="9" t="n"/>
      <c r="C1101" s="8" t="n"/>
      <c r="D1101" s="8" t="n"/>
      <c r="E1101" s="8" t="n"/>
      <c r="F1101" s="14" t="n"/>
      <c r="G1101" s="14" t="n"/>
      <c r="H1101" s="8" t="n"/>
      <c r="I1101" s="8" t="n"/>
      <c r="J1101" s="8" t="n"/>
      <c r="K1101" s="18">
        <f>IF(B1101="","",IFERROR(MONTH(B1101),""))</f>
        <v/>
      </c>
      <c r="L1101" s="5">
        <f>IF(COUNTA(A1101:J1101)=0,"",IF(E1101="","Mangler motkonto",IF((F1101="")=(G1101=""),"Fyll ut enten Inn eller Ut",IF(OR(IFERROR(INDEX('Kontoplan'!$D$3:$D$302,MATCH(D1101,'Kontoplan'!$H$3:$H$302,0))="Støttes ikke",FALSE),IFERROR(INDEX('Kontoplan'!$D$3:$D$302,MATCH(E1101,'Kontoplan'!$H$3:$H$302,0))="Støttes ikke",FALSE)),"Kontoen støttes ikke",IF(IFERROR(AND(A1101&gt;1,COUNTIF($A$3:$A$2002,A1101-1)=0),FALSE),"Nummeret hopper over",IF(OR(NOT(ISNUMBER(B1101)),B1101&lt;DATE(2027,1,1),B1101&gt;DATE(2027,12,31)),"Datoen er ikke i 2027",""))))))</f>
        <v/>
      </c>
    </row>
    <row r="1102">
      <c r="A1102" s="17" t="n"/>
      <c r="B1102" s="9" t="n"/>
      <c r="C1102" s="8" t="n"/>
      <c r="D1102" s="8" t="n"/>
      <c r="E1102" s="8" t="n"/>
      <c r="F1102" s="14" t="n"/>
      <c r="G1102" s="14" t="n"/>
      <c r="H1102" s="8" t="n"/>
      <c r="I1102" s="8" t="n"/>
      <c r="J1102" s="8" t="n"/>
      <c r="K1102" s="18">
        <f>IF(B1102="","",IFERROR(MONTH(B1102),""))</f>
        <v/>
      </c>
      <c r="L1102" s="5">
        <f>IF(COUNTA(A1102:J1102)=0,"",IF(E1102="","Mangler motkonto",IF((F1102="")=(G1102=""),"Fyll ut enten Inn eller Ut",IF(OR(IFERROR(INDEX('Kontoplan'!$D$3:$D$302,MATCH(D1102,'Kontoplan'!$H$3:$H$302,0))="Støttes ikke",FALSE),IFERROR(INDEX('Kontoplan'!$D$3:$D$302,MATCH(E1102,'Kontoplan'!$H$3:$H$302,0))="Støttes ikke",FALSE)),"Kontoen støttes ikke",IF(IFERROR(AND(A1102&gt;1,COUNTIF($A$3:$A$2002,A1102-1)=0),FALSE),"Nummeret hopper over",IF(OR(NOT(ISNUMBER(B1102)),B1102&lt;DATE(2027,1,1),B1102&gt;DATE(2027,12,31)),"Datoen er ikke i 2027",""))))))</f>
        <v/>
      </c>
    </row>
    <row r="1103">
      <c r="A1103" s="17" t="n"/>
      <c r="B1103" s="9" t="n"/>
      <c r="C1103" s="8" t="n"/>
      <c r="D1103" s="8" t="n"/>
      <c r="E1103" s="8" t="n"/>
      <c r="F1103" s="14" t="n"/>
      <c r="G1103" s="14" t="n"/>
      <c r="H1103" s="8" t="n"/>
      <c r="I1103" s="8" t="n"/>
      <c r="J1103" s="8" t="n"/>
      <c r="K1103" s="18">
        <f>IF(B1103="","",IFERROR(MONTH(B1103),""))</f>
        <v/>
      </c>
      <c r="L1103" s="5">
        <f>IF(COUNTA(A1103:J1103)=0,"",IF(E1103="","Mangler motkonto",IF((F1103="")=(G1103=""),"Fyll ut enten Inn eller Ut",IF(OR(IFERROR(INDEX('Kontoplan'!$D$3:$D$302,MATCH(D1103,'Kontoplan'!$H$3:$H$302,0))="Støttes ikke",FALSE),IFERROR(INDEX('Kontoplan'!$D$3:$D$302,MATCH(E1103,'Kontoplan'!$H$3:$H$302,0))="Støttes ikke",FALSE)),"Kontoen støttes ikke",IF(IFERROR(AND(A1103&gt;1,COUNTIF($A$3:$A$2002,A1103-1)=0),FALSE),"Nummeret hopper over",IF(OR(NOT(ISNUMBER(B1103)),B1103&lt;DATE(2027,1,1),B1103&gt;DATE(2027,12,31)),"Datoen er ikke i 2027",""))))))</f>
        <v/>
      </c>
    </row>
    <row r="1104">
      <c r="A1104" s="17" t="n"/>
      <c r="B1104" s="9" t="n"/>
      <c r="C1104" s="8" t="n"/>
      <c r="D1104" s="8" t="n"/>
      <c r="E1104" s="8" t="n"/>
      <c r="F1104" s="14" t="n"/>
      <c r="G1104" s="14" t="n"/>
      <c r="H1104" s="8" t="n"/>
      <c r="I1104" s="8" t="n"/>
      <c r="J1104" s="8" t="n"/>
      <c r="K1104" s="18">
        <f>IF(B1104="","",IFERROR(MONTH(B1104),""))</f>
        <v/>
      </c>
      <c r="L1104" s="5">
        <f>IF(COUNTA(A1104:J1104)=0,"",IF(E1104="","Mangler motkonto",IF((F1104="")=(G1104=""),"Fyll ut enten Inn eller Ut",IF(OR(IFERROR(INDEX('Kontoplan'!$D$3:$D$302,MATCH(D1104,'Kontoplan'!$H$3:$H$302,0))="Støttes ikke",FALSE),IFERROR(INDEX('Kontoplan'!$D$3:$D$302,MATCH(E1104,'Kontoplan'!$H$3:$H$302,0))="Støttes ikke",FALSE)),"Kontoen støttes ikke",IF(IFERROR(AND(A1104&gt;1,COUNTIF($A$3:$A$2002,A1104-1)=0),FALSE),"Nummeret hopper over",IF(OR(NOT(ISNUMBER(B1104)),B1104&lt;DATE(2027,1,1),B1104&gt;DATE(2027,12,31)),"Datoen er ikke i 2027",""))))))</f>
        <v/>
      </c>
    </row>
    <row r="1105">
      <c r="A1105" s="17" t="n"/>
      <c r="B1105" s="9" t="n"/>
      <c r="C1105" s="8" t="n"/>
      <c r="D1105" s="8" t="n"/>
      <c r="E1105" s="8" t="n"/>
      <c r="F1105" s="14" t="n"/>
      <c r="G1105" s="14" t="n"/>
      <c r="H1105" s="8" t="n"/>
      <c r="I1105" s="8" t="n"/>
      <c r="J1105" s="8" t="n"/>
      <c r="K1105" s="18">
        <f>IF(B1105="","",IFERROR(MONTH(B1105),""))</f>
        <v/>
      </c>
      <c r="L1105" s="5">
        <f>IF(COUNTA(A1105:J1105)=0,"",IF(E1105="","Mangler motkonto",IF((F1105="")=(G1105=""),"Fyll ut enten Inn eller Ut",IF(OR(IFERROR(INDEX('Kontoplan'!$D$3:$D$302,MATCH(D1105,'Kontoplan'!$H$3:$H$302,0))="Støttes ikke",FALSE),IFERROR(INDEX('Kontoplan'!$D$3:$D$302,MATCH(E1105,'Kontoplan'!$H$3:$H$302,0))="Støttes ikke",FALSE)),"Kontoen støttes ikke",IF(IFERROR(AND(A1105&gt;1,COUNTIF($A$3:$A$2002,A1105-1)=0),FALSE),"Nummeret hopper over",IF(OR(NOT(ISNUMBER(B1105)),B1105&lt;DATE(2027,1,1),B1105&gt;DATE(2027,12,31)),"Datoen er ikke i 2027",""))))))</f>
        <v/>
      </c>
    </row>
    <row r="1106">
      <c r="A1106" s="17" t="n"/>
      <c r="B1106" s="9" t="n"/>
      <c r="C1106" s="8" t="n"/>
      <c r="D1106" s="8" t="n"/>
      <c r="E1106" s="8" t="n"/>
      <c r="F1106" s="14" t="n"/>
      <c r="G1106" s="14" t="n"/>
      <c r="H1106" s="8" t="n"/>
      <c r="I1106" s="8" t="n"/>
      <c r="J1106" s="8" t="n"/>
      <c r="K1106" s="18">
        <f>IF(B1106="","",IFERROR(MONTH(B1106),""))</f>
        <v/>
      </c>
      <c r="L1106" s="5">
        <f>IF(COUNTA(A1106:J1106)=0,"",IF(E1106="","Mangler motkonto",IF((F1106="")=(G1106=""),"Fyll ut enten Inn eller Ut",IF(OR(IFERROR(INDEX('Kontoplan'!$D$3:$D$302,MATCH(D1106,'Kontoplan'!$H$3:$H$302,0))="Støttes ikke",FALSE),IFERROR(INDEX('Kontoplan'!$D$3:$D$302,MATCH(E1106,'Kontoplan'!$H$3:$H$302,0))="Støttes ikke",FALSE)),"Kontoen støttes ikke",IF(IFERROR(AND(A1106&gt;1,COUNTIF($A$3:$A$2002,A1106-1)=0),FALSE),"Nummeret hopper over",IF(OR(NOT(ISNUMBER(B1106)),B1106&lt;DATE(2027,1,1),B1106&gt;DATE(2027,12,31)),"Datoen er ikke i 2027",""))))))</f>
        <v/>
      </c>
    </row>
    <row r="1107">
      <c r="A1107" s="17" t="n"/>
      <c r="B1107" s="9" t="n"/>
      <c r="C1107" s="8" t="n"/>
      <c r="D1107" s="8" t="n"/>
      <c r="E1107" s="8" t="n"/>
      <c r="F1107" s="14" t="n"/>
      <c r="G1107" s="14" t="n"/>
      <c r="H1107" s="8" t="n"/>
      <c r="I1107" s="8" t="n"/>
      <c r="J1107" s="8" t="n"/>
      <c r="K1107" s="18">
        <f>IF(B1107="","",IFERROR(MONTH(B1107),""))</f>
        <v/>
      </c>
      <c r="L1107" s="5">
        <f>IF(COUNTA(A1107:J1107)=0,"",IF(E1107="","Mangler motkonto",IF((F1107="")=(G1107=""),"Fyll ut enten Inn eller Ut",IF(OR(IFERROR(INDEX('Kontoplan'!$D$3:$D$302,MATCH(D1107,'Kontoplan'!$H$3:$H$302,0))="Støttes ikke",FALSE),IFERROR(INDEX('Kontoplan'!$D$3:$D$302,MATCH(E1107,'Kontoplan'!$H$3:$H$302,0))="Støttes ikke",FALSE)),"Kontoen støttes ikke",IF(IFERROR(AND(A1107&gt;1,COUNTIF($A$3:$A$2002,A1107-1)=0),FALSE),"Nummeret hopper over",IF(OR(NOT(ISNUMBER(B1107)),B1107&lt;DATE(2027,1,1),B1107&gt;DATE(2027,12,31)),"Datoen er ikke i 2027",""))))))</f>
        <v/>
      </c>
    </row>
    <row r="1108">
      <c r="A1108" s="17" t="n"/>
      <c r="B1108" s="9" t="n"/>
      <c r="C1108" s="8" t="n"/>
      <c r="D1108" s="8" t="n"/>
      <c r="E1108" s="8" t="n"/>
      <c r="F1108" s="14" t="n"/>
      <c r="G1108" s="14" t="n"/>
      <c r="H1108" s="8" t="n"/>
      <c r="I1108" s="8" t="n"/>
      <c r="J1108" s="8" t="n"/>
      <c r="K1108" s="18">
        <f>IF(B1108="","",IFERROR(MONTH(B1108),""))</f>
        <v/>
      </c>
      <c r="L1108" s="5">
        <f>IF(COUNTA(A1108:J1108)=0,"",IF(E1108="","Mangler motkonto",IF((F1108="")=(G1108=""),"Fyll ut enten Inn eller Ut",IF(OR(IFERROR(INDEX('Kontoplan'!$D$3:$D$302,MATCH(D1108,'Kontoplan'!$H$3:$H$302,0))="Støttes ikke",FALSE),IFERROR(INDEX('Kontoplan'!$D$3:$D$302,MATCH(E1108,'Kontoplan'!$H$3:$H$302,0))="Støttes ikke",FALSE)),"Kontoen støttes ikke",IF(IFERROR(AND(A1108&gt;1,COUNTIF($A$3:$A$2002,A1108-1)=0),FALSE),"Nummeret hopper over",IF(OR(NOT(ISNUMBER(B1108)),B1108&lt;DATE(2027,1,1),B1108&gt;DATE(2027,12,31)),"Datoen er ikke i 2027",""))))))</f>
        <v/>
      </c>
    </row>
    <row r="1109">
      <c r="A1109" s="17" t="n"/>
      <c r="B1109" s="9" t="n"/>
      <c r="C1109" s="8" t="n"/>
      <c r="D1109" s="8" t="n"/>
      <c r="E1109" s="8" t="n"/>
      <c r="F1109" s="14" t="n"/>
      <c r="G1109" s="14" t="n"/>
      <c r="H1109" s="8" t="n"/>
      <c r="I1109" s="8" t="n"/>
      <c r="J1109" s="8" t="n"/>
      <c r="K1109" s="18">
        <f>IF(B1109="","",IFERROR(MONTH(B1109),""))</f>
        <v/>
      </c>
      <c r="L1109" s="5">
        <f>IF(COUNTA(A1109:J1109)=0,"",IF(E1109="","Mangler motkonto",IF((F1109="")=(G1109=""),"Fyll ut enten Inn eller Ut",IF(OR(IFERROR(INDEX('Kontoplan'!$D$3:$D$302,MATCH(D1109,'Kontoplan'!$H$3:$H$302,0))="Støttes ikke",FALSE),IFERROR(INDEX('Kontoplan'!$D$3:$D$302,MATCH(E1109,'Kontoplan'!$H$3:$H$302,0))="Støttes ikke",FALSE)),"Kontoen støttes ikke",IF(IFERROR(AND(A1109&gt;1,COUNTIF($A$3:$A$2002,A1109-1)=0),FALSE),"Nummeret hopper over",IF(OR(NOT(ISNUMBER(B1109)),B1109&lt;DATE(2027,1,1),B1109&gt;DATE(2027,12,31)),"Datoen er ikke i 2027",""))))))</f>
        <v/>
      </c>
    </row>
    <row r="1110">
      <c r="A1110" s="17" t="n"/>
      <c r="B1110" s="9" t="n"/>
      <c r="C1110" s="8" t="n"/>
      <c r="D1110" s="8" t="n"/>
      <c r="E1110" s="8" t="n"/>
      <c r="F1110" s="14" t="n"/>
      <c r="G1110" s="14" t="n"/>
      <c r="H1110" s="8" t="n"/>
      <c r="I1110" s="8" t="n"/>
      <c r="J1110" s="8" t="n"/>
      <c r="K1110" s="18">
        <f>IF(B1110="","",IFERROR(MONTH(B1110),""))</f>
        <v/>
      </c>
      <c r="L1110" s="5">
        <f>IF(COUNTA(A1110:J1110)=0,"",IF(E1110="","Mangler motkonto",IF((F1110="")=(G1110=""),"Fyll ut enten Inn eller Ut",IF(OR(IFERROR(INDEX('Kontoplan'!$D$3:$D$302,MATCH(D1110,'Kontoplan'!$H$3:$H$302,0))="Støttes ikke",FALSE),IFERROR(INDEX('Kontoplan'!$D$3:$D$302,MATCH(E1110,'Kontoplan'!$H$3:$H$302,0))="Støttes ikke",FALSE)),"Kontoen støttes ikke",IF(IFERROR(AND(A1110&gt;1,COUNTIF($A$3:$A$2002,A1110-1)=0),FALSE),"Nummeret hopper over",IF(OR(NOT(ISNUMBER(B1110)),B1110&lt;DATE(2027,1,1),B1110&gt;DATE(2027,12,31)),"Datoen er ikke i 2027",""))))))</f>
        <v/>
      </c>
    </row>
    <row r="1111">
      <c r="A1111" s="17" t="n"/>
      <c r="B1111" s="9" t="n"/>
      <c r="C1111" s="8" t="n"/>
      <c r="D1111" s="8" t="n"/>
      <c r="E1111" s="8" t="n"/>
      <c r="F1111" s="14" t="n"/>
      <c r="G1111" s="14" t="n"/>
      <c r="H1111" s="8" t="n"/>
      <c r="I1111" s="8" t="n"/>
      <c r="J1111" s="8" t="n"/>
      <c r="K1111" s="18">
        <f>IF(B1111="","",IFERROR(MONTH(B1111),""))</f>
        <v/>
      </c>
      <c r="L1111" s="5">
        <f>IF(COUNTA(A1111:J1111)=0,"",IF(E1111="","Mangler motkonto",IF((F1111="")=(G1111=""),"Fyll ut enten Inn eller Ut",IF(OR(IFERROR(INDEX('Kontoplan'!$D$3:$D$302,MATCH(D1111,'Kontoplan'!$H$3:$H$302,0))="Støttes ikke",FALSE),IFERROR(INDEX('Kontoplan'!$D$3:$D$302,MATCH(E1111,'Kontoplan'!$H$3:$H$302,0))="Støttes ikke",FALSE)),"Kontoen støttes ikke",IF(IFERROR(AND(A1111&gt;1,COUNTIF($A$3:$A$2002,A1111-1)=0),FALSE),"Nummeret hopper over",IF(OR(NOT(ISNUMBER(B1111)),B1111&lt;DATE(2027,1,1),B1111&gt;DATE(2027,12,31)),"Datoen er ikke i 2027",""))))))</f>
        <v/>
      </c>
    </row>
    <row r="1112">
      <c r="A1112" s="17" t="n"/>
      <c r="B1112" s="9" t="n"/>
      <c r="C1112" s="8" t="n"/>
      <c r="D1112" s="8" t="n"/>
      <c r="E1112" s="8" t="n"/>
      <c r="F1112" s="14" t="n"/>
      <c r="G1112" s="14" t="n"/>
      <c r="H1112" s="8" t="n"/>
      <c r="I1112" s="8" t="n"/>
      <c r="J1112" s="8" t="n"/>
      <c r="K1112" s="18">
        <f>IF(B1112="","",IFERROR(MONTH(B1112),""))</f>
        <v/>
      </c>
      <c r="L1112" s="5">
        <f>IF(COUNTA(A1112:J1112)=0,"",IF(E1112="","Mangler motkonto",IF((F1112="")=(G1112=""),"Fyll ut enten Inn eller Ut",IF(OR(IFERROR(INDEX('Kontoplan'!$D$3:$D$302,MATCH(D1112,'Kontoplan'!$H$3:$H$302,0))="Støttes ikke",FALSE),IFERROR(INDEX('Kontoplan'!$D$3:$D$302,MATCH(E1112,'Kontoplan'!$H$3:$H$302,0))="Støttes ikke",FALSE)),"Kontoen støttes ikke",IF(IFERROR(AND(A1112&gt;1,COUNTIF($A$3:$A$2002,A1112-1)=0),FALSE),"Nummeret hopper over",IF(OR(NOT(ISNUMBER(B1112)),B1112&lt;DATE(2027,1,1),B1112&gt;DATE(2027,12,31)),"Datoen er ikke i 2027",""))))))</f>
        <v/>
      </c>
    </row>
    <row r="1113">
      <c r="A1113" s="17" t="n"/>
      <c r="B1113" s="9" t="n"/>
      <c r="C1113" s="8" t="n"/>
      <c r="D1113" s="8" t="n"/>
      <c r="E1113" s="8" t="n"/>
      <c r="F1113" s="14" t="n"/>
      <c r="G1113" s="14" t="n"/>
      <c r="H1113" s="8" t="n"/>
      <c r="I1113" s="8" t="n"/>
      <c r="J1113" s="8" t="n"/>
      <c r="K1113" s="18">
        <f>IF(B1113="","",IFERROR(MONTH(B1113),""))</f>
        <v/>
      </c>
      <c r="L1113" s="5">
        <f>IF(COUNTA(A1113:J1113)=0,"",IF(E1113="","Mangler motkonto",IF((F1113="")=(G1113=""),"Fyll ut enten Inn eller Ut",IF(OR(IFERROR(INDEX('Kontoplan'!$D$3:$D$302,MATCH(D1113,'Kontoplan'!$H$3:$H$302,0))="Støttes ikke",FALSE),IFERROR(INDEX('Kontoplan'!$D$3:$D$302,MATCH(E1113,'Kontoplan'!$H$3:$H$302,0))="Støttes ikke",FALSE)),"Kontoen støttes ikke",IF(IFERROR(AND(A1113&gt;1,COUNTIF($A$3:$A$2002,A1113-1)=0),FALSE),"Nummeret hopper over",IF(OR(NOT(ISNUMBER(B1113)),B1113&lt;DATE(2027,1,1),B1113&gt;DATE(2027,12,31)),"Datoen er ikke i 2027",""))))))</f>
        <v/>
      </c>
    </row>
    <row r="1114">
      <c r="A1114" s="17" t="n"/>
      <c r="B1114" s="9" t="n"/>
      <c r="C1114" s="8" t="n"/>
      <c r="D1114" s="8" t="n"/>
      <c r="E1114" s="8" t="n"/>
      <c r="F1114" s="14" t="n"/>
      <c r="G1114" s="14" t="n"/>
      <c r="H1114" s="8" t="n"/>
      <c r="I1114" s="8" t="n"/>
      <c r="J1114" s="8" t="n"/>
      <c r="K1114" s="18">
        <f>IF(B1114="","",IFERROR(MONTH(B1114),""))</f>
        <v/>
      </c>
      <c r="L1114" s="5">
        <f>IF(COUNTA(A1114:J1114)=0,"",IF(E1114="","Mangler motkonto",IF((F1114="")=(G1114=""),"Fyll ut enten Inn eller Ut",IF(OR(IFERROR(INDEX('Kontoplan'!$D$3:$D$302,MATCH(D1114,'Kontoplan'!$H$3:$H$302,0))="Støttes ikke",FALSE),IFERROR(INDEX('Kontoplan'!$D$3:$D$302,MATCH(E1114,'Kontoplan'!$H$3:$H$302,0))="Støttes ikke",FALSE)),"Kontoen støttes ikke",IF(IFERROR(AND(A1114&gt;1,COUNTIF($A$3:$A$2002,A1114-1)=0),FALSE),"Nummeret hopper over",IF(OR(NOT(ISNUMBER(B1114)),B1114&lt;DATE(2027,1,1),B1114&gt;DATE(2027,12,31)),"Datoen er ikke i 2027",""))))))</f>
        <v/>
      </c>
    </row>
    <row r="1115">
      <c r="A1115" s="17" t="n"/>
      <c r="B1115" s="9" t="n"/>
      <c r="C1115" s="8" t="n"/>
      <c r="D1115" s="8" t="n"/>
      <c r="E1115" s="8" t="n"/>
      <c r="F1115" s="14" t="n"/>
      <c r="G1115" s="14" t="n"/>
      <c r="H1115" s="8" t="n"/>
      <c r="I1115" s="8" t="n"/>
      <c r="J1115" s="8" t="n"/>
      <c r="K1115" s="18">
        <f>IF(B1115="","",IFERROR(MONTH(B1115),""))</f>
        <v/>
      </c>
      <c r="L1115" s="5">
        <f>IF(COUNTA(A1115:J1115)=0,"",IF(E1115="","Mangler motkonto",IF((F1115="")=(G1115=""),"Fyll ut enten Inn eller Ut",IF(OR(IFERROR(INDEX('Kontoplan'!$D$3:$D$302,MATCH(D1115,'Kontoplan'!$H$3:$H$302,0))="Støttes ikke",FALSE),IFERROR(INDEX('Kontoplan'!$D$3:$D$302,MATCH(E1115,'Kontoplan'!$H$3:$H$302,0))="Støttes ikke",FALSE)),"Kontoen støttes ikke",IF(IFERROR(AND(A1115&gt;1,COUNTIF($A$3:$A$2002,A1115-1)=0),FALSE),"Nummeret hopper over",IF(OR(NOT(ISNUMBER(B1115)),B1115&lt;DATE(2027,1,1),B1115&gt;DATE(2027,12,31)),"Datoen er ikke i 2027",""))))))</f>
        <v/>
      </c>
    </row>
    <row r="1116">
      <c r="A1116" s="17" t="n"/>
      <c r="B1116" s="9" t="n"/>
      <c r="C1116" s="8" t="n"/>
      <c r="D1116" s="8" t="n"/>
      <c r="E1116" s="8" t="n"/>
      <c r="F1116" s="14" t="n"/>
      <c r="G1116" s="14" t="n"/>
      <c r="H1116" s="8" t="n"/>
      <c r="I1116" s="8" t="n"/>
      <c r="J1116" s="8" t="n"/>
      <c r="K1116" s="18">
        <f>IF(B1116="","",IFERROR(MONTH(B1116),""))</f>
        <v/>
      </c>
      <c r="L1116" s="5">
        <f>IF(COUNTA(A1116:J1116)=0,"",IF(E1116="","Mangler motkonto",IF((F1116="")=(G1116=""),"Fyll ut enten Inn eller Ut",IF(OR(IFERROR(INDEX('Kontoplan'!$D$3:$D$302,MATCH(D1116,'Kontoplan'!$H$3:$H$302,0))="Støttes ikke",FALSE),IFERROR(INDEX('Kontoplan'!$D$3:$D$302,MATCH(E1116,'Kontoplan'!$H$3:$H$302,0))="Støttes ikke",FALSE)),"Kontoen støttes ikke",IF(IFERROR(AND(A1116&gt;1,COUNTIF($A$3:$A$2002,A1116-1)=0),FALSE),"Nummeret hopper over",IF(OR(NOT(ISNUMBER(B1116)),B1116&lt;DATE(2027,1,1),B1116&gt;DATE(2027,12,31)),"Datoen er ikke i 2027",""))))))</f>
        <v/>
      </c>
    </row>
    <row r="1117">
      <c r="A1117" s="17" t="n"/>
      <c r="B1117" s="9" t="n"/>
      <c r="C1117" s="8" t="n"/>
      <c r="D1117" s="8" t="n"/>
      <c r="E1117" s="8" t="n"/>
      <c r="F1117" s="14" t="n"/>
      <c r="G1117" s="14" t="n"/>
      <c r="H1117" s="8" t="n"/>
      <c r="I1117" s="8" t="n"/>
      <c r="J1117" s="8" t="n"/>
      <c r="K1117" s="18">
        <f>IF(B1117="","",IFERROR(MONTH(B1117),""))</f>
        <v/>
      </c>
      <c r="L1117" s="5">
        <f>IF(COUNTA(A1117:J1117)=0,"",IF(E1117="","Mangler motkonto",IF((F1117="")=(G1117=""),"Fyll ut enten Inn eller Ut",IF(OR(IFERROR(INDEX('Kontoplan'!$D$3:$D$302,MATCH(D1117,'Kontoplan'!$H$3:$H$302,0))="Støttes ikke",FALSE),IFERROR(INDEX('Kontoplan'!$D$3:$D$302,MATCH(E1117,'Kontoplan'!$H$3:$H$302,0))="Støttes ikke",FALSE)),"Kontoen støttes ikke",IF(IFERROR(AND(A1117&gt;1,COUNTIF($A$3:$A$2002,A1117-1)=0),FALSE),"Nummeret hopper over",IF(OR(NOT(ISNUMBER(B1117)),B1117&lt;DATE(2027,1,1),B1117&gt;DATE(2027,12,31)),"Datoen er ikke i 2027",""))))))</f>
        <v/>
      </c>
    </row>
    <row r="1118">
      <c r="A1118" s="17" t="n"/>
      <c r="B1118" s="9" t="n"/>
      <c r="C1118" s="8" t="n"/>
      <c r="D1118" s="8" t="n"/>
      <c r="E1118" s="8" t="n"/>
      <c r="F1118" s="14" t="n"/>
      <c r="G1118" s="14" t="n"/>
      <c r="H1118" s="8" t="n"/>
      <c r="I1118" s="8" t="n"/>
      <c r="J1118" s="8" t="n"/>
      <c r="K1118" s="18">
        <f>IF(B1118="","",IFERROR(MONTH(B1118),""))</f>
        <v/>
      </c>
      <c r="L1118" s="5">
        <f>IF(COUNTA(A1118:J1118)=0,"",IF(E1118="","Mangler motkonto",IF((F1118="")=(G1118=""),"Fyll ut enten Inn eller Ut",IF(OR(IFERROR(INDEX('Kontoplan'!$D$3:$D$302,MATCH(D1118,'Kontoplan'!$H$3:$H$302,0))="Støttes ikke",FALSE),IFERROR(INDEX('Kontoplan'!$D$3:$D$302,MATCH(E1118,'Kontoplan'!$H$3:$H$302,0))="Støttes ikke",FALSE)),"Kontoen støttes ikke",IF(IFERROR(AND(A1118&gt;1,COUNTIF($A$3:$A$2002,A1118-1)=0),FALSE),"Nummeret hopper over",IF(OR(NOT(ISNUMBER(B1118)),B1118&lt;DATE(2027,1,1),B1118&gt;DATE(2027,12,31)),"Datoen er ikke i 2027",""))))))</f>
        <v/>
      </c>
    </row>
    <row r="1119">
      <c r="A1119" s="17" t="n"/>
      <c r="B1119" s="9" t="n"/>
      <c r="C1119" s="8" t="n"/>
      <c r="D1119" s="8" t="n"/>
      <c r="E1119" s="8" t="n"/>
      <c r="F1119" s="14" t="n"/>
      <c r="G1119" s="14" t="n"/>
      <c r="H1119" s="8" t="n"/>
      <c r="I1119" s="8" t="n"/>
      <c r="J1119" s="8" t="n"/>
      <c r="K1119" s="18">
        <f>IF(B1119="","",IFERROR(MONTH(B1119),""))</f>
        <v/>
      </c>
      <c r="L1119" s="5">
        <f>IF(COUNTA(A1119:J1119)=0,"",IF(E1119="","Mangler motkonto",IF((F1119="")=(G1119=""),"Fyll ut enten Inn eller Ut",IF(OR(IFERROR(INDEX('Kontoplan'!$D$3:$D$302,MATCH(D1119,'Kontoplan'!$H$3:$H$302,0))="Støttes ikke",FALSE),IFERROR(INDEX('Kontoplan'!$D$3:$D$302,MATCH(E1119,'Kontoplan'!$H$3:$H$302,0))="Støttes ikke",FALSE)),"Kontoen støttes ikke",IF(IFERROR(AND(A1119&gt;1,COUNTIF($A$3:$A$2002,A1119-1)=0),FALSE),"Nummeret hopper over",IF(OR(NOT(ISNUMBER(B1119)),B1119&lt;DATE(2027,1,1),B1119&gt;DATE(2027,12,31)),"Datoen er ikke i 2027",""))))))</f>
        <v/>
      </c>
    </row>
    <row r="1120">
      <c r="A1120" s="17" t="n"/>
      <c r="B1120" s="9" t="n"/>
      <c r="C1120" s="8" t="n"/>
      <c r="D1120" s="8" t="n"/>
      <c r="E1120" s="8" t="n"/>
      <c r="F1120" s="14" t="n"/>
      <c r="G1120" s="14" t="n"/>
      <c r="H1120" s="8" t="n"/>
      <c r="I1120" s="8" t="n"/>
      <c r="J1120" s="8" t="n"/>
      <c r="K1120" s="18">
        <f>IF(B1120="","",IFERROR(MONTH(B1120),""))</f>
        <v/>
      </c>
      <c r="L1120" s="5">
        <f>IF(COUNTA(A1120:J1120)=0,"",IF(E1120="","Mangler motkonto",IF((F1120="")=(G1120=""),"Fyll ut enten Inn eller Ut",IF(OR(IFERROR(INDEX('Kontoplan'!$D$3:$D$302,MATCH(D1120,'Kontoplan'!$H$3:$H$302,0))="Støttes ikke",FALSE),IFERROR(INDEX('Kontoplan'!$D$3:$D$302,MATCH(E1120,'Kontoplan'!$H$3:$H$302,0))="Støttes ikke",FALSE)),"Kontoen støttes ikke",IF(IFERROR(AND(A1120&gt;1,COUNTIF($A$3:$A$2002,A1120-1)=0),FALSE),"Nummeret hopper over",IF(OR(NOT(ISNUMBER(B1120)),B1120&lt;DATE(2027,1,1),B1120&gt;DATE(2027,12,31)),"Datoen er ikke i 2027",""))))))</f>
        <v/>
      </c>
    </row>
    <row r="1121">
      <c r="A1121" s="17" t="n"/>
      <c r="B1121" s="9" t="n"/>
      <c r="C1121" s="8" t="n"/>
      <c r="D1121" s="8" t="n"/>
      <c r="E1121" s="8" t="n"/>
      <c r="F1121" s="14" t="n"/>
      <c r="G1121" s="14" t="n"/>
      <c r="H1121" s="8" t="n"/>
      <c r="I1121" s="8" t="n"/>
      <c r="J1121" s="8" t="n"/>
      <c r="K1121" s="18">
        <f>IF(B1121="","",IFERROR(MONTH(B1121),""))</f>
        <v/>
      </c>
      <c r="L1121" s="5">
        <f>IF(COUNTA(A1121:J1121)=0,"",IF(E1121="","Mangler motkonto",IF((F1121="")=(G1121=""),"Fyll ut enten Inn eller Ut",IF(OR(IFERROR(INDEX('Kontoplan'!$D$3:$D$302,MATCH(D1121,'Kontoplan'!$H$3:$H$302,0))="Støttes ikke",FALSE),IFERROR(INDEX('Kontoplan'!$D$3:$D$302,MATCH(E1121,'Kontoplan'!$H$3:$H$302,0))="Støttes ikke",FALSE)),"Kontoen støttes ikke",IF(IFERROR(AND(A1121&gt;1,COUNTIF($A$3:$A$2002,A1121-1)=0),FALSE),"Nummeret hopper over",IF(OR(NOT(ISNUMBER(B1121)),B1121&lt;DATE(2027,1,1),B1121&gt;DATE(2027,12,31)),"Datoen er ikke i 2027",""))))))</f>
        <v/>
      </c>
    </row>
    <row r="1122">
      <c r="A1122" s="17" t="n"/>
      <c r="B1122" s="9" t="n"/>
      <c r="C1122" s="8" t="n"/>
      <c r="D1122" s="8" t="n"/>
      <c r="E1122" s="8" t="n"/>
      <c r="F1122" s="14" t="n"/>
      <c r="G1122" s="14" t="n"/>
      <c r="H1122" s="8" t="n"/>
      <c r="I1122" s="8" t="n"/>
      <c r="J1122" s="8" t="n"/>
      <c r="K1122" s="18">
        <f>IF(B1122="","",IFERROR(MONTH(B1122),""))</f>
        <v/>
      </c>
      <c r="L1122" s="5">
        <f>IF(COUNTA(A1122:J1122)=0,"",IF(E1122="","Mangler motkonto",IF((F1122="")=(G1122=""),"Fyll ut enten Inn eller Ut",IF(OR(IFERROR(INDEX('Kontoplan'!$D$3:$D$302,MATCH(D1122,'Kontoplan'!$H$3:$H$302,0))="Støttes ikke",FALSE),IFERROR(INDEX('Kontoplan'!$D$3:$D$302,MATCH(E1122,'Kontoplan'!$H$3:$H$302,0))="Støttes ikke",FALSE)),"Kontoen støttes ikke",IF(IFERROR(AND(A1122&gt;1,COUNTIF($A$3:$A$2002,A1122-1)=0),FALSE),"Nummeret hopper over",IF(OR(NOT(ISNUMBER(B1122)),B1122&lt;DATE(2027,1,1),B1122&gt;DATE(2027,12,31)),"Datoen er ikke i 2027",""))))))</f>
        <v/>
      </c>
    </row>
    <row r="1123">
      <c r="A1123" s="17" t="n"/>
      <c r="B1123" s="9" t="n"/>
      <c r="C1123" s="8" t="n"/>
      <c r="D1123" s="8" t="n"/>
      <c r="E1123" s="8" t="n"/>
      <c r="F1123" s="14" t="n"/>
      <c r="G1123" s="14" t="n"/>
      <c r="H1123" s="8" t="n"/>
      <c r="I1123" s="8" t="n"/>
      <c r="J1123" s="8" t="n"/>
      <c r="K1123" s="18">
        <f>IF(B1123="","",IFERROR(MONTH(B1123),""))</f>
        <v/>
      </c>
      <c r="L1123" s="5">
        <f>IF(COUNTA(A1123:J1123)=0,"",IF(E1123="","Mangler motkonto",IF((F1123="")=(G1123=""),"Fyll ut enten Inn eller Ut",IF(OR(IFERROR(INDEX('Kontoplan'!$D$3:$D$302,MATCH(D1123,'Kontoplan'!$H$3:$H$302,0))="Støttes ikke",FALSE),IFERROR(INDEX('Kontoplan'!$D$3:$D$302,MATCH(E1123,'Kontoplan'!$H$3:$H$302,0))="Støttes ikke",FALSE)),"Kontoen støttes ikke",IF(IFERROR(AND(A1123&gt;1,COUNTIF($A$3:$A$2002,A1123-1)=0),FALSE),"Nummeret hopper over",IF(OR(NOT(ISNUMBER(B1123)),B1123&lt;DATE(2027,1,1),B1123&gt;DATE(2027,12,31)),"Datoen er ikke i 2027",""))))))</f>
        <v/>
      </c>
    </row>
    <row r="1124">
      <c r="A1124" s="17" t="n"/>
      <c r="B1124" s="9" t="n"/>
      <c r="C1124" s="8" t="n"/>
      <c r="D1124" s="8" t="n"/>
      <c r="E1124" s="8" t="n"/>
      <c r="F1124" s="14" t="n"/>
      <c r="G1124" s="14" t="n"/>
      <c r="H1124" s="8" t="n"/>
      <c r="I1124" s="8" t="n"/>
      <c r="J1124" s="8" t="n"/>
      <c r="K1124" s="18">
        <f>IF(B1124="","",IFERROR(MONTH(B1124),""))</f>
        <v/>
      </c>
      <c r="L1124" s="5">
        <f>IF(COUNTA(A1124:J1124)=0,"",IF(E1124="","Mangler motkonto",IF((F1124="")=(G1124=""),"Fyll ut enten Inn eller Ut",IF(OR(IFERROR(INDEX('Kontoplan'!$D$3:$D$302,MATCH(D1124,'Kontoplan'!$H$3:$H$302,0))="Støttes ikke",FALSE),IFERROR(INDEX('Kontoplan'!$D$3:$D$302,MATCH(E1124,'Kontoplan'!$H$3:$H$302,0))="Støttes ikke",FALSE)),"Kontoen støttes ikke",IF(IFERROR(AND(A1124&gt;1,COUNTIF($A$3:$A$2002,A1124-1)=0),FALSE),"Nummeret hopper over",IF(OR(NOT(ISNUMBER(B1124)),B1124&lt;DATE(2027,1,1),B1124&gt;DATE(2027,12,31)),"Datoen er ikke i 2027",""))))))</f>
        <v/>
      </c>
    </row>
    <row r="1125">
      <c r="A1125" s="17" t="n"/>
      <c r="B1125" s="9" t="n"/>
      <c r="C1125" s="8" t="n"/>
      <c r="D1125" s="8" t="n"/>
      <c r="E1125" s="8" t="n"/>
      <c r="F1125" s="14" t="n"/>
      <c r="G1125" s="14" t="n"/>
      <c r="H1125" s="8" t="n"/>
      <c r="I1125" s="8" t="n"/>
      <c r="J1125" s="8" t="n"/>
      <c r="K1125" s="18">
        <f>IF(B1125="","",IFERROR(MONTH(B1125),""))</f>
        <v/>
      </c>
      <c r="L1125" s="5">
        <f>IF(COUNTA(A1125:J1125)=0,"",IF(E1125="","Mangler motkonto",IF((F1125="")=(G1125=""),"Fyll ut enten Inn eller Ut",IF(OR(IFERROR(INDEX('Kontoplan'!$D$3:$D$302,MATCH(D1125,'Kontoplan'!$H$3:$H$302,0))="Støttes ikke",FALSE),IFERROR(INDEX('Kontoplan'!$D$3:$D$302,MATCH(E1125,'Kontoplan'!$H$3:$H$302,0))="Støttes ikke",FALSE)),"Kontoen støttes ikke",IF(IFERROR(AND(A1125&gt;1,COUNTIF($A$3:$A$2002,A1125-1)=0),FALSE),"Nummeret hopper over",IF(OR(NOT(ISNUMBER(B1125)),B1125&lt;DATE(2027,1,1),B1125&gt;DATE(2027,12,31)),"Datoen er ikke i 2027",""))))))</f>
        <v/>
      </c>
    </row>
    <row r="1126">
      <c r="A1126" s="17" t="n"/>
      <c r="B1126" s="9" t="n"/>
      <c r="C1126" s="8" t="n"/>
      <c r="D1126" s="8" t="n"/>
      <c r="E1126" s="8" t="n"/>
      <c r="F1126" s="14" t="n"/>
      <c r="G1126" s="14" t="n"/>
      <c r="H1126" s="8" t="n"/>
      <c r="I1126" s="8" t="n"/>
      <c r="J1126" s="8" t="n"/>
      <c r="K1126" s="18">
        <f>IF(B1126="","",IFERROR(MONTH(B1126),""))</f>
        <v/>
      </c>
      <c r="L1126" s="5">
        <f>IF(COUNTA(A1126:J1126)=0,"",IF(E1126="","Mangler motkonto",IF((F1126="")=(G1126=""),"Fyll ut enten Inn eller Ut",IF(OR(IFERROR(INDEX('Kontoplan'!$D$3:$D$302,MATCH(D1126,'Kontoplan'!$H$3:$H$302,0))="Støttes ikke",FALSE),IFERROR(INDEX('Kontoplan'!$D$3:$D$302,MATCH(E1126,'Kontoplan'!$H$3:$H$302,0))="Støttes ikke",FALSE)),"Kontoen støttes ikke",IF(IFERROR(AND(A1126&gt;1,COUNTIF($A$3:$A$2002,A1126-1)=0),FALSE),"Nummeret hopper over",IF(OR(NOT(ISNUMBER(B1126)),B1126&lt;DATE(2027,1,1),B1126&gt;DATE(2027,12,31)),"Datoen er ikke i 2027",""))))))</f>
        <v/>
      </c>
    </row>
    <row r="1127">
      <c r="A1127" s="17" t="n"/>
      <c r="B1127" s="9" t="n"/>
      <c r="C1127" s="8" t="n"/>
      <c r="D1127" s="8" t="n"/>
      <c r="E1127" s="8" t="n"/>
      <c r="F1127" s="14" t="n"/>
      <c r="G1127" s="14" t="n"/>
      <c r="H1127" s="8" t="n"/>
      <c r="I1127" s="8" t="n"/>
      <c r="J1127" s="8" t="n"/>
      <c r="K1127" s="18">
        <f>IF(B1127="","",IFERROR(MONTH(B1127),""))</f>
        <v/>
      </c>
      <c r="L1127" s="5">
        <f>IF(COUNTA(A1127:J1127)=0,"",IF(E1127="","Mangler motkonto",IF((F1127="")=(G1127=""),"Fyll ut enten Inn eller Ut",IF(OR(IFERROR(INDEX('Kontoplan'!$D$3:$D$302,MATCH(D1127,'Kontoplan'!$H$3:$H$302,0))="Støttes ikke",FALSE),IFERROR(INDEX('Kontoplan'!$D$3:$D$302,MATCH(E1127,'Kontoplan'!$H$3:$H$302,0))="Støttes ikke",FALSE)),"Kontoen støttes ikke",IF(IFERROR(AND(A1127&gt;1,COUNTIF($A$3:$A$2002,A1127-1)=0),FALSE),"Nummeret hopper over",IF(OR(NOT(ISNUMBER(B1127)),B1127&lt;DATE(2027,1,1),B1127&gt;DATE(2027,12,31)),"Datoen er ikke i 2027",""))))))</f>
        <v/>
      </c>
    </row>
    <row r="1128">
      <c r="A1128" s="17" t="n"/>
      <c r="B1128" s="9" t="n"/>
      <c r="C1128" s="8" t="n"/>
      <c r="D1128" s="8" t="n"/>
      <c r="E1128" s="8" t="n"/>
      <c r="F1128" s="14" t="n"/>
      <c r="G1128" s="14" t="n"/>
      <c r="H1128" s="8" t="n"/>
      <c r="I1128" s="8" t="n"/>
      <c r="J1128" s="8" t="n"/>
      <c r="K1128" s="18">
        <f>IF(B1128="","",IFERROR(MONTH(B1128),""))</f>
        <v/>
      </c>
      <c r="L1128" s="5">
        <f>IF(COUNTA(A1128:J1128)=0,"",IF(E1128="","Mangler motkonto",IF((F1128="")=(G1128=""),"Fyll ut enten Inn eller Ut",IF(OR(IFERROR(INDEX('Kontoplan'!$D$3:$D$302,MATCH(D1128,'Kontoplan'!$H$3:$H$302,0))="Støttes ikke",FALSE),IFERROR(INDEX('Kontoplan'!$D$3:$D$302,MATCH(E1128,'Kontoplan'!$H$3:$H$302,0))="Støttes ikke",FALSE)),"Kontoen støttes ikke",IF(IFERROR(AND(A1128&gt;1,COUNTIF($A$3:$A$2002,A1128-1)=0),FALSE),"Nummeret hopper over",IF(OR(NOT(ISNUMBER(B1128)),B1128&lt;DATE(2027,1,1),B1128&gt;DATE(2027,12,31)),"Datoen er ikke i 2027",""))))))</f>
        <v/>
      </c>
    </row>
    <row r="1129">
      <c r="A1129" s="17" t="n"/>
      <c r="B1129" s="9" t="n"/>
      <c r="C1129" s="8" t="n"/>
      <c r="D1129" s="8" t="n"/>
      <c r="E1129" s="8" t="n"/>
      <c r="F1129" s="14" t="n"/>
      <c r="G1129" s="14" t="n"/>
      <c r="H1129" s="8" t="n"/>
      <c r="I1129" s="8" t="n"/>
      <c r="J1129" s="8" t="n"/>
      <c r="K1129" s="18">
        <f>IF(B1129="","",IFERROR(MONTH(B1129),""))</f>
        <v/>
      </c>
      <c r="L1129" s="5">
        <f>IF(COUNTA(A1129:J1129)=0,"",IF(E1129="","Mangler motkonto",IF((F1129="")=(G1129=""),"Fyll ut enten Inn eller Ut",IF(OR(IFERROR(INDEX('Kontoplan'!$D$3:$D$302,MATCH(D1129,'Kontoplan'!$H$3:$H$302,0))="Støttes ikke",FALSE),IFERROR(INDEX('Kontoplan'!$D$3:$D$302,MATCH(E1129,'Kontoplan'!$H$3:$H$302,0))="Støttes ikke",FALSE)),"Kontoen støttes ikke",IF(IFERROR(AND(A1129&gt;1,COUNTIF($A$3:$A$2002,A1129-1)=0),FALSE),"Nummeret hopper over",IF(OR(NOT(ISNUMBER(B1129)),B1129&lt;DATE(2027,1,1),B1129&gt;DATE(2027,12,31)),"Datoen er ikke i 2027",""))))))</f>
        <v/>
      </c>
    </row>
    <row r="1130">
      <c r="A1130" s="17" t="n"/>
      <c r="B1130" s="9" t="n"/>
      <c r="C1130" s="8" t="n"/>
      <c r="D1130" s="8" t="n"/>
      <c r="E1130" s="8" t="n"/>
      <c r="F1130" s="14" t="n"/>
      <c r="G1130" s="14" t="n"/>
      <c r="H1130" s="8" t="n"/>
      <c r="I1130" s="8" t="n"/>
      <c r="J1130" s="8" t="n"/>
      <c r="K1130" s="18">
        <f>IF(B1130="","",IFERROR(MONTH(B1130),""))</f>
        <v/>
      </c>
      <c r="L1130" s="5">
        <f>IF(COUNTA(A1130:J1130)=0,"",IF(E1130="","Mangler motkonto",IF((F1130="")=(G1130=""),"Fyll ut enten Inn eller Ut",IF(OR(IFERROR(INDEX('Kontoplan'!$D$3:$D$302,MATCH(D1130,'Kontoplan'!$H$3:$H$302,0))="Støttes ikke",FALSE),IFERROR(INDEX('Kontoplan'!$D$3:$D$302,MATCH(E1130,'Kontoplan'!$H$3:$H$302,0))="Støttes ikke",FALSE)),"Kontoen støttes ikke",IF(IFERROR(AND(A1130&gt;1,COUNTIF($A$3:$A$2002,A1130-1)=0),FALSE),"Nummeret hopper over",IF(OR(NOT(ISNUMBER(B1130)),B1130&lt;DATE(2027,1,1),B1130&gt;DATE(2027,12,31)),"Datoen er ikke i 2027",""))))))</f>
        <v/>
      </c>
    </row>
    <row r="1131">
      <c r="A1131" s="17" t="n"/>
      <c r="B1131" s="9" t="n"/>
      <c r="C1131" s="8" t="n"/>
      <c r="D1131" s="8" t="n"/>
      <c r="E1131" s="8" t="n"/>
      <c r="F1131" s="14" t="n"/>
      <c r="G1131" s="14" t="n"/>
      <c r="H1131" s="8" t="n"/>
      <c r="I1131" s="8" t="n"/>
      <c r="J1131" s="8" t="n"/>
      <c r="K1131" s="18">
        <f>IF(B1131="","",IFERROR(MONTH(B1131),""))</f>
        <v/>
      </c>
      <c r="L1131" s="5">
        <f>IF(COUNTA(A1131:J1131)=0,"",IF(E1131="","Mangler motkonto",IF((F1131="")=(G1131=""),"Fyll ut enten Inn eller Ut",IF(OR(IFERROR(INDEX('Kontoplan'!$D$3:$D$302,MATCH(D1131,'Kontoplan'!$H$3:$H$302,0))="Støttes ikke",FALSE),IFERROR(INDEX('Kontoplan'!$D$3:$D$302,MATCH(E1131,'Kontoplan'!$H$3:$H$302,0))="Støttes ikke",FALSE)),"Kontoen støttes ikke",IF(IFERROR(AND(A1131&gt;1,COUNTIF($A$3:$A$2002,A1131-1)=0),FALSE),"Nummeret hopper over",IF(OR(NOT(ISNUMBER(B1131)),B1131&lt;DATE(2027,1,1),B1131&gt;DATE(2027,12,31)),"Datoen er ikke i 2027",""))))))</f>
        <v/>
      </c>
    </row>
    <row r="1132">
      <c r="A1132" s="17" t="n"/>
      <c r="B1132" s="9" t="n"/>
      <c r="C1132" s="8" t="n"/>
      <c r="D1132" s="8" t="n"/>
      <c r="E1132" s="8" t="n"/>
      <c r="F1132" s="14" t="n"/>
      <c r="G1132" s="14" t="n"/>
      <c r="H1132" s="8" t="n"/>
      <c r="I1132" s="8" t="n"/>
      <c r="J1132" s="8" t="n"/>
      <c r="K1132" s="18">
        <f>IF(B1132="","",IFERROR(MONTH(B1132),""))</f>
        <v/>
      </c>
      <c r="L1132" s="5">
        <f>IF(COUNTA(A1132:J1132)=0,"",IF(E1132="","Mangler motkonto",IF((F1132="")=(G1132=""),"Fyll ut enten Inn eller Ut",IF(OR(IFERROR(INDEX('Kontoplan'!$D$3:$D$302,MATCH(D1132,'Kontoplan'!$H$3:$H$302,0))="Støttes ikke",FALSE),IFERROR(INDEX('Kontoplan'!$D$3:$D$302,MATCH(E1132,'Kontoplan'!$H$3:$H$302,0))="Støttes ikke",FALSE)),"Kontoen støttes ikke",IF(IFERROR(AND(A1132&gt;1,COUNTIF($A$3:$A$2002,A1132-1)=0),FALSE),"Nummeret hopper over",IF(OR(NOT(ISNUMBER(B1132)),B1132&lt;DATE(2027,1,1),B1132&gt;DATE(2027,12,31)),"Datoen er ikke i 2027",""))))))</f>
        <v/>
      </c>
    </row>
    <row r="1133">
      <c r="A1133" s="17" t="n"/>
      <c r="B1133" s="9" t="n"/>
      <c r="C1133" s="8" t="n"/>
      <c r="D1133" s="8" t="n"/>
      <c r="E1133" s="8" t="n"/>
      <c r="F1133" s="14" t="n"/>
      <c r="G1133" s="14" t="n"/>
      <c r="H1133" s="8" t="n"/>
      <c r="I1133" s="8" t="n"/>
      <c r="J1133" s="8" t="n"/>
      <c r="K1133" s="18">
        <f>IF(B1133="","",IFERROR(MONTH(B1133),""))</f>
        <v/>
      </c>
      <c r="L1133" s="5">
        <f>IF(COUNTA(A1133:J1133)=0,"",IF(E1133="","Mangler motkonto",IF((F1133="")=(G1133=""),"Fyll ut enten Inn eller Ut",IF(OR(IFERROR(INDEX('Kontoplan'!$D$3:$D$302,MATCH(D1133,'Kontoplan'!$H$3:$H$302,0))="Støttes ikke",FALSE),IFERROR(INDEX('Kontoplan'!$D$3:$D$302,MATCH(E1133,'Kontoplan'!$H$3:$H$302,0))="Støttes ikke",FALSE)),"Kontoen støttes ikke",IF(IFERROR(AND(A1133&gt;1,COUNTIF($A$3:$A$2002,A1133-1)=0),FALSE),"Nummeret hopper over",IF(OR(NOT(ISNUMBER(B1133)),B1133&lt;DATE(2027,1,1),B1133&gt;DATE(2027,12,31)),"Datoen er ikke i 2027",""))))))</f>
        <v/>
      </c>
    </row>
    <row r="1134">
      <c r="A1134" s="17" t="n"/>
      <c r="B1134" s="9" t="n"/>
      <c r="C1134" s="8" t="n"/>
      <c r="D1134" s="8" t="n"/>
      <c r="E1134" s="8" t="n"/>
      <c r="F1134" s="14" t="n"/>
      <c r="G1134" s="14" t="n"/>
      <c r="H1134" s="8" t="n"/>
      <c r="I1134" s="8" t="n"/>
      <c r="J1134" s="8" t="n"/>
      <c r="K1134" s="18">
        <f>IF(B1134="","",IFERROR(MONTH(B1134),""))</f>
        <v/>
      </c>
      <c r="L1134" s="5">
        <f>IF(COUNTA(A1134:J1134)=0,"",IF(E1134="","Mangler motkonto",IF((F1134="")=(G1134=""),"Fyll ut enten Inn eller Ut",IF(OR(IFERROR(INDEX('Kontoplan'!$D$3:$D$302,MATCH(D1134,'Kontoplan'!$H$3:$H$302,0))="Støttes ikke",FALSE),IFERROR(INDEX('Kontoplan'!$D$3:$D$302,MATCH(E1134,'Kontoplan'!$H$3:$H$302,0))="Støttes ikke",FALSE)),"Kontoen støttes ikke",IF(IFERROR(AND(A1134&gt;1,COUNTIF($A$3:$A$2002,A1134-1)=0),FALSE),"Nummeret hopper over",IF(OR(NOT(ISNUMBER(B1134)),B1134&lt;DATE(2027,1,1),B1134&gt;DATE(2027,12,31)),"Datoen er ikke i 2027",""))))))</f>
        <v/>
      </c>
    </row>
    <row r="1135">
      <c r="A1135" s="17" t="n"/>
      <c r="B1135" s="9" t="n"/>
      <c r="C1135" s="8" t="n"/>
      <c r="D1135" s="8" t="n"/>
      <c r="E1135" s="8" t="n"/>
      <c r="F1135" s="14" t="n"/>
      <c r="G1135" s="14" t="n"/>
      <c r="H1135" s="8" t="n"/>
      <c r="I1135" s="8" t="n"/>
      <c r="J1135" s="8" t="n"/>
      <c r="K1135" s="18">
        <f>IF(B1135="","",IFERROR(MONTH(B1135),""))</f>
        <v/>
      </c>
      <c r="L1135" s="5">
        <f>IF(COUNTA(A1135:J1135)=0,"",IF(E1135="","Mangler motkonto",IF((F1135="")=(G1135=""),"Fyll ut enten Inn eller Ut",IF(OR(IFERROR(INDEX('Kontoplan'!$D$3:$D$302,MATCH(D1135,'Kontoplan'!$H$3:$H$302,0))="Støttes ikke",FALSE),IFERROR(INDEX('Kontoplan'!$D$3:$D$302,MATCH(E1135,'Kontoplan'!$H$3:$H$302,0))="Støttes ikke",FALSE)),"Kontoen støttes ikke",IF(IFERROR(AND(A1135&gt;1,COUNTIF($A$3:$A$2002,A1135-1)=0),FALSE),"Nummeret hopper over",IF(OR(NOT(ISNUMBER(B1135)),B1135&lt;DATE(2027,1,1),B1135&gt;DATE(2027,12,31)),"Datoen er ikke i 2027",""))))))</f>
        <v/>
      </c>
    </row>
    <row r="1136">
      <c r="A1136" s="17" t="n"/>
      <c r="B1136" s="9" t="n"/>
      <c r="C1136" s="8" t="n"/>
      <c r="D1136" s="8" t="n"/>
      <c r="E1136" s="8" t="n"/>
      <c r="F1136" s="14" t="n"/>
      <c r="G1136" s="14" t="n"/>
      <c r="H1136" s="8" t="n"/>
      <c r="I1136" s="8" t="n"/>
      <c r="J1136" s="8" t="n"/>
      <c r="K1136" s="18">
        <f>IF(B1136="","",IFERROR(MONTH(B1136),""))</f>
        <v/>
      </c>
      <c r="L1136" s="5">
        <f>IF(COUNTA(A1136:J1136)=0,"",IF(E1136="","Mangler motkonto",IF((F1136="")=(G1136=""),"Fyll ut enten Inn eller Ut",IF(OR(IFERROR(INDEX('Kontoplan'!$D$3:$D$302,MATCH(D1136,'Kontoplan'!$H$3:$H$302,0))="Støttes ikke",FALSE),IFERROR(INDEX('Kontoplan'!$D$3:$D$302,MATCH(E1136,'Kontoplan'!$H$3:$H$302,0))="Støttes ikke",FALSE)),"Kontoen støttes ikke",IF(IFERROR(AND(A1136&gt;1,COUNTIF($A$3:$A$2002,A1136-1)=0),FALSE),"Nummeret hopper over",IF(OR(NOT(ISNUMBER(B1136)),B1136&lt;DATE(2027,1,1),B1136&gt;DATE(2027,12,31)),"Datoen er ikke i 2027",""))))))</f>
        <v/>
      </c>
    </row>
    <row r="1137">
      <c r="A1137" s="17" t="n"/>
      <c r="B1137" s="9" t="n"/>
      <c r="C1137" s="8" t="n"/>
      <c r="D1137" s="8" t="n"/>
      <c r="E1137" s="8" t="n"/>
      <c r="F1137" s="14" t="n"/>
      <c r="G1137" s="14" t="n"/>
      <c r="H1137" s="8" t="n"/>
      <c r="I1137" s="8" t="n"/>
      <c r="J1137" s="8" t="n"/>
      <c r="K1137" s="18">
        <f>IF(B1137="","",IFERROR(MONTH(B1137),""))</f>
        <v/>
      </c>
      <c r="L1137" s="5">
        <f>IF(COUNTA(A1137:J1137)=0,"",IF(E1137="","Mangler motkonto",IF((F1137="")=(G1137=""),"Fyll ut enten Inn eller Ut",IF(OR(IFERROR(INDEX('Kontoplan'!$D$3:$D$302,MATCH(D1137,'Kontoplan'!$H$3:$H$302,0))="Støttes ikke",FALSE),IFERROR(INDEX('Kontoplan'!$D$3:$D$302,MATCH(E1137,'Kontoplan'!$H$3:$H$302,0))="Støttes ikke",FALSE)),"Kontoen støttes ikke",IF(IFERROR(AND(A1137&gt;1,COUNTIF($A$3:$A$2002,A1137-1)=0),FALSE),"Nummeret hopper over",IF(OR(NOT(ISNUMBER(B1137)),B1137&lt;DATE(2027,1,1),B1137&gt;DATE(2027,12,31)),"Datoen er ikke i 2027",""))))))</f>
        <v/>
      </c>
    </row>
    <row r="1138">
      <c r="A1138" s="17" t="n"/>
      <c r="B1138" s="9" t="n"/>
      <c r="C1138" s="8" t="n"/>
      <c r="D1138" s="8" t="n"/>
      <c r="E1138" s="8" t="n"/>
      <c r="F1138" s="14" t="n"/>
      <c r="G1138" s="14" t="n"/>
      <c r="H1138" s="8" t="n"/>
      <c r="I1138" s="8" t="n"/>
      <c r="J1138" s="8" t="n"/>
      <c r="K1138" s="18">
        <f>IF(B1138="","",IFERROR(MONTH(B1138),""))</f>
        <v/>
      </c>
      <c r="L1138" s="5">
        <f>IF(COUNTA(A1138:J1138)=0,"",IF(E1138="","Mangler motkonto",IF((F1138="")=(G1138=""),"Fyll ut enten Inn eller Ut",IF(OR(IFERROR(INDEX('Kontoplan'!$D$3:$D$302,MATCH(D1138,'Kontoplan'!$H$3:$H$302,0))="Støttes ikke",FALSE),IFERROR(INDEX('Kontoplan'!$D$3:$D$302,MATCH(E1138,'Kontoplan'!$H$3:$H$302,0))="Støttes ikke",FALSE)),"Kontoen støttes ikke",IF(IFERROR(AND(A1138&gt;1,COUNTIF($A$3:$A$2002,A1138-1)=0),FALSE),"Nummeret hopper over",IF(OR(NOT(ISNUMBER(B1138)),B1138&lt;DATE(2027,1,1),B1138&gt;DATE(2027,12,31)),"Datoen er ikke i 2027",""))))))</f>
        <v/>
      </c>
    </row>
    <row r="1139">
      <c r="A1139" s="17" t="n"/>
      <c r="B1139" s="9" t="n"/>
      <c r="C1139" s="8" t="n"/>
      <c r="D1139" s="8" t="n"/>
      <c r="E1139" s="8" t="n"/>
      <c r="F1139" s="14" t="n"/>
      <c r="G1139" s="14" t="n"/>
      <c r="H1139" s="8" t="n"/>
      <c r="I1139" s="8" t="n"/>
      <c r="J1139" s="8" t="n"/>
      <c r="K1139" s="18">
        <f>IF(B1139="","",IFERROR(MONTH(B1139),""))</f>
        <v/>
      </c>
      <c r="L1139" s="5">
        <f>IF(COUNTA(A1139:J1139)=0,"",IF(E1139="","Mangler motkonto",IF((F1139="")=(G1139=""),"Fyll ut enten Inn eller Ut",IF(OR(IFERROR(INDEX('Kontoplan'!$D$3:$D$302,MATCH(D1139,'Kontoplan'!$H$3:$H$302,0))="Støttes ikke",FALSE),IFERROR(INDEX('Kontoplan'!$D$3:$D$302,MATCH(E1139,'Kontoplan'!$H$3:$H$302,0))="Støttes ikke",FALSE)),"Kontoen støttes ikke",IF(IFERROR(AND(A1139&gt;1,COUNTIF($A$3:$A$2002,A1139-1)=0),FALSE),"Nummeret hopper over",IF(OR(NOT(ISNUMBER(B1139)),B1139&lt;DATE(2027,1,1),B1139&gt;DATE(2027,12,31)),"Datoen er ikke i 2027",""))))))</f>
        <v/>
      </c>
    </row>
    <row r="1140">
      <c r="A1140" s="17" t="n"/>
      <c r="B1140" s="9" t="n"/>
      <c r="C1140" s="8" t="n"/>
      <c r="D1140" s="8" t="n"/>
      <c r="E1140" s="8" t="n"/>
      <c r="F1140" s="14" t="n"/>
      <c r="G1140" s="14" t="n"/>
      <c r="H1140" s="8" t="n"/>
      <c r="I1140" s="8" t="n"/>
      <c r="J1140" s="8" t="n"/>
      <c r="K1140" s="18">
        <f>IF(B1140="","",IFERROR(MONTH(B1140),""))</f>
        <v/>
      </c>
      <c r="L1140" s="5">
        <f>IF(COUNTA(A1140:J1140)=0,"",IF(E1140="","Mangler motkonto",IF((F1140="")=(G1140=""),"Fyll ut enten Inn eller Ut",IF(OR(IFERROR(INDEX('Kontoplan'!$D$3:$D$302,MATCH(D1140,'Kontoplan'!$H$3:$H$302,0))="Støttes ikke",FALSE),IFERROR(INDEX('Kontoplan'!$D$3:$D$302,MATCH(E1140,'Kontoplan'!$H$3:$H$302,0))="Støttes ikke",FALSE)),"Kontoen støttes ikke",IF(IFERROR(AND(A1140&gt;1,COUNTIF($A$3:$A$2002,A1140-1)=0),FALSE),"Nummeret hopper over",IF(OR(NOT(ISNUMBER(B1140)),B1140&lt;DATE(2027,1,1),B1140&gt;DATE(2027,12,31)),"Datoen er ikke i 2027",""))))))</f>
        <v/>
      </c>
    </row>
    <row r="1141">
      <c r="A1141" s="17" t="n"/>
      <c r="B1141" s="9" t="n"/>
      <c r="C1141" s="8" t="n"/>
      <c r="D1141" s="8" t="n"/>
      <c r="E1141" s="8" t="n"/>
      <c r="F1141" s="14" t="n"/>
      <c r="G1141" s="14" t="n"/>
      <c r="H1141" s="8" t="n"/>
      <c r="I1141" s="8" t="n"/>
      <c r="J1141" s="8" t="n"/>
      <c r="K1141" s="18">
        <f>IF(B1141="","",IFERROR(MONTH(B1141),""))</f>
        <v/>
      </c>
      <c r="L1141" s="5">
        <f>IF(COUNTA(A1141:J1141)=0,"",IF(E1141="","Mangler motkonto",IF((F1141="")=(G1141=""),"Fyll ut enten Inn eller Ut",IF(OR(IFERROR(INDEX('Kontoplan'!$D$3:$D$302,MATCH(D1141,'Kontoplan'!$H$3:$H$302,0))="Støttes ikke",FALSE),IFERROR(INDEX('Kontoplan'!$D$3:$D$302,MATCH(E1141,'Kontoplan'!$H$3:$H$302,0))="Støttes ikke",FALSE)),"Kontoen støttes ikke",IF(IFERROR(AND(A1141&gt;1,COUNTIF($A$3:$A$2002,A1141-1)=0),FALSE),"Nummeret hopper over",IF(OR(NOT(ISNUMBER(B1141)),B1141&lt;DATE(2027,1,1),B1141&gt;DATE(2027,12,31)),"Datoen er ikke i 2027",""))))))</f>
        <v/>
      </c>
    </row>
    <row r="1142">
      <c r="A1142" s="17" t="n"/>
      <c r="B1142" s="9" t="n"/>
      <c r="C1142" s="8" t="n"/>
      <c r="D1142" s="8" t="n"/>
      <c r="E1142" s="8" t="n"/>
      <c r="F1142" s="14" t="n"/>
      <c r="G1142" s="14" t="n"/>
      <c r="H1142" s="8" t="n"/>
      <c r="I1142" s="8" t="n"/>
      <c r="J1142" s="8" t="n"/>
      <c r="K1142" s="18">
        <f>IF(B1142="","",IFERROR(MONTH(B1142),""))</f>
        <v/>
      </c>
      <c r="L1142" s="5">
        <f>IF(COUNTA(A1142:J1142)=0,"",IF(E1142="","Mangler motkonto",IF((F1142="")=(G1142=""),"Fyll ut enten Inn eller Ut",IF(OR(IFERROR(INDEX('Kontoplan'!$D$3:$D$302,MATCH(D1142,'Kontoplan'!$H$3:$H$302,0))="Støttes ikke",FALSE),IFERROR(INDEX('Kontoplan'!$D$3:$D$302,MATCH(E1142,'Kontoplan'!$H$3:$H$302,0))="Støttes ikke",FALSE)),"Kontoen støttes ikke",IF(IFERROR(AND(A1142&gt;1,COUNTIF($A$3:$A$2002,A1142-1)=0),FALSE),"Nummeret hopper over",IF(OR(NOT(ISNUMBER(B1142)),B1142&lt;DATE(2027,1,1),B1142&gt;DATE(2027,12,31)),"Datoen er ikke i 2027",""))))))</f>
        <v/>
      </c>
    </row>
    <row r="1143">
      <c r="A1143" s="17" t="n"/>
      <c r="B1143" s="9" t="n"/>
      <c r="C1143" s="8" t="n"/>
      <c r="D1143" s="8" t="n"/>
      <c r="E1143" s="8" t="n"/>
      <c r="F1143" s="14" t="n"/>
      <c r="G1143" s="14" t="n"/>
      <c r="H1143" s="8" t="n"/>
      <c r="I1143" s="8" t="n"/>
      <c r="J1143" s="8" t="n"/>
      <c r="K1143" s="18">
        <f>IF(B1143="","",IFERROR(MONTH(B1143),""))</f>
        <v/>
      </c>
      <c r="L1143" s="5">
        <f>IF(COUNTA(A1143:J1143)=0,"",IF(E1143="","Mangler motkonto",IF((F1143="")=(G1143=""),"Fyll ut enten Inn eller Ut",IF(OR(IFERROR(INDEX('Kontoplan'!$D$3:$D$302,MATCH(D1143,'Kontoplan'!$H$3:$H$302,0))="Støttes ikke",FALSE),IFERROR(INDEX('Kontoplan'!$D$3:$D$302,MATCH(E1143,'Kontoplan'!$H$3:$H$302,0))="Støttes ikke",FALSE)),"Kontoen støttes ikke",IF(IFERROR(AND(A1143&gt;1,COUNTIF($A$3:$A$2002,A1143-1)=0),FALSE),"Nummeret hopper over",IF(OR(NOT(ISNUMBER(B1143)),B1143&lt;DATE(2027,1,1),B1143&gt;DATE(2027,12,31)),"Datoen er ikke i 2027",""))))))</f>
        <v/>
      </c>
    </row>
    <row r="1144">
      <c r="A1144" s="17" t="n"/>
      <c r="B1144" s="9" t="n"/>
      <c r="C1144" s="8" t="n"/>
      <c r="D1144" s="8" t="n"/>
      <c r="E1144" s="8" t="n"/>
      <c r="F1144" s="14" t="n"/>
      <c r="G1144" s="14" t="n"/>
      <c r="H1144" s="8" t="n"/>
      <c r="I1144" s="8" t="n"/>
      <c r="J1144" s="8" t="n"/>
      <c r="K1144" s="18">
        <f>IF(B1144="","",IFERROR(MONTH(B1144),""))</f>
        <v/>
      </c>
      <c r="L1144" s="5">
        <f>IF(COUNTA(A1144:J1144)=0,"",IF(E1144="","Mangler motkonto",IF((F1144="")=(G1144=""),"Fyll ut enten Inn eller Ut",IF(OR(IFERROR(INDEX('Kontoplan'!$D$3:$D$302,MATCH(D1144,'Kontoplan'!$H$3:$H$302,0))="Støttes ikke",FALSE),IFERROR(INDEX('Kontoplan'!$D$3:$D$302,MATCH(E1144,'Kontoplan'!$H$3:$H$302,0))="Støttes ikke",FALSE)),"Kontoen støttes ikke",IF(IFERROR(AND(A1144&gt;1,COUNTIF($A$3:$A$2002,A1144-1)=0),FALSE),"Nummeret hopper over",IF(OR(NOT(ISNUMBER(B1144)),B1144&lt;DATE(2027,1,1),B1144&gt;DATE(2027,12,31)),"Datoen er ikke i 2027",""))))))</f>
        <v/>
      </c>
    </row>
    <row r="1145">
      <c r="A1145" s="17" t="n"/>
      <c r="B1145" s="9" t="n"/>
      <c r="C1145" s="8" t="n"/>
      <c r="D1145" s="8" t="n"/>
      <c r="E1145" s="8" t="n"/>
      <c r="F1145" s="14" t="n"/>
      <c r="G1145" s="14" t="n"/>
      <c r="H1145" s="8" t="n"/>
      <c r="I1145" s="8" t="n"/>
      <c r="J1145" s="8" t="n"/>
      <c r="K1145" s="18">
        <f>IF(B1145="","",IFERROR(MONTH(B1145),""))</f>
        <v/>
      </c>
      <c r="L1145" s="5">
        <f>IF(COUNTA(A1145:J1145)=0,"",IF(E1145="","Mangler motkonto",IF((F1145="")=(G1145=""),"Fyll ut enten Inn eller Ut",IF(OR(IFERROR(INDEX('Kontoplan'!$D$3:$D$302,MATCH(D1145,'Kontoplan'!$H$3:$H$302,0))="Støttes ikke",FALSE),IFERROR(INDEX('Kontoplan'!$D$3:$D$302,MATCH(E1145,'Kontoplan'!$H$3:$H$302,0))="Støttes ikke",FALSE)),"Kontoen støttes ikke",IF(IFERROR(AND(A1145&gt;1,COUNTIF($A$3:$A$2002,A1145-1)=0),FALSE),"Nummeret hopper over",IF(OR(NOT(ISNUMBER(B1145)),B1145&lt;DATE(2027,1,1),B1145&gt;DATE(2027,12,31)),"Datoen er ikke i 2027",""))))))</f>
        <v/>
      </c>
    </row>
    <row r="1146">
      <c r="A1146" s="17" t="n"/>
      <c r="B1146" s="9" t="n"/>
      <c r="C1146" s="8" t="n"/>
      <c r="D1146" s="8" t="n"/>
      <c r="E1146" s="8" t="n"/>
      <c r="F1146" s="14" t="n"/>
      <c r="G1146" s="14" t="n"/>
      <c r="H1146" s="8" t="n"/>
      <c r="I1146" s="8" t="n"/>
      <c r="J1146" s="8" t="n"/>
      <c r="K1146" s="18">
        <f>IF(B1146="","",IFERROR(MONTH(B1146),""))</f>
        <v/>
      </c>
      <c r="L1146" s="5">
        <f>IF(COUNTA(A1146:J1146)=0,"",IF(E1146="","Mangler motkonto",IF((F1146="")=(G1146=""),"Fyll ut enten Inn eller Ut",IF(OR(IFERROR(INDEX('Kontoplan'!$D$3:$D$302,MATCH(D1146,'Kontoplan'!$H$3:$H$302,0))="Støttes ikke",FALSE),IFERROR(INDEX('Kontoplan'!$D$3:$D$302,MATCH(E1146,'Kontoplan'!$H$3:$H$302,0))="Støttes ikke",FALSE)),"Kontoen støttes ikke",IF(IFERROR(AND(A1146&gt;1,COUNTIF($A$3:$A$2002,A1146-1)=0),FALSE),"Nummeret hopper over",IF(OR(NOT(ISNUMBER(B1146)),B1146&lt;DATE(2027,1,1),B1146&gt;DATE(2027,12,31)),"Datoen er ikke i 2027",""))))))</f>
        <v/>
      </c>
    </row>
    <row r="1147">
      <c r="A1147" s="17" t="n"/>
      <c r="B1147" s="9" t="n"/>
      <c r="C1147" s="8" t="n"/>
      <c r="D1147" s="8" t="n"/>
      <c r="E1147" s="8" t="n"/>
      <c r="F1147" s="14" t="n"/>
      <c r="G1147" s="14" t="n"/>
      <c r="H1147" s="8" t="n"/>
      <c r="I1147" s="8" t="n"/>
      <c r="J1147" s="8" t="n"/>
      <c r="K1147" s="18">
        <f>IF(B1147="","",IFERROR(MONTH(B1147),""))</f>
        <v/>
      </c>
      <c r="L1147" s="5">
        <f>IF(COUNTA(A1147:J1147)=0,"",IF(E1147="","Mangler motkonto",IF((F1147="")=(G1147=""),"Fyll ut enten Inn eller Ut",IF(OR(IFERROR(INDEX('Kontoplan'!$D$3:$D$302,MATCH(D1147,'Kontoplan'!$H$3:$H$302,0))="Støttes ikke",FALSE),IFERROR(INDEX('Kontoplan'!$D$3:$D$302,MATCH(E1147,'Kontoplan'!$H$3:$H$302,0))="Støttes ikke",FALSE)),"Kontoen støttes ikke",IF(IFERROR(AND(A1147&gt;1,COUNTIF($A$3:$A$2002,A1147-1)=0),FALSE),"Nummeret hopper over",IF(OR(NOT(ISNUMBER(B1147)),B1147&lt;DATE(2027,1,1),B1147&gt;DATE(2027,12,31)),"Datoen er ikke i 2027",""))))))</f>
        <v/>
      </c>
    </row>
    <row r="1148">
      <c r="A1148" s="17" t="n"/>
      <c r="B1148" s="9" t="n"/>
      <c r="C1148" s="8" t="n"/>
      <c r="D1148" s="8" t="n"/>
      <c r="E1148" s="8" t="n"/>
      <c r="F1148" s="14" t="n"/>
      <c r="G1148" s="14" t="n"/>
      <c r="H1148" s="8" t="n"/>
      <c r="I1148" s="8" t="n"/>
      <c r="J1148" s="8" t="n"/>
      <c r="K1148" s="18">
        <f>IF(B1148="","",IFERROR(MONTH(B1148),""))</f>
        <v/>
      </c>
      <c r="L1148" s="5">
        <f>IF(COUNTA(A1148:J1148)=0,"",IF(E1148="","Mangler motkonto",IF((F1148="")=(G1148=""),"Fyll ut enten Inn eller Ut",IF(OR(IFERROR(INDEX('Kontoplan'!$D$3:$D$302,MATCH(D1148,'Kontoplan'!$H$3:$H$302,0))="Støttes ikke",FALSE),IFERROR(INDEX('Kontoplan'!$D$3:$D$302,MATCH(E1148,'Kontoplan'!$H$3:$H$302,0))="Støttes ikke",FALSE)),"Kontoen støttes ikke",IF(IFERROR(AND(A1148&gt;1,COUNTIF($A$3:$A$2002,A1148-1)=0),FALSE),"Nummeret hopper over",IF(OR(NOT(ISNUMBER(B1148)),B1148&lt;DATE(2027,1,1),B1148&gt;DATE(2027,12,31)),"Datoen er ikke i 2027",""))))))</f>
        <v/>
      </c>
    </row>
    <row r="1149">
      <c r="A1149" s="17" t="n"/>
      <c r="B1149" s="9" t="n"/>
      <c r="C1149" s="8" t="n"/>
      <c r="D1149" s="8" t="n"/>
      <c r="E1149" s="8" t="n"/>
      <c r="F1149" s="14" t="n"/>
      <c r="G1149" s="14" t="n"/>
      <c r="H1149" s="8" t="n"/>
      <c r="I1149" s="8" t="n"/>
      <c r="J1149" s="8" t="n"/>
      <c r="K1149" s="18">
        <f>IF(B1149="","",IFERROR(MONTH(B1149),""))</f>
        <v/>
      </c>
      <c r="L1149" s="5">
        <f>IF(COUNTA(A1149:J1149)=0,"",IF(E1149="","Mangler motkonto",IF((F1149="")=(G1149=""),"Fyll ut enten Inn eller Ut",IF(OR(IFERROR(INDEX('Kontoplan'!$D$3:$D$302,MATCH(D1149,'Kontoplan'!$H$3:$H$302,0))="Støttes ikke",FALSE),IFERROR(INDEX('Kontoplan'!$D$3:$D$302,MATCH(E1149,'Kontoplan'!$H$3:$H$302,0))="Støttes ikke",FALSE)),"Kontoen støttes ikke",IF(IFERROR(AND(A1149&gt;1,COUNTIF($A$3:$A$2002,A1149-1)=0),FALSE),"Nummeret hopper over",IF(OR(NOT(ISNUMBER(B1149)),B1149&lt;DATE(2027,1,1),B1149&gt;DATE(2027,12,31)),"Datoen er ikke i 2027",""))))))</f>
        <v/>
      </c>
    </row>
    <row r="1150">
      <c r="A1150" s="17" t="n"/>
      <c r="B1150" s="9" t="n"/>
      <c r="C1150" s="8" t="n"/>
      <c r="D1150" s="8" t="n"/>
      <c r="E1150" s="8" t="n"/>
      <c r="F1150" s="14" t="n"/>
      <c r="G1150" s="14" t="n"/>
      <c r="H1150" s="8" t="n"/>
      <c r="I1150" s="8" t="n"/>
      <c r="J1150" s="8" t="n"/>
      <c r="K1150" s="18">
        <f>IF(B1150="","",IFERROR(MONTH(B1150),""))</f>
        <v/>
      </c>
      <c r="L1150" s="5">
        <f>IF(COUNTA(A1150:J1150)=0,"",IF(E1150="","Mangler motkonto",IF((F1150="")=(G1150=""),"Fyll ut enten Inn eller Ut",IF(OR(IFERROR(INDEX('Kontoplan'!$D$3:$D$302,MATCH(D1150,'Kontoplan'!$H$3:$H$302,0))="Støttes ikke",FALSE),IFERROR(INDEX('Kontoplan'!$D$3:$D$302,MATCH(E1150,'Kontoplan'!$H$3:$H$302,0))="Støttes ikke",FALSE)),"Kontoen støttes ikke",IF(IFERROR(AND(A1150&gt;1,COUNTIF($A$3:$A$2002,A1150-1)=0),FALSE),"Nummeret hopper over",IF(OR(NOT(ISNUMBER(B1150)),B1150&lt;DATE(2027,1,1),B1150&gt;DATE(2027,12,31)),"Datoen er ikke i 2027",""))))))</f>
        <v/>
      </c>
    </row>
    <row r="1151">
      <c r="A1151" s="17" t="n"/>
      <c r="B1151" s="9" t="n"/>
      <c r="C1151" s="8" t="n"/>
      <c r="D1151" s="8" t="n"/>
      <c r="E1151" s="8" t="n"/>
      <c r="F1151" s="14" t="n"/>
      <c r="G1151" s="14" t="n"/>
      <c r="H1151" s="8" t="n"/>
      <c r="I1151" s="8" t="n"/>
      <c r="J1151" s="8" t="n"/>
      <c r="K1151" s="18">
        <f>IF(B1151="","",IFERROR(MONTH(B1151),""))</f>
        <v/>
      </c>
      <c r="L1151" s="5">
        <f>IF(COUNTA(A1151:J1151)=0,"",IF(E1151="","Mangler motkonto",IF((F1151="")=(G1151=""),"Fyll ut enten Inn eller Ut",IF(OR(IFERROR(INDEX('Kontoplan'!$D$3:$D$302,MATCH(D1151,'Kontoplan'!$H$3:$H$302,0))="Støttes ikke",FALSE),IFERROR(INDEX('Kontoplan'!$D$3:$D$302,MATCH(E1151,'Kontoplan'!$H$3:$H$302,0))="Støttes ikke",FALSE)),"Kontoen støttes ikke",IF(IFERROR(AND(A1151&gt;1,COUNTIF($A$3:$A$2002,A1151-1)=0),FALSE),"Nummeret hopper over",IF(OR(NOT(ISNUMBER(B1151)),B1151&lt;DATE(2027,1,1),B1151&gt;DATE(2027,12,31)),"Datoen er ikke i 2027",""))))))</f>
        <v/>
      </c>
    </row>
    <row r="1152">
      <c r="A1152" s="17" t="n"/>
      <c r="B1152" s="9" t="n"/>
      <c r="C1152" s="8" t="n"/>
      <c r="D1152" s="8" t="n"/>
      <c r="E1152" s="8" t="n"/>
      <c r="F1152" s="14" t="n"/>
      <c r="G1152" s="14" t="n"/>
      <c r="H1152" s="8" t="n"/>
      <c r="I1152" s="8" t="n"/>
      <c r="J1152" s="8" t="n"/>
      <c r="K1152" s="18">
        <f>IF(B1152="","",IFERROR(MONTH(B1152),""))</f>
        <v/>
      </c>
      <c r="L1152" s="5">
        <f>IF(COUNTA(A1152:J1152)=0,"",IF(E1152="","Mangler motkonto",IF((F1152="")=(G1152=""),"Fyll ut enten Inn eller Ut",IF(OR(IFERROR(INDEX('Kontoplan'!$D$3:$D$302,MATCH(D1152,'Kontoplan'!$H$3:$H$302,0))="Støttes ikke",FALSE),IFERROR(INDEX('Kontoplan'!$D$3:$D$302,MATCH(E1152,'Kontoplan'!$H$3:$H$302,0))="Støttes ikke",FALSE)),"Kontoen støttes ikke",IF(IFERROR(AND(A1152&gt;1,COUNTIF($A$3:$A$2002,A1152-1)=0),FALSE),"Nummeret hopper over",IF(OR(NOT(ISNUMBER(B1152)),B1152&lt;DATE(2027,1,1),B1152&gt;DATE(2027,12,31)),"Datoen er ikke i 2027",""))))))</f>
        <v/>
      </c>
    </row>
    <row r="1153">
      <c r="A1153" s="17" t="n"/>
      <c r="B1153" s="9" t="n"/>
      <c r="C1153" s="8" t="n"/>
      <c r="D1153" s="8" t="n"/>
      <c r="E1153" s="8" t="n"/>
      <c r="F1153" s="14" t="n"/>
      <c r="G1153" s="14" t="n"/>
      <c r="H1153" s="8" t="n"/>
      <c r="I1153" s="8" t="n"/>
      <c r="J1153" s="8" t="n"/>
      <c r="K1153" s="18">
        <f>IF(B1153="","",IFERROR(MONTH(B1153),""))</f>
        <v/>
      </c>
      <c r="L1153" s="5">
        <f>IF(COUNTA(A1153:J1153)=0,"",IF(E1153="","Mangler motkonto",IF((F1153="")=(G1153=""),"Fyll ut enten Inn eller Ut",IF(OR(IFERROR(INDEX('Kontoplan'!$D$3:$D$302,MATCH(D1153,'Kontoplan'!$H$3:$H$302,0))="Støttes ikke",FALSE),IFERROR(INDEX('Kontoplan'!$D$3:$D$302,MATCH(E1153,'Kontoplan'!$H$3:$H$302,0))="Støttes ikke",FALSE)),"Kontoen støttes ikke",IF(IFERROR(AND(A1153&gt;1,COUNTIF($A$3:$A$2002,A1153-1)=0),FALSE),"Nummeret hopper over",IF(OR(NOT(ISNUMBER(B1153)),B1153&lt;DATE(2027,1,1),B1153&gt;DATE(2027,12,31)),"Datoen er ikke i 2027",""))))))</f>
        <v/>
      </c>
    </row>
    <row r="1154">
      <c r="A1154" s="17" t="n"/>
      <c r="B1154" s="9" t="n"/>
      <c r="C1154" s="8" t="n"/>
      <c r="D1154" s="8" t="n"/>
      <c r="E1154" s="8" t="n"/>
      <c r="F1154" s="14" t="n"/>
      <c r="G1154" s="14" t="n"/>
      <c r="H1154" s="8" t="n"/>
      <c r="I1154" s="8" t="n"/>
      <c r="J1154" s="8" t="n"/>
      <c r="K1154" s="18">
        <f>IF(B1154="","",IFERROR(MONTH(B1154),""))</f>
        <v/>
      </c>
      <c r="L1154" s="5">
        <f>IF(COUNTA(A1154:J1154)=0,"",IF(E1154="","Mangler motkonto",IF((F1154="")=(G1154=""),"Fyll ut enten Inn eller Ut",IF(OR(IFERROR(INDEX('Kontoplan'!$D$3:$D$302,MATCH(D1154,'Kontoplan'!$H$3:$H$302,0))="Støttes ikke",FALSE),IFERROR(INDEX('Kontoplan'!$D$3:$D$302,MATCH(E1154,'Kontoplan'!$H$3:$H$302,0))="Støttes ikke",FALSE)),"Kontoen støttes ikke",IF(IFERROR(AND(A1154&gt;1,COUNTIF($A$3:$A$2002,A1154-1)=0),FALSE),"Nummeret hopper over",IF(OR(NOT(ISNUMBER(B1154)),B1154&lt;DATE(2027,1,1),B1154&gt;DATE(2027,12,31)),"Datoen er ikke i 2027",""))))))</f>
        <v/>
      </c>
    </row>
    <row r="1155">
      <c r="A1155" s="17" t="n"/>
      <c r="B1155" s="9" t="n"/>
      <c r="C1155" s="8" t="n"/>
      <c r="D1155" s="8" t="n"/>
      <c r="E1155" s="8" t="n"/>
      <c r="F1155" s="14" t="n"/>
      <c r="G1155" s="14" t="n"/>
      <c r="H1155" s="8" t="n"/>
      <c r="I1155" s="8" t="n"/>
      <c r="J1155" s="8" t="n"/>
      <c r="K1155" s="18">
        <f>IF(B1155="","",IFERROR(MONTH(B1155),""))</f>
        <v/>
      </c>
      <c r="L1155" s="5">
        <f>IF(COUNTA(A1155:J1155)=0,"",IF(E1155="","Mangler motkonto",IF((F1155="")=(G1155=""),"Fyll ut enten Inn eller Ut",IF(OR(IFERROR(INDEX('Kontoplan'!$D$3:$D$302,MATCH(D1155,'Kontoplan'!$H$3:$H$302,0))="Støttes ikke",FALSE),IFERROR(INDEX('Kontoplan'!$D$3:$D$302,MATCH(E1155,'Kontoplan'!$H$3:$H$302,0))="Støttes ikke",FALSE)),"Kontoen støttes ikke",IF(IFERROR(AND(A1155&gt;1,COUNTIF($A$3:$A$2002,A1155-1)=0),FALSE),"Nummeret hopper over",IF(OR(NOT(ISNUMBER(B1155)),B1155&lt;DATE(2027,1,1),B1155&gt;DATE(2027,12,31)),"Datoen er ikke i 2027",""))))))</f>
        <v/>
      </c>
    </row>
    <row r="1156">
      <c r="A1156" s="17" t="n"/>
      <c r="B1156" s="9" t="n"/>
      <c r="C1156" s="8" t="n"/>
      <c r="D1156" s="8" t="n"/>
      <c r="E1156" s="8" t="n"/>
      <c r="F1156" s="14" t="n"/>
      <c r="G1156" s="14" t="n"/>
      <c r="H1156" s="8" t="n"/>
      <c r="I1156" s="8" t="n"/>
      <c r="J1156" s="8" t="n"/>
      <c r="K1156" s="18">
        <f>IF(B1156="","",IFERROR(MONTH(B1156),""))</f>
        <v/>
      </c>
      <c r="L1156" s="5">
        <f>IF(COUNTA(A1156:J1156)=0,"",IF(E1156="","Mangler motkonto",IF((F1156="")=(G1156=""),"Fyll ut enten Inn eller Ut",IF(OR(IFERROR(INDEX('Kontoplan'!$D$3:$D$302,MATCH(D1156,'Kontoplan'!$H$3:$H$302,0))="Støttes ikke",FALSE),IFERROR(INDEX('Kontoplan'!$D$3:$D$302,MATCH(E1156,'Kontoplan'!$H$3:$H$302,0))="Støttes ikke",FALSE)),"Kontoen støttes ikke",IF(IFERROR(AND(A1156&gt;1,COUNTIF($A$3:$A$2002,A1156-1)=0),FALSE),"Nummeret hopper over",IF(OR(NOT(ISNUMBER(B1156)),B1156&lt;DATE(2027,1,1),B1156&gt;DATE(2027,12,31)),"Datoen er ikke i 2027",""))))))</f>
        <v/>
      </c>
    </row>
    <row r="1157">
      <c r="A1157" s="17" t="n"/>
      <c r="B1157" s="9" t="n"/>
      <c r="C1157" s="8" t="n"/>
      <c r="D1157" s="8" t="n"/>
      <c r="E1157" s="8" t="n"/>
      <c r="F1157" s="14" t="n"/>
      <c r="G1157" s="14" t="n"/>
      <c r="H1157" s="8" t="n"/>
      <c r="I1157" s="8" t="n"/>
      <c r="J1157" s="8" t="n"/>
      <c r="K1157" s="18">
        <f>IF(B1157="","",IFERROR(MONTH(B1157),""))</f>
        <v/>
      </c>
      <c r="L1157" s="5">
        <f>IF(COUNTA(A1157:J1157)=0,"",IF(E1157="","Mangler motkonto",IF((F1157="")=(G1157=""),"Fyll ut enten Inn eller Ut",IF(OR(IFERROR(INDEX('Kontoplan'!$D$3:$D$302,MATCH(D1157,'Kontoplan'!$H$3:$H$302,0))="Støttes ikke",FALSE),IFERROR(INDEX('Kontoplan'!$D$3:$D$302,MATCH(E1157,'Kontoplan'!$H$3:$H$302,0))="Støttes ikke",FALSE)),"Kontoen støttes ikke",IF(IFERROR(AND(A1157&gt;1,COUNTIF($A$3:$A$2002,A1157-1)=0),FALSE),"Nummeret hopper over",IF(OR(NOT(ISNUMBER(B1157)),B1157&lt;DATE(2027,1,1),B1157&gt;DATE(2027,12,31)),"Datoen er ikke i 2027",""))))))</f>
        <v/>
      </c>
    </row>
    <row r="1158">
      <c r="A1158" s="17" t="n"/>
      <c r="B1158" s="9" t="n"/>
      <c r="C1158" s="8" t="n"/>
      <c r="D1158" s="8" t="n"/>
      <c r="E1158" s="8" t="n"/>
      <c r="F1158" s="14" t="n"/>
      <c r="G1158" s="14" t="n"/>
      <c r="H1158" s="8" t="n"/>
      <c r="I1158" s="8" t="n"/>
      <c r="J1158" s="8" t="n"/>
      <c r="K1158" s="18">
        <f>IF(B1158="","",IFERROR(MONTH(B1158),""))</f>
        <v/>
      </c>
      <c r="L1158" s="5">
        <f>IF(COUNTA(A1158:J1158)=0,"",IF(E1158="","Mangler motkonto",IF((F1158="")=(G1158=""),"Fyll ut enten Inn eller Ut",IF(OR(IFERROR(INDEX('Kontoplan'!$D$3:$D$302,MATCH(D1158,'Kontoplan'!$H$3:$H$302,0))="Støttes ikke",FALSE),IFERROR(INDEX('Kontoplan'!$D$3:$D$302,MATCH(E1158,'Kontoplan'!$H$3:$H$302,0))="Støttes ikke",FALSE)),"Kontoen støttes ikke",IF(IFERROR(AND(A1158&gt;1,COUNTIF($A$3:$A$2002,A1158-1)=0),FALSE),"Nummeret hopper over",IF(OR(NOT(ISNUMBER(B1158)),B1158&lt;DATE(2027,1,1),B1158&gt;DATE(2027,12,31)),"Datoen er ikke i 2027",""))))))</f>
        <v/>
      </c>
    </row>
    <row r="1159">
      <c r="A1159" s="17" t="n"/>
      <c r="B1159" s="9" t="n"/>
      <c r="C1159" s="8" t="n"/>
      <c r="D1159" s="8" t="n"/>
      <c r="E1159" s="8" t="n"/>
      <c r="F1159" s="14" t="n"/>
      <c r="G1159" s="14" t="n"/>
      <c r="H1159" s="8" t="n"/>
      <c r="I1159" s="8" t="n"/>
      <c r="J1159" s="8" t="n"/>
      <c r="K1159" s="18">
        <f>IF(B1159="","",IFERROR(MONTH(B1159),""))</f>
        <v/>
      </c>
      <c r="L1159" s="5">
        <f>IF(COUNTA(A1159:J1159)=0,"",IF(E1159="","Mangler motkonto",IF((F1159="")=(G1159=""),"Fyll ut enten Inn eller Ut",IF(OR(IFERROR(INDEX('Kontoplan'!$D$3:$D$302,MATCH(D1159,'Kontoplan'!$H$3:$H$302,0))="Støttes ikke",FALSE),IFERROR(INDEX('Kontoplan'!$D$3:$D$302,MATCH(E1159,'Kontoplan'!$H$3:$H$302,0))="Støttes ikke",FALSE)),"Kontoen støttes ikke",IF(IFERROR(AND(A1159&gt;1,COUNTIF($A$3:$A$2002,A1159-1)=0),FALSE),"Nummeret hopper over",IF(OR(NOT(ISNUMBER(B1159)),B1159&lt;DATE(2027,1,1),B1159&gt;DATE(2027,12,31)),"Datoen er ikke i 2027",""))))))</f>
        <v/>
      </c>
    </row>
    <row r="1160">
      <c r="A1160" s="17" t="n"/>
      <c r="B1160" s="9" t="n"/>
      <c r="C1160" s="8" t="n"/>
      <c r="D1160" s="8" t="n"/>
      <c r="E1160" s="8" t="n"/>
      <c r="F1160" s="14" t="n"/>
      <c r="G1160" s="14" t="n"/>
      <c r="H1160" s="8" t="n"/>
      <c r="I1160" s="8" t="n"/>
      <c r="J1160" s="8" t="n"/>
      <c r="K1160" s="18">
        <f>IF(B1160="","",IFERROR(MONTH(B1160),""))</f>
        <v/>
      </c>
      <c r="L1160" s="5">
        <f>IF(COUNTA(A1160:J1160)=0,"",IF(E1160="","Mangler motkonto",IF((F1160="")=(G1160=""),"Fyll ut enten Inn eller Ut",IF(OR(IFERROR(INDEX('Kontoplan'!$D$3:$D$302,MATCH(D1160,'Kontoplan'!$H$3:$H$302,0))="Støttes ikke",FALSE),IFERROR(INDEX('Kontoplan'!$D$3:$D$302,MATCH(E1160,'Kontoplan'!$H$3:$H$302,0))="Støttes ikke",FALSE)),"Kontoen støttes ikke",IF(IFERROR(AND(A1160&gt;1,COUNTIF($A$3:$A$2002,A1160-1)=0),FALSE),"Nummeret hopper over",IF(OR(NOT(ISNUMBER(B1160)),B1160&lt;DATE(2027,1,1),B1160&gt;DATE(2027,12,31)),"Datoen er ikke i 2027",""))))))</f>
        <v/>
      </c>
    </row>
    <row r="1161">
      <c r="A1161" s="17" t="n"/>
      <c r="B1161" s="9" t="n"/>
      <c r="C1161" s="8" t="n"/>
      <c r="D1161" s="8" t="n"/>
      <c r="E1161" s="8" t="n"/>
      <c r="F1161" s="14" t="n"/>
      <c r="G1161" s="14" t="n"/>
      <c r="H1161" s="8" t="n"/>
      <c r="I1161" s="8" t="n"/>
      <c r="J1161" s="8" t="n"/>
      <c r="K1161" s="18">
        <f>IF(B1161="","",IFERROR(MONTH(B1161),""))</f>
        <v/>
      </c>
      <c r="L1161" s="5">
        <f>IF(COUNTA(A1161:J1161)=0,"",IF(E1161="","Mangler motkonto",IF((F1161="")=(G1161=""),"Fyll ut enten Inn eller Ut",IF(OR(IFERROR(INDEX('Kontoplan'!$D$3:$D$302,MATCH(D1161,'Kontoplan'!$H$3:$H$302,0))="Støttes ikke",FALSE),IFERROR(INDEX('Kontoplan'!$D$3:$D$302,MATCH(E1161,'Kontoplan'!$H$3:$H$302,0))="Støttes ikke",FALSE)),"Kontoen støttes ikke",IF(IFERROR(AND(A1161&gt;1,COUNTIF($A$3:$A$2002,A1161-1)=0),FALSE),"Nummeret hopper over",IF(OR(NOT(ISNUMBER(B1161)),B1161&lt;DATE(2027,1,1),B1161&gt;DATE(2027,12,31)),"Datoen er ikke i 2027",""))))))</f>
        <v/>
      </c>
    </row>
    <row r="1162">
      <c r="A1162" s="17" t="n"/>
      <c r="B1162" s="9" t="n"/>
      <c r="C1162" s="8" t="n"/>
      <c r="D1162" s="8" t="n"/>
      <c r="E1162" s="8" t="n"/>
      <c r="F1162" s="14" t="n"/>
      <c r="G1162" s="14" t="n"/>
      <c r="H1162" s="8" t="n"/>
      <c r="I1162" s="8" t="n"/>
      <c r="J1162" s="8" t="n"/>
      <c r="K1162" s="18">
        <f>IF(B1162="","",IFERROR(MONTH(B1162),""))</f>
        <v/>
      </c>
      <c r="L1162" s="5">
        <f>IF(COUNTA(A1162:J1162)=0,"",IF(E1162="","Mangler motkonto",IF((F1162="")=(G1162=""),"Fyll ut enten Inn eller Ut",IF(OR(IFERROR(INDEX('Kontoplan'!$D$3:$D$302,MATCH(D1162,'Kontoplan'!$H$3:$H$302,0))="Støttes ikke",FALSE),IFERROR(INDEX('Kontoplan'!$D$3:$D$302,MATCH(E1162,'Kontoplan'!$H$3:$H$302,0))="Støttes ikke",FALSE)),"Kontoen støttes ikke",IF(IFERROR(AND(A1162&gt;1,COUNTIF($A$3:$A$2002,A1162-1)=0),FALSE),"Nummeret hopper over",IF(OR(NOT(ISNUMBER(B1162)),B1162&lt;DATE(2027,1,1),B1162&gt;DATE(2027,12,31)),"Datoen er ikke i 2027",""))))))</f>
        <v/>
      </c>
    </row>
    <row r="1163">
      <c r="A1163" s="17" t="n"/>
      <c r="B1163" s="9" t="n"/>
      <c r="C1163" s="8" t="n"/>
      <c r="D1163" s="8" t="n"/>
      <c r="E1163" s="8" t="n"/>
      <c r="F1163" s="14" t="n"/>
      <c r="G1163" s="14" t="n"/>
      <c r="H1163" s="8" t="n"/>
      <c r="I1163" s="8" t="n"/>
      <c r="J1163" s="8" t="n"/>
      <c r="K1163" s="18">
        <f>IF(B1163="","",IFERROR(MONTH(B1163),""))</f>
        <v/>
      </c>
      <c r="L1163" s="5">
        <f>IF(COUNTA(A1163:J1163)=0,"",IF(E1163="","Mangler motkonto",IF((F1163="")=(G1163=""),"Fyll ut enten Inn eller Ut",IF(OR(IFERROR(INDEX('Kontoplan'!$D$3:$D$302,MATCH(D1163,'Kontoplan'!$H$3:$H$302,0))="Støttes ikke",FALSE),IFERROR(INDEX('Kontoplan'!$D$3:$D$302,MATCH(E1163,'Kontoplan'!$H$3:$H$302,0))="Støttes ikke",FALSE)),"Kontoen støttes ikke",IF(IFERROR(AND(A1163&gt;1,COUNTIF($A$3:$A$2002,A1163-1)=0),FALSE),"Nummeret hopper over",IF(OR(NOT(ISNUMBER(B1163)),B1163&lt;DATE(2027,1,1),B1163&gt;DATE(2027,12,31)),"Datoen er ikke i 2027",""))))))</f>
        <v/>
      </c>
    </row>
    <row r="1164">
      <c r="A1164" s="17" t="n"/>
      <c r="B1164" s="9" t="n"/>
      <c r="C1164" s="8" t="n"/>
      <c r="D1164" s="8" t="n"/>
      <c r="E1164" s="8" t="n"/>
      <c r="F1164" s="14" t="n"/>
      <c r="G1164" s="14" t="n"/>
      <c r="H1164" s="8" t="n"/>
      <c r="I1164" s="8" t="n"/>
      <c r="J1164" s="8" t="n"/>
      <c r="K1164" s="18">
        <f>IF(B1164="","",IFERROR(MONTH(B1164),""))</f>
        <v/>
      </c>
      <c r="L1164" s="5">
        <f>IF(COUNTA(A1164:J1164)=0,"",IF(E1164="","Mangler motkonto",IF((F1164="")=(G1164=""),"Fyll ut enten Inn eller Ut",IF(OR(IFERROR(INDEX('Kontoplan'!$D$3:$D$302,MATCH(D1164,'Kontoplan'!$H$3:$H$302,0))="Støttes ikke",FALSE),IFERROR(INDEX('Kontoplan'!$D$3:$D$302,MATCH(E1164,'Kontoplan'!$H$3:$H$302,0))="Støttes ikke",FALSE)),"Kontoen støttes ikke",IF(IFERROR(AND(A1164&gt;1,COUNTIF($A$3:$A$2002,A1164-1)=0),FALSE),"Nummeret hopper over",IF(OR(NOT(ISNUMBER(B1164)),B1164&lt;DATE(2027,1,1),B1164&gt;DATE(2027,12,31)),"Datoen er ikke i 2027",""))))))</f>
        <v/>
      </c>
    </row>
    <row r="1165">
      <c r="A1165" s="17" t="n"/>
      <c r="B1165" s="9" t="n"/>
      <c r="C1165" s="8" t="n"/>
      <c r="D1165" s="8" t="n"/>
      <c r="E1165" s="8" t="n"/>
      <c r="F1165" s="14" t="n"/>
      <c r="G1165" s="14" t="n"/>
      <c r="H1165" s="8" t="n"/>
      <c r="I1165" s="8" t="n"/>
      <c r="J1165" s="8" t="n"/>
      <c r="K1165" s="18">
        <f>IF(B1165="","",IFERROR(MONTH(B1165),""))</f>
        <v/>
      </c>
      <c r="L1165" s="5">
        <f>IF(COUNTA(A1165:J1165)=0,"",IF(E1165="","Mangler motkonto",IF((F1165="")=(G1165=""),"Fyll ut enten Inn eller Ut",IF(OR(IFERROR(INDEX('Kontoplan'!$D$3:$D$302,MATCH(D1165,'Kontoplan'!$H$3:$H$302,0))="Støttes ikke",FALSE),IFERROR(INDEX('Kontoplan'!$D$3:$D$302,MATCH(E1165,'Kontoplan'!$H$3:$H$302,0))="Støttes ikke",FALSE)),"Kontoen støttes ikke",IF(IFERROR(AND(A1165&gt;1,COUNTIF($A$3:$A$2002,A1165-1)=0),FALSE),"Nummeret hopper over",IF(OR(NOT(ISNUMBER(B1165)),B1165&lt;DATE(2027,1,1),B1165&gt;DATE(2027,12,31)),"Datoen er ikke i 2027",""))))))</f>
        <v/>
      </c>
    </row>
    <row r="1166">
      <c r="A1166" s="17" t="n"/>
      <c r="B1166" s="9" t="n"/>
      <c r="C1166" s="8" t="n"/>
      <c r="D1166" s="8" t="n"/>
      <c r="E1166" s="8" t="n"/>
      <c r="F1166" s="14" t="n"/>
      <c r="G1166" s="14" t="n"/>
      <c r="H1166" s="8" t="n"/>
      <c r="I1166" s="8" t="n"/>
      <c r="J1166" s="8" t="n"/>
      <c r="K1166" s="18">
        <f>IF(B1166="","",IFERROR(MONTH(B1166),""))</f>
        <v/>
      </c>
      <c r="L1166" s="5">
        <f>IF(COUNTA(A1166:J1166)=0,"",IF(E1166="","Mangler motkonto",IF((F1166="")=(G1166=""),"Fyll ut enten Inn eller Ut",IF(OR(IFERROR(INDEX('Kontoplan'!$D$3:$D$302,MATCH(D1166,'Kontoplan'!$H$3:$H$302,0))="Støttes ikke",FALSE),IFERROR(INDEX('Kontoplan'!$D$3:$D$302,MATCH(E1166,'Kontoplan'!$H$3:$H$302,0))="Støttes ikke",FALSE)),"Kontoen støttes ikke",IF(IFERROR(AND(A1166&gt;1,COUNTIF($A$3:$A$2002,A1166-1)=0),FALSE),"Nummeret hopper over",IF(OR(NOT(ISNUMBER(B1166)),B1166&lt;DATE(2027,1,1),B1166&gt;DATE(2027,12,31)),"Datoen er ikke i 2027",""))))))</f>
        <v/>
      </c>
    </row>
    <row r="1167">
      <c r="A1167" s="17" t="n"/>
      <c r="B1167" s="9" t="n"/>
      <c r="C1167" s="8" t="n"/>
      <c r="D1167" s="8" t="n"/>
      <c r="E1167" s="8" t="n"/>
      <c r="F1167" s="14" t="n"/>
      <c r="G1167" s="14" t="n"/>
      <c r="H1167" s="8" t="n"/>
      <c r="I1167" s="8" t="n"/>
      <c r="J1167" s="8" t="n"/>
      <c r="K1167" s="18">
        <f>IF(B1167="","",IFERROR(MONTH(B1167),""))</f>
        <v/>
      </c>
      <c r="L1167" s="5">
        <f>IF(COUNTA(A1167:J1167)=0,"",IF(E1167="","Mangler motkonto",IF((F1167="")=(G1167=""),"Fyll ut enten Inn eller Ut",IF(OR(IFERROR(INDEX('Kontoplan'!$D$3:$D$302,MATCH(D1167,'Kontoplan'!$H$3:$H$302,0))="Støttes ikke",FALSE),IFERROR(INDEX('Kontoplan'!$D$3:$D$302,MATCH(E1167,'Kontoplan'!$H$3:$H$302,0))="Støttes ikke",FALSE)),"Kontoen støttes ikke",IF(IFERROR(AND(A1167&gt;1,COUNTIF($A$3:$A$2002,A1167-1)=0),FALSE),"Nummeret hopper over",IF(OR(NOT(ISNUMBER(B1167)),B1167&lt;DATE(2027,1,1),B1167&gt;DATE(2027,12,31)),"Datoen er ikke i 2027",""))))))</f>
        <v/>
      </c>
    </row>
    <row r="1168">
      <c r="A1168" s="17" t="n"/>
      <c r="B1168" s="9" t="n"/>
      <c r="C1168" s="8" t="n"/>
      <c r="D1168" s="8" t="n"/>
      <c r="E1168" s="8" t="n"/>
      <c r="F1168" s="14" t="n"/>
      <c r="G1168" s="14" t="n"/>
      <c r="H1168" s="8" t="n"/>
      <c r="I1168" s="8" t="n"/>
      <c r="J1168" s="8" t="n"/>
      <c r="K1168" s="18">
        <f>IF(B1168="","",IFERROR(MONTH(B1168),""))</f>
        <v/>
      </c>
      <c r="L1168" s="5">
        <f>IF(COUNTA(A1168:J1168)=0,"",IF(E1168="","Mangler motkonto",IF((F1168="")=(G1168=""),"Fyll ut enten Inn eller Ut",IF(OR(IFERROR(INDEX('Kontoplan'!$D$3:$D$302,MATCH(D1168,'Kontoplan'!$H$3:$H$302,0))="Støttes ikke",FALSE),IFERROR(INDEX('Kontoplan'!$D$3:$D$302,MATCH(E1168,'Kontoplan'!$H$3:$H$302,0))="Støttes ikke",FALSE)),"Kontoen støttes ikke",IF(IFERROR(AND(A1168&gt;1,COUNTIF($A$3:$A$2002,A1168-1)=0),FALSE),"Nummeret hopper over",IF(OR(NOT(ISNUMBER(B1168)),B1168&lt;DATE(2027,1,1),B1168&gt;DATE(2027,12,31)),"Datoen er ikke i 2027",""))))))</f>
        <v/>
      </c>
    </row>
    <row r="1169">
      <c r="A1169" s="17" t="n"/>
      <c r="B1169" s="9" t="n"/>
      <c r="C1169" s="8" t="n"/>
      <c r="D1169" s="8" t="n"/>
      <c r="E1169" s="8" t="n"/>
      <c r="F1169" s="14" t="n"/>
      <c r="G1169" s="14" t="n"/>
      <c r="H1169" s="8" t="n"/>
      <c r="I1169" s="8" t="n"/>
      <c r="J1169" s="8" t="n"/>
      <c r="K1169" s="18">
        <f>IF(B1169="","",IFERROR(MONTH(B1169),""))</f>
        <v/>
      </c>
      <c r="L1169" s="5">
        <f>IF(COUNTA(A1169:J1169)=0,"",IF(E1169="","Mangler motkonto",IF((F1169="")=(G1169=""),"Fyll ut enten Inn eller Ut",IF(OR(IFERROR(INDEX('Kontoplan'!$D$3:$D$302,MATCH(D1169,'Kontoplan'!$H$3:$H$302,0))="Støttes ikke",FALSE),IFERROR(INDEX('Kontoplan'!$D$3:$D$302,MATCH(E1169,'Kontoplan'!$H$3:$H$302,0))="Støttes ikke",FALSE)),"Kontoen støttes ikke",IF(IFERROR(AND(A1169&gt;1,COUNTIF($A$3:$A$2002,A1169-1)=0),FALSE),"Nummeret hopper over",IF(OR(NOT(ISNUMBER(B1169)),B1169&lt;DATE(2027,1,1),B1169&gt;DATE(2027,12,31)),"Datoen er ikke i 2027",""))))))</f>
        <v/>
      </c>
    </row>
    <row r="1170">
      <c r="A1170" s="17" t="n"/>
      <c r="B1170" s="9" t="n"/>
      <c r="C1170" s="8" t="n"/>
      <c r="D1170" s="8" t="n"/>
      <c r="E1170" s="8" t="n"/>
      <c r="F1170" s="14" t="n"/>
      <c r="G1170" s="14" t="n"/>
      <c r="H1170" s="8" t="n"/>
      <c r="I1170" s="8" t="n"/>
      <c r="J1170" s="8" t="n"/>
      <c r="K1170" s="18">
        <f>IF(B1170="","",IFERROR(MONTH(B1170),""))</f>
        <v/>
      </c>
      <c r="L1170" s="5">
        <f>IF(COUNTA(A1170:J1170)=0,"",IF(E1170="","Mangler motkonto",IF((F1170="")=(G1170=""),"Fyll ut enten Inn eller Ut",IF(OR(IFERROR(INDEX('Kontoplan'!$D$3:$D$302,MATCH(D1170,'Kontoplan'!$H$3:$H$302,0))="Støttes ikke",FALSE),IFERROR(INDEX('Kontoplan'!$D$3:$D$302,MATCH(E1170,'Kontoplan'!$H$3:$H$302,0))="Støttes ikke",FALSE)),"Kontoen støttes ikke",IF(IFERROR(AND(A1170&gt;1,COUNTIF($A$3:$A$2002,A1170-1)=0),FALSE),"Nummeret hopper over",IF(OR(NOT(ISNUMBER(B1170)),B1170&lt;DATE(2027,1,1),B1170&gt;DATE(2027,12,31)),"Datoen er ikke i 2027",""))))))</f>
        <v/>
      </c>
    </row>
    <row r="1171">
      <c r="A1171" s="17" t="n"/>
      <c r="B1171" s="9" t="n"/>
      <c r="C1171" s="8" t="n"/>
      <c r="D1171" s="8" t="n"/>
      <c r="E1171" s="8" t="n"/>
      <c r="F1171" s="14" t="n"/>
      <c r="G1171" s="14" t="n"/>
      <c r="H1171" s="8" t="n"/>
      <c r="I1171" s="8" t="n"/>
      <c r="J1171" s="8" t="n"/>
      <c r="K1171" s="18">
        <f>IF(B1171="","",IFERROR(MONTH(B1171),""))</f>
        <v/>
      </c>
      <c r="L1171" s="5">
        <f>IF(COUNTA(A1171:J1171)=0,"",IF(E1171="","Mangler motkonto",IF((F1171="")=(G1171=""),"Fyll ut enten Inn eller Ut",IF(OR(IFERROR(INDEX('Kontoplan'!$D$3:$D$302,MATCH(D1171,'Kontoplan'!$H$3:$H$302,0))="Støttes ikke",FALSE),IFERROR(INDEX('Kontoplan'!$D$3:$D$302,MATCH(E1171,'Kontoplan'!$H$3:$H$302,0))="Støttes ikke",FALSE)),"Kontoen støttes ikke",IF(IFERROR(AND(A1171&gt;1,COUNTIF($A$3:$A$2002,A1171-1)=0),FALSE),"Nummeret hopper over",IF(OR(NOT(ISNUMBER(B1171)),B1171&lt;DATE(2027,1,1),B1171&gt;DATE(2027,12,31)),"Datoen er ikke i 2027",""))))))</f>
        <v/>
      </c>
    </row>
    <row r="1172">
      <c r="A1172" s="17" t="n"/>
      <c r="B1172" s="9" t="n"/>
      <c r="C1172" s="8" t="n"/>
      <c r="D1172" s="8" t="n"/>
      <c r="E1172" s="8" t="n"/>
      <c r="F1172" s="14" t="n"/>
      <c r="G1172" s="14" t="n"/>
      <c r="H1172" s="8" t="n"/>
      <c r="I1172" s="8" t="n"/>
      <c r="J1172" s="8" t="n"/>
      <c r="K1172" s="18">
        <f>IF(B1172="","",IFERROR(MONTH(B1172),""))</f>
        <v/>
      </c>
      <c r="L1172" s="5">
        <f>IF(COUNTA(A1172:J1172)=0,"",IF(E1172="","Mangler motkonto",IF((F1172="")=(G1172=""),"Fyll ut enten Inn eller Ut",IF(OR(IFERROR(INDEX('Kontoplan'!$D$3:$D$302,MATCH(D1172,'Kontoplan'!$H$3:$H$302,0))="Støttes ikke",FALSE),IFERROR(INDEX('Kontoplan'!$D$3:$D$302,MATCH(E1172,'Kontoplan'!$H$3:$H$302,0))="Støttes ikke",FALSE)),"Kontoen støttes ikke",IF(IFERROR(AND(A1172&gt;1,COUNTIF($A$3:$A$2002,A1172-1)=0),FALSE),"Nummeret hopper over",IF(OR(NOT(ISNUMBER(B1172)),B1172&lt;DATE(2027,1,1),B1172&gt;DATE(2027,12,31)),"Datoen er ikke i 2027",""))))))</f>
        <v/>
      </c>
    </row>
    <row r="1173">
      <c r="A1173" s="17" t="n"/>
      <c r="B1173" s="9" t="n"/>
      <c r="C1173" s="8" t="n"/>
      <c r="D1173" s="8" t="n"/>
      <c r="E1173" s="8" t="n"/>
      <c r="F1173" s="14" t="n"/>
      <c r="G1173" s="14" t="n"/>
      <c r="H1173" s="8" t="n"/>
      <c r="I1173" s="8" t="n"/>
      <c r="J1173" s="8" t="n"/>
      <c r="K1173" s="18">
        <f>IF(B1173="","",IFERROR(MONTH(B1173),""))</f>
        <v/>
      </c>
      <c r="L1173" s="5">
        <f>IF(COUNTA(A1173:J1173)=0,"",IF(E1173="","Mangler motkonto",IF((F1173="")=(G1173=""),"Fyll ut enten Inn eller Ut",IF(OR(IFERROR(INDEX('Kontoplan'!$D$3:$D$302,MATCH(D1173,'Kontoplan'!$H$3:$H$302,0))="Støttes ikke",FALSE),IFERROR(INDEX('Kontoplan'!$D$3:$D$302,MATCH(E1173,'Kontoplan'!$H$3:$H$302,0))="Støttes ikke",FALSE)),"Kontoen støttes ikke",IF(IFERROR(AND(A1173&gt;1,COUNTIF($A$3:$A$2002,A1173-1)=0),FALSE),"Nummeret hopper over",IF(OR(NOT(ISNUMBER(B1173)),B1173&lt;DATE(2027,1,1),B1173&gt;DATE(2027,12,31)),"Datoen er ikke i 2027",""))))))</f>
        <v/>
      </c>
    </row>
    <row r="1174">
      <c r="A1174" s="17" t="n"/>
      <c r="B1174" s="9" t="n"/>
      <c r="C1174" s="8" t="n"/>
      <c r="D1174" s="8" t="n"/>
      <c r="E1174" s="8" t="n"/>
      <c r="F1174" s="14" t="n"/>
      <c r="G1174" s="14" t="n"/>
      <c r="H1174" s="8" t="n"/>
      <c r="I1174" s="8" t="n"/>
      <c r="J1174" s="8" t="n"/>
      <c r="K1174" s="18">
        <f>IF(B1174="","",IFERROR(MONTH(B1174),""))</f>
        <v/>
      </c>
      <c r="L1174" s="5">
        <f>IF(COUNTA(A1174:J1174)=0,"",IF(E1174="","Mangler motkonto",IF((F1174="")=(G1174=""),"Fyll ut enten Inn eller Ut",IF(OR(IFERROR(INDEX('Kontoplan'!$D$3:$D$302,MATCH(D1174,'Kontoplan'!$H$3:$H$302,0))="Støttes ikke",FALSE),IFERROR(INDEX('Kontoplan'!$D$3:$D$302,MATCH(E1174,'Kontoplan'!$H$3:$H$302,0))="Støttes ikke",FALSE)),"Kontoen støttes ikke",IF(IFERROR(AND(A1174&gt;1,COUNTIF($A$3:$A$2002,A1174-1)=0),FALSE),"Nummeret hopper over",IF(OR(NOT(ISNUMBER(B1174)),B1174&lt;DATE(2027,1,1),B1174&gt;DATE(2027,12,31)),"Datoen er ikke i 2027",""))))))</f>
        <v/>
      </c>
    </row>
    <row r="1175">
      <c r="A1175" s="17" t="n"/>
      <c r="B1175" s="9" t="n"/>
      <c r="C1175" s="8" t="n"/>
      <c r="D1175" s="8" t="n"/>
      <c r="E1175" s="8" t="n"/>
      <c r="F1175" s="14" t="n"/>
      <c r="G1175" s="14" t="n"/>
      <c r="H1175" s="8" t="n"/>
      <c r="I1175" s="8" t="n"/>
      <c r="J1175" s="8" t="n"/>
      <c r="K1175" s="18">
        <f>IF(B1175="","",IFERROR(MONTH(B1175),""))</f>
        <v/>
      </c>
      <c r="L1175" s="5">
        <f>IF(COUNTA(A1175:J1175)=0,"",IF(E1175="","Mangler motkonto",IF((F1175="")=(G1175=""),"Fyll ut enten Inn eller Ut",IF(OR(IFERROR(INDEX('Kontoplan'!$D$3:$D$302,MATCH(D1175,'Kontoplan'!$H$3:$H$302,0))="Støttes ikke",FALSE),IFERROR(INDEX('Kontoplan'!$D$3:$D$302,MATCH(E1175,'Kontoplan'!$H$3:$H$302,0))="Støttes ikke",FALSE)),"Kontoen støttes ikke",IF(IFERROR(AND(A1175&gt;1,COUNTIF($A$3:$A$2002,A1175-1)=0),FALSE),"Nummeret hopper over",IF(OR(NOT(ISNUMBER(B1175)),B1175&lt;DATE(2027,1,1),B1175&gt;DATE(2027,12,31)),"Datoen er ikke i 2027",""))))))</f>
        <v/>
      </c>
    </row>
    <row r="1176">
      <c r="A1176" s="17" t="n"/>
      <c r="B1176" s="9" t="n"/>
      <c r="C1176" s="8" t="n"/>
      <c r="D1176" s="8" t="n"/>
      <c r="E1176" s="8" t="n"/>
      <c r="F1176" s="14" t="n"/>
      <c r="G1176" s="14" t="n"/>
      <c r="H1176" s="8" t="n"/>
      <c r="I1176" s="8" t="n"/>
      <c r="J1176" s="8" t="n"/>
      <c r="K1176" s="18">
        <f>IF(B1176="","",IFERROR(MONTH(B1176),""))</f>
        <v/>
      </c>
      <c r="L1176" s="5">
        <f>IF(COUNTA(A1176:J1176)=0,"",IF(E1176="","Mangler motkonto",IF((F1176="")=(G1176=""),"Fyll ut enten Inn eller Ut",IF(OR(IFERROR(INDEX('Kontoplan'!$D$3:$D$302,MATCH(D1176,'Kontoplan'!$H$3:$H$302,0))="Støttes ikke",FALSE),IFERROR(INDEX('Kontoplan'!$D$3:$D$302,MATCH(E1176,'Kontoplan'!$H$3:$H$302,0))="Støttes ikke",FALSE)),"Kontoen støttes ikke",IF(IFERROR(AND(A1176&gt;1,COUNTIF($A$3:$A$2002,A1176-1)=0),FALSE),"Nummeret hopper over",IF(OR(NOT(ISNUMBER(B1176)),B1176&lt;DATE(2027,1,1),B1176&gt;DATE(2027,12,31)),"Datoen er ikke i 2027",""))))))</f>
        <v/>
      </c>
    </row>
    <row r="1177">
      <c r="A1177" s="17" t="n"/>
      <c r="B1177" s="9" t="n"/>
      <c r="C1177" s="8" t="n"/>
      <c r="D1177" s="8" t="n"/>
      <c r="E1177" s="8" t="n"/>
      <c r="F1177" s="14" t="n"/>
      <c r="G1177" s="14" t="n"/>
      <c r="H1177" s="8" t="n"/>
      <c r="I1177" s="8" t="n"/>
      <c r="J1177" s="8" t="n"/>
      <c r="K1177" s="18">
        <f>IF(B1177="","",IFERROR(MONTH(B1177),""))</f>
        <v/>
      </c>
      <c r="L1177" s="5">
        <f>IF(COUNTA(A1177:J1177)=0,"",IF(E1177="","Mangler motkonto",IF((F1177="")=(G1177=""),"Fyll ut enten Inn eller Ut",IF(OR(IFERROR(INDEX('Kontoplan'!$D$3:$D$302,MATCH(D1177,'Kontoplan'!$H$3:$H$302,0))="Støttes ikke",FALSE),IFERROR(INDEX('Kontoplan'!$D$3:$D$302,MATCH(E1177,'Kontoplan'!$H$3:$H$302,0))="Støttes ikke",FALSE)),"Kontoen støttes ikke",IF(IFERROR(AND(A1177&gt;1,COUNTIF($A$3:$A$2002,A1177-1)=0),FALSE),"Nummeret hopper over",IF(OR(NOT(ISNUMBER(B1177)),B1177&lt;DATE(2027,1,1),B1177&gt;DATE(2027,12,31)),"Datoen er ikke i 2027",""))))))</f>
        <v/>
      </c>
    </row>
    <row r="1178">
      <c r="A1178" s="17" t="n"/>
      <c r="B1178" s="9" t="n"/>
      <c r="C1178" s="8" t="n"/>
      <c r="D1178" s="8" t="n"/>
      <c r="E1178" s="8" t="n"/>
      <c r="F1178" s="14" t="n"/>
      <c r="G1178" s="14" t="n"/>
      <c r="H1178" s="8" t="n"/>
      <c r="I1178" s="8" t="n"/>
      <c r="J1178" s="8" t="n"/>
      <c r="K1178" s="18">
        <f>IF(B1178="","",IFERROR(MONTH(B1178),""))</f>
        <v/>
      </c>
      <c r="L1178" s="5">
        <f>IF(COUNTA(A1178:J1178)=0,"",IF(E1178="","Mangler motkonto",IF((F1178="")=(G1178=""),"Fyll ut enten Inn eller Ut",IF(OR(IFERROR(INDEX('Kontoplan'!$D$3:$D$302,MATCH(D1178,'Kontoplan'!$H$3:$H$302,0))="Støttes ikke",FALSE),IFERROR(INDEX('Kontoplan'!$D$3:$D$302,MATCH(E1178,'Kontoplan'!$H$3:$H$302,0))="Støttes ikke",FALSE)),"Kontoen støttes ikke",IF(IFERROR(AND(A1178&gt;1,COUNTIF($A$3:$A$2002,A1178-1)=0),FALSE),"Nummeret hopper over",IF(OR(NOT(ISNUMBER(B1178)),B1178&lt;DATE(2027,1,1),B1178&gt;DATE(2027,12,31)),"Datoen er ikke i 2027",""))))))</f>
        <v/>
      </c>
    </row>
    <row r="1179">
      <c r="A1179" s="17" t="n"/>
      <c r="B1179" s="9" t="n"/>
      <c r="C1179" s="8" t="n"/>
      <c r="D1179" s="8" t="n"/>
      <c r="E1179" s="8" t="n"/>
      <c r="F1179" s="14" t="n"/>
      <c r="G1179" s="14" t="n"/>
      <c r="H1179" s="8" t="n"/>
      <c r="I1179" s="8" t="n"/>
      <c r="J1179" s="8" t="n"/>
      <c r="K1179" s="18">
        <f>IF(B1179="","",IFERROR(MONTH(B1179),""))</f>
        <v/>
      </c>
      <c r="L1179" s="5">
        <f>IF(COUNTA(A1179:J1179)=0,"",IF(E1179="","Mangler motkonto",IF((F1179="")=(G1179=""),"Fyll ut enten Inn eller Ut",IF(OR(IFERROR(INDEX('Kontoplan'!$D$3:$D$302,MATCH(D1179,'Kontoplan'!$H$3:$H$302,0))="Støttes ikke",FALSE),IFERROR(INDEX('Kontoplan'!$D$3:$D$302,MATCH(E1179,'Kontoplan'!$H$3:$H$302,0))="Støttes ikke",FALSE)),"Kontoen støttes ikke",IF(IFERROR(AND(A1179&gt;1,COUNTIF($A$3:$A$2002,A1179-1)=0),FALSE),"Nummeret hopper over",IF(OR(NOT(ISNUMBER(B1179)),B1179&lt;DATE(2027,1,1),B1179&gt;DATE(2027,12,31)),"Datoen er ikke i 2027",""))))))</f>
        <v/>
      </c>
    </row>
    <row r="1180">
      <c r="A1180" s="17" t="n"/>
      <c r="B1180" s="9" t="n"/>
      <c r="C1180" s="8" t="n"/>
      <c r="D1180" s="8" t="n"/>
      <c r="E1180" s="8" t="n"/>
      <c r="F1180" s="14" t="n"/>
      <c r="G1180" s="14" t="n"/>
      <c r="H1180" s="8" t="n"/>
      <c r="I1180" s="8" t="n"/>
      <c r="J1180" s="8" t="n"/>
      <c r="K1180" s="18">
        <f>IF(B1180="","",IFERROR(MONTH(B1180),""))</f>
        <v/>
      </c>
      <c r="L1180" s="5">
        <f>IF(COUNTA(A1180:J1180)=0,"",IF(E1180="","Mangler motkonto",IF((F1180="")=(G1180=""),"Fyll ut enten Inn eller Ut",IF(OR(IFERROR(INDEX('Kontoplan'!$D$3:$D$302,MATCH(D1180,'Kontoplan'!$H$3:$H$302,0))="Støttes ikke",FALSE),IFERROR(INDEX('Kontoplan'!$D$3:$D$302,MATCH(E1180,'Kontoplan'!$H$3:$H$302,0))="Støttes ikke",FALSE)),"Kontoen støttes ikke",IF(IFERROR(AND(A1180&gt;1,COUNTIF($A$3:$A$2002,A1180-1)=0),FALSE),"Nummeret hopper over",IF(OR(NOT(ISNUMBER(B1180)),B1180&lt;DATE(2027,1,1),B1180&gt;DATE(2027,12,31)),"Datoen er ikke i 2027",""))))))</f>
        <v/>
      </c>
    </row>
    <row r="1181">
      <c r="A1181" s="17" t="n"/>
      <c r="B1181" s="9" t="n"/>
      <c r="C1181" s="8" t="n"/>
      <c r="D1181" s="8" t="n"/>
      <c r="E1181" s="8" t="n"/>
      <c r="F1181" s="14" t="n"/>
      <c r="G1181" s="14" t="n"/>
      <c r="H1181" s="8" t="n"/>
      <c r="I1181" s="8" t="n"/>
      <c r="J1181" s="8" t="n"/>
      <c r="K1181" s="18">
        <f>IF(B1181="","",IFERROR(MONTH(B1181),""))</f>
        <v/>
      </c>
      <c r="L1181" s="5">
        <f>IF(COUNTA(A1181:J1181)=0,"",IF(E1181="","Mangler motkonto",IF((F1181="")=(G1181=""),"Fyll ut enten Inn eller Ut",IF(OR(IFERROR(INDEX('Kontoplan'!$D$3:$D$302,MATCH(D1181,'Kontoplan'!$H$3:$H$302,0))="Støttes ikke",FALSE),IFERROR(INDEX('Kontoplan'!$D$3:$D$302,MATCH(E1181,'Kontoplan'!$H$3:$H$302,0))="Støttes ikke",FALSE)),"Kontoen støttes ikke",IF(IFERROR(AND(A1181&gt;1,COUNTIF($A$3:$A$2002,A1181-1)=0),FALSE),"Nummeret hopper over",IF(OR(NOT(ISNUMBER(B1181)),B1181&lt;DATE(2027,1,1),B1181&gt;DATE(2027,12,31)),"Datoen er ikke i 2027",""))))))</f>
        <v/>
      </c>
    </row>
    <row r="1182">
      <c r="A1182" s="17" t="n"/>
      <c r="B1182" s="9" t="n"/>
      <c r="C1182" s="8" t="n"/>
      <c r="D1182" s="8" t="n"/>
      <c r="E1182" s="8" t="n"/>
      <c r="F1182" s="14" t="n"/>
      <c r="G1182" s="14" t="n"/>
      <c r="H1182" s="8" t="n"/>
      <c r="I1182" s="8" t="n"/>
      <c r="J1182" s="8" t="n"/>
      <c r="K1182" s="18">
        <f>IF(B1182="","",IFERROR(MONTH(B1182),""))</f>
        <v/>
      </c>
      <c r="L1182" s="5">
        <f>IF(COUNTA(A1182:J1182)=0,"",IF(E1182="","Mangler motkonto",IF((F1182="")=(G1182=""),"Fyll ut enten Inn eller Ut",IF(OR(IFERROR(INDEX('Kontoplan'!$D$3:$D$302,MATCH(D1182,'Kontoplan'!$H$3:$H$302,0))="Støttes ikke",FALSE),IFERROR(INDEX('Kontoplan'!$D$3:$D$302,MATCH(E1182,'Kontoplan'!$H$3:$H$302,0))="Støttes ikke",FALSE)),"Kontoen støttes ikke",IF(IFERROR(AND(A1182&gt;1,COUNTIF($A$3:$A$2002,A1182-1)=0),FALSE),"Nummeret hopper over",IF(OR(NOT(ISNUMBER(B1182)),B1182&lt;DATE(2027,1,1),B1182&gt;DATE(2027,12,31)),"Datoen er ikke i 2027",""))))))</f>
        <v/>
      </c>
    </row>
    <row r="1183">
      <c r="A1183" s="17" t="n"/>
      <c r="B1183" s="9" t="n"/>
      <c r="C1183" s="8" t="n"/>
      <c r="D1183" s="8" t="n"/>
      <c r="E1183" s="8" t="n"/>
      <c r="F1183" s="14" t="n"/>
      <c r="G1183" s="14" t="n"/>
      <c r="H1183" s="8" t="n"/>
      <c r="I1183" s="8" t="n"/>
      <c r="J1183" s="8" t="n"/>
      <c r="K1183" s="18">
        <f>IF(B1183="","",IFERROR(MONTH(B1183),""))</f>
        <v/>
      </c>
      <c r="L1183" s="5">
        <f>IF(COUNTA(A1183:J1183)=0,"",IF(E1183="","Mangler motkonto",IF((F1183="")=(G1183=""),"Fyll ut enten Inn eller Ut",IF(OR(IFERROR(INDEX('Kontoplan'!$D$3:$D$302,MATCH(D1183,'Kontoplan'!$H$3:$H$302,0))="Støttes ikke",FALSE),IFERROR(INDEX('Kontoplan'!$D$3:$D$302,MATCH(E1183,'Kontoplan'!$H$3:$H$302,0))="Støttes ikke",FALSE)),"Kontoen støttes ikke",IF(IFERROR(AND(A1183&gt;1,COUNTIF($A$3:$A$2002,A1183-1)=0),FALSE),"Nummeret hopper over",IF(OR(NOT(ISNUMBER(B1183)),B1183&lt;DATE(2027,1,1),B1183&gt;DATE(2027,12,31)),"Datoen er ikke i 2027",""))))))</f>
        <v/>
      </c>
    </row>
    <row r="1184">
      <c r="A1184" s="17" t="n"/>
      <c r="B1184" s="9" t="n"/>
      <c r="C1184" s="8" t="n"/>
      <c r="D1184" s="8" t="n"/>
      <c r="E1184" s="8" t="n"/>
      <c r="F1184" s="14" t="n"/>
      <c r="G1184" s="14" t="n"/>
      <c r="H1184" s="8" t="n"/>
      <c r="I1184" s="8" t="n"/>
      <c r="J1184" s="8" t="n"/>
      <c r="K1184" s="18">
        <f>IF(B1184="","",IFERROR(MONTH(B1184),""))</f>
        <v/>
      </c>
      <c r="L1184" s="5">
        <f>IF(COUNTA(A1184:J1184)=0,"",IF(E1184="","Mangler motkonto",IF((F1184="")=(G1184=""),"Fyll ut enten Inn eller Ut",IF(OR(IFERROR(INDEX('Kontoplan'!$D$3:$D$302,MATCH(D1184,'Kontoplan'!$H$3:$H$302,0))="Støttes ikke",FALSE),IFERROR(INDEX('Kontoplan'!$D$3:$D$302,MATCH(E1184,'Kontoplan'!$H$3:$H$302,0))="Støttes ikke",FALSE)),"Kontoen støttes ikke",IF(IFERROR(AND(A1184&gt;1,COUNTIF($A$3:$A$2002,A1184-1)=0),FALSE),"Nummeret hopper over",IF(OR(NOT(ISNUMBER(B1184)),B1184&lt;DATE(2027,1,1),B1184&gt;DATE(2027,12,31)),"Datoen er ikke i 2027",""))))))</f>
        <v/>
      </c>
    </row>
    <row r="1185">
      <c r="A1185" s="17" t="n"/>
      <c r="B1185" s="9" t="n"/>
      <c r="C1185" s="8" t="n"/>
      <c r="D1185" s="8" t="n"/>
      <c r="E1185" s="8" t="n"/>
      <c r="F1185" s="14" t="n"/>
      <c r="G1185" s="14" t="n"/>
      <c r="H1185" s="8" t="n"/>
      <c r="I1185" s="8" t="n"/>
      <c r="J1185" s="8" t="n"/>
      <c r="K1185" s="18">
        <f>IF(B1185="","",IFERROR(MONTH(B1185),""))</f>
        <v/>
      </c>
      <c r="L1185" s="5">
        <f>IF(COUNTA(A1185:J1185)=0,"",IF(E1185="","Mangler motkonto",IF((F1185="")=(G1185=""),"Fyll ut enten Inn eller Ut",IF(OR(IFERROR(INDEX('Kontoplan'!$D$3:$D$302,MATCH(D1185,'Kontoplan'!$H$3:$H$302,0))="Støttes ikke",FALSE),IFERROR(INDEX('Kontoplan'!$D$3:$D$302,MATCH(E1185,'Kontoplan'!$H$3:$H$302,0))="Støttes ikke",FALSE)),"Kontoen støttes ikke",IF(IFERROR(AND(A1185&gt;1,COUNTIF($A$3:$A$2002,A1185-1)=0),FALSE),"Nummeret hopper over",IF(OR(NOT(ISNUMBER(B1185)),B1185&lt;DATE(2027,1,1),B1185&gt;DATE(2027,12,31)),"Datoen er ikke i 2027",""))))))</f>
        <v/>
      </c>
    </row>
    <row r="1186">
      <c r="A1186" s="17" t="n"/>
      <c r="B1186" s="9" t="n"/>
      <c r="C1186" s="8" t="n"/>
      <c r="D1186" s="8" t="n"/>
      <c r="E1186" s="8" t="n"/>
      <c r="F1186" s="14" t="n"/>
      <c r="G1186" s="14" t="n"/>
      <c r="H1186" s="8" t="n"/>
      <c r="I1186" s="8" t="n"/>
      <c r="J1186" s="8" t="n"/>
      <c r="K1186" s="18">
        <f>IF(B1186="","",IFERROR(MONTH(B1186),""))</f>
        <v/>
      </c>
      <c r="L1186" s="5">
        <f>IF(COUNTA(A1186:J1186)=0,"",IF(E1186="","Mangler motkonto",IF((F1186="")=(G1186=""),"Fyll ut enten Inn eller Ut",IF(OR(IFERROR(INDEX('Kontoplan'!$D$3:$D$302,MATCH(D1186,'Kontoplan'!$H$3:$H$302,0))="Støttes ikke",FALSE),IFERROR(INDEX('Kontoplan'!$D$3:$D$302,MATCH(E1186,'Kontoplan'!$H$3:$H$302,0))="Støttes ikke",FALSE)),"Kontoen støttes ikke",IF(IFERROR(AND(A1186&gt;1,COUNTIF($A$3:$A$2002,A1186-1)=0),FALSE),"Nummeret hopper over",IF(OR(NOT(ISNUMBER(B1186)),B1186&lt;DATE(2027,1,1),B1186&gt;DATE(2027,12,31)),"Datoen er ikke i 2027",""))))))</f>
        <v/>
      </c>
    </row>
    <row r="1187">
      <c r="A1187" s="17" t="n"/>
      <c r="B1187" s="9" t="n"/>
      <c r="C1187" s="8" t="n"/>
      <c r="D1187" s="8" t="n"/>
      <c r="E1187" s="8" t="n"/>
      <c r="F1187" s="14" t="n"/>
      <c r="G1187" s="14" t="n"/>
      <c r="H1187" s="8" t="n"/>
      <c r="I1187" s="8" t="n"/>
      <c r="J1187" s="8" t="n"/>
      <c r="K1187" s="18">
        <f>IF(B1187="","",IFERROR(MONTH(B1187),""))</f>
        <v/>
      </c>
      <c r="L1187" s="5">
        <f>IF(COUNTA(A1187:J1187)=0,"",IF(E1187="","Mangler motkonto",IF((F1187="")=(G1187=""),"Fyll ut enten Inn eller Ut",IF(OR(IFERROR(INDEX('Kontoplan'!$D$3:$D$302,MATCH(D1187,'Kontoplan'!$H$3:$H$302,0))="Støttes ikke",FALSE),IFERROR(INDEX('Kontoplan'!$D$3:$D$302,MATCH(E1187,'Kontoplan'!$H$3:$H$302,0))="Støttes ikke",FALSE)),"Kontoen støttes ikke",IF(IFERROR(AND(A1187&gt;1,COUNTIF($A$3:$A$2002,A1187-1)=0),FALSE),"Nummeret hopper over",IF(OR(NOT(ISNUMBER(B1187)),B1187&lt;DATE(2027,1,1),B1187&gt;DATE(2027,12,31)),"Datoen er ikke i 2027",""))))))</f>
        <v/>
      </c>
    </row>
    <row r="1188">
      <c r="A1188" s="17" t="n"/>
      <c r="B1188" s="9" t="n"/>
      <c r="C1188" s="8" t="n"/>
      <c r="D1188" s="8" t="n"/>
      <c r="E1188" s="8" t="n"/>
      <c r="F1188" s="14" t="n"/>
      <c r="G1188" s="14" t="n"/>
      <c r="H1188" s="8" t="n"/>
      <c r="I1188" s="8" t="n"/>
      <c r="J1188" s="8" t="n"/>
      <c r="K1188" s="18">
        <f>IF(B1188="","",IFERROR(MONTH(B1188),""))</f>
        <v/>
      </c>
      <c r="L1188" s="5">
        <f>IF(COUNTA(A1188:J1188)=0,"",IF(E1188="","Mangler motkonto",IF((F1188="")=(G1188=""),"Fyll ut enten Inn eller Ut",IF(OR(IFERROR(INDEX('Kontoplan'!$D$3:$D$302,MATCH(D1188,'Kontoplan'!$H$3:$H$302,0))="Støttes ikke",FALSE),IFERROR(INDEX('Kontoplan'!$D$3:$D$302,MATCH(E1188,'Kontoplan'!$H$3:$H$302,0))="Støttes ikke",FALSE)),"Kontoen støttes ikke",IF(IFERROR(AND(A1188&gt;1,COUNTIF($A$3:$A$2002,A1188-1)=0),FALSE),"Nummeret hopper over",IF(OR(NOT(ISNUMBER(B1188)),B1188&lt;DATE(2027,1,1),B1188&gt;DATE(2027,12,31)),"Datoen er ikke i 2027",""))))))</f>
        <v/>
      </c>
    </row>
    <row r="1189">
      <c r="A1189" s="17" t="n"/>
      <c r="B1189" s="9" t="n"/>
      <c r="C1189" s="8" t="n"/>
      <c r="D1189" s="8" t="n"/>
      <c r="E1189" s="8" t="n"/>
      <c r="F1189" s="14" t="n"/>
      <c r="G1189" s="14" t="n"/>
      <c r="H1189" s="8" t="n"/>
      <c r="I1189" s="8" t="n"/>
      <c r="J1189" s="8" t="n"/>
      <c r="K1189" s="18">
        <f>IF(B1189="","",IFERROR(MONTH(B1189),""))</f>
        <v/>
      </c>
      <c r="L1189" s="5">
        <f>IF(COUNTA(A1189:J1189)=0,"",IF(E1189="","Mangler motkonto",IF((F1189="")=(G1189=""),"Fyll ut enten Inn eller Ut",IF(OR(IFERROR(INDEX('Kontoplan'!$D$3:$D$302,MATCH(D1189,'Kontoplan'!$H$3:$H$302,0))="Støttes ikke",FALSE),IFERROR(INDEX('Kontoplan'!$D$3:$D$302,MATCH(E1189,'Kontoplan'!$H$3:$H$302,0))="Støttes ikke",FALSE)),"Kontoen støttes ikke",IF(IFERROR(AND(A1189&gt;1,COUNTIF($A$3:$A$2002,A1189-1)=0),FALSE),"Nummeret hopper over",IF(OR(NOT(ISNUMBER(B1189)),B1189&lt;DATE(2027,1,1),B1189&gt;DATE(2027,12,31)),"Datoen er ikke i 2027",""))))))</f>
        <v/>
      </c>
    </row>
    <row r="1190">
      <c r="A1190" s="17" t="n"/>
      <c r="B1190" s="9" t="n"/>
      <c r="C1190" s="8" t="n"/>
      <c r="D1190" s="8" t="n"/>
      <c r="E1190" s="8" t="n"/>
      <c r="F1190" s="14" t="n"/>
      <c r="G1190" s="14" t="n"/>
      <c r="H1190" s="8" t="n"/>
      <c r="I1190" s="8" t="n"/>
      <c r="J1190" s="8" t="n"/>
      <c r="K1190" s="18">
        <f>IF(B1190="","",IFERROR(MONTH(B1190),""))</f>
        <v/>
      </c>
      <c r="L1190" s="5">
        <f>IF(COUNTA(A1190:J1190)=0,"",IF(E1190="","Mangler motkonto",IF((F1190="")=(G1190=""),"Fyll ut enten Inn eller Ut",IF(OR(IFERROR(INDEX('Kontoplan'!$D$3:$D$302,MATCH(D1190,'Kontoplan'!$H$3:$H$302,0))="Støttes ikke",FALSE),IFERROR(INDEX('Kontoplan'!$D$3:$D$302,MATCH(E1190,'Kontoplan'!$H$3:$H$302,0))="Støttes ikke",FALSE)),"Kontoen støttes ikke",IF(IFERROR(AND(A1190&gt;1,COUNTIF($A$3:$A$2002,A1190-1)=0),FALSE),"Nummeret hopper over",IF(OR(NOT(ISNUMBER(B1190)),B1190&lt;DATE(2027,1,1),B1190&gt;DATE(2027,12,31)),"Datoen er ikke i 2027",""))))))</f>
        <v/>
      </c>
    </row>
    <row r="1191">
      <c r="A1191" s="17" t="n"/>
      <c r="B1191" s="9" t="n"/>
      <c r="C1191" s="8" t="n"/>
      <c r="D1191" s="8" t="n"/>
      <c r="E1191" s="8" t="n"/>
      <c r="F1191" s="14" t="n"/>
      <c r="G1191" s="14" t="n"/>
      <c r="H1191" s="8" t="n"/>
      <c r="I1191" s="8" t="n"/>
      <c r="J1191" s="8" t="n"/>
      <c r="K1191" s="18">
        <f>IF(B1191="","",IFERROR(MONTH(B1191),""))</f>
        <v/>
      </c>
      <c r="L1191" s="5">
        <f>IF(COUNTA(A1191:J1191)=0,"",IF(E1191="","Mangler motkonto",IF((F1191="")=(G1191=""),"Fyll ut enten Inn eller Ut",IF(OR(IFERROR(INDEX('Kontoplan'!$D$3:$D$302,MATCH(D1191,'Kontoplan'!$H$3:$H$302,0))="Støttes ikke",FALSE),IFERROR(INDEX('Kontoplan'!$D$3:$D$302,MATCH(E1191,'Kontoplan'!$H$3:$H$302,0))="Støttes ikke",FALSE)),"Kontoen støttes ikke",IF(IFERROR(AND(A1191&gt;1,COUNTIF($A$3:$A$2002,A1191-1)=0),FALSE),"Nummeret hopper over",IF(OR(NOT(ISNUMBER(B1191)),B1191&lt;DATE(2027,1,1),B1191&gt;DATE(2027,12,31)),"Datoen er ikke i 2027",""))))))</f>
        <v/>
      </c>
    </row>
    <row r="1192">
      <c r="A1192" s="17" t="n"/>
      <c r="B1192" s="9" t="n"/>
      <c r="C1192" s="8" t="n"/>
      <c r="D1192" s="8" t="n"/>
      <c r="E1192" s="8" t="n"/>
      <c r="F1192" s="14" t="n"/>
      <c r="G1192" s="14" t="n"/>
      <c r="H1192" s="8" t="n"/>
      <c r="I1192" s="8" t="n"/>
      <c r="J1192" s="8" t="n"/>
      <c r="K1192" s="18">
        <f>IF(B1192="","",IFERROR(MONTH(B1192),""))</f>
        <v/>
      </c>
      <c r="L1192" s="5">
        <f>IF(COUNTA(A1192:J1192)=0,"",IF(E1192="","Mangler motkonto",IF((F1192="")=(G1192=""),"Fyll ut enten Inn eller Ut",IF(OR(IFERROR(INDEX('Kontoplan'!$D$3:$D$302,MATCH(D1192,'Kontoplan'!$H$3:$H$302,0))="Støttes ikke",FALSE),IFERROR(INDEX('Kontoplan'!$D$3:$D$302,MATCH(E1192,'Kontoplan'!$H$3:$H$302,0))="Støttes ikke",FALSE)),"Kontoen støttes ikke",IF(IFERROR(AND(A1192&gt;1,COUNTIF($A$3:$A$2002,A1192-1)=0),FALSE),"Nummeret hopper over",IF(OR(NOT(ISNUMBER(B1192)),B1192&lt;DATE(2027,1,1),B1192&gt;DATE(2027,12,31)),"Datoen er ikke i 2027",""))))))</f>
        <v/>
      </c>
    </row>
    <row r="1193">
      <c r="A1193" s="17" t="n"/>
      <c r="B1193" s="9" t="n"/>
      <c r="C1193" s="8" t="n"/>
      <c r="D1193" s="8" t="n"/>
      <c r="E1193" s="8" t="n"/>
      <c r="F1193" s="14" t="n"/>
      <c r="G1193" s="14" t="n"/>
      <c r="H1193" s="8" t="n"/>
      <c r="I1193" s="8" t="n"/>
      <c r="J1193" s="8" t="n"/>
      <c r="K1193" s="18">
        <f>IF(B1193="","",IFERROR(MONTH(B1193),""))</f>
        <v/>
      </c>
      <c r="L1193" s="5">
        <f>IF(COUNTA(A1193:J1193)=0,"",IF(E1193="","Mangler motkonto",IF((F1193="")=(G1193=""),"Fyll ut enten Inn eller Ut",IF(OR(IFERROR(INDEX('Kontoplan'!$D$3:$D$302,MATCH(D1193,'Kontoplan'!$H$3:$H$302,0))="Støttes ikke",FALSE),IFERROR(INDEX('Kontoplan'!$D$3:$D$302,MATCH(E1193,'Kontoplan'!$H$3:$H$302,0))="Støttes ikke",FALSE)),"Kontoen støttes ikke",IF(IFERROR(AND(A1193&gt;1,COUNTIF($A$3:$A$2002,A1193-1)=0),FALSE),"Nummeret hopper over",IF(OR(NOT(ISNUMBER(B1193)),B1193&lt;DATE(2027,1,1),B1193&gt;DATE(2027,12,31)),"Datoen er ikke i 2027",""))))))</f>
        <v/>
      </c>
    </row>
    <row r="1194">
      <c r="A1194" s="17" t="n"/>
      <c r="B1194" s="9" t="n"/>
      <c r="C1194" s="8" t="n"/>
      <c r="D1194" s="8" t="n"/>
      <c r="E1194" s="8" t="n"/>
      <c r="F1194" s="14" t="n"/>
      <c r="G1194" s="14" t="n"/>
      <c r="H1194" s="8" t="n"/>
      <c r="I1194" s="8" t="n"/>
      <c r="J1194" s="8" t="n"/>
      <c r="K1194" s="18">
        <f>IF(B1194="","",IFERROR(MONTH(B1194),""))</f>
        <v/>
      </c>
      <c r="L1194" s="5">
        <f>IF(COUNTA(A1194:J1194)=0,"",IF(E1194="","Mangler motkonto",IF((F1194="")=(G1194=""),"Fyll ut enten Inn eller Ut",IF(OR(IFERROR(INDEX('Kontoplan'!$D$3:$D$302,MATCH(D1194,'Kontoplan'!$H$3:$H$302,0))="Støttes ikke",FALSE),IFERROR(INDEX('Kontoplan'!$D$3:$D$302,MATCH(E1194,'Kontoplan'!$H$3:$H$302,0))="Støttes ikke",FALSE)),"Kontoen støttes ikke",IF(IFERROR(AND(A1194&gt;1,COUNTIF($A$3:$A$2002,A1194-1)=0),FALSE),"Nummeret hopper over",IF(OR(NOT(ISNUMBER(B1194)),B1194&lt;DATE(2027,1,1),B1194&gt;DATE(2027,12,31)),"Datoen er ikke i 2027",""))))))</f>
        <v/>
      </c>
    </row>
    <row r="1195">
      <c r="A1195" s="17" t="n"/>
      <c r="B1195" s="9" t="n"/>
      <c r="C1195" s="8" t="n"/>
      <c r="D1195" s="8" t="n"/>
      <c r="E1195" s="8" t="n"/>
      <c r="F1195" s="14" t="n"/>
      <c r="G1195" s="14" t="n"/>
      <c r="H1195" s="8" t="n"/>
      <c r="I1195" s="8" t="n"/>
      <c r="J1195" s="8" t="n"/>
      <c r="K1195" s="18">
        <f>IF(B1195="","",IFERROR(MONTH(B1195),""))</f>
        <v/>
      </c>
      <c r="L1195" s="5">
        <f>IF(COUNTA(A1195:J1195)=0,"",IF(E1195="","Mangler motkonto",IF((F1195="")=(G1195=""),"Fyll ut enten Inn eller Ut",IF(OR(IFERROR(INDEX('Kontoplan'!$D$3:$D$302,MATCH(D1195,'Kontoplan'!$H$3:$H$302,0))="Støttes ikke",FALSE),IFERROR(INDEX('Kontoplan'!$D$3:$D$302,MATCH(E1195,'Kontoplan'!$H$3:$H$302,0))="Støttes ikke",FALSE)),"Kontoen støttes ikke",IF(IFERROR(AND(A1195&gt;1,COUNTIF($A$3:$A$2002,A1195-1)=0),FALSE),"Nummeret hopper over",IF(OR(NOT(ISNUMBER(B1195)),B1195&lt;DATE(2027,1,1),B1195&gt;DATE(2027,12,31)),"Datoen er ikke i 2027",""))))))</f>
        <v/>
      </c>
    </row>
    <row r="1196">
      <c r="A1196" s="17" t="n"/>
      <c r="B1196" s="9" t="n"/>
      <c r="C1196" s="8" t="n"/>
      <c r="D1196" s="8" t="n"/>
      <c r="E1196" s="8" t="n"/>
      <c r="F1196" s="14" t="n"/>
      <c r="G1196" s="14" t="n"/>
      <c r="H1196" s="8" t="n"/>
      <c r="I1196" s="8" t="n"/>
      <c r="J1196" s="8" t="n"/>
      <c r="K1196" s="18">
        <f>IF(B1196="","",IFERROR(MONTH(B1196),""))</f>
        <v/>
      </c>
      <c r="L1196" s="5">
        <f>IF(COUNTA(A1196:J1196)=0,"",IF(E1196="","Mangler motkonto",IF((F1196="")=(G1196=""),"Fyll ut enten Inn eller Ut",IF(OR(IFERROR(INDEX('Kontoplan'!$D$3:$D$302,MATCH(D1196,'Kontoplan'!$H$3:$H$302,0))="Støttes ikke",FALSE),IFERROR(INDEX('Kontoplan'!$D$3:$D$302,MATCH(E1196,'Kontoplan'!$H$3:$H$302,0))="Støttes ikke",FALSE)),"Kontoen støttes ikke",IF(IFERROR(AND(A1196&gt;1,COUNTIF($A$3:$A$2002,A1196-1)=0),FALSE),"Nummeret hopper over",IF(OR(NOT(ISNUMBER(B1196)),B1196&lt;DATE(2027,1,1),B1196&gt;DATE(2027,12,31)),"Datoen er ikke i 2027",""))))))</f>
        <v/>
      </c>
    </row>
    <row r="1197">
      <c r="A1197" s="17" t="n"/>
      <c r="B1197" s="9" t="n"/>
      <c r="C1197" s="8" t="n"/>
      <c r="D1197" s="8" t="n"/>
      <c r="E1197" s="8" t="n"/>
      <c r="F1197" s="14" t="n"/>
      <c r="G1197" s="14" t="n"/>
      <c r="H1197" s="8" t="n"/>
      <c r="I1197" s="8" t="n"/>
      <c r="J1197" s="8" t="n"/>
      <c r="K1197" s="18">
        <f>IF(B1197="","",IFERROR(MONTH(B1197),""))</f>
        <v/>
      </c>
      <c r="L1197" s="5">
        <f>IF(COUNTA(A1197:J1197)=0,"",IF(E1197="","Mangler motkonto",IF((F1197="")=(G1197=""),"Fyll ut enten Inn eller Ut",IF(OR(IFERROR(INDEX('Kontoplan'!$D$3:$D$302,MATCH(D1197,'Kontoplan'!$H$3:$H$302,0))="Støttes ikke",FALSE),IFERROR(INDEX('Kontoplan'!$D$3:$D$302,MATCH(E1197,'Kontoplan'!$H$3:$H$302,0))="Støttes ikke",FALSE)),"Kontoen støttes ikke",IF(IFERROR(AND(A1197&gt;1,COUNTIF($A$3:$A$2002,A1197-1)=0),FALSE),"Nummeret hopper over",IF(OR(NOT(ISNUMBER(B1197)),B1197&lt;DATE(2027,1,1),B1197&gt;DATE(2027,12,31)),"Datoen er ikke i 2027",""))))))</f>
        <v/>
      </c>
    </row>
    <row r="1198">
      <c r="A1198" s="17" t="n"/>
      <c r="B1198" s="9" t="n"/>
      <c r="C1198" s="8" t="n"/>
      <c r="D1198" s="8" t="n"/>
      <c r="E1198" s="8" t="n"/>
      <c r="F1198" s="14" t="n"/>
      <c r="G1198" s="14" t="n"/>
      <c r="H1198" s="8" t="n"/>
      <c r="I1198" s="8" t="n"/>
      <c r="J1198" s="8" t="n"/>
      <c r="K1198" s="18">
        <f>IF(B1198="","",IFERROR(MONTH(B1198),""))</f>
        <v/>
      </c>
      <c r="L1198" s="5">
        <f>IF(COUNTA(A1198:J1198)=0,"",IF(E1198="","Mangler motkonto",IF((F1198="")=(G1198=""),"Fyll ut enten Inn eller Ut",IF(OR(IFERROR(INDEX('Kontoplan'!$D$3:$D$302,MATCH(D1198,'Kontoplan'!$H$3:$H$302,0))="Støttes ikke",FALSE),IFERROR(INDEX('Kontoplan'!$D$3:$D$302,MATCH(E1198,'Kontoplan'!$H$3:$H$302,0))="Støttes ikke",FALSE)),"Kontoen støttes ikke",IF(IFERROR(AND(A1198&gt;1,COUNTIF($A$3:$A$2002,A1198-1)=0),FALSE),"Nummeret hopper over",IF(OR(NOT(ISNUMBER(B1198)),B1198&lt;DATE(2027,1,1),B1198&gt;DATE(2027,12,31)),"Datoen er ikke i 2027",""))))))</f>
        <v/>
      </c>
    </row>
    <row r="1199">
      <c r="A1199" s="17" t="n"/>
      <c r="B1199" s="9" t="n"/>
      <c r="C1199" s="8" t="n"/>
      <c r="D1199" s="8" t="n"/>
      <c r="E1199" s="8" t="n"/>
      <c r="F1199" s="14" t="n"/>
      <c r="G1199" s="14" t="n"/>
      <c r="H1199" s="8" t="n"/>
      <c r="I1199" s="8" t="n"/>
      <c r="J1199" s="8" t="n"/>
      <c r="K1199" s="18">
        <f>IF(B1199="","",IFERROR(MONTH(B1199),""))</f>
        <v/>
      </c>
      <c r="L1199" s="5">
        <f>IF(COUNTA(A1199:J1199)=0,"",IF(E1199="","Mangler motkonto",IF((F1199="")=(G1199=""),"Fyll ut enten Inn eller Ut",IF(OR(IFERROR(INDEX('Kontoplan'!$D$3:$D$302,MATCH(D1199,'Kontoplan'!$H$3:$H$302,0))="Støttes ikke",FALSE),IFERROR(INDEX('Kontoplan'!$D$3:$D$302,MATCH(E1199,'Kontoplan'!$H$3:$H$302,0))="Støttes ikke",FALSE)),"Kontoen støttes ikke",IF(IFERROR(AND(A1199&gt;1,COUNTIF($A$3:$A$2002,A1199-1)=0),FALSE),"Nummeret hopper over",IF(OR(NOT(ISNUMBER(B1199)),B1199&lt;DATE(2027,1,1),B1199&gt;DATE(2027,12,31)),"Datoen er ikke i 2027",""))))))</f>
        <v/>
      </c>
    </row>
    <row r="1200">
      <c r="A1200" s="17" t="n"/>
      <c r="B1200" s="9" t="n"/>
      <c r="C1200" s="8" t="n"/>
      <c r="D1200" s="8" t="n"/>
      <c r="E1200" s="8" t="n"/>
      <c r="F1200" s="14" t="n"/>
      <c r="G1200" s="14" t="n"/>
      <c r="H1200" s="8" t="n"/>
      <c r="I1200" s="8" t="n"/>
      <c r="J1200" s="8" t="n"/>
      <c r="K1200" s="18">
        <f>IF(B1200="","",IFERROR(MONTH(B1200),""))</f>
        <v/>
      </c>
      <c r="L1200" s="5">
        <f>IF(COUNTA(A1200:J1200)=0,"",IF(E1200="","Mangler motkonto",IF((F1200="")=(G1200=""),"Fyll ut enten Inn eller Ut",IF(OR(IFERROR(INDEX('Kontoplan'!$D$3:$D$302,MATCH(D1200,'Kontoplan'!$H$3:$H$302,0))="Støttes ikke",FALSE),IFERROR(INDEX('Kontoplan'!$D$3:$D$302,MATCH(E1200,'Kontoplan'!$H$3:$H$302,0))="Støttes ikke",FALSE)),"Kontoen støttes ikke",IF(IFERROR(AND(A1200&gt;1,COUNTIF($A$3:$A$2002,A1200-1)=0),FALSE),"Nummeret hopper over",IF(OR(NOT(ISNUMBER(B1200)),B1200&lt;DATE(2027,1,1),B1200&gt;DATE(2027,12,31)),"Datoen er ikke i 2027",""))))))</f>
        <v/>
      </c>
    </row>
    <row r="1201">
      <c r="A1201" s="17" t="n"/>
      <c r="B1201" s="9" t="n"/>
      <c r="C1201" s="8" t="n"/>
      <c r="D1201" s="8" t="n"/>
      <c r="E1201" s="8" t="n"/>
      <c r="F1201" s="14" t="n"/>
      <c r="G1201" s="14" t="n"/>
      <c r="H1201" s="8" t="n"/>
      <c r="I1201" s="8" t="n"/>
      <c r="J1201" s="8" t="n"/>
      <c r="K1201" s="18">
        <f>IF(B1201="","",IFERROR(MONTH(B1201),""))</f>
        <v/>
      </c>
      <c r="L1201" s="5">
        <f>IF(COUNTA(A1201:J1201)=0,"",IF(E1201="","Mangler motkonto",IF((F1201="")=(G1201=""),"Fyll ut enten Inn eller Ut",IF(OR(IFERROR(INDEX('Kontoplan'!$D$3:$D$302,MATCH(D1201,'Kontoplan'!$H$3:$H$302,0))="Støttes ikke",FALSE),IFERROR(INDEX('Kontoplan'!$D$3:$D$302,MATCH(E1201,'Kontoplan'!$H$3:$H$302,0))="Støttes ikke",FALSE)),"Kontoen støttes ikke",IF(IFERROR(AND(A1201&gt;1,COUNTIF($A$3:$A$2002,A1201-1)=0),FALSE),"Nummeret hopper over",IF(OR(NOT(ISNUMBER(B1201)),B1201&lt;DATE(2027,1,1),B1201&gt;DATE(2027,12,31)),"Datoen er ikke i 2027",""))))))</f>
        <v/>
      </c>
    </row>
    <row r="1202">
      <c r="A1202" s="17" t="n"/>
      <c r="B1202" s="9" t="n"/>
      <c r="C1202" s="8" t="n"/>
      <c r="D1202" s="8" t="n"/>
      <c r="E1202" s="8" t="n"/>
      <c r="F1202" s="14" t="n"/>
      <c r="G1202" s="14" t="n"/>
      <c r="H1202" s="8" t="n"/>
      <c r="I1202" s="8" t="n"/>
      <c r="J1202" s="8" t="n"/>
      <c r="K1202" s="18">
        <f>IF(B1202="","",IFERROR(MONTH(B1202),""))</f>
        <v/>
      </c>
      <c r="L1202" s="5">
        <f>IF(COUNTA(A1202:J1202)=0,"",IF(E1202="","Mangler motkonto",IF((F1202="")=(G1202=""),"Fyll ut enten Inn eller Ut",IF(OR(IFERROR(INDEX('Kontoplan'!$D$3:$D$302,MATCH(D1202,'Kontoplan'!$H$3:$H$302,0))="Støttes ikke",FALSE),IFERROR(INDEX('Kontoplan'!$D$3:$D$302,MATCH(E1202,'Kontoplan'!$H$3:$H$302,0))="Støttes ikke",FALSE)),"Kontoen støttes ikke",IF(IFERROR(AND(A1202&gt;1,COUNTIF($A$3:$A$2002,A1202-1)=0),FALSE),"Nummeret hopper over",IF(OR(NOT(ISNUMBER(B1202)),B1202&lt;DATE(2027,1,1),B1202&gt;DATE(2027,12,31)),"Datoen er ikke i 2027",""))))))</f>
        <v/>
      </c>
    </row>
    <row r="1203">
      <c r="A1203" s="17" t="n"/>
      <c r="B1203" s="9" t="n"/>
      <c r="C1203" s="8" t="n"/>
      <c r="D1203" s="8" t="n"/>
      <c r="E1203" s="8" t="n"/>
      <c r="F1203" s="14" t="n"/>
      <c r="G1203" s="14" t="n"/>
      <c r="H1203" s="8" t="n"/>
      <c r="I1203" s="8" t="n"/>
      <c r="J1203" s="8" t="n"/>
      <c r="K1203" s="18">
        <f>IF(B1203="","",IFERROR(MONTH(B1203),""))</f>
        <v/>
      </c>
      <c r="L1203" s="5">
        <f>IF(COUNTA(A1203:J1203)=0,"",IF(E1203="","Mangler motkonto",IF((F1203="")=(G1203=""),"Fyll ut enten Inn eller Ut",IF(OR(IFERROR(INDEX('Kontoplan'!$D$3:$D$302,MATCH(D1203,'Kontoplan'!$H$3:$H$302,0))="Støttes ikke",FALSE),IFERROR(INDEX('Kontoplan'!$D$3:$D$302,MATCH(E1203,'Kontoplan'!$H$3:$H$302,0))="Støttes ikke",FALSE)),"Kontoen støttes ikke",IF(IFERROR(AND(A1203&gt;1,COUNTIF($A$3:$A$2002,A1203-1)=0),FALSE),"Nummeret hopper over",IF(OR(NOT(ISNUMBER(B1203)),B1203&lt;DATE(2027,1,1),B1203&gt;DATE(2027,12,31)),"Datoen er ikke i 2027",""))))))</f>
        <v/>
      </c>
    </row>
    <row r="1204">
      <c r="A1204" s="17" t="n"/>
      <c r="B1204" s="9" t="n"/>
      <c r="C1204" s="8" t="n"/>
      <c r="D1204" s="8" t="n"/>
      <c r="E1204" s="8" t="n"/>
      <c r="F1204" s="14" t="n"/>
      <c r="G1204" s="14" t="n"/>
      <c r="H1204" s="8" t="n"/>
      <c r="I1204" s="8" t="n"/>
      <c r="J1204" s="8" t="n"/>
      <c r="K1204" s="18">
        <f>IF(B1204="","",IFERROR(MONTH(B1204),""))</f>
        <v/>
      </c>
      <c r="L1204" s="5">
        <f>IF(COUNTA(A1204:J1204)=0,"",IF(E1204="","Mangler motkonto",IF((F1204="")=(G1204=""),"Fyll ut enten Inn eller Ut",IF(OR(IFERROR(INDEX('Kontoplan'!$D$3:$D$302,MATCH(D1204,'Kontoplan'!$H$3:$H$302,0))="Støttes ikke",FALSE),IFERROR(INDEX('Kontoplan'!$D$3:$D$302,MATCH(E1204,'Kontoplan'!$H$3:$H$302,0))="Støttes ikke",FALSE)),"Kontoen støttes ikke",IF(IFERROR(AND(A1204&gt;1,COUNTIF($A$3:$A$2002,A1204-1)=0),FALSE),"Nummeret hopper over",IF(OR(NOT(ISNUMBER(B1204)),B1204&lt;DATE(2027,1,1),B1204&gt;DATE(2027,12,31)),"Datoen er ikke i 2027",""))))))</f>
        <v/>
      </c>
    </row>
    <row r="1205">
      <c r="A1205" s="17" t="n"/>
      <c r="B1205" s="9" t="n"/>
      <c r="C1205" s="8" t="n"/>
      <c r="D1205" s="8" t="n"/>
      <c r="E1205" s="8" t="n"/>
      <c r="F1205" s="14" t="n"/>
      <c r="G1205" s="14" t="n"/>
      <c r="H1205" s="8" t="n"/>
      <c r="I1205" s="8" t="n"/>
      <c r="J1205" s="8" t="n"/>
      <c r="K1205" s="18">
        <f>IF(B1205="","",IFERROR(MONTH(B1205),""))</f>
        <v/>
      </c>
      <c r="L1205" s="5">
        <f>IF(COUNTA(A1205:J1205)=0,"",IF(E1205="","Mangler motkonto",IF((F1205="")=(G1205=""),"Fyll ut enten Inn eller Ut",IF(OR(IFERROR(INDEX('Kontoplan'!$D$3:$D$302,MATCH(D1205,'Kontoplan'!$H$3:$H$302,0))="Støttes ikke",FALSE),IFERROR(INDEX('Kontoplan'!$D$3:$D$302,MATCH(E1205,'Kontoplan'!$H$3:$H$302,0))="Støttes ikke",FALSE)),"Kontoen støttes ikke",IF(IFERROR(AND(A1205&gt;1,COUNTIF($A$3:$A$2002,A1205-1)=0),FALSE),"Nummeret hopper over",IF(OR(NOT(ISNUMBER(B1205)),B1205&lt;DATE(2027,1,1),B1205&gt;DATE(2027,12,31)),"Datoen er ikke i 2027",""))))))</f>
        <v/>
      </c>
    </row>
    <row r="1206">
      <c r="A1206" s="17" t="n"/>
      <c r="B1206" s="9" t="n"/>
      <c r="C1206" s="8" t="n"/>
      <c r="D1206" s="8" t="n"/>
      <c r="E1206" s="8" t="n"/>
      <c r="F1206" s="14" t="n"/>
      <c r="G1206" s="14" t="n"/>
      <c r="H1206" s="8" t="n"/>
      <c r="I1206" s="8" t="n"/>
      <c r="J1206" s="8" t="n"/>
      <c r="K1206" s="18">
        <f>IF(B1206="","",IFERROR(MONTH(B1206),""))</f>
        <v/>
      </c>
      <c r="L1206" s="5">
        <f>IF(COUNTA(A1206:J1206)=0,"",IF(E1206="","Mangler motkonto",IF((F1206="")=(G1206=""),"Fyll ut enten Inn eller Ut",IF(OR(IFERROR(INDEX('Kontoplan'!$D$3:$D$302,MATCH(D1206,'Kontoplan'!$H$3:$H$302,0))="Støttes ikke",FALSE),IFERROR(INDEX('Kontoplan'!$D$3:$D$302,MATCH(E1206,'Kontoplan'!$H$3:$H$302,0))="Støttes ikke",FALSE)),"Kontoen støttes ikke",IF(IFERROR(AND(A1206&gt;1,COUNTIF($A$3:$A$2002,A1206-1)=0),FALSE),"Nummeret hopper over",IF(OR(NOT(ISNUMBER(B1206)),B1206&lt;DATE(2027,1,1),B1206&gt;DATE(2027,12,31)),"Datoen er ikke i 2027",""))))))</f>
        <v/>
      </c>
    </row>
    <row r="1207">
      <c r="A1207" s="17" t="n"/>
      <c r="B1207" s="9" t="n"/>
      <c r="C1207" s="8" t="n"/>
      <c r="D1207" s="8" t="n"/>
      <c r="E1207" s="8" t="n"/>
      <c r="F1207" s="14" t="n"/>
      <c r="G1207" s="14" t="n"/>
      <c r="H1207" s="8" t="n"/>
      <c r="I1207" s="8" t="n"/>
      <c r="J1207" s="8" t="n"/>
      <c r="K1207" s="18">
        <f>IF(B1207="","",IFERROR(MONTH(B1207),""))</f>
        <v/>
      </c>
      <c r="L1207" s="5">
        <f>IF(COUNTA(A1207:J1207)=0,"",IF(E1207="","Mangler motkonto",IF((F1207="")=(G1207=""),"Fyll ut enten Inn eller Ut",IF(OR(IFERROR(INDEX('Kontoplan'!$D$3:$D$302,MATCH(D1207,'Kontoplan'!$H$3:$H$302,0))="Støttes ikke",FALSE),IFERROR(INDEX('Kontoplan'!$D$3:$D$302,MATCH(E1207,'Kontoplan'!$H$3:$H$302,0))="Støttes ikke",FALSE)),"Kontoen støttes ikke",IF(IFERROR(AND(A1207&gt;1,COUNTIF($A$3:$A$2002,A1207-1)=0),FALSE),"Nummeret hopper over",IF(OR(NOT(ISNUMBER(B1207)),B1207&lt;DATE(2027,1,1),B1207&gt;DATE(2027,12,31)),"Datoen er ikke i 2027",""))))))</f>
        <v/>
      </c>
    </row>
    <row r="1208">
      <c r="A1208" s="17" t="n"/>
      <c r="B1208" s="9" t="n"/>
      <c r="C1208" s="8" t="n"/>
      <c r="D1208" s="8" t="n"/>
      <c r="E1208" s="8" t="n"/>
      <c r="F1208" s="14" t="n"/>
      <c r="G1208" s="14" t="n"/>
      <c r="H1208" s="8" t="n"/>
      <c r="I1208" s="8" t="n"/>
      <c r="J1208" s="8" t="n"/>
      <c r="K1208" s="18">
        <f>IF(B1208="","",IFERROR(MONTH(B1208),""))</f>
        <v/>
      </c>
      <c r="L1208" s="5">
        <f>IF(COUNTA(A1208:J1208)=0,"",IF(E1208="","Mangler motkonto",IF((F1208="")=(G1208=""),"Fyll ut enten Inn eller Ut",IF(OR(IFERROR(INDEX('Kontoplan'!$D$3:$D$302,MATCH(D1208,'Kontoplan'!$H$3:$H$302,0))="Støttes ikke",FALSE),IFERROR(INDEX('Kontoplan'!$D$3:$D$302,MATCH(E1208,'Kontoplan'!$H$3:$H$302,0))="Støttes ikke",FALSE)),"Kontoen støttes ikke",IF(IFERROR(AND(A1208&gt;1,COUNTIF($A$3:$A$2002,A1208-1)=0),FALSE),"Nummeret hopper over",IF(OR(NOT(ISNUMBER(B1208)),B1208&lt;DATE(2027,1,1),B1208&gt;DATE(2027,12,31)),"Datoen er ikke i 2027",""))))))</f>
        <v/>
      </c>
    </row>
    <row r="1209">
      <c r="A1209" s="17" t="n"/>
      <c r="B1209" s="9" t="n"/>
      <c r="C1209" s="8" t="n"/>
      <c r="D1209" s="8" t="n"/>
      <c r="E1209" s="8" t="n"/>
      <c r="F1209" s="14" t="n"/>
      <c r="G1209" s="14" t="n"/>
      <c r="H1209" s="8" t="n"/>
      <c r="I1209" s="8" t="n"/>
      <c r="J1209" s="8" t="n"/>
      <c r="K1209" s="18">
        <f>IF(B1209="","",IFERROR(MONTH(B1209),""))</f>
        <v/>
      </c>
      <c r="L1209" s="5">
        <f>IF(COUNTA(A1209:J1209)=0,"",IF(E1209="","Mangler motkonto",IF((F1209="")=(G1209=""),"Fyll ut enten Inn eller Ut",IF(OR(IFERROR(INDEX('Kontoplan'!$D$3:$D$302,MATCH(D1209,'Kontoplan'!$H$3:$H$302,0))="Støttes ikke",FALSE),IFERROR(INDEX('Kontoplan'!$D$3:$D$302,MATCH(E1209,'Kontoplan'!$H$3:$H$302,0))="Støttes ikke",FALSE)),"Kontoen støttes ikke",IF(IFERROR(AND(A1209&gt;1,COUNTIF($A$3:$A$2002,A1209-1)=0),FALSE),"Nummeret hopper over",IF(OR(NOT(ISNUMBER(B1209)),B1209&lt;DATE(2027,1,1),B1209&gt;DATE(2027,12,31)),"Datoen er ikke i 2027",""))))))</f>
        <v/>
      </c>
    </row>
    <row r="1210">
      <c r="A1210" s="17" t="n"/>
      <c r="B1210" s="9" t="n"/>
      <c r="C1210" s="8" t="n"/>
      <c r="D1210" s="8" t="n"/>
      <c r="E1210" s="8" t="n"/>
      <c r="F1210" s="14" t="n"/>
      <c r="G1210" s="14" t="n"/>
      <c r="H1210" s="8" t="n"/>
      <c r="I1210" s="8" t="n"/>
      <c r="J1210" s="8" t="n"/>
      <c r="K1210" s="18">
        <f>IF(B1210="","",IFERROR(MONTH(B1210),""))</f>
        <v/>
      </c>
      <c r="L1210" s="5">
        <f>IF(COUNTA(A1210:J1210)=0,"",IF(E1210="","Mangler motkonto",IF((F1210="")=(G1210=""),"Fyll ut enten Inn eller Ut",IF(OR(IFERROR(INDEX('Kontoplan'!$D$3:$D$302,MATCH(D1210,'Kontoplan'!$H$3:$H$302,0))="Støttes ikke",FALSE),IFERROR(INDEX('Kontoplan'!$D$3:$D$302,MATCH(E1210,'Kontoplan'!$H$3:$H$302,0))="Støttes ikke",FALSE)),"Kontoen støttes ikke",IF(IFERROR(AND(A1210&gt;1,COUNTIF($A$3:$A$2002,A1210-1)=0),FALSE),"Nummeret hopper over",IF(OR(NOT(ISNUMBER(B1210)),B1210&lt;DATE(2027,1,1),B1210&gt;DATE(2027,12,31)),"Datoen er ikke i 2027",""))))))</f>
        <v/>
      </c>
    </row>
    <row r="1211">
      <c r="A1211" s="17" t="n"/>
      <c r="B1211" s="9" t="n"/>
      <c r="C1211" s="8" t="n"/>
      <c r="D1211" s="8" t="n"/>
      <c r="E1211" s="8" t="n"/>
      <c r="F1211" s="14" t="n"/>
      <c r="G1211" s="14" t="n"/>
      <c r="H1211" s="8" t="n"/>
      <c r="I1211" s="8" t="n"/>
      <c r="J1211" s="8" t="n"/>
      <c r="K1211" s="18">
        <f>IF(B1211="","",IFERROR(MONTH(B1211),""))</f>
        <v/>
      </c>
      <c r="L1211" s="5">
        <f>IF(COUNTA(A1211:J1211)=0,"",IF(E1211="","Mangler motkonto",IF((F1211="")=(G1211=""),"Fyll ut enten Inn eller Ut",IF(OR(IFERROR(INDEX('Kontoplan'!$D$3:$D$302,MATCH(D1211,'Kontoplan'!$H$3:$H$302,0))="Støttes ikke",FALSE),IFERROR(INDEX('Kontoplan'!$D$3:$D$302,MATCH(E1211,'Kontoplan'!$H$3:$H$302,0))="Støttes ikke",FALSE)),"Kontoen støttes ikke",IF(IFERROR(AND(A1211&gt;1,COUNTIF($A$3:$A$2002,A1211-1)=0),FALSE),"Nummeret hopper over",IF(OR(NOT(ISNUMBER(B1211)),B1211&lt;DATE(2027,1,1),B1211&gt;DATE(2027,12,31)),"Datoen er ikke i 2027",""))))))</f>
        <v/>
      </c>
    </row>
    <row r="1212">
      <c r="A1212" s="17" t="n"/>
      <c r="B1212" s="9" t="n"/>
      <c r="C1212" s="8" t="n"/>
      <c r="D1212" s="8" t="n"/>
      <c r="E1212" s="8" t="n"/>
      <c r="F1212" s="14" t="n"/>
      <c r="G1212" s="14" t="n"/>
      <c r="H1212" s="8" t="n"/>
      <c r="I1212" s="8" t="n"/>
      <c r="J1212" s="8" t="n"/>
      <c r="K1212" s="18">
        <f>IF(B1212="","",IFERROR(MONTH(B1212),""))</f>
        <v/>
      </c>
      <c r="L1212" s="5">
        <f>IF(COUNTA(A1212:J1212)=0,"",IF(E1212="","Mangler motkonto",IF((F1212="")=(G1212=""),"Fyll ut enten Inn eller Ut",IF(OR(IFERROR(INDEX('Kontoplan'!$D$3:$D$302,MATCH(D1212,'Kontoplan'!$H$3:$H$302,0))="Støttes ikke",FALSE),IFERROR(INDEX('Kontoplan'!$D$3:$D$302,MATCH(E1212,'Kontoplan'!$H$3:$H$302,0))="Støttes ikke",FALSE)),"Kontoen støttes ikke",IF(IFERROR(AND(A1212&gt;1,COUNTIF($A$3:$A$2002,A1212-1)=0),FALSE),"Nummeret hopper over",IF(OR(NOT(ISNUMBER(B1212)),B1212&lt;DATE(2027,1,1),B1212&gt;DATE(2027,12,31)),"Datoen er ikke i 2027",""))))))</f>
        <v/>
      </c>
    </row>
    <row r="1213">
      <c r="A1213" s="17" t="n"/>
      <c r="B1213" s="9" t="n"/>
      <c r="C1213" s="8" t="n"/>
      <c r="D1213" s="8" t="n"/>
      <c r="E1213" s="8" t="n"/>
      <c r="F1213" s="14" t="n"/>
      <c r="G1213" s="14" t="n"/>
      <c r="H1213" s="8" t="n"/>
      <c r="I1213" s="8" t="n"/>
      <c r="J1213" s="8" t="n"/>
      <c r="K1213" s="18">
        <f>IF(B1213="","",IFERROR(MONTH(B1213),""))</f>
        <v/>
      </c>
      <c r="L1213" s="5">
        <f>IF(COUNTA(A1213:J1213)=0,"",IF(E1213="","Mangler motkonto",IF((F1213="")=(G1213=""),"Fyll ut enten Inn eller Ut",IF(OR(IFERROR(INDEX('Kontoplan'!$D$3:$D$302,MATCH(D1213,'Kontoplan'!$H$3:$H$302,0))="Støttes ikke",FALSE),IFERROR(INDEX('Kontoplan'!$D$3:$D$302,MATCH(E1213,'Kontoplan'!$H$3:$H$302,0))="Støttes ikke",FALSE)),"Kontoen støttes ikke",IF(IFERROR(AND(A1213&gt;1,COUNTIF($A$3:$A$2002,A1213-1)=0),FALSE),"Nummeret hopper over",IF(OR(NOT(ISNUMBER(B1213)),B1213&lt;DATE(2027,1,1),B1213&gt;DATE(2027,12,31)),"Datoen er ikke i 2027",""))))))</f>
        <v/>
      </c>
    </row>
    <row r="1214">
      <c r="A1214" s="17" t="n"/>
      <c r="B1214" s="9" t="n"/>
      <c r="C1214" s="8" t="n"/>
      <c r="D1214" s="8" t="n"/>
      <c r="E1214" s="8" t="n"/>
      <c r="F1214" s="14" t="n"/>
      <c r="G1214" s="14" t="n"/>
      <c r="H1214" s="8" t="n"/>
      <c r="I1214" s="8" t="n"/>
      <c r="J1214" s="8" t="n"/>
      <c r="K1214" s="18">
        <f>IF(B1214="","",IFERROR(MONTH(B1214),""))</f>
        <v/>
      </c>
      <c r="L1214" s="5">
        <f>IF(COUNTA(A1214:J1214)=0,"",IF(E1214="","Mangler motkonto",IF((F1214="")=(G1214=""),"Fyll ut enten Inn eller Ut",IF(OR(IFERROR(INDEX('Kontoplan'!$D$3:$D$302,MATCH(D1214,'Kontoplan'!$H$3:$H$302,0))="Støttes ikke",FALSE),IFERROR(INDEX('Kontoplan'!$D$3:$D$302,MATCH(E1214,'Kontoplan'!$H$3:$H$302,0))="Støttes ikke",FALSE)),"Kontoen støttes ikke",IF(IFERROR(AND(A1214&gt;1,COUNTIF($A$3:$A$2002,A1214-1)=0),FALSE),"Nummeret hopper over",IF(OR(NOT(ISNUMBER(B1214)),B1214&lt;DATE(2027,1,1),B1214&gt;DATE(2027,12,31)),"Datoen er ikke i 2027",""))))))</f>
        <v/>
      </c>
    </row>
    <row r="1215">
      <c r="A1215" s="17" t="n"/>
      <c r="B1215" s="9" t="n"/>
      <c r="C1215" s="8" t="n"/>
      <c r="D1215" s="8" t="n"/>
      <c r="E1215" s="8" t="n"/>
      <c r="F1215" s="14" t="n"/>
      <c r="G1215" s="14" t="n"/>
      <c r="H1215" s="8" t="n"/>
      <c r="I1215" s="8" t="n"/>
      <c r="J1215" s="8" t="n"/>
      <c r="K1215" s="18">
        <f>IF(B1215="","",IFERROR(MONTH(B1215),""))</f>
        <v/>
      </c>
      <c r="L1215" s="5">
        <f>IF(COUNTA(A1215:J1215)=0,"",IF(E1215="","Mangler motkonto",IF((F1215="")=(G1215=""),"Fyll ut enten Inn eller Ut",IF(OR(IFERROR(INDEX('Kontoplan'!$D$3:$D$302,MATCH(D1215,'Kontoplan'!$H$3:$H$302,0))="Støttes ikke",FALSE),IFERROR(INDEX('Kontoplan'!$D$3:$D$302,MATCH(E1215,'Kontoplan'!$H$3:$H$302,0))="Støttes ikke",FALSE)),"Kontoen støttes ikke",IF(IFERROR(AND(A1215&gt;1,COUNTIF($A$3:$A$2002,A1215-1)=0),FALSE),"Nummeret hopper over",IF(OR(NOT(ISNUMBER(B1215)),B1215&lt;DATE(2027,1,1),B1215&gt;DATE(2027,12,31)),"Datoen er ikke i 2027",""))))))</f>
        <v/>
      </c>
    </row>
    <row r="1216">
      <c r="A1216" s="17" t="n"/>
      <c r="B1216" s="9" t="n"/>
      <c r="C1216" s="8" t="n"/>
      <c r="D1216" s="8" t="n"/>
      <c r="E1216" s="8" t="n"/>
      <c r="F1216" s="14" t="n"/>
      <c r="G1216" s="14" t="n"/>
      <c r="H1216" s="8" t="n"/>
      <c r="I1216" s="8" t="n"/>
      <c r="J1216" s="8" t="n"/>
      <c r="K1216" s="18">
        <f>IF(B1216="","",IFERROR(MONTH(B1216),""))</f>
        <v/>
      </c>
      <c r="L1216" s="5">
        <f>IF(COUNTA(A1216:J1216)=0,"",IF(E1216="","Mangler motkonto",IF((F1216="")=(G1216=""),"Fyll ut enten Inn eller Ut",IF(OR(IFERROR(INDEX('Kontoplan'!$D$3:$D$302,MATCH(D1216,'Kontoplan'!$H$3:$H$302,0))="Støttes ikke",FALSE),IFERROR(INDEX('Kontoplan'!$D$3:$D$302,MATCH(E1216,'Kontoplan'!$H$3:$H$302,0))="Støttes ikke",FALSE)),"Kontoen støttes ikke",IF(IFERROR(AND(A1216&gt;1,COUNTIF($A$3:$A$2002,A1216-1)=0),FALSE),"Nummeret hopper over",IF(OR(NOT(ISNUMBER(B1216)),B1216&lt;DATE(2027,1,1),B1216&gt;DATE(2027,12,31)),"Datoen er ikke i 2027",""))))))</f>
        <v/>
      </c>
    </row>
    <row r="1217">
      <c r="A1217" s="17" t="n"/>
      <c r="B1217" s="9" t="n"/>
      <c r="C1217" s="8" t="n"/>
      <c r="D1217" s="8" t="n"/>
      <c r="E1217" s="8" t="n"/>
      <c r="F1217" s="14" t="n"/>
      <c r="G1217" s="14" t="n"/>
      <c r="H1217" s="8" t="n"/>
      <c r="I1217" s="8" t="n"/>
      <c r="J1217" s="8" t="n"/>
      <c r="K1217" s="18">
        <f>IF(B1217="","",IFERROR(MONTH(B1217),""))</f>
        <v/>
      </c>
      <c r="L1217" s="5">
        <f>IF(COUNTA(A1217:J1217)=0,"",IF(E1217="","Mangler motkonto",IF((F1217="")=(G1217=""),"Fyll ut enten Inn eller Ut",IF(OR(IFERROR(INDEX('Kontoplan'!$D$3:$D$302,MATCH(D1217,'Kontoplan'!$H$3:$H$302,0))="Støttes ikke",FALSE),IFERROR(INDEX('Kontoplan'!$D$3:$D$302,MATCH(E1217,'Kontoplan'!$H$3:$H$302,0))="Støttes ikke",FALSE)),"Kontoen støttes ikke",IF(IFERROR(AND(A1217&gt;1,COUNTIF($A$3:$A$2002,A1217-1)=0),FALSE),"Nummeret hopper over",IF(OR(NOT(ISNUMBER(B1217)),B1217&lt;DATE(2027,1,1),B1217&gt;DATE(2027,12,31)),"Datoen er ikke i 2027",""))))))</f>
        <v/>
      </c>
    </row>
    <row r="1218">
      <c r="A1218" s="17" t="n"/>
      <c r="B1218" s="9" t="n"/>
      <c r="C1218" s="8" t="n"/>
      <c r="D1218" s="8" t="n"/>
      <c r="E1218" s="8" t="n"/>
      <c r="F1218" s="14" t="n"/>
      <c r="G1218" s="14" t="n"/>
      <c r="H1218" s="8" t="n"/>
      <c r="I1218" s="8" t="n"/>
      <c r="J1218" s="8" t="n"/>
      <c r="K1218" s="18">
        <f>IF(B1218="","",IFERROR(MONTH(B1218),""))</f>
        <v/>
      </c>
      <c r="L1218" s="5">
        <f>IF(COUNTA(A1218:J1218)=0,"",IF(E1218="","Mangler motkonto",IF((F1218="")=(G1218=""),"Fyll ut enten Inn eller Ut",IF(OR(IFERROR(INDEX('Kontoplan'!$D$3:$D$302,MATCH(D1218,'Kontoplan'!$H$3:$H$302,0))="Støttes ikke",FALSE),IFERROR(INDEX('Kontoplan'!$D$3:$D$302,MATCH(E1218,'Kontoplan'!$H$3:$H$302,0))="Støttes ikke",FALSE)),"Kontoen støttes ikke",IF(IFERROR(AND(A1218&gt;1,COUNTIF($A$3:$A$2002,A1218-1)=0),FALSE),"Nummeret hopper over",IF(OR(NOT(ISNUMBER(B1218)),B1218&lt;DATE(2027,1,1),B1218&gt;DATE(2027,12,31)),"Datoen er ikke i 2027",""))))))</f>
        <v/>
      </c>
    </row>
    <row r="1219">
      <c r="A1219" s="17" t="n"/>
      <c r="B1219" s="9" t="n"/>
      <c r="C1219" s="8" t="n"/>
      <c r="D1219" s="8" t="n"/>
      <c r="E1219" s="8" t="n"/>
      <c r="F1219" s="14" t="n"/>
      <c r="G1219" s="14" t="n"/>
      <c r="H1219" s="8" t="n"/>
      <c r="I1219" s="8" t="n"/>
      <c r="J1219" s="8" t="n"/>
      <c r="K1219" s="18">
        <f>IF(B1219="","",IFERROR(MONTH(B1219),""))</f>
        <v/>
      </c>
      <c r="L1219" s="5">
        <f>IF(COUNTA(A1219:J1219)=0,"",IF(E1219="","Mangler motkonto",IF((F1219="")=(G1219=""),"Fyll ut enten Inn eller Ut",IF(OR(IFERROR(INDEX('Kontoplan'!$D$3:$D$302,MATCH(D1219,'Kontoplan'!$H$3:$H$302,0))="Støttes ikke",FALSE),IFERROR(INDEX('Kontoplan'!$D$3:$D$302,MATCH(E1219,'Kontoplan'!$H$3:$H$302,0))="Støttes ikke",FALSE)),"Kontoen støttes ikke",IF(IFERROR(AND(A1219&gt;1,COUNTIF($A$3:$A$2002,A1219-1)=0),FALSE),"Nummeret hopper over",IF(OR(NOT(ISNUMBER(B1219)),B1219&lt;DATE(2027,1,1),B1219&gt;DATE(2027,12,31)),"Datoen er ikke i 2027",""))))))</f>
        <v/>
      </c>
    </row>
    <row r="1220">
      <c r="A1220" s="17" t="n"/>
      <c r="B1220" s="9" t="n"/>
      <c r="C1220" s="8" t="n"/>
      <c r="D1220" s="8" t="n"/>
      <c r="E1220" s="8" t="n"/>
      <c r="F1220" s="14" t="n"/>
      <c r="G1220" s="14" t="n"/>
      <c r="H1220" s="8" t="n"/>
      <c r="I1220" s="8" t="n"/>
      <c r="J1220" s="8" t="n"/>
      <c r="K1220" s="18">
        <f>IF(B1220="","",IFERROR(MONTH(B1220),""))</f>
        <v/>
      </c>
      <c r="L1220" s="5">
        <f>IF(COUNTA(A1220:J1220)=0,"",IF(E1220="","Mangler motkonto",IF((F1220="")=(G1220=""),"Fyll ut enten Inn eller Ut",IF(OR(IFERROR(INDEX('Kontoplan'!$D$3:$D$302,MATCH(D1220,'Kontoplan'!$H$3:$H$302,0))="Støttes ikke",FALSE),IFERROR(INDEX('Kontoplan'!$D$3:$D$302,MATCH(E1220,'Kontoplan'!$H$3:$H$302,0))="Støttes ikke",FALSE)),"Kontoen støttes ikke",IF(IFERROR(AND(A1220&gt;1,COUNTIF($A$3:$A$2002,A1220-1)=0),FALSE),"Nummeret hopper over",IF(OR(NOT(ISNUMBER(B1220)),B1220&lt;DATE(2027,1,1),B1220&gt;DATE(2027,12,31)),"Datoen er ikke i 2027",""))))))</f>
        <v/>
      </c>
    </row>
    <row r="1221">
      <c r="A1221" s="17" t="n"/>
      <c r="B1221" s="9" t="n"/>
      <c r="C1221" s="8" t="n"/>
      <c r="D1221" s="8" t="n"/>
      <c r="E1221" s="8" t="n"/>
      <c r="F1221" s="14" t="n"/>
      <c r="G1221" s="14" t="n"/>
      <c r="H1221" s="8" t="n"/>
      <c r="I1221" s="8" t="n"/>
      <c r="J1221" s="8" t="n"/>
      <c r="K1221" s="18">
        <f>IF(B1221="","",IFERROR(MONTH(B1221),""))</f>
        <v/>
      </c>
      <c r="L1221" s="5">
        <f>IF(COUNTA(A1221:J1221)=0,"",IF(E1221="","Mangler motkonto",IF((F1221="")=(G1221=""),"Fyll ut enten Inn eller Ut",IF(OR(IFERROR(INDEX('Kontoplan'!$D$3:$D$302,MATCH(D1221,'Kontoplan'!$H$3:$H$302,0))="Støttes ikke",FALSE),IFERROR(INDEX('Kontoplan'!$D$3:$D$302,MATCH(E1221,'Kontoplan'!$H$3:$H$302,0))="Støttes ikke",FALSE)),"Kontoen støttes ikke",IF(IFERROR(AND(A1221&gt;1,COUNTIF($A$3:$A$2002,A1221-1)=0),FALSE),"Nummeret hopper over",IF(OR(NOT(ISNUMBER(B1221)),B1221&lt;DATE(2027,1,1),B1221&gt;DATE(2027,12,31)),"Datoen er ikke i 2027",""))))))</f>
        <v/>
      </c>
    </row>
    <row r="1222">
      <c r="A1222" s="17" t="n"/>
      <c r="B1222" s="9" t="n"/>
      <c r="C1222" s="8" t="n"/>
      <c r="D1222" s="8" t="n"/>
      <c r="E1222" s="8" t="n"/>
      <c r="F1222" s="14" t="n"/>
      <c r="G1222" s="14" t="n"/>
      <c r="H1222" s="8" t="n"/>
      <c r="I1222" s="8" t="n"/>
      <c r="J1222" s="8" t="n"/>
      <c r="K1222" s="18">
        <f>IF(B1222="","",IFERROR(MONTH(B1222),""))</f>
        <v/>
      </c>
      <c r="L1222" s="5">
        <f>IF(COUNTA(A1222:J1222)=0,"",IF(E1222="","Mangler motkonto",IF((F1222="")=(G1222=""),"Fyll ut enten Inn eller Ut",IF(OR(IFERROR(INDEX('Kontoplan'!$D$3:$D$302,MATCH(D1222,'Kontoplan'!$H$3:$H$302,0))="Støttes ikke",FALSE),IFERROR(INDEX('Kontoplan'!$D$3:$D$302,MATCH(E1222,'Kontoplan'!$H$3:$H$302,0))="Støttes ikke",FALSE)),"Kontoen støttes ikke",IF(IFERROR(AND(A1222&gt;1,COUNTIF($A$3:$A$2002,A1222-1)=0),FALSE),"Nummeret hopper over",IF(OR(NOT(ISNUMBER(B1222)),B1222&lt;DATE(2027,1,1),B1222&gt;DATE(2027,12,31)),"Datoen er ikke i 2027",""))))))</f>
        <v/>
      </c>
    </row>
    <row r="1223">
      <c r="A1223" s="17" t="n"/>
      <c r="B1223" s="9" t="n"/>
      <c r="C1223" s="8" t="n"/>
      <c r="D1223" s="8" t="n"/>
      <c r="E1223" s="8" t="n"/>
      <c r="F1223" s="14" t="n"/>
      <c r="G1223" s="14" t="n"/>
      <c r="H1223" s="8" t="n"/>
      <c r="I1223" s="8" t="n"/>
      <c r="J1223" s="8" t="n"/>
      <c r="K1223" s="18">
        <f>IF(B1223="","",IFERROR(MONTH(B1223),""))</f>
        <v/>
      </c>
      <c r="L1223" s="5">
        <f>IF(COUNTA(A1223:J1223)=0,"",IF(E1223="","Mangler motkonto",IF((F1223="")=(G1223=""),"Fyll ut enten Inn eller Ut",IF(OR(IFERROR(INDEX('Kontoplan'!$D$3:$D$302,MATCH(D1223,'Kontoplan'!$H$3:$H$302,0))="Støttes ikke",FALSE),IFERROR(INDEX('Kontoplan'!$D$3:$D$302,MATCH(E1223,'Kontoplan'!$H$3:$H$302,0))="Støttes ikke",FALSE)),"Kontoen støttes ikke",IF(IFERROR(AND(A1223&gt;1,COUNTIF($A$3:$A$2002,A1223-1)=0),FALSE),"Nummeret hopper over",IF(OR(NOT(ISNUMBER(B1223)),B1223&lt;DATE(2027,1,1),B1223&gt;DATE(2027,12,31)),"Datoen er ikke i 2027",""))))))</f>
        <v/>
      </c>
    </row>
    <row r="1224">
      <c r="A1224" s="17" t="n"/>
      <c r="B1224" s="9" t="n"/>
      <c r="C1224" s="8" t="n"/>
      <c r="D1224" s="8" t="n"/>
      <c r="E1224" s="8" t="n"/>
      <c r="F1224" s="14" t="n"/>
      <c r="G1224" s="14" t="n"/>
      <c r="H1224" s="8" t="n"/>
      <c r="I1224" s="8" t="n"/>
      <c r="J1224" s="8" t="n"/>
      <c r="K1224" s="18">
        <f>IF(B1224="","",IFERROR(MONTH(B1224),""))</f>
        <v/>
      </c>
      <c r="L1224" s="5">
        <f>IF(COUNTA(A1224:J1224)=0,"",IF(E1224="","Mangler motkonto",IF((F1224="")=(G1224=""),"Fyll ut enten Inn eller Ut",IF(OR(IFERROR(INDEX('Kontoplan'!$D$3:$D$302,MATCH(D1224,'Kontoplan'!$H$3:$H$302,0))="Støttes ikke",FALSE),IFERROR(INDEX('Kontoplan'!$D$3:$D$302,MATCH(E1224,'Kontoplan'!$H$3:$H$302,0))="Støttes ikke",FALSE)),"Kontoen støttes ikke",IF(IFERROR(AND(A1224&gt;1,COUNTIF($A$3:$A$2002,A1224-1)=0),FALSE),"Nummeret hopper over",IF(OR(NOT(ISNUMBER(B1224)),B1224&lt;DATE(2027,1,1),B1224&gt;DATE(2027,12,31)),"Datoen er ikke i 2027",""))))))</f>
        <v/>
      </c>
    </row>
    <row r="1225">
      <c r="A1225" s="17" t="n"/>
      <c r="B1225" s="9" t="n"/>
      <c r="C1225" s="8" t="n"/>
      <c r="D1225" s="8" t="n"/>
      <c r="E1225" s="8" t="n"/>
      <c r="F1225" s="14" t="n"/>
      <c r="G1225" s="14" t="n"/>
      <c r="H1225" s="8" t="n"/>
      <c r="I1225" s="8" t="n"/>
      <c r="J1225" s="8" t="n"/>
      <c r="K1225" s="18">
        <f>IF(B1225="","",IFERROR(MONTH(B1225),""))</f>
        <v/>
      </c>
      <c r="L1225" s="5">
        <f>IF(COUNTA(A1225:J1225)=0,"",IF(E1225="","Mangler motkonto",IF((F1225="")=(G1225=""),"Fyll ut enten Inn eller Ut",IF(OR(IFERROR(INDEX('Kontoplan'!$D$3:$D$302,MATCH(D1225,'Kontoplan'!$H$3:$H$302,0))="Støttes ikke",FALSE),IFERROR(INDEX('Kontoplan'!$D$3:$D$302,MATCH(E1225,'Kontoplan'!$H$3:$H$302,0))="Støttes ikke",FALSE)),"Kontoen støttes ikke",IF(IFERROR(AND(A1225&gt;1,COUNTIF($A$3:$A$2002,A1225-1)=0),FALSE),"Nummeret hopper over",IF(OR(NOT(ISNUMBER(B1225)),B1225&lt;DATE(2027,1,1),B1225&gt;DATE(2027,12,31)),"Datoen er ikke i 2027",""))))))</f>
        <v/>
      </c>
    </row>
    <row r="1226">
      <c r="A1226" s="17" t="n"/>
      <c r="B1226" s="9" t="n"/>
      <c r="C1226" s="8" t="n"/>
      <c r="D1226" s="8" t="n"/>
      <c r="E1226" s="8" t="n"/>
      <c r="F1226" s="14" t="n"/>
      <c r="G1226" s="14" t="n"/>
      <c r="H1226" s="8" t="n"/>
      <c r="I1226" s="8" t="n"/>
      <c r="J1226" s="8" t="n"/>
      <c r="K1226" s="18">
        <f>IF(B1226="","",IFERROR(MONTH(B1226),""))</f>
        <v/>
      </c>
      <c r="L1226" s="5">
        <f>IF(COUNTA(A1226:J1226)=0,"",IF(E1226="","Mangler motkonto",IF((F1226="")=(G1226=""),"Fyll ut enten Inn eller Ut",IF(OR(IFERROR(INDEX('Kontoplan'!$D$3:$D$302,MATCH(D1226,'Kontoplan'!$H$3:$H$302,0))="Støttes ikke",FALSE),IFERROR(INDEX('Kontoplan'!$D$3:$D$302,MATCH(E1226,'Kontoplan'!$H$3:$H$302,0))="Støttes ikke",FALSE)),"Kontoen støttes ikke",IF(IFERROR(AND(A1226&gt;1,COUNTIF($A$3:$A$2002,A1226-1)=0),FALSE),"Nummeret hopper over",IF(OR(NOT(ISNUMBER(B1226)),B1226&lt;DATE(2027,1,1),B1226&gt;DATE(2027,12,31)),"Datoen er ikke i 2027",""))))))</f>
        <v/>
      </c>
    </row>
    <row r="1227">
      <c r="A1227" s="17" t="n"/>
      <c r="B1227" s="9" t="n"/>
      <c r="C1227" s="8" t="n"/>
      <c r="D1227" s="8" t="n"/>
      <c r="E1227" s="8" t="n"/>
      <c r="F1227" s="14" t="n"/>
      <c r="G1227" s="14" t="n"/>
      <c r="H1227" s="8" t="n"/>
      <c r="I1227" s="8" t="n"/>
      <c r="J1227" s="8" t="n"/>
      <c r="K1227" s="18">
        <f>IF(B1227="","",IFERROR(MONTH(B1227),""))</f>
        <v/>
      </c>
      <c r="L1227" s="5">
        <f>IF(COUNTA(A1227:J1227)=0,"",IF(E1227="","Mangler motkonto",IF((F1227="")=(G1227=""),"Fyll ut enten Inn eller Ut",IF(OR(IFERROR(INDEX('Kontoplan'!$D$3:$D$302,MATCH(D1227,'Kontoplan'!$H$3:$H$302,0))="Støttes ikke",FALSE),IFERROR(INDEX('Kontoplan'!$D$3:$D$302,MATCH(E1227,'Kontoplan'!$H$3:$H$302,0))="Støttes ikke",FALSE)),"Kontoen støttes ikke",IF(IFERROR(AND(A1227&gt;1,COUNTIF($A$3:$A$2002,A1227-1)=0),FALSE),"Nummeret hopper over",IF(OR(NOT(ISNUMBER(B1227)),B1227&lt;DATE(2027,1,1),B1227&gt;DATE(2027,12,31)),"Datoen er ikke i 2027",""))))))</f>
        <v/>
      </c>
    </row>
    <row r="1228">
      <c r="A1228" s="17" t="n"/>
      <c r="B1228" s="9" t="n"/>
      <c r="C1228" s="8" t="n"/>
      <c r="D1228" s="8" t="n"/>
      <c r="E1228" s="8" t="n"/>
      <c r="F1228" s="14" t="n"/>
      <c r="G1228" s="14" t="n"/>
      <c r="H1228" s="8" t="n"/>
      <c r="I1228" s="8" t="n"/>
      <c r="J1228" s="8" t="n"/>
      <c r="K1228" s="18">
        <f>IF(B1228="","",IFERROR(MONTH(B1228),""))</f>
        <v/>
      </c>
      <c r="L1228" s="5">
        <f>IF(COUNTA(A1228:J1228)=0,"",IF(E1228="","Mangler motkonto",IF((F1228="")=(G1228=""),"Fyll ut enten Inn eller Ut",IF(OR(IFERROR(INDEX('Kontoplan'!$D$3:$D$302,MATCH(D1228,'Kontoplan'!$H$3:$H$302,0))="Støttes ikke",FALSE),IFERROR(INDEX('Kontoplan'!$D$3:$D$302,MATCH(E1228,'Kontoplan'!$H$3:$H$302,0))="Støttes ikke",FALSE)),"Kontoen støttes ikke",IF(IFERROR(AND(A1228&gt;1,COUNTIF($A$3:$A$2002,A1228-1)=0),FALSE),"Nummeret hopper over",IF(OR(NOT(ISNUMBER(B1228)),B1228&lt;DATE(2027,1,1),B1228&gt;DATE(2027,12,31)),"Datoen er ikke i 2027",""))))))</f>
        <v/>
      </c>
    </row>
    <row r="1229">
      <c r="A1229" s="17" t="n"/>
      <c r="B1229" s="9" t="n"/>
      <c r="C1229" s="8" t="n"/>
      <c r="D1229" s="8" t="n"/>
      <c r="E1229" s="8" t="n"/>
      <c r="F1229" s="14" t="n"/>
      <c r="G1229" s="14" t="n"/>
      <c r="H1229" s="8" t="n"/>
      <c r="I1229" s="8" t="n"/>
      <c r="J1229" s="8" t="n"/>
      <c r="K1229" s="18">
        <f>IF(B1229="","",IFERROR(MONTH(B1229),""))</f>
        <v/>
      </c>
      <c r="L1229" s="5">
        <f>IF(COUNTA(A1229:J1229)=0,"",IF(E1229="","Mangler motkonto",IF((F1229="")=(G1229=""),"Fyll ut enten Inn eller Ut",IF(OR(IFERROR(INDEX('Kontoplan'!$D$3:$D$302,MATCH(D1229,'Kontoplan'!$H$3:$H$302,0))="Støttes ikke",FALSE),IFERROR(INDEX('Kontoplan'!$D$3:$D$302,MATCH(E1229,'Kontoplan'!$H$3:$H$302,0))="Støttes ikke",FALSE)),"Kontoen støttes ikke",IF(IFERROR(AND(A1229&gt;1,COUNTIF($A$3:$A$2002,A1229-1)=0),FALSE),"Nummeret hopper over",IF(OR(NOT(ISNUMBER(B1229)),B1229&lt;DATE(2027,1,1),B1229&gt;DATE(2027,12,31)),"Datoen er ikke i 2027",""))))))</f>
        <v/>
      </c>
    </row>
    <row r="1230">
      <c r="A1230" s="17" t="n"/>
      <c r="B1230" s="9" t="n"/>
      <c r="C1230" s="8" t="n"/>
      <c r="D1230" s="8" t="n"/>
      <c r="E1230" s="8" t="n"/>
      <c r="F1230" s="14" t="n"/>
      <c r="G1230" s="14" t="n"/>
      <c r="H1230" s="8" t="n"/>
      <c r="I1230" s="8" t="n"/>
      <c r="J1230" s="8" t="n"/>
      <c r="K1230" s="18">
        <f>IF(B1230="","",IFERROR(MONTH(B1230),""))</f>
        <v/>
      </c>
      <c r="L1230" s="5">
        <f>IF(COUNTA(A1230:J1230)=0,"",IF(E1230="","Mangler motkonto",IF((F1230="")=(G1230=""),"Fyll ut enten Inn eller Ut",IF(OR(IFERROR(INDEX('Kontoplan'!$D$3:$D$302,MATCH(D1230,'Kontoplan'!$H$3:$H$302,0))="Støttes ikke",FALSE),IFERROR(INDEX('Kontoplan'!$D$3:$D$302,MATCH(E1230,'Kontoplan'!$H$3:$H$302,0))="Støttes ikke",FALSE)),"Kontoen støttes ikke",IF(IFERROR(AND(A1230&gt;1,COUNTIF($A$3:$A$2002,A1230-1)=0),FALSE),"Nummeret hopper over",IF(OR(NOT(ISNUMBER(B1230)),B1230&lt;DATE(2027,1,1),B1230&gt;DATE(2027,12,31)),"Datoen er ikke i 2027",""))))))</f>
        <v/>
      </c>
    </row>
    <row r="1231">
      <c r="A1231" s="17" t="n"/>
      <c r="B1231" s="9" t="n"/>
      <c r="C1231" s="8" t="n"/>
      <c r="D1231" s="8" t="n"/>
      <c r="E1231" s="8" t="n"/>
      <c r="F1231" s="14" t="n"/>
      <c r="G1231" s="14" t="n"/>
      <c r="H1231" s="8" t="n"/>
      <c r="I1231" s="8" t="n"/>
      <c r="J1231" s="8" t="n"/>
      <c r="K1231" s="18">
        <f>IF(B1231="","",IFERROR(MONTH(B1231),""))</f>
        <v/>
      </c>
      <c r="L1231" s="5">
        <f>IF(COUNTA(A1231:J1231)=0,"",IF(E1231="","Mangler motkonto",IF((F1231="")=(G1231=""),"Fyll ut enten Inn eller Ut",IF(OR(IFERROR(INDEX('Kontoplan'!$D$3:$D$302,MATCH(D1231,'Kontoplan'!$H$3:$H$302,0))="Støttes ikke",FALSE),IFERROR(INDEX('Kontoplan'!$D$3:$D$302,MATCH(E1231,'Kontoplan'!$H$3:$H$302,0))="Støttes ikke",FALSE)),"Kontoen støttes ikke",IF(IFERROR(AND(A1231&gt;1,COUNTIF($A$3:$A$2002,A1231-1)=0),FALSE),"Nummeret hopper over",IF(OR(NOT(ISNUMBER(B1231)),B1231&lt;DATE(2027,1,1),B1231&gt;DATE(2027,12,31)),"Datoen er ikke i 2027",""))))))</f>
        <v/>
      </c>
    </row>
    <row r="1232">
      <c r="A1232" s="17" t="n"/>
      <c r="B1232" s="9" t="n"/>
      <c r="C1232" s="8" t="n"/>
      <c r="D1232" s="8" t="n"/>
      <c r="E1232" s="8" t="n"/>
      <c r="F1232" s="14" t="n"/>
      <c r="G1232" s="14" t="n"/>
      <c r="H1232" s="8" t="n"/>
      <c r="I1232" s="8" t="n"/>
      <c r="J1232" s="8" t="n"/>
      <c r="K1232" s="18">
        <f>IF(B1232="","",IFERROR(MONTH(B1232),""))</f>
        <v/>
      </c>
      <c r="L1232" s="5">
        <f>IF(COUNTA(A1232:J1232)=0,"",IF(E1232="","Mangler motkonto",IF((F1232="")=(G1232=""),"Fyll ut enten Inn eller Ut",IF(OR(IFERROR(INDEX('Kontoplan'!$D$3:$D$302,MATCH(D1232,'Kontoplan'!$H$3:$H$302,0))="Støttes ikke",FALSE),IFERROR(INDEX('Kontoplan'!$D$3:$D$302,MATCH(E1232,'Kontoplan'!$H$3:$H$302,0))="Støttes ikke",FALSE)),"Kontoen støttes ikke",IF(IFERROR(AND(A1232&gt;1,COUNTIF($A$3:$A$2002,A1232-1)=0),FALSE),"Nummeret hopper over",IF(OR(NOT(ISNUMBER(B1232)),B1232&lt;DATE(2027,1,1),B1232&gt;DATE(2027,12,31)),"Datoen er ikke i 2027",""))))))</f>
        <v/>
      </c>
    </row>
    <row r="1233">
      <c r="A1233" s="17" t="n"/>
      <c r="B1233" s="9" t="n"/>
      <c r="C1233" s="8" t="n"/>
      <c r="D1233" s="8" t="n"/>
      <c r="E1233" s="8" t="n"/>
      <c r="F1233" s="14" t="n"/>
      <c r="G1233" s="14" t="n"/>
      <c r="H1233" s="8" t="n"/>
      <c r="I1233" s="8" t="n"/>
      <c r="J1233" s="8" t="n"/>
      <c r="K1233" s="18">
        <f>IF(B1233="","",IFERROR(MONTH(B1233),""))</f>
        <v/>
      </c>
      <c r="L1233" s="5">
        <f>IF(COUNTA(A1233:J1233)=0,"",IF(E1233="","Mangler motkonto",IF((F1233="")=(G1233=""),"Fyll ut enten Inn eller Ut",IF(OR(IFERROR(INDEX('Kontoplan'!$D$3:$D$302,MATCH(D1233,'Kontoplan'!$H$3:$H$302,0))="Støttes ikke",FALSE),IFERROR(INDEX('Kontoplan'!$D$3:$D$302,MATCH(E1233,'Kontoplan'!$H$3:$H$302,0))="Støttes ikke",FALSE)),"Kontoen støttes ikke",IF(IFERROR(AND(A1233&gt;1,COUNTIF($A$3:$A$2002,A1233-1)=0),FALSE),"Nummeret hopper over",IF(OR(NOT(ISNUMBER(B1233)),B1233&lt;DATE(2027,1,1),B1233&gt;DATE(2027,12,31)),"Datoen er ikke i 2027",""))))))</f>
        <v/>
      </c>
    </row>
    <row r="1234">
      <c r="A1234" s="17" t="n"/>
      <c r="B1234" s="9" t="n"/>
      <c r="C1234" s="8" t="n"/>
      <c r="D1234" s="8" t="n"/>
      <c r="E1234" s="8" t="n"/>
      <c r="F1234" s="14" t="n"/>
      <c r="G1234" s="14" t="n"/>
      <c r="H1234" s="8" t="n"/>
      <c r="I1234" s="8" t="n"/>
      <c r="J1234" s="8" t="n"/>
      <c r="K1234" s="18">
        <f>IF(B1234="","",IFERROR(MONTH(B1234),""))</f>
        <v/>
      </c>
      <c r="L1234" s="5">
        <f>IF(COUNTA(A1234:J1234)=0,"",IF(E1234="","Mangler motkonto",IF((F1234="")=(G1234=""),"Fyll ut enten Inn eller Ut",IF(OR(IFERROR(INDEX('Kontoplan'!$D$3:$D$302,MATCH(D1234,'Kontoplan'!$H$3:$H$302,0))="Støttes ikke",FALSE),IFERROR(INDEX('Kontoplan'!$D$3:$D$302,MATCH(E1234,'Kontoplan'!$H$3:$H$302,0))="Støttes ikke",FALSE)),"Kontoen støttes ikke",IF(IFERROR(AND(A1234&gt;1,COUNTIF($A$3:$A$2002,A1234-1)=0),FALSE),"Nummeret hopper over",IF(OR(NOT(ISNUMBER(B1234)),B1234&lt;DATE(2027,1,1),B1234&gt;DATE(2027,12,31)),"Datoen er ikke i 2027",""))))))</f>
        <v/>
      </c>
    </row>
    <row r="1235">
      <c r="A1235" s="17" t="n"/>
      <c r="B1235" s="9" t="n"/>
      <c r="C1235" s="8" t="n"/>
      <c r="D1235" s="8" t="n"/>
      <c r="E1235" s="8" t="n"/>
      <c r="F1235" s="14" t="n"/>
      <c r="G1235" s="14" t="n"/>
      <c r="H1235" s="8" t="n"/>
      <c r="I1235" s="8" t="n"/>
      <c r="J1235" s="8" t="n"/>
      <c r="K1235" s="18">
        <f>IF(B1235="","",IFERROR(MONTH(B1235),""))</f>
        <v/>
      </c>
      <c r="L1235" s="5">
        <f>IF(COUNTA(A1235:J1235)=0,"",IF(E1235="","Mangler motkonto",IF((F1235="")=(G1235=""),"Fyll ut enten Inn eller Ut",IF(OR(IFERROR(INDEX('Kontoplan'!$D$3:$D$302,MATCH(D1235,'Kontoplan'!$H$3:$H$302,0))="Støttes ikke",FALSE),IFERROR(INDEX('Kontoplan'!$D$3:$D$302,MATCH(E1235,'Kontoplan'!$H$3:$H$302,0))="Støttes ikke",FALSE)),"Kontoen støttes ikke",IF(IFERROR(AND(A1235&gt;1,COUNTIF($A$3:$A$2002,A1235-1)=0),FALSE),"Nummeret hopper over",IF(OR(NOT(ISNUMBER(B1235)),B1235&lt;DATE(2027,1,1),B1235&gt;DATE(2027,12,31)),"Datoen er ikke i 2027",""))))))</f>
        <v/>
      </c>
    </row>
    <row r="1236">
      <c r="A1236" s="17" t="n"/>
      <c r="B1236" s="9" t="n"/>
      <c r="C1236" s="8" t="n"/>
      <c r="D1236" s="8" t="n"/>
      <c r="E1236" s="8" t="n"/>
      <c r="F1236" s="14" t="n"/>
      <c r="G1236" s="14" t="n"/>
      <c r="H1236" s="8" t="n"/>
      <c r="I1236" s="8" t="n"/>
      <c r="J1236" s="8" t="n"/>
      <c r="K1236" s="18">
        <f>IF(B1236="","",IFERROR(MONTH(B1236),""))</f>
        <v/>
      </c>
      <c r="L1236" s="5">
        <f>IF(COUNTA(A1236:J1236)=0,"",IF(E1236="","Mangler motkonto",IF((F1236="")=(G1236=""),"Fyll ut enten Inn eller Ut",IF(OR(IFERROR(INDEX('Kontoplan'!$D$3:$D$302,MATCH(D1236,'Kontoplan'!$H$3:$H$302,0))="Støttes ikke",FALSE),IFERROR(INDEX('Kontoplan'!$D$3:$D$302,MATCH(E1236,'Kontoplan'!$H$3:$H$302,0))="Støttes ikke",FALSE)),"Kontoen støttes ikke",IF(IFERROR(AND(A1236&gt;1,COUNTIF($A$3:$A$2002,A1236-1)=0),FALSE),"Nummeret hopper over",IF(OR(NOT(ISNUMBER(B1236)),B1236&lt;DATE(2027,1,1),B1236&gt;DATE(2027,12,31)),"Datoen er ikke i 2027",""))))))</f>
        <v/>
      </c>
    </row>
    <row r="1237">
      <c r="A1237" s="17" t="n"/>
      <c r="B1237" s="9" t="n"/>
      <c r="C1237" s="8" t="n"/>
      <c r="D1237" s="8" t="n"/>
      <c r="E1237" s="8" t="n"/>
      <c r="F1237" s="14" t="n"/>
      <c r="G1237" s="14" t="n"/>
      <c r="H1237" s="8" t="n"/>
      <c r="I1237" s="8" t="n"/>
      <c r="J1237" s="8" t="n"/>
      <c r="K1237" s="18">
        <f>IF(B1237="","",IFERROR(MONTH(B1237),""))</f>
        <v/>
      </c>
      <c r="L1237" s="5">
        <f>IF(COUNTA(A1237:J1237)=0,"",IF(E1237="","Mangler motkonto",IF((F1237="")=(G1237=""),"Fyll ut enten Inn eller Ut",IF(OR(IFERROR(INDEX('Kontoplan'!$D$3:$D$302,MATCH(D1237,'Kontoplan'!$H$3:$H$302,0))="Støttes ikke",FALSE),IFERROR(INDEX('Kontoplan'!$D$3:$D$302,MATCH(E1237,'Kontoplan'!$H$3:$H$302,0))="Støttes ikke",FALSE)),"Kontoen støttes ikke",IF(IFERROR(AND(A1237&gt;1,COUNTIF($A$3:$A$2002,A1237-1)=0),FALSE),"Nummeret hopper over",IF(OR(NOT(ISNUMBER(B1237)),B1237&lt;DATE(2027,1,1),B1237&gt;DATE(2027,12,31)),"Datoen er ikke i 2027",""))))))</f>
        <v/>
      </c>
    </row>
    <row r="1238">
      <c r="A1238" s="17" t="n"/>
      <c r="B1238" s="9" t="n"/>
      <c r="C1238" s="8" t="n"/>
      <c r="D1238" s="8" t="n"/>
      <c r="E1238" s="8" t="n"/>
      <c r="F1238" s="14" t="n"/>
      <c r="G1238" s="14" t="n"/>
      <c r="H1238" s="8" t="n"/>
      <c r="I1238" s="8" t="n"/>
      <c r="J1238" s="8" t="n"/>
      <c r="K1238" s="18">
        <f>IF(B1238="","",IFERROR(MONTH(B1238),""))</f>
        <v/>
      </c>
      <c r="L1238" s="5">
        <f>IF(COUNTA(A1238:J1238)=0,"",IF(E1238="","Mangler motkonto",IF((F1238="")=(G1238=""),"Fyll ut enten Inn eller Ut",IF(OR(IFERROR(INDEX('Kontoplan'!$D$3:$D$302,MATCH(D1238,'Kontoplan'!$H$3:$H$302,0))="Støttes ikke",FALSE),IFERROR(INDEX('Kontoplan'!$D$3:$D$302,MATCH(E1238,'Kontoplan'!$H$3:$H$302,0))="Støttes ikke",FALSE)),"Kontoen støttes ikke",IF(IFERROR(AND(A1238&gt;1,COUNTIF($A$3:$A$2002,A1238-1)=0),FALSE),"Nummeret hopper over",IF(OR(NOT(ISNUMBER(B1238)),B1238&lt;DATE(2027,1,1),B1238&gt;DATE(2027,12,31)),"Datoen er ikke i 2027",""))))))</f>
        <v/>
      </c>
    </row>
    <row r="1239">
      <c r="A1239" s="17" t="n"/>
      <c r="B1239" s="9" t="n"/>
      <c r="C1239" s="8" t="n"/>
      <c r="D1239" s="8" t="n"/>
      <c r="E1239" s="8" t="n"/>
      <c r="F1239" s="14" t="n"/>
      <c r="G1239" s="14" t="n"/>
      <c r="H1239" s="8" t="n"/>
      <c r="I1239" s="8" t="n"/>
      <c r="J1239" s="8" t="n"/>
      <c r="K1239" s="18">
        <f>IF(B1239="","",IFERROR(MONTH(B1239),""))</f>
        <v/>
      </c>
      <c r="L1239" s="5">
        <f>IF(COUNTA(A1239:J1239)=0,"",IF(E1239="","Mangler motkonto",IF((F1239="")=(G1239=""),"Fyll ut enten Inn eller Ut",IF(OR(IFERROR(INDEX('Kontoplan'!$D$3:$D$302,MATCH(D1239,'Kontoplan'!$H$3:$H$302,0))="Støttes ikke",FALSE),IFERROR(INDEX('Kontoplan'!$D$3:$D$302,MATCH(E1239,'Kontoplan'!$H$3:$H$302,0))="Støttes ikke",FALSE)),"Kontoen støttes ikke",IF(IFERROR(AND(A1239&gt;1,COUNTIF($A$3:$A$2002,A1239-1)=0),FALSE),"Nummeret hopper over",IF(OR(NOT(ISNUMBER(B1239)),B1239&lt;DATE(2027,1,1),B1239&gt;DATE(2027,12,31)),"Datoen er ikke i 2027",""))))))</f>
        <v/>
      </c>
    </row>
    <row r="1240">
      <c r="A1240" s="17" t="n"/>
      <c r="B1240" s="9" t="n"/>
      <c r="C1240" s="8" t="n"/>
      <c r="D1240" s="8" t="n"/>
      <c r="E1240" s="8" t="n"/>
      <c r="F1240" s="14" t="n"/>
      <c r="G1240" s="14" t="n"/>
      <c r="H1240" s="8" t="n"/>
      <c r="I1240" s="8" t="n"/>
      <c r="J1240" s="8" t="n"/>
      <c r="K1240" s="18">
        <f>IF(B1240="","",IFERROR(MONTH(B1240),""))</f>
        <v/>
      </c>
      <c r="L1240" s="5">
        <f>IF(COUNTA(A1240:J1240)=0,"",IF(E1240="","Mangler motkonto",IF((F1240="")=(G1240=""),"Fyll ut enten Inn eller Ut",IF(OR(IFERROR(INDEX('Kontoplan'!$D$3:$D$302,MATCH(D1240,'Kontoplan'!$H$3:$H$302,0))="Støttes ikke",FALSE),IFERROR(INDEX('Kontoplan'!$D$3:$D$302,MATCH(E1240,'Kontoplan'!$H$3:$H$302,0))="Støttes ikke",FALSE)),"Kontoen støttes ikke",IF(IFERROR(AND(A1240&gt;1,COUNTIF($A$3:$A$2002,A1240-1)=0),FALSE),"Nummeret hopper over",IF(OR(NOT(ISNUMBER(B1240)),B1240&lt;DATE(2027,1,1),B1240&gt;DATE(2027,12,31)),"Datoen er ikke i 2027",""))))))</f>
        <v/>
      </c>
    </row>
    <row r="1241">
      <c r="A1241" s="17" t="n"/>
      <c r="B1241" s="9" t="n"/>
      <c r="C1241" s="8" t="n"/>
      <c r="D1241" s="8" t="n"/>
      <c r="E1241" s="8" t="n"/>
      <c r="F1241" s="14" t="n"/>
      <c r="G1241" s="14" t="n"/>
      <c r="H1241" s="8" t="n"/>
      <c r="I1241" s="8" t="n"/>
      <c r="J1241" s="8" t="n"/>
      <c r="K1241" s="18">
        <f>IF(B1241="","",IFERROR(MONTH(B1241),""))</f>
        <v/>
      </c>
      <c r="L1241" s="5">
        <f>IF(COUNTA(A1241:J1241)=0,"",IF(E1241="","Mangler motkonto",IF((F1241="")=(G1241=""),"Fyll ut enten Inn eller Ut",IF(OR(IFERROR(INDEX('Kontoplan'!$D$3:$D$302,MATCH(D1241,'Kontoplan'!$H$3:$H$302,0))="Støttes ikke",FALSE),IFERROR(INDEX('Kontoplan'!$D$3:$D$302,MATCH(E1241,'Kontoplan'!$H$3:$H$302,0))="Støttes ikke",FALSE)),"Kontoen støttes ikke",IF(IFERROR(AND(A1241&gt;1,COUNTIF($A$3:$A$2002,A1241-1)=0),FALSE),"Nummeret hopper over",IF(OR(NOT(ISNUMBER(B1241)),B1241&lt;DATE(2027,1,1),B1241&gt;DATE(2027,12,31)),"Datoen er ikke i 2027",""))))))</f>
        <v/>
      </c>
    </row>
    <row r="1242">
      <c r="A1242" s="17" t="n"/>
      <c r="B1242" s="9" t="n"/>
      <c r="C1242" s="8" t="n"/>
      <c r="D1242" s="8" t="n"/>
      <c r="E1242" s="8" t="n"/>
      <c r="F1242" s="14" t="n"/>
      <c r="G1242" s="14" t="n"/>
      <c r="H1242" s="8" t="n"/>
      <c r="I1242" s="8" t="n"/>
      <c r="J1242" s="8" t="n"/>
      <c r="K1242" s="18">
        <f>IF(B1242="","",IFERROR(MONTH(B1242),""))</f>
        <v/>
      </c>
      <c r="L1242" s="5">
        <f>IF(COUNTA(A1242:J1242)=0,"",IF(E1242="","Mangler motkonto",IF((F1242="")=(G1242=""),"Fyll ut enten Inn eller Ut",IF(OR(IFERROR(INDEX('Kontoplan'!$D$3:$D$302,MATCH(D1242,'Kontoplan'!$H$3:$H$302,0))="Støttes ikke",FALSE),IFERROR(INDEX('Kontoplan'!$D$3:$D$302,MATCH(E1242,'Kontoplan'!$H$3:$H$302,0))="Støttes ikke",FALSE)),"Kontoen støttes ikke",IF(IFERROR(AND(A1242&gt;1,COUNTIF($A$3:$A$2002,A1242-1)=0),FALSE),"Nummeret hopper over",IF(OR(NOT(ISNUMBER(B1242)),B1242&lt;DATE(2027,1,1),B1242&gt;DATE(2027,12,31)),"Datoen er ikke i 2027",""))))))</f>
        <v/>
      </c>
    </row>
    <row r="1243">
      <c r="A1243" s="17" t="n"/>
      <c r="B1243" s="9" t="n"/>
      <c r="C1243" s="8" t="n"/>
      <c r="D1243" s="8" t="n"/>
      <c r="E1243" s="8" t="n"/>
      <c r="F1243" s="14" t="n"/>
      <c r="G1243" s="14" t="n"/>
      <c r="H1243" s="8" t="n"/>
      <c r="I1243" s="8" t="n"/>
      <c r="J1243" s="8" t="n"/>
      <c r="K1243" s="18">
        <f>IF(B1243="","",IFERROR(MONTH(B1243),""))</f>
        <v/>
      </c>
      <c r="L1243" s="5">
        <f>IF(COUNTA(A1243:J1243)=0,"",IF(E1243="","Mangler motkonto",IF((F1243="")=(G1243=""),"Fyll ut enten Inn eller Ut",IF(OR(IFERROR(INDEX('Kontoplan'!$D$3:$D$302,MATCH(D1243,'Kontoplan'!$H$3:$H$302,0))="Støttes ikke",FALSE),IFERROR(INDEX('Kontoplan'!$D$3:$D$302,MATCH(E1243,'Kontoplan'!$H$3:$H$302,0))="Støttes ikke",FALSE)),"Kontoen støttes ikke",IF(IFERROR(AND(A1243&gt;1,COUNTIF($A$3:$A$2002,A1243-1)=0),FALSE),"Nummeret hopper over",IF(OR(NOT(ISNUMBER(B1243)),B1243&lt;DATE(2027,1,1),B1243&gt;DATE(2027,12,31)),"Datoen er ikke i 2027",""))))))</f>
        <v/>
      </c>
    </row>
    <row r="1244">
      <c r="A1244" s="17" t="n"/>
      <c r="B1244" s="9" t="n"/>
      <c r="C1244" s="8" t="n"/>
      <c r="D1244" s="8" t="n"/>
      <c r="E1244" s="8" t="n"/>
      <c r="F1244" s="14" t="n"/>
      <c r="G1244" s="14" t="n"/>
      <c r="H1244" s="8" t="n"/>
      <c r="I1244" s="8" t="n"/>
      <c r="J1244" s="8" t="n"/>
      <c r="K1244" s="18">
        <f>IF(B1244="","",IFERROR(MONTH(B1244),""))</f>
        <v/>
      </c>
      <c r="L1244" s="5">
        <f>IF(COUNTA(A1244:J1244)=0,"",IF(E1244="","Mangler motkonto",IF((F1244="")=(G1244=""),"Fyll ut enten Inn eller Ut",IF(OR(IFERROR(INDEX('Kontoplan'!$D$3:$D$302,MATCH(D1244,'Kontoplan'!$H$3:$H$302,0))="Støttes ikke",FALSE),IFERROR(INDEX('Kontoplan'!$D$3:$D$302,MATCH(E1244,'Kontoplan'!$H$3:$H$302,0))="Støttes ikke",FALSE)),"Kontoen støttes ikke",IF(IFERROR(AND(A1244&gt;1,COUNTIF($A$3:$A$2002,A1244-1)=0),FALSE),"Nummeret hopper over",IF(OR(NOT(ISNUMBER(B1244)),B1244&lt;DATE(2027,1,1),B1244&gt;DATE(2027,12,31)),"Datoen er ikke i 2027",""))))))</f>
        <v/>
      </c>
    </row>
    <row r="1245">
      <c r="A1245" s="17" t="n"/>
      <c r="B1245" s="9" t="n"/>
      <c r="C1245" s="8" t="n"/>
      <c r="D1245" s="8" t="n"/>
      <c r="E1245" s="8" t="n"/>
      <c r="F1245" s="14" t="n"/>
      <c r="G1245" s="14" t="n"/>
      <c r="H1245" s="8" t="n"/>
      <c r="I1245" s="8" t="n"/>
      <c r="J1245" s="8" t="n"/>
      <c r="K1245" s="18">
        <f>IF(B1245="","",IFERROR(MONTH(B1245),""))</f>
        <v/>
      </c>
      <c r="L1245" s="5">
        <f>IF(COUNTA(A1245:J1245)=0,"",IF(E1245="","Mangler motkonto",IF((F1245="")=(G1245=""),"Fyll ut enten Inn eller Ut",IF(OR(IFERROR(INDEX('Kontoplan'!$D$3:$D$302,MATCH(D1245,'Kontoplan'!$H$3:$H$302,0))="Støttes ikke",FALSE),IFERROR(INDEX('Kontoplan'!$D$3:$D$302,MATCH(E1245,'Kontoplan'!$H$3:$H$302,0))="Støttes ikke",FALSE)),"Kontoen støttes ikke",IF(IFERROR(AND(A1245&gt;1,COUNTIF($A$3:$A$2002,A1245-1)=0),FALSE),"Nummeret hopper over",IF(OR(NOT(ISNUMBER(B1245)),B1245&lt;DATE(2027,1,1),B1245&gt;DATE(2027,12,31)),"Datoen er ikke i 2027",""))))))</f>
        <v/>
      </c>
    </row>
    <row r="1246">
      <c r="A1246" s="17" t="n"/>
      <c r="B1246" s="9" t="n"/>
      <c r="C1246" s="8" t="n"/>
      <c r="D1246" s="8" t="n"/>
      <c r="E1246" s="8" t="n"/>
      <c r="F1246" s="14" t="n"/>
      <c r="G1246" s="14" t="n"/>
      <c r="H1246" s="8" t="n"/>
      <c r="I1246" s="8" t="n"/>
      <c r="J1246" s="8" t="n"/>
      <c r="K1246" s="18">
        <f>IF(B1246="","",IFERROR(MONTH(B1246),""))</f>
        <v/>
      </c>
      <c r="L1246" s="5">
        <f>IF(COUNTA(A1246:J1246)=0,"",IF(E1246="","Mangler motkonto",IF((F1246="")=(G1246=""),"Fyll ut enten Inn eller Ut",IF(OR(IFERROR(INDEX('Kontoplan'!$D$3:$D$302,MATCH(D1246,'Kontoplan'!$H$3:$H$302,0))="Støttes ikke",FALSE),IFERROR(INDEX('Kontoplan'!$D$3:$D$302,MATCH(E1246,'Kontoplan'!$H$3:$H$302,0))="Støttes ikke",FALSE)),"Kontoen støttes ikke",IF(IFERROR(AND(A1246&gt;1,COUNTIF($A$3:$A$2002,A1246-1)=0),FALSE),"Nummeret hopper over",IF(OR(NOT(ISNUMBER(B1246)),B1246&lt;DATE(2027,1,1),B1246&gt;DATE(2027,12,31)),"Datoen er ikke i 2027",""))))))</f>
        <v/>
      </c>
    </row>
    <row r="1247">
      <c r="A1247" s="17" t="n"/>
      <c r="B1247" s="9" t="n"/>
      <c r="C1247" s="8" t="n"/>
      <c r="D1247" s="8" t="n"/>
      <c r="E1247" s="8" t="n"/>
      <c r="F1247" s="14" t="n"/>
      <c r="G1247" s="14" t="n"/>
      <c r="H1247" s="8" t="n"/>
      <c r="I1247" s="8" t="n"/>
      <c r="J1247" s="8" t="n"/>
      <c r="K1247" s="18">
        <f>IF(B1247="","",IFERROR(MONTH(B1247),""))</f>
        <v/>
      </c>
      <c r="L1247" s="5">
        <f>IF(COUNTA(A1247:J1247)=0,"",IF(E1247="","Mangler motkonto",IF((F1247="")=(G1247=""),"Fyll ut enten Inn eller Ut",IF(OR(IFERROR(INDEX('Kontoplan'!$D$3:$D$302,MATCH(D1247,'Kontoplan'!$H$3:$H$302,0))="Støttes ikke",FALSE),IFERROR(INDEX('Kontoplan'!$D$3:$D$302,MATCH(E1247,'Kontoplan'!$H$3:$H$302,0))="Støttes ikke",FALSE)),"Kontoen støttes ikke",IF(IFERROR(AND(A1247&gt;1,COUNTIF($A$3:$A$2002,A1247-1)=0),FALSE),"Nummeret hopper over",IF(OR(NOT(ISNUMBER(B1247)),B1247&lt;DATE(2027,1,1),B1247&gt;DATE(2027,12,31)),"Datoen er ikke i 2027",""))))))</f>
        <v/>
      </c>
    </row>
    <row r="1248">
      <c r="A1248" s="17" t="n"/>
      <c r="B1248" s="9" t="n"/>
      <c r="C1248" s="8" t="n"/>
      <c r="D1248" s="8" t="n"/>
      <c r="E1248" s="8" t="n"/>
      <c r="F1248" s="14" t="n"/>
      <c r="G1248" s="14" t="n"/>
      <c r="H1248" s="8" t="n"/>
      <c r="I1248" s="8" t="n"/>
      <c r="J1248" s="8" t="n"/>
      <c r="K1248" s="18">
        <f>IF(B1248="","",IFERROR(MONTH(B1248),""))</f>
        <v/>
      </c>
      <c r="L1248" s="5">
        <f>IF(COUNTA(A1248:J1248)=0,"",IF(E1248="","Mangler motkonto",IF((F1248="")=(G1248=""),"Fyll ut enten Inn eller Ut",IF(OR(IFERROR(INDEX('Kontoplan'!$D$3:$D$302,MATCH(D1248,'Kontoplan'!$H$3:$H$302,0))="Støttes ikke",FALSE),IFERROR(INDEX('Kontoplan'!$D$3:$D$302,MATCH(E1248,'Kontoplan'!$H$3:$H$302,0))="Støttes ikke",FALSE)),"Kontoen støttes ikke",IF(IFERROR(AND(A1248&gt;1,COUNTIF($A$3:$A$2002,A1248-1)=0),FALSE),"Nummeret hopper over",IF(OR(NOT(ISNUMBER(B1248)),B1248&lt;DATE(2027,1,1),B1248&gt;DATE(2027,12,31)),"Datoen er ikke i 2027",""))))))</f>
        <v/>
      </c>
    </row>
    <row r="1249">
      <c r="A1249" s="17" t="n"/>
      <c r="B1249" s="9" t="n"/>
      <c r="C1249" s="8" t="n"/>
      <c r="D1249" s="8" t="n"/>
      <c r="E1249" s="8" t="n"/>
      <c r="F1249" s="14" t="n"/>
      <c r="G1249" s="14" t="n"/>
      <c r="H1249" s="8" t="n"/>
      <c r="I1249" s="8" t="n"/>
      <c r="J1249" s="8" t="n"/>
      <c r="K1249" s="18">
        <f>IF(B1249="","",IFERROR(MONTH(B1249),""))</f>
        <v/>
      </c>
      <c r="L1249" s="5">
        <f>IF(COUNTA(A1249:J1249)=0,"",IF(E1249="","Mangler motkonto",IF((F1249="")=(G1249=""),"Fyll ut enten Inn eller Ut",IF(OR(IFERROR(INDEX('Kontoplan'!$D$3:$D$302,MATCH(D1249,'Kontoplan'!$H$3:$H$302,0))="Støttes ikke",FALSE),IFERROR(INDEX('Kontoplan'!$D$3:$D$302,MATCH(E1249,'Kontoplan'!$H$3:$H$302,0))="Støttes ikke",FALSE)),"Kontoen støttes ikke",IF(IFERROR(AND(A1249&gt;1,COUNTIF($A$3:$A$2002,A1249-1)=0),FALSE),"Nummeret hopper over",IF(OR(NOT(ISNUMBER(B1249)),B1249&lt;DATE(2027,1,1),B1249&gt;DATE(2027,12,31)),"Datoen er ikke i 2027",""))))))</f>
        <v/>
      </c>
    </row>
    <row r="1250">
      <c r="A1250" s="17" t="n"/>
      <c r="B1250" s="9" t="n"/>
      <c r="C1250" s="8" t="n"/>
      <c r="D1250" s="8" t="n"/>
      <c r="E1250" s="8" t="n"/>
      <c r="F1250" s="14" t="n"/>
      <c r="G1250" s="14" t="n"/>
      <c r="H1250" s="8" t="n"/>
      <c r="I1250" s="8" t="n"/>
      <c r="J1250" s="8" t="n"/>
      <c r="K1250" s="18">
        <f>IF(B1250="","",IFERROR(MONTH(B1250),""))</f>
        <v/>
      </c>
      <c r="L1250" s="5">
        <f>IF(COUNTA(A1250:J1250)=0,"",IF(E1250="","Mangler motkonto",IF((F1250="")=(G1250=""),"Fyll ut enten Inn eller Ut",IF(OR(IFERROR(INDEX('Kontoplan'!$D$3:$D$302,MATCH(D1250,'Kontoplan'!$H$3:$H$302,0))="Støttes ikke",FALSE),IFERROR(INDEX('Kontoplan'!$D$3:$D$302,MATCH(E1250,'Kontoplan'!$H$3:$H$302,0))="Støttes ikke",FALSE)),"Kontoen støttes ikke",IF(IFERROR(AND(A1250&gt;1,COUNTIF($A$3:$A$2002,A1250-1)=0),FALSE),"Nummeret hopper over",IF(OR(NOT(ISNUMBER(B1250)),B1250&lt;DATE(2027,1,1),B1250&gt;DATE(2027,12,31)),"Datoen er ikke i 2027",""))))))</f>
        <v/>
      </c>
    </row>
    <row r="1251">
      <c r="A1251" s="17" t="n"/>
      <c r="B1251" s="9" t="n"/>
      <c r="C1251" s="8" t="n"/>
      <c r="D1251" s="8" t="n"/>
      <c r="E1251" s="8" t="n"/>
      <c r="F1251" s="14" t="n"/>
      <c r="G1251" s="14" t="n"/>
      <c r="H1251" s="8" t="n"/>
      <c r="I1251" s="8" t="n"/>
      <c r="J1251" s="8" t="n"/>
      <c r="K1251" s="18">
        <f>IF(B1251="","",IFERROR(MONTH(B1251),""))</f>
        <v/>
      </c>
      <c r="L1251" s="5">
        <f>IF(COUNTA(A1251:J1251)=0,"",IF(E1251="","Mangler motkonto",IF((F1251="")=(G1251=""),"Fyll ut enten Inn eller Ut",IF(OR(IFERROR(INDEX('Kontoplan'!$D$3:$D$302,MATCH(D1251,'Kontoplan'!$H$3:$H$302,0))="Støttes ikke",FALSE),IFERROR(INDEX('Kontoplan'!$D$3:$D$302,MATCH(E1251,'Kontoplan'!$H$3:$H$302,0))="Støttes ikke",FALSE)),"Kontoen støttes ikke",IF(IFERROR(AND(A1251&gt;1,COUNTIF($A$3:$A$2002,A1251-1)=0),FALSE),"Nummeret hopper over",IF(OR(NOT(ISNUMBER(B1251)),B1251&lt;DATE(2027,1,1),B1251&gt;DATE(2027,12,31)),"Datoen er ikke i 2027",""))))))</f>
        <v/>
      </c>
    </row>
    <row r="1252">
      <c r="A1252" s="17" t="n"/>
      <c r="B1252" s="9" t="n"/>
      <c r="C1252" s="8" t="n"/>
      <c r="D1252" s="8" t="n"/>
      <c r="E1252" s="8" t="n"/>
      <c r="F1252" s="14" t="n"/>
      <c r="G1252" s="14" t="n"/>
      <c r="H1252" s="8" t="n"/>
      <c r="I1252" s="8" t="n"/>
      <c r="J1252" s="8" t="n"/>
      <c r="K1252" s="18">
        <f>IF(B1252="","",IFERROR(MONTH(B1252),""))</f>
        <v/>
      </c>
      <c r="L1252" s="5">
        <f>IF(COUNTA(A1252:J1252)=0,"",IF(E1252="","Mangler motkonto",IF((F1252="")=(G1252=""),"Fyll ut enten Inn eller Ut",IF(OR(IFERROR(INDEX('Kontoplan'!$D$3:$D$302,MATCH(D1252,'Kontoplan'!$H$3:$H$302,0))="Støttes ikke",FALSE),IFERROR(INDEX('Kontoplan'!$D$3:$D$302,MATCH(E1252,'Kontoplan'!$H$3:$H$302,0))="Støttes ikke",FALSE)),"Kontoen støttes ikke",IF(IFERROR(AND(A1252&gt;1,COUNTIF($A$3:$A$2002,A1252-1)=0),FALSE),"Nummeret hopper over",IF(OR(NOT(ISNUMBER(B1252)),B1252&lt;DATE(2027,1,1),B1252&gt;DATE(2027,12,31)),"Datoen er ikke i 2027",""))))))</f>
        <v/>
      </c>
    </row>
    <row r="1253">
      <c r="A1253" s="17" t="n"/>
      <c r="B1253" s="9" t="n"/>
      <c r="C1253" s="8" t="n"/>
      <c r="D1253" s="8" t="n"/>
      <c r="E1253" s="8" t="n"/>
      <c r="F1253" s="14" t="n"/>
      <c r="G1253" s="14" t="n"/>
      <c r="H1253" s="8" t="n"/>
      <c r="I1253" s="8" t="n"/>
      <c r="J1253" s="8" t="n"/>
      <c r="K1253" s="18">
        <f>IF(B1253="","",IFERROR(MONTH(B1253),""))</f>
        <v/>
      </c>
      <c r="L1253" s="5">
        <f>IF(COUNTA(A1253:J1253)=0,"",IF(E1253="","Mangler motkonto",IF((F1253="")=(G1253=""),"Fyll ut enten Inn eller Ut",IF(OR(IFERROR(INDEX('Kontoplan'!$D$3:$D$302,MATCH(D1253,'Kontoplan'!$H$3:$H$302,0))="Støttes ikke",FALSE),IFERROR(INDEX('Kontoplan'!$D$3:$D$302,MATCH(E1253,'Kontoplan'!$H$3:$H$302,0))="Støttes ikke",FALSE)),"Kontoen støttes ikke",IF(IFERROR(AND(A1253&gt;1,COUNTIF($A$3:$A$2002,A1253-1)=0),FALSE),"Nummeret hopper over",IF(OR(NOT(ISNUMBER(B1253)),B1253&lt;DATE(2027,1,1),B1253&gt;DATE(2027,12,31)),"Datoen er ikke i 2027",""))))))</f>
        <v/>
      </c>
    </row>
    <row r="1254">
      <c r="A1254" s="17" t="n"/>
      <c r="B1254" s="9" t="n"/>
      <c r="C1254" s="8" t="n"/>
      <c r="D1254" s="8" t="n"/>
      <c r="E1254" s="8" t="n"/>
      <c r="F1254" s="14" t="n"/>
      <c r="G1254" s="14" t="n"/>
      <c r="H1254" s="8" t="n"/>
      <c r="I1254" s="8" t="n"/>
      <c r="J1254" s="8" t="n"/>
      <c r="K1254" s="18">
        <f>IF(B1254="","",IFERROR(MONTH(B1254),""))</f>
        <v/>
      </c>
      <c r="L1254" s="5">
        <f>IF(COUNTA(A1254:J1254)=0,"",IF(E1254="","Mangler motkonto",IF((F1254="")=(G1254=""),"Fyll ut enten Inn eller Ut",IF(OR(IFERROR(INDEX('Kontoplan'!$D$3:$D$302,MATCH(D1254,'Kontoplan'!$H$3:$H$302,0))="Støttes ikke",FALSE),IFERROR(INDEX('Kontoplan'!$D$3:$D$302,MATCH(E1254,'Kontoplan'!$H$3:$H$302,0))="Støttes ikke",FALSE)),"Kontoen støttes ikke",IF(IFERROR(AND(A1254&gt;1,COUNTIF($A$3:$A$2002,A1254-1)=0),FALSE),"Nummeret hopper over",IF(OR(NOT(ISNUMBER(B1254)),B1254&lt;DATE(2027,1,1),B1254&gt;DATE(2027,12,31)),"Datoen er ikke i 2027",""))))))</f>
        <v/>
      </c>
    </row>
    <row r="1255">
      <c r="A1255" s="17" t="n"/>
      <c r="B1255" s="9" t="n"/>
      <c r="C1255" s="8" t="n"/>
      <c r="D1255" s="8" t="n"/>
      <c r="E1255" s="8" t="n"/>
      <c r="F1255" s="14" t="n"/>
      <c r="G1255" s="14" t="n"/>
      <c r="H1255" s="8" t="n"/>
      <c r="I1255" s="8" t="n"/>
      <c r="J1255" s="8" t="n"/>
      <c r="K1255" s="18">
        <f>IF(B1255="","",IFERROR(MONTH(B1255),""))</f>
        <v/>
      </c>
      <c r="L1255" s="5">
        <f>IF(COUNTA(A1255:J1255)=0,"",IF(E1255="","Mangler motkonto",IF((F1255="")=(G1255=""),"Fyll ut enten Inn eller Ut",IF(OR(IFERROR(INDEX('Kontoplan'!$D$3:$D$302,MATCH(D1255,'Kontoplan'!$H$3:$H$302,0))="Støttes ikke",FALSE),IFERROR(INDEX('Kontoplan'!$D$3:$D$302,MATCH(E1255,'Kontoplan'!$H$3:$H$302,0))="Støttes ikke",FALSE)),"Kontoen støttes ikke",IF(IFERROR(AND(A1255&gt;1,COUNTIF($A$3:$A$2002,A1255-1)=0),FALSE),"Nummeret hopper over",IF(OR(NOT(ISNUMBER(B1255)),B1255&lt;DATE(2027,1,1),B1255&gt;DATE(2027,12,31)),"Datoen er ikke i 2027",""))))))</f>
        <v/>
      </c>
    </row>
    <row r="1256">
      <c r="A1256" s="17" t="n"/>
      <c r="B1256" s="9" t="n"/>
      <c r="C1256" s="8" t="n"/>
      <c r="D1256" s="8" t="n"/>
      <c r="E1256" s="8" t="n"/>
      <c r="F1256" s="14" t="n"/>
      <c r="G1256" s="14" t="n"/>
      <c r="H1256" s="8" t="n"/>
      <c r="I1256" s="8" t="n"/>
      <c r="J1256" s="8" t="n"/>
      <c r="K1256" s="18">
        <f>IF(B1256="","",IFERROR(MONTH(B1256),""))</f>
        <v/>
      </c>
      <c r="L1256" s="5">
        <f>IF(COUNTA(A1256:J1256)=0,"",IF(E1256="","Mangler motkonto",IF((F1256="")=(G1256=""),"Fyll ut enten Inn eller Ut",IF(OR(IFERROR(INDEX('Kontoplan'!$D$3:$D$302,MATCH(D1256,'Kontoplan'!$H$3:$H$302,0))="Støttes ikke",FALSE),IFERROR(INDEX('Kontoplan'!$D$3:$D$302,MATCH(E1256,'Kontoplan'!$H$3:$H$302,0))="Støttes ikke",FALSE)),"Kontoen støttes ikke",IF(IFERROR(AND(A1256&gt;1,COUNTIF($A$3:$A$2002,A1256-1)=0),FALSE),"Nummeret hopper over",IF(OR(NOT(ISNUMBER(B1256)),B1256&lt;DATE(2027,1,1),B1256&gt;DATE(2027,12,31)),"Datoen er ikke i 2027",""))))))</f>
        <v/>
      </c>
    </row>
    <row r="1257">
      <c r="A1257" s="17" t="n"/>
      <c r="B1257" s="9" t="n"/>
      <c r="C1257" s="8" t="n"/>
      <c r="D1257" s="8" t="n"/>
      <c r="E1257" s="8" t="n"/>
      <c r="F1257" s="14" t="n"/>
      <c r="G1257" s="14" t="n"/>
      <c r="H1257" s="8" t="n"/>
      <c r="I1257" s="8" t="n"/>
      <c r="J1257" s="8" t="n"/>
      <c r="K1257" s="18">
        <f>IF(B1257="","",IFERROR(MONTH(B1257),""))</f>
        <v/>
      </c>
      <c r="L1257" s="5">
        <f>IF(COUNTA(A1257:J1257)=0,"",IF(E1257="","Mangler motkonto",IF((F1257="")=(G1257=""),"Fyll ut enten Inn eller Ut",IF(OR(IFERROR(INDEX('Kontoplan'!$D$3:$D$302,MATCH(D1257,'Kontoplan'!$H$3:$H$302,0))="Støttes ikke",FALSE),IFERROR(INDEX('Kontoplan'!$D$3:$D$302,MATCH(E1257,'Kontoplan'!$H$3:$H$302,0))="Støttes ikke",FALSE)),"Kontoen støttes ikke",IF(IFERROR(AND(A1257&gt;1,COUNTIF($A$3:$A$2002,A1257-1)=0),FALSE),"Nummeret hopper over",IF(OR(NOT(ISNUMBER(B1257)),B1257&lt;DATE(2027,1,1),B1257&gt;DATE(2027,12,31)),"Datoen er ikke i 2027",""))))))</f>
        <v/>
      </c>
    </row>
    <row r="1258">
      <c r="A1258" s="17" t="n"/>
      <c r="B1258" s="9" t="n"/>
      <c r="C1258" s="8" t="n"/>
      <c r="D1258" s="8" t="n"/>
      <c r="E1258" s="8" t="n"/>
      <c r="F1258" s="14" t="n"/>
      <c r="G1258" s="14" t="n"/>
      <c r="H1258" s="8" t="n"/>
      <c r="I1258" s="8" t="n"/>
      <c r="J1258" s="8" t="n"/>
      <c r="K1258" s="18">
        <f>IF(B1258="","",IFERROR(MONTH(B1258),""))</f>
        <v/>
      </c>
      <c r="L1258" s="5">
        <f>IF(COUNTA(A1258:J1258)=0,"",IF(E1258="","Mangler motkonto",IF((F1258="")=(G1258=""),"Fyll ut enten Inn eller Ut",IF(OR(IFERROR(INDEX('Kontoplan'!$D$3:$D$302,MATCH(D1258,'Kontoplan'!$H$3:$H$302,0))="Støttes ikke",FALSE),IFERROR(INDEX('Kontoplan'!$D$3:$D$302,MATCH(E1258,'Kontoplan'!$H$3:$H$302,0))="Støttes ikke",FALSE)),"Kontoen støttes ikke",IF(IFERROR(AND(A1258&gt;1,COUNTIF($A$3:$A$2002,A1258-1)=0),FALSE),"Nummeret hopper over",IF(OR(NOT(ISNUMBER(B1258)),B1258&lt;DATE(2027,1,1),B1258&gt;DATE(2027,12,31)),"Datoen er ikke i 2027",""))))))</f>
        <v/>
      </c>
    </row>
    <row r="1259">
      <c r="A1259" s="17" t="n"/>
      <c r="B1259" s="9" t="n"/>
      <c r="C1259" s="8" t="n"/>
      <c r="D1259" s="8" t="n"/>
      <c r="E1259" s="8" t="n"/>
      <c r="F1259" s="14" t="n"/>
      <c r="G1259" s="14" t="n"/>
      <c r="H1259" s="8" t="n"/>
      <c r="I1259" s="8" t="n"/>
      <c r="J1259" s="8" t="n"/>
      <c r="K1259" s="18">
        <f>IF(B1259="","",IFERROR(MONTH(B1259),""))</f>
        <v/>
      </c>
      <c r="L1259" s="5">
        <f>IF(COUNTA(A1259:J1259)=0,"",IF(E1259="","Mangler motkonto",IF((F1259="")=(G1259=""),"Fyll ut enten Inn eller Ut",IF(OR(IFERROR(INDEX('Kontoplan'!$D$3:$D$302,MATCH(D1259,'Kontoplan'!$H$3:$H$302,0))="Støttes ikke",FALSE),IFERROR(INDEX('Kontoplan'!$D$3:$D$302,MATCH(E1259,'Kontoplan'!$H$3:$H$302,0))="Støttes ikke",FALSE)),"Kontoen støttes ikke",IF(IFERROR(AND(A1259&gt;1,COUNTIF($A$3:$A$2002,A1259-1)=0),FALSE),"Nummeret hopper over",IF(OR(NOT(ISNUMBER(B1259)),B1259&lt;DATE(2027,1,1),B1259&gt;DATE(2027,12,31)),"Datoen er ikke i 2027",""))))))</f>
        <v/>
      </c>
    </row>
    <row r="1260">
      <c r="A1260" s="17" t="n"/>
      <c r="B1260" s="9" t="n"/>
      <c r="C1260" s="8" t="n"/>
      <c r="D1260" s="8" t="n"/>
      <c r="E1260" s="8" t="n"/>
      <c r="F1260" s="14" t="n"/>
      <c r="G1260" s="14" t="n"/>
      <c r="H1260" s="8" t="n"/>
      <c r="I1260" s="8" t="n"/>
      <c r="J1260" s="8" t="n"/>
      <c r="K1260" s="18">
        <f>IF(B1260="","",IFERROR(MONTH(B1260),""))</f>
        <v/>
      </c>
      <c r="L1260" s="5">
        <f>IF(COUNTA(A1260:J1260)=0,"",IF(E1260="","Mangler motkonto",IF((F1260="")=(G1260=""),"Fyll ut enten Inn eller Ut",IF(OR(IFERROR(INDEX('Kontoplan'!$D$3:$D$302,MATCH(D1260,'Kontoplan'!$H$3:$H$302,0))="Støttes ikke",FALSE),IFERROR(INDEX('Kontoplan'!$D$3:$D$302,MATCH(E1260,'Kontoplan'!$H$3:$H$302,0))="Støttes ikke",FALSE)),"Kontoen støttes ikke",IF(IFERROR(AND(A1260&gt;1,COUNTIF($A$3:$A$2002,A1260-1)=0),FALSE),"Nummeret hopper over",IF(OR(NOT(ISNUMBER(B1260)),B1260&lt;DATE(2027,1,1),B1260&gt;DATE(2027,12,31)),"Datoen er ikke i 2027",""))))))</f>
        <v/>
      </c>
    </row>
    <row r="1261">
      <c r="A1261" s="17" t="n"/>
      <c r="B1261" s="9" t="n"/>
      <c r="C1261" s="8" t="n"/>
      <c r="D1261" s="8" t="n"/>
      <c r="E1261" s="8" t="n"/>
      <c r="F1261" s="14" t="n"/>
      <c r="G1261" s="14" t="n"/>
      <c r="H1261" s="8" t="n"/>
      <c r="I1261" s="8" t="n"/>
      <c r="J1261" s="8" t="n"/>
      <c r="K1261" s="18">
        <f>IF(B1261="","",IFERROR(MONTH(B1261),""))</f>
        <v/>
      </c>
      <c r="L1261" s="5">
        <f>IF(COUNTA(A1261:J1261)=0,"",IF(E1261="","Mangler motkonto",IF((F1261="")=(G1261=""),"Fyll ut enten Inn eller Ut",IF(OR(IFERROR(INDEX('Kontoplan'!$D$3:$D$302,MATCH(D1261,'Kontoplan'!$H$3:$H$302,0))="Støttes ikke",FALSE),IFERROR(INDEX('Kontoplan'!$D$3:$D$302,MATCH(E1261,'Kontoplan'!$H$3:$H$302,0))="Støttes ikke",FALSE)),"Kontoen støttes ikke",IF(IFERROR(AND(A1261&gt;1,COUNTIF($A$3:$A$2002,A1261-1)=0),FALSE),"Nummeret hopper over",IF(OR(NOT(ISNUMBER(B1261)),B1261&lt;DATE(2027,1,1),B1261&gt;DATE(2027,12,31)),"Datoen er ikke i 2027",""))))))</f>
        <v/>
      </c>
    </row>
    <row r="1262">
      <c r="A1262" s="17" t="n"/>
      <c r="B1262" s="9" t="n"/>
      <c r="C1262" s="8" t="n"/>
      <c r="D1262" s="8" t="n"/>
      <c r="E1262" s="8" t="n"/>
      <c r="F1262" s="14" t="n"/>
      <c r="G1262" s="14" t="n"/>
      <c r="H1262" s="8" t="n"/>
      <c r="I1262" s="8" t="n"/>
      <c r="J1262" s="8" t="n"/>
      <c r="K1262" s="18">
        <f>IF(B1262="","",IFERROR(MONTH(B1262),""))</f>
        <v/>
      </c>
      <c r="L1262" s="5">
        <f>IF(COUNTA(A1262:J1262)=0,"",IF(E1262="","Mangler motkonto",IF((F1262="")=(G1262=""),"Fyll ut enten Inn eller Ut",IF(OR(IFERROR(INDEX('Kontoplan'!$D$3:$D$302,MATCH(D1262,'Kontoplan'!$H$3:$H$302,0))="Støttes ikke",FALSE),IFERROR(INDEX('Kontoplan'!$D$3:$D$302,MATCH(E1262,'Kontoplan'!$H$3:$H$302,0))="Støttes ikke",FALSE)),"Kontoen støttes ikke",IF(IFERROR(AND(A1262&gt;1,COUNTIF($A$3:$A$2002,A1262-1)=0),FALSE),"Nummeret hopper over",IF(OR(NOT(ISNUMBER(B1262)),B1262&lt;DATE(2027,1,1),B1262&gt;DATE(2027,12,31)),"Datoen er ikke i 2027",""))))))</f>
        <v/>
      </c>
    </row>
    <row r="1263">
      <c r="A1263" s="17" t="n"/>
      <c r="B1263" s="9" t="n"/>
      <c r="C1263" s="8" t="n"/>
      <c r="D1263" s="8" t="n"/>
      <c r="E1263" s="8" t="n"/>
      <c r="F1263" s="14" t="n"/>
      <c r="G1263" s="14" t="n"/>
      <c r="H1263" s="8" t="n"/>
      <c r="I1263" s="8" t="n"/>
      <c r="J1263" s="8" t="n"/>
      <c r="K1263" s="18">
        <f>IF(B1263="","",IFERROR(MONTH(B1263),""))</f>
        <v/>
      </c>
      <c r="L1263" s="5">
        <f>IF(COUNTA(A1263:J1263)=0,"",IF(E1263="","Mangler motkonto",IF((F1263="")=(G1263=""),"Fyll ut enten Inn eller Ut",IF(OR(IFERROR(INDEX('Kontoplan'!$D$3:$D$302,MATCH(D1263,'Kontoplan'!$H$3:$H$302,0))="Støttes ikke",FALSE),IFERROR(INDEX('Kontoplan'!$D$3:$D$302,MATCH(E1263,'Kontoplan'!$H$3:$H$302,0))="Støttes ikke",FALSE)),"Kontoen støttes ikke",IF(IFERROR(AND(A1263&gt;1,COUNTIF($A$3:$A$2002,A1263-1)=0),FALSE),"Nummeret hopper over",IF(OR(NOT(ISNUMBER(B1263)),B1263&lt;DATE(2027,1,1),B1263&gt;DATE(2027,12,31)),"Datoen er ikke i 2027",""))))))</f>
        <v/>
      </c>
    </row>
    <row r="1264">
      <c r="A1264" s="17" t="n"/>
      <c r="B1264" s="9" t="n"/>
      <c r="C1264" s="8" t="n"/>
      <c r="D1264" s="8" t="n"/>
      <c r="E1264" s="8" t="n"/>
      <c r="F1264" s="14" t="n"/>
      <c r="G1264" s="14" t="n"/>
      <c r="H1264" s="8" t="n"/>
      <c r="I1264" s="8" t="n"/>
      <c r="J1264" s="8" t="n"/>
      <c r="K1264" s="18">
        <f>IF(B1264="","",IFERROR(MONTH(B1264),""))</f>
        <v/>
      </c>
      <c r="L1264" s="5">
        <f>IF(COUNTA(A1264:J1264)=0,"",IF(E1264="","Mangler motkonto",IF((F1264="")=(G1264=""),"Fyll ut enten Inn eller Ut",IF(OR(IFERROR(INDEX('Kontoplan'!$D$3:$D$302,MATCH(D1264,'Kontoplan'!$H$3:$H$302,0))="Støttes ikke",FALSE),IFERROR(INDEX('Kontoplan'!$D$3:$D$302,MATCH(E1264,'Kontoplan'!$H$3:$H$302,0))="Støttes ikke",FALSE)),"Kontoen støttes ikke",IF(IFERROR(AND(A1264&gt;1,COUNTIF($A$3:$A$2002,A1264-1)=0),FALSE),"Nummeret hopper over",IF(OR(NOT(ISNUMBER(B1264)),B1264&lt;DATE(2027,1,1),B1264&gt;DATE(2027,12,31)),"Datoen er ikke i 2027",""))))))</f>
        <v/>
      </c>
    </row>
    <row r="1265">
      <c r="A1265" s="17" t="n"/>
      <c r="B1265" s="9" t="n"/>
      <c r="C1265" s="8" t="n"/>
      <c r="D1265" s="8" t="n"/>
      <c r="E1265" s="8" t="n"/>
      <c r="F1265" s="14" t="n"/>
      <c r="G1265" s="14" t="n"/>
      <c r="H1265" s="8" t="n"/>
      <c r="I1265" s="8" t="n"/>
      <c r="J1265" s="8" t="n"/>
      <c r="K1265" s="18">
        <f>IF(B1265="","",IFERROR(MONTH(B1265),""))</f>
        <v/>
      </c>
      <c r="L1265" s="5">
        <f>IF(COUNTA(A1265:J1265)=0,"",IF(E1265="","Mangler motkonto",IF((F1265="")=(G1265=""),"Fyll ut enten Inn eller Ut",IF(OR(IFERROR(INDEX('Kontoplan'!$D$3:$D$302,MATCH(D1265,'Kontoplan'!$H$3:$H$302,0))="Støttes ikke",FALSE),IFERROR(INDEX('Kontoplan'!$D$3:$D$302,MATCH(E1265,'Kontoplan'!$H$3:$H$302,0))="Støttes ikke",FALSE)),"Kontoen støttes ikke",IF(IFERROR(AND(A1265&gt;1,COUNTIF($A$3:$A$2002,A1265-1)=0),FALSE),"Nummeret hopper over",IF(OR(NOT(ISNUMBER(B1265)),B1265&lt;DATE(2027,1,1),B1265&gt;DATE(2027,12,31)),"Datoen er ikke i 2027",""))))))</f>
        <v/>
      </c>
    </row>
    <row r="1266">
      <c r="A1266" s="17" t="n"/>
      <c r="B1266" s="9" t="n"/>
      <c r="C1266" s="8" t="n"/>
      <c r="D1266" s="8" t="n"/>
      <c r="E1266" s="8" t="n"/>
      <c r="F1266" s="14" t="n"/>
      <c r="G1266" s="14" t="n"/>
      <c r="H1266" s="8" t="n"/>
      <c r="I1266" s="8" t="n"/>
      <c r="J1266" s="8" t="n"/>
      <c r="K1266" s="18">
        <f>IF(B1266="","",IFERROR(MONTH(B1266),""))</f>
        <v/>
      </c>
      <c r="L1266" s="5">
        <f>IF(COUNTA(A1266:J1266)=0,"",IF(E1266="","Mangler motkonto",IF((F1266="")=(G1266=""),"Fyll ut enten Inn eller Ut",IF(OR(IFERROR(INDEX('Kontoplan'!$D$3:$D$302,MATCH(D1266,'Kontoplan'!$H$3:$H$302,0))="Støttes ikke",FALSE),IFERROR(INDEX('Kontoplan'!$D$3:$D$302,MATCH(E1266,'Kontoplan'!$H$3:$H$302,0))="Støttes ikke",FALSE)),"Kontoen støttes ikke",IF(IFERROR(AND(A1266&gt;1,COUNTIF($A$3:$A$2002,A1266-1)=0),FALSE),"Nummeret hopper over",IF(OR(NOT(ISNUMBER(B1266)),B1266&lt;DATE(2027,1,1),B1266&gt;DATE(2027,12,31)),"Datoen er ikke i 2027",""))))))</f>
        <v/>
      </c>
    </row>
    <row r="1267">
      <c r="A1267" s="17" t="n"/>
      <c r="B1267" s="9" t="n"/>
      <c r="C1267" s="8" t="n"/>
      <c r="D1267" s="8" t="n"/>
      <c r="E1267" s="8" t="n"/>
      <c r="F1267" s="14" t="n"/>
      <c r="G1267" s="14" t="n"/>
      <c r="H1267" s="8" t="n"/>
      <c r="I1267" s="8" t="n"/>
      <c r="J1267" s="8" t="n"/>
      <c r="K1267" s="18">
        <f>IF(B1267="","",IFERROR(MONTH(B1267),""))</f>
        <v/>
      </c>
      <c r="L1267" s="5">
        <f>IF(COUNTA(A1267:J1267)=0,"",IF(E1267="","Mangler motkonto",IF((F1267="")=(G1267=""),"Fyll ut enten Inn eller Ut",IF(OR(IFERROR(INDEX('Kontoplan'!$D$3:$D$302,MATCH(D1267,'Kontoplan'!$H$3:$H$302,0))="Støttes ikke",FALSE),IFERROR(INDEX('Kontoplan'!$D$3:$D$302,MATCH(E1267,'Kontoplan'!$H$3:$H$302,0))="Støttes ikke",FALSE)),"Kontoen støttes ikke",IF(IFERROR(AND(A1267&gt;1,COUNTIF($A$3:$A$2002,A1267-1)=0),FALSE),"Nummeret hopper over",IF(OR(NOT(ISNUMBER(B1267)),B1267&lt;DATE(2027,1,1),B1267&gt;DATE(2027,12,31)),"Datoen er ikke i 2027",""))))))</f>
        <v/>
      </c>
    </row>
    <row r="1268">
      <c r="A1268" s="17" t="n"/>
      <c r="B1268" s="9" t="n"/>
      <c r="C1268" s="8" t="n"/>
      <c r="D1268" s="8" t="n"/>
      <c r="E1268" s="8" t="n"/>
      <c r="F1268" s="14" t="n"/>
      <c r="G1268" s="14" t="n"/>
      <c r="H1268" s="8" t="n"/>
      <c r="I1268" s="8" t="n"/>
      <c r="J1268" s="8" t="n"/>
      <c r="K1268" s="18">
        <f>IF(B1268="","",IFERROR(MONTH(B1268),""))</f>
        <v/>
      </c>
      <c r="L1268" s="5">
        <f>IF(COUNTA(A1268:J1268)=0,"",IF(E1268="","Mangler motkonto",IF((F1268="")=(G1268=""),"Fyll ut enten Inn eller Ut",IF(OR(IFERROR(INDEX('Kontoplan'!$D$3:$D$302,MATCH(D1268,'Kontoplan'!$H$3:$H$302,0))="Støttes ikke",FALSE),IFERROR(INDEX('Kontoplan'!$D$3:$D$302,MATCH(E1268,'Kontoplan'!$H$3:$H$302,0))="Støttes ikke",FALSE)),"Kontoen støttes ikke",IF(IFERROR(AND(A1268&gt;1,COUNTIF($A$3:$A$2002,A1268-1)=0),FALSE),"Nummeret hopper over",IF(OR(NOT(ISNUMBER(B1268)),B1268&lt;DATE(2027,1,1),B1268&gt;DATE(2027,12,31)),"Datoen er ikke i 2027",""))))))</f>
        <v/>
      </c>
    </row>
    <row r="1269">
      <c r="A1269" s="17" t="n"/>
      <c r="B1269" s="9" t="n"/>
      <c r="C1269" s="8" t="n"/>
      <c r="D1269" s="8" t="n"/>
      <c r="E1269" s="8" t="n"/>
      <c r="F1269" s="14" t="n"/>
      <c r="G1269" s="14" t="n"/>
      <c r="H1269" s="8" t="n"/>
      <c r="I1269" s="8" t="n"/>
      <c r="J1269" s="8" t="n"/>
      <c r="K1269" s="18">
        <f>IF(B1269="","",IFERROR(MONTH(B1269),""))</f>
        <v/>
      </c>
      <c r="L1269" s="5">
        <f>IF(COUNTA(A1269:J1269)=0,"",IF(E1269="","Mangler motkonto",IF((F1269="")=(G1269=""),"Fyll ut enten Inn eller Ut",IF(OR(IFERROR(INDEX('Kontoplan'!$D$3:$D$302,MATCH(D1269,'Kontoplan'!$H$3:$H$302,0))="Støttes ikke",FALSE),IFERROR(INDEX('Kontoplan'!$D$3:$D$302,MATCH(E1269,'Kontoplan'!$H$3:$H$302,0))="Støttes ikke",FALSE)),"Kontoen støttes ikke",IF(IFERROR(AND(A1269&gt;1,COUNTIF($A$3:$A$2002,A1269-1)=0),FALSE),"Nummeret hopper over",IF(OR(NOT(ISNUMBER(B1269)),B1269&lt;DATE(2027,1,1),B1269&gt;DATE(2027,12,31)),"Datoen er ikke i 2027",""))))))</f>
        <v/>
      </c>
    </row>
    <row r="1270">
      <c r="A1270" s="17" t="n"/>
      <c r="B1270" s="9" t="n"/>
      <c r="C1270" s="8" t="n"/>
      <c r="D1270" s="8" t="n"/>
      <c r="E1270" s="8" t="n"/>
      <c r="F1270" s="14" t="n"/>
      <c r="G1270" s="14" t="n"/>
      <c r="H1270" s="8" t="n"/>
      <c r="I1270" s="8" t="n"/>
      <c r="J1270" s="8" t="n"/>
      <c r="K1270" s="18">
        <f>IF(B1270="","",IFERROR(MONTH(B1270),""))</f>
        <v/>
      </c>
      <c r="L1270" s="5">
        <f>IF(COUNTA(A1270:J1270)=0,"",IF(E1270="","Mangler motkonto",IF((F1270="")=(G1270=""),"Fyll ut enten Inn eller Ut",IF(OR(IFERROR(INDEX('Kontoplan'!$D$3:$D$302,MATCH(D1270,'Kontoplan'!$H$3:$H$302,0))="Støttes ikke",FALSE),IFERROR(INDEX('Kontoplan'!$D$3:$D$302,MATCH(E1270,'Kontoplan'!$H$3:$H$302,0))="Støttes ikke",FALSE)),"Kontoen støttes ikke",IF(IFERROR(AND(A1270&gt;1,COUNTIF($A$3:$A$2002,A1270-1)=0),FALSE),"Nummeret hopper over",IF(OR(NOT(ISNUMBER(B1270)),B1270&lt;DATE(2027,1,1),B1270&gt;DATE(2027,12,31)),"Datoen er ikke i 2027",""))))))</f>
        <v/>
      </c>
    </row>
    <row r="1271">
      <c r="A1271" s="17" t="n"/>
      <c r="B1271" s="9" t="n"/>
      <c r="C1271" s="8" t="n"/>
      <c r="D1271" s="8" t="n"/>
      <c r="E1271" s="8" t="n"/>
      <c r="F1271" s="14" t="n"/>
      <c r="G1271" s="14" t="n"/>
      <c r="H1271" s="8" t="n"/>
      <c r="I1271" s="8" t="n"/>
      <c r="J1271" s="8" t="n"/>
      <c r="K1271" s="18">
        <f>IF(B1271="","",IFERROR(MONTH(B1271),""))</f>
        <v/>
      </c>
      <c r="L1271" s="5">
        <f>IF(COUNTA(A1271:J1271)=0,"",IF(E1271="","Mangler motkonto",IF((F1271="")=(G1271=""),"Fyll ut enten Inn eller Ut",IF(OR(IFERROR(INDEX('Kontoplan'!$D$3:$D$302,MATCH(D1271,'Kontoplan'!$H$3:$H$302,0))="Støttes ikke",FALSE),IFERROR(INDEX('Kontoplan'!$D$3:$D$302,MATCH(E1271,'Kontoplan'!$H$3:$H$302,0))="Støttes ikke",FALSE)),"Kontoen støttes ikke",IF(IFERROR(AND(A1271&gt;1,COUNTIF($A$3:$A$2002,A1271-1)=0),FALSE),"Nummeret hopper over",IF(OR(NOT(ISNUMBER(B1271)),B1271&lt;DATE(2027,1,1),B1271&gt;DATE(2027,12,31)),"Datoen er ikke i 2027",""))))))</f>
        <v/>
      </c>
    </row>
    <row r="1272">
      <c r="A1272" s="17" t="n"/>
      <c r="B1272" s="9" t="n"/>
      <c r="C1272" s="8" t="n"/>
      <c r="D1272" s="8" t="n"/>
      <c r="E1272" s="8" t="n"/>
      <c r="F1272" s="14" t="n"/>
      <c r="G1272" s="14" t="n"/>
      <c r="H1272" s="8" t="n"/>
      <c r="I1272" s="8" t="n"/>
      <c r="J1272" s="8" t="n"/>
      <c r="K1272" s="18">
        <f>IF(B1272="","",IFERROR(MONTH(B1272),""))</f>
        <v/>
      </c>
      <c r="L1272" s="5">
        <f>IF(COUNTA(A1272:J1272)=0,"",IF(E1272="","Mangler motkonto",IF((F1272="")=(G1272=""),"Fyll ut enten Inn eller Ut",IF(OR(IFERROR(INDEX('Kontoplan'!$D$3:$D$302,MATCH(D1272,'Kontoplan'!$H$3:$H$302,0))="Støttes ikke",FALSE),IFERROR(INDEX('Kontoplan'!$D$3:$D$302,MATCH(E1272,'Kontoplan'!$H$3:$H$302,0))="Støttes ikke",FALSE)),"Kontoen støttes ikke",IF(IFERROR(AND(A1272&gt;1,COUNTIF($A$3:$A$2002,A1272-1)=0),FALSE),"Nummeret hopper over",IF(OR(NOT(ISNUMBER(B1272)),B1272&lt;DATE(2027,1,1),B1272&gt;DATE(2027,12,31)),"Datoen er ikke i 2027",""))))))</f>
        <v/>
      </c>
    </row>
    <row r="1273">
      <c r="A1273" s="17" t="n"/>
      <c r="B1273" s="9" t="n"/>
      <c r="C1273" s="8" t="n"/>
      <c r="D1273" s="8" t="n"/>
      <c r="E1273" s="8" t="n"/>
      <c r="F1273" s="14" t="n"/>
      <c r="G1273" s="14" t="n"/>
      <c r="H1273" s="8" t="n"/>
      <c r="I1273" s="8" t="n"/>
      <c r="J1273" s="8" t="n"/>
      <c r="K1273" s="18">
        <f>IF(B1273="","",IFERROR(MONTH(B1273),""))</f>
        <v/>
      </c>
      <c r="L1273" s="5">
        <f>IF(COUNTA(A1273:J1273)=0,"",IF(E1273="","Mangler motkonto",IF((F1273="")=(G1273=""),"Fyll ut enten Inn eller Ut",IF(OR(IFERROR(INDEX('Kontoplan'!$D$3:$D$302,MATCH(D1273,'Kontoplan'!$H$3:$H$302,0))="Støttes ikke",FALSE),IFERROR(INDEX('Kontoplan'!$D$3:$D$302,MATCH(E1273,'Kontoplan'!$H$3:$H$302,0))="Støttes ikke",FALSE)),"Kontoen støttes ikke",IF(IFERROR(AND(A1273&gt;1,COUNTIF($A$3:$A$2002,A1273-1)=0),FALSE),"Nummeret hopper over",IF(OR(NOT(ISNUMBER(B1273)),B1273&lt;DATE(2027,1,1),B1273&gt;DATE(2027,12,31)),"Datoen er ikke i 2027",""))))))</f>
        <v/>
      </c>
    </row>
    <row r="1274">
      <c r="A1274" s="17" t="n"/>
      <c r="B1274" s="9" t="n"/>
      <c r="C1274" s="8" t="n"/>
      <c r="D1274" s="8" t="n"/>
      <c r="E1274" s="8" t="n"/>
      <c r="F1274" s="14" t="n"/>
      <c r="G1274" s="14" t="n"/>
      <c r="H1274" s="8" t="n"/>
      <c r="I1274" s="8" t="n"/>
      <c r="J1274" s="8" t="n"/>
      <c r="K1274" s="18">
        <f>IF(B1274="","",IFERROR(MONTH(B1274),""))</f>
        <v/>
      </c>
      <c r="L1274" s="5">
        <f>IF(COUNTA(A1274:J1274)=0,"",IF(E1274="","Mangler motkonto",IF((F1274="")=(G1274=""),"Fyll ut enten Inn eller Ut",IF(OR(IFERROR(INDEX('Kontoplan'!$D$3:$D$302,MATCH(D1274,'Kontoplan'!$H$3:$H$302,0))="Støttes ikke",FALSE),IFERROR(INDEX('Kontoplan'!$D$3:$D$302,MATCH(E1274,'Kontoplan'!$H$3:$H$302,0))="Støttes ikke",FALSE)),"Kontoen støttes ikke",IF(IFERROR(AND(A1274&gt;1,COUNTIF($A$3:$A$2002,A1274-1)=0),FALSE),"Nummeret hopper over",IF(OR(NOT(ISNUMBER(B1274)),B1274&lt;DATE(2027,1,1),B1274&gt;DATE(2027,12,31)),"Datoen er ikke i 2027",""))))))</f>
        <v/>
      </c>
    </row>
    <row r="1275">
      <c r="A1275" s="17" t="n"/>
      <c r="B1275" s="9" t="n"/>
      <c r="C1275" s="8" t="n"/>
      <c r="D1275" s="8" t="n"/>
      <c r="E1275" s="8" t="n"/>
      <c r="F1275" s="14" t="n"/>
      <c r="G1275" s="14" t="n"/>
      <c r="H1275" s="8" t="n"/>
      <c r="I1275" s="8" t="n"/>
      <c r="J1275" s="8" t="n"/>
      <c r="K1275" s="18">
        <f>IF(B1275="","",IFERROR(MONTH(B1275),""))</f>
        <v/>
      </c>
      <c r="L1275" s="5">
        <f>IF(COUNTA(A1275:J1275)=0,"",IF(E1275="","Mangler motkonto",IF((F1275="")=(G1275=""),"Fyll ut enten Inn eller Ut",IF(OR(IFERROR(INDEX('Kontoplan'!$D$3:$D$302,MATCH(D1275,'Kontoplan'!$H$3:$H$302,0))="Støttes ikke",FALSE),IFERROR(INDEX('Kontoplan'!$D$3:$D$302,MATCH(E1275,'Kontoplan'!$H$3:$H$302,0))="Støttes ikke",FALSE)),"Kontoen støttes ikke",IF(IFERROR(AND(A1275&gt;1,COUNTIF($A$3:$A$2002,A1275-1)=0),FALSE),"Nummeret hopper over",IF(OR(NOT(ISNUMBER(B1275)),B1275&lt;DATE(2027,1,1),B1275&gt;DATE(2027,12,31)),"Datoen er ikke i 2027",""))))))</f>
        <v/>
      </c>
    </row>
    <row r="1276">
      <c r="A1276" s="17" t="n"/>
      <c r="B1276" s="9" t="n"/>
      <c r="C1276" s="8" t="n"/>
      <c r="D1276" s="8" t="n"/>
      <c r="E1276" s="8" t="n"/>
      <c r="F1276" s="14" t="n"/>
      <c r="G1276" s="14" t="n"/>
      <c r="H1276" s="8" t="n"/>
      <c r="I1276" s="8" t="n"/>
      <c r="J1276" s="8" t="n"/>
      <c r="K1276" s="18">
        <f>IF(B1276="","",IFERROR(MONTH(B1276),""))</f>
        <v/>
      </c>
      <c r="L1276" s="5">
        <f>IF(COUNTA(A1276:J1276)=0,"",IF(E1276="","Mangler motkonto",IF((F1276="")=(G1276=""),"Fyll ut enten Inn eller Ut",IF(OR(IFERROR(INDEX('Kontoplan'!$D$3:$D$302,MATCH(D1276,'Kontoplan'!$H$3:$H$302,0))="Støttes ikke",FALSE),IFERROR(INDEX('Kontoplan'!$D$3:$D$302,MATCH(E1276,'Kontoplan'!$H$3:$H$302,0))="Støttes ikke",FALSE)),"Kontoen støttes ikke",IF(IFERROR(AND(A1276&gt;1,COUNTIF($A$3:$A$2002,A1276-1)=0),FALSE),"Nummeret hopper over",IF(OR(NOT(ISNUMBER(B1276)),B1276&lt;DATE(2027,1,1),B1276&gt;DATE(2027,12,31)),"Datoen er ikke i 2027",""))))))</f>
        <v/>
      </c>
    </row>
    <row r="1277">
      <c r="A1277" s="17" t="n"/>
      <c r="B1277" s="9" t="n"/>
      <c r="C1277" s="8" t="n"/>
      <c r="D1277" s="8" t="n"/>
      <c r="E1277" s="8" t="n"/>
      <c r="F1277" s="14" t="n"/>
      <c r="G1277" s="14" t="n"/>
      <c r="H1277" s="8" t="n"/>
      <c r="I1277" s="8" t="n"/>
      <c r="J1277" s="8" t="n"/>
      <c r="K1277" s="18">
        <f>IF(B1277="","",IFERROR(MONTH(B1277),""))</f>
        <v/>
      </c>
      <c r="L1277" s="5">
        <f>IF(COUNTA(A1277:J1277)=0,"",IF(E1277="","Mangler motkonto",IF((F1277="")=(G1277=""),"Fyll ut enten Inn eller Ut",IF(OR(IFERROR(INDEX('Kontoplan'!$D$3:$D$302,MATCH(D1277,'Kontoplan'!$H$3:$H$302,0))="Støttes ikke",FALSE),IFERROR(INDEX('Kontoplan'!$D$3:$D$302,MATCH(E1277,'Kontoplan'!$H$3:$H$302,0))="Støttes ikke",FALSE)),"Kontoen støttes ikke",IF(IFERROR(AND(A1277&gt;1,COUNTIF($A$3:$A$2002,A1277-1)=0),FALSE),"Nummeret hopper over",IF(OR(NOT(ISNUMBER(B1277)),B1277&lt;DATE(2027,1,1),B1277&gt;DATE(2027,12,31)),"Datoen er ikke i 2027",""))))))</f>
        <v/>
      </c>
    </row>
    <row r="1278">
      <c r="A1278" s="17" t="n"/>
      <c r="B1278" s="9" t="n"/>
      <c r="C1278" s="8" t="n"/>
      <c r="D1278" s="8" t="n"/>
      <c r="E1278" s="8" t="n"/>
      <c r="F1278" s="14" t="n"/>
      <c r="G1278" s="14" t="n"/>
      <c r="H1278" s="8" t="n"/>
      <c r="I1278" s="8" t="n"/>
      <c r="J1278" s="8" t="n"/>
      <c r="K1278" s="18">
        <f>IF(B1278="","",IFERROR(MONTH(B1278),""))</f>
        <v/>
      </c>
      <c r="L1278" s="5">
        <f>IF(COUNTA(A1278:J1278)=0,"",IF(E1278="","Mangler motkonto",IF((F1278="")=(G1278=""),"Fyll ut enten Inn eller Ut",IF(OR(IFERROR(INDEX('Kontoplan'!$D$3:$D$302,MATCH(D1278,'Kontoplan'!$H$3:$H$302,0))="Støttes ikke",FALSE),IFERROR(INDEX('Kontoplan'!$D$3:$D$302,MATCH(E1278,'Kontoplan'!$H$3:$H$302,0))="Støttes ikke",FALSE)),"Kontoen støttes ikke",IF(IFERROR(AND(A1278&gt;1,COUNTIF($A$3:$A$2002,A1278-1)=0),FALSE),"Nummeret hopper over",IF(OR(NOT(ISNUMBER(B1278)),B1278&lt;DATE(2027,1,1),B1278&gt;DATE(2027,12,31)),"Datoen er ikke i 2027",""))))))</f>
        <v/>
      </c>
    </row>
    <row r="1279">
      <c r="A1279" s="17" t="n"/>
      <c r="B1279" s="9" t="n"/>
      <c r="C1279" s="8" t="n"/>
      <c r="D1279" s="8" t="n"/>
      <c r="E1279" s="8" t="n"/>
      <c r="F1279" s="14" t="n"/>
      <c r="G1279" s="14" t="n"/>
      <c r="H1279" s="8" t="n"/>
      <c r="I1279" s="8" t="n"/>
      <c r="J1279" s="8" t="n"/>
      <c r="K1279" s="18">
        <f>IF(B1279="","",IFERROR(MONTH(B1279),""))</f>
        <v/>
      </c>
      <c r="L1279" s="5">
        <f>IF(COUNTA(A1279:J1279)=0,"",IF(E1279="","Mangler motkonto",IF((F1279="")=(G1279=""),"Fyll ut enten Inn eller Ut",IF(OR(IFERROR(INDEX('Kontoplan'!$D$3:$D$302,MATCH(D1279,'Kontoplan'!$H$3:$H$302,0))="Støttes ikke",FALSE),IFERROR(INDEX('Kontoplan'!$D$3:$D$302,MATCH(E1279,'Kontoplan'!$H$3:$H$302,0))="Støttes ikke",FALSE)),"Kontoen støttes ikke",IF(IFERROR(AND(A1279&gt;1,COUNTIF($A$3:$A$2002,A1279-1)=0),FALSE),"Nummeret hopper over",IF(OR(NOT(ISNUMBER(B1279)),B1279&lt;DATE(2027,1,1),B1279&gt;DATE(2027,12,31)),"Datoen er ikke i 2027",""))))))</f>
        <v/>
      </c>
    </row>
    <row r="1280">
      <c r="A1280" s="17" t="n"/>
      <c r="B1280" s="9" t="n"/>
      <c r="C1280" s="8" t="n"/>
      <c r="D1280" s="8" t="n"/>
      <c r="E1280" s="8" t="n"/>
      <c r="F1280" s="14" t="n"/>
      <c r="G1280" s="14" t="n"/>
      <c r="H1280" s="8" t="n"/>
      <c r="I1280" s="8" t="n"/>
      <c r="J1280" s="8" t="n"/>
      <c r="K1280" s="18">
        <f>IF(B1280="","",IFERROR(MONTH(B1280),""))</f>
        <v/>
      </c>
      <c r="L1280" s="5">
        <f>IF(COUNTA(A1280:J1280)=0,"",IF(E1280="","Mangler motkonto",IF((F1280="")=(G1280=""),"Fyll ut enten Inn eller Ut",IF(OR(IFERROR(INDEX('Kontoplan'!$D$3:$D$302,MATCH(D1280,'Kontoplan'!$H$3:$H$302,0))="Støttes ikke",FALSE),IFERROR(INDEX('Kontoplan'!$D$3:$D$302,MATCH(E1280,'Kontoplan'!$H$3:$H$302,0))="Støttes ikke",FALSE)),"Kontoen støttes ikke",IF(IFERROR(AND(A1280&gt;1,COUNTIF($A$3:$A$2002,A1280-1)=0),FALSE),"Nummeret hopper over",IF(OR(NOT(ISNUMBER(B1280)),B1280&lt;DATE(2027,1,1),B1280&gt;DATE(2027,12,31)),"Datoen er ikke i 2027",""))))))</f>
        <v/>
      </c>
    </row>
    <row r="1281">
      <c r="A1281" s="17" t="n"/>
      <c r="B1281" s="9" t="n"/>
      <c r="C1281" s="8" t="n"/>
      <c r="D1281" s="8" t="n"/>
      <c r="E1281" s="8" t="n"/>
      <c r="F1281" s="14" t="n"/>
      <c r="G1281" s="14" t="n"/>
      <c r="H1281" s="8" t="n"/>
      <c r="I1281" s="8" t="n"/>
      <c r="J1281" s="8" t="n"/>
      <c r="K1281" s="18">
        <f>IF(B1281="","",IFERROR(MONTH(B1281),""))</f>
        <v/>
      </c>
      <c r="L1281" s="5">
        <f>IF(COUNTA(A1281:J1281)=0,"",IF(E1281="","Mangler motkonto",IF((F1281="")=(G1281=""),"Fyll ut enten Inn eller Ut",IF(OR(IFERROR(INDEX('Kontoplan'!$D$3:$D$302,MATCH(D1281,'Kontoplan'!$H$3:$H$302,0))="Støttes ikke",FALSE),IFERROR(INDEX('Kontoplan'!$D$3:$D$302,MATCH(E1281,'Kontoplan'!$H$3:$H$302,0))="Støttes ikke",FALSE)),"Kontoen støttes ikke",IF(IFERROR(AND(A1281&gt;1,COUNTIF($A$3:$A$2002,A1281-1)=0),FALSE),"Nummeret hopper over",IF(OR(NOT(ISNUMBER(B1281)),B1281&lt;DATE(2027,1,1),B1281&gt;DATE(2027,12,31)),"Datoen er ikke i 2027",""))))))</f>
        <v/>
      </c>
    </row>
    <row r="1282">
      <c r="A1282" s="17" t="n"/>
      <c r="B1282" s="9" t="n"/>
      <c r="C1282" s="8" t="n"/>
      <c r="D1282" s="8" t="n"/>
      <c r="E1282" s="8" t="n"/>
      <c r="F1282" s="14" t="n"/>
      <c r="G1282" s="14" t="n"/>
      <c r="H1282" s="8" t="n"/>
      <c r="I1282" s="8" t="n"/>
      <c r="J1282" s="8" t="n"/>
      <c r="K1282" s="18">
        <f>IF(B1282="","",IFERROR(MONTH(B1282),""))</f>
        <v/>
      </c>
      <c r="L1282" s="5">
        <f>IF(COUNTA(A1282:J1282)=0,"",IF(E1282="","Mangler motkonto",IF((F1282="")=(G1282=""),"Fyll ut enten Inn eller Ut",IF(OR(IFERROR(INDEX('Kontoplan'!$D$3:$D$302,MATCH(D1282,'Kontoplan'!$H$3:$H$302,0))="Støttes ikke",FALSE),IFERROR(INDEX('Kontoplan'!$D$3:$D$302,MATCH(E1282,'Kontoplan'!$H$3:$H$302,0))="Støttes ikke",FALSE)),"Kontoen støttes ikke",IF(IFERROR(AND(A1282&gt;1,COUNTIF($A$3:$A$2002,A1282-1)=0),FALSE),"Nummeret hopper over",IF(OR(NOT(ISNUMBER(B1282)),B1282&lt;DATE(2027,1,1),B1282&gt;DATE(2027,12,31)),"Datoen er ikke i 2027",""))))))</f>
        <v/>
      </c>
    </row>
    <row r="1283">
      <c r="A1283" s="17" t="n"/>
      <c r="B1283" s="9" t="n"/>
      <c r="C1283" s="8" t="n"/>
      <c r="D1283" s="8" t="n"/>
      <c r="E1283" s="8" t="n"/>
      <c r="F1283" s="14" t="n"/>
      <c r="G1283" s="14" t="n"/>
      <c r="H1283" s="8" t="n"/>
      <c r="I1283" s="8" t="n"/>
      <c r="J1283" s="8" t="n"/>
      <c r="K1283" s="18">
        <f>IF(B1283="","",IFERROR(MONTH(B1283),""))</f>
        <v/>
      </c>
      <c r="L1283" s="5">
        <f>IF(COUNTA(A1283:J1283)=0,"",IF(E1283="","Mangler motkonto",IF((F1283="")=(G1283=""),"Fyll ut enten Inn eller Ut",IF(OR(IFERROR(INDEX('Kontoplan'!$D$3:$D$302,MATCH(D1283,'Kontoplan'!$H$3:$H$302,0))="Støttes ikke",FALSE),IFERROR(INDEX('Kontoplan'!$D$3:$D$302,MATCH(E1283,'Kontoplan'!$H$3:$H$302,0))="Støttes ikke",FALSE)),"Kontoen støttes ikke",IF(IFERROR(AND(A1283&gt;1,COUNTIF($A$3:$A$2002,A1283-1)=0),FALSE),"Nummeret hopper over",IF(OR(NOT(ISNUMBER(B1283)),B1283&lt;DATE(2027,1,1),B1283&gt;DATE(2027,12,31)),"Datoen er ikke i 2027",""))))))</f>
        <v/>
      </c>
    </row>
    <row r="1284">
      <c r="A1284" s="17" t="n"/>
      <c r="B1284" s="9" t="n"/>
      <c r="C1284" s="8" t="n"/>
      <c r="D1284" s="8" t="n"/>
      <c r="E1284" s="8" t="n"/>
      <c r="F1284" s="14" t="n"/>
      <c r="G1284" s="14" t="n"/>
      <c r="H1284" s="8" t="n"/>
      <c r="I1284" s="8" t="n"/>
      <c r="J1284" s="8" t="n"/>
      <c r="K1284" s="18">
        <f>IF(B1284="","",IFERROR(MONTH(B1284),""))</f>
        <v/>
      </c>
      <c r="L1284" s="5">
        <f>IF(COUNTA(A1284:J1284)=0,"",IF(E1284="","Mangler motkonto",IF((F1284="")=(G1284=""),"Fyll ut enten Inn eller Ut",IF(OR(IFERROR(INDEX('Kontoplan'!$D$3:$D$302,MATCH(D1284,'Kontoplan'!$H$3:$H$302,0))="Støttes ikke",FALSE),IFERROR(INDEX('Kontoplan'!$D$3:$D$302,MATCH(E1284,'Kontoplan'!$H$3:$H$302,0))="Støttes ikke",FALSE)),"Kontoen støttes ikke",IF(IFERROR(AND(A1284&gt;1,COUNTIF($A$3:$A$2002,A1284-1)=0),FALSE),"Nummeret hopper over",IF(OR(NOT(ISNUMBER(B1284)),B1284&lt;DATE(2027,1,1),B1284&gt;DATE(2027,12,31)),"Datoen er ikke i 2027",""))))))</f>
        <v/>
      </c>
    </row>
    <row r="1285">
      <c r="A1285" s="17" t="n"/>
      <c r="B1285" s="9" t="n"/>
      <c r="C1285" s="8" t="n"/>
      <c r="D1285" s="8" t="n"/>
      <c r="E1285" s="8" t="n"/>
      <c r="F1285" s="14" t="n"/>
      <c r="G1285" s="14" t="n"/>
      <c r="H1285" s="8" t="n"/>
      <c r="I1285" s="8" t="n"/>
      <c r="J1285" s="8" t="n"/>
      <c r="K1285" s="18">
        <f>IF(B1285="","",IFERROR(MONTH(B1285),""))</f>
        <v/>
      </c>
      <c r="L1285" s="5">
        <f>IF(COUNTA(A1285:J1285)=0,"",IF(E1285="","Mangler motkonto",IF((F1285="")=(G1285=""),"Fyll ut enten Inn eller Ut",IF(OR(IFERROR(INDEX('Kontoplan'!$D$3:$D$302,MATCH(D1285,'Kontoplan'!$H$3:$H$302,0))="Støttes ikke",FALSE),IFERROR(INDEX('Kontoplan'!$D$3:$D$302,MATCH(E1285,'Kontoplan'!$H$3:$H$302,0))="Støttes ikke",FALSE)),"Kontoen støttes ikke",IF(IFERROR(AND(A1285&gt;1,COUNTIF($A$3:$A$2002,A1285-1)=0),FALSE),"Nummeret hopper over",IF(OR(NOT(ISNUMBER(B1285)),B1285&lt;DATE(2027,1,1),B1285&gt;DATE(2027,12,31)),"Datoen er ikke i 2027",""))))))</f>
        <v/>
      </c>
    </row>
    <row r="1286">
      <c r="A1286" s="17" t="n"/>
      <c r="B1286" s="9" t="n"/>
      <c r="C1286" s="8" t="n"/>
      <c r="D1286" s="8" t="n"/>
      <c r="E1286" s="8" t="n"/>
      <c r="F1286" s="14" t="n"/>
      <c r="G1286" s="14" t="n"/>
      <c r="H1286" s="8" t="n"/>
      <c r="I1286" s="8" t="n"/>
      <c r="J1286" s="8" t="n"/>
      <c r="K1286" s="18">
        <f>IF(B1286="","",IFERROR(MONTH(B1286),""))</f>
        <v/>
      </c>
      <c r="L1286" s="5">
        <f>IF(COUNTA(A1286:J1286)=0,"",IF(E1286="","Mangler motkonto",IF((F1286="")=(G1286=""),"Fyll ut enten Inn eller Ut",IF(OR(IFERROR(INDEX('Kontoplan'!$D$3:$D$302,MATCH(D1286,'Kontoplan'!$H$3:$H$302,0))="Støttes ikke",FALSE),IFERROR(INDEX('Kontoplan'!$D$3:$D$302,MATCH(E1286,'Kontoplan'!$H$3:$H$302,0))="Støttes ikke",FALSE)),"Kontoen støttes ikke",IF(IFERROR(AND(A1286&gt;1,COUNTIF($A$3:$A$2002,A1286-1)=0),FALSE),"Nummeret hopper over",IF(OR(NOT(ISNUMBER(B1286)),B1286&lt;DATE(2027,1,1),B1286&gt;DATE(2027,12,31)),"Datoen er ikke i 2027",""))))))</f>
        <v/>
      </c>
    </row>
    <row r="1287">
      <c r="A1287" s="17" t="n"/>
      <c r="B1287" s="9" t="n"/>
      <c r="C1287" s="8" t="n"/>
      <c r="D1287" s="8" t="n"/>
      <c r="E1287" s="8" t="n"/>
      <c r="F1287" s="14" t="n"/>
      <c r="G1287" s="14" t="n"/>
      <c r="H1287" s="8" t="n"/>
      <c r="I1287" s="8" t="n"/>
      <c r="J1287" s="8" t="n"/>
      <c r="K1287" s="18">
        <f>IF(B1287="","",IFERROR(MONTH(B1287),""))</f>
        <v/>
      </c>
      <c r="L1287" s="5">
        <f>IF(COUNTA(A1287:J1287)=0,"",IF(E1287="","Mangler motkonto",IF((F1287="")=(G1287=""),"Fyll ut enten Inn eller Ut",IF(OR(IFERROR(INDEX('Kontoplan'!$D$3:$D$302,MATCH(D1287,'Kontoplan'!$H$3:$H$302,0))="Støttes ikke",FALSE),IFERROR(INDEX('Kontoplan'!$D$3:$D$302,MATCH(E1287,'Kontoplan'!$H$3:$H$302,0))="Støttes ikke",FALSE)),"Kontoen støttes ikke",IF(IFERROR(AND(A1287&gt;1,COUNTIF($A$3:$A$2002,A1287-1)=0),FALSE),"Nummeret hopper over",IF(OR(NOT(ISNUMBER(B1287)),B1287&lt;DATE(2027,1,1),B1287&gt;DATE(2027,12,31)),"Datoen er ikke i 2027",""))))))</f>
        <v/>
      </c>
    </row>
    <row r="1288">
      <c r="A1288" s="17" t="n"/>
      <c r="B1288" s="9" t="n"/>
      <c r="C1288" s="8" t="n"/>
      <c r="D1288" s="8" t="n"/>
      <c r="E1288" s="8" t="n"/>
      <c r="F1288" s="14" t="n"/>
      <c r="G1288" s="14" t="n"/>
      <c r="H1288" s="8" t="n"/>
      <c r="I1288" s="8" t="n"/>
      <c r="J1288" s="8" t="n"/>
      <c r="K1288" s="18">
        <f>IF(B1288="","",IFERROR(MONTH(B1288),""))</f>
        <v/>
      </c>
      <c r="L1288" s="5">
        <f>IF(COUNTA(A1288:J1288)=0,"",IF(E1288="","Mangler motkonto",IF((F1288="")=(G1288=""),"Fyll ut enten Inn eller Ut",IF(OR(IFERROR(INDEX('Kontoplan'!$D$3:$D$302,MATCH(D1288,'Kontoplan'!$H$3:$H$302,0))="Støttes ikke",FALSE),IFERROR(INDEX('Kontoplan'!$D$3:$D$302,MATCH(E1288,'Kontoplan'!$H$3:$H$302,0))="Støttes ikke",FALSE)),"Kontoen støttes ikke",IF(IFERROR(AND(A1288&gt;1,COUNTIF($A$3:$A$2002,A1288-1)=0),FALSE),"Nummeret hopper over",IF(OR(NOT(ISNUMBER(B1288)),B1288&lt;DATE(2027,1,1),B1288&gt;DATE(2027,12,31)),"Datoen er ikke i 2027",""))))))</f>
        <v/>
      </c>
    </row>
    <row r="1289">
      <c r="A1289" s="17" t="n"/>
      <c r="B1289" s="9" t="n"/>
      <c r="C1289" s="8" t="n"/>
      <c r="D1289" s="8" t="n"/>
      <c r="E1289" s="8" t="n"/>
      <c r="F1289" s="14" t="n"/>
      <c r="G1289" s="14" t="n"/>
      <c r="H1289" s="8" t="n"/>
      <c r="I1289" s="8" t="n"/>
      <c r="J1289" s="8" t="n"/>
      <c r="K1289" s="18">
        <f>IF(B1289="","",IFERROR(MONTH(B1289),""))</f>
        <v/>
      </c>
      <c r="L1289" s="5">
        <f>IF(COUNTA(A1289:J1289)=0,"",IF(E1289="","Mangler motkonto",IF((F1289="")=(G1289=""),"Fyll ut enten Inn eller Ut",IF(OR(IFERROR(INDEX('Kontoplan'!$D$3:$D$302,MATCH(D1289,'Kontoplan'!$H$3:$H$302,0))="Støttes ikke",FALSE),IFERROR(INDEX('Kontoplan'!$D$3:$D$302,MATCH(E1289,'Kontoplan'!$H$3:$H$302,0))="Støttes ikke",FALSE)),"Kontoen støttes ikke",IF(IFERROR(AND(A1289&gt;1,COUNTIF($A$3:$A$2002,A1289-1)=0),FALSE),"Nummeret hopper over",IF(OR(NOT(ISNUMBER(B1289)),B1289&lt;DATE(2027,1,1),B1289&gt;DATE(2027,12,31)),"Datoen er ikke i 2027",""))))))</f>
        <v/>
      </c>
    </row>
    <row r="1290">
      <c r="A1290" s="17" t="n"/>
      <c r="B1290" s="9" t="n"/>
      <c r="C1290" s="8" t="n"/>
      <c r="D1290" s="8" t="n"/>
      <c r="E1290" s="8" t="n"/>
      <c r="F1290" s="14" t="n"/>
      <c r="G1290" s="14" t="n"/>
      <c r="H1290" s="8" t="n"/>
      <c r="I1290" s="8" t="n"/>
      <c r="J1290" s="8" t="n"/>
      <c r="K1290" s="18">
        <f>IF(B1290="","",IFERROR(MONTH(B1290),""))</f>
        <v/>
      </c>
      <c r="L1290" s="5">
        <f>IF(COUNTA(A1290:J1290)=0,"",IF(E1290="","Mangler motkonto",IF((F1290="")=(G1290=""),"Fyll ut enten Inn eller Ut",IF(OR(IFERROR(INDEX('Kontoplan'!$D$3:$D$302,MATCH(D1290,'Kontoplan'!$H$3:$H$302,0))="Støttes ikke",FALSE),IFERROR(INDEX('Kontoplan'!$D$3:$D$302,MATCH(E1290,'Kontoplan'!$H$3:$H$302,0))="Støttes ikke",FALSE)),"Kontoen støttes ikke",IF(IFERROR(AND(A1290&gt;1,COUNTIF($A$3:$A$2002,A1290-1)=0),FALSE),"Nummeret hopper over",IF(OR(NOT(ISNUMBER(B1290)),B1290&lt;DATE(2027,1,1),B1290&gt;DATE(2027,12,31)),"Datoen er ikke i 2027",""))))))</f>
        <v/>
      </c>
    </row>
    <row r="1291">
      <c r="A1291" s="17" t="n"/>
      <c r="B1291" s="9" t="n"/>
      <c r="C1291" s="8" t="n"/>
      <c r="D1291" s="8" t="n"/>
      <c r="E1291" s="8" t="n"/>
      <c r="F1291" s="14" t="n"/>
      <c r="G1291" s="14" t="n"/>
      <c r="H1291" s="8" t="n"/>
      <c r="I1291" s="8" t="n"/>
      <c r="J1291" s="8" t="n"/>
      <c r="K1291" s="18">
        <f>IF(B1291="","",IFERROR(MONTH(B1291),""))</f>
        <v/>
      </c>
      <c r="L1291" s="5">
        <f>IF(COUNTA(A1291:J1291)=0,"",IF(E1291="","Mangler motkonto",IF((F1291="")=(G1291=""),"Fyll ut enten Inn eller Ut",IF(OR(IFERROR(INDEX('Kontoplan'!$D$3:$D$302,MATCH(D1291,'Kontoplan'!$H$3:$H$302,0))="Støttes ikke",FALSE),IFERROR(INDEX('Kontoplan'!$D$3:$D$302,MATCH(E1291,'Kontoplan'!$H$3:$H$302,0))="Støttes ikke",FALSE)),"Kontoen støttes ikke",IF(IFERROR(AND(A1291&gt;1,COUNTIF($A$3:$A$2002,A1291-1)=0),FALSE),"Nummeret hopper over",IF(OR(NOT(ISNUMBER(B1291)),B1291&lt;DATE(2027,1,1),B1291&gt;DATE(2027,12,31)),"Datoen er ikke i 2027",""))))))</f>
        <v/>
      </c>
    </row>
    <row r="1292">
      <c r="A1292" s="17" t="n"/>
      <c r="B1292" s="9" t="n"/>
      <c r="C1292" s="8" t="n"/>
      <c r="D1292" s="8" t="n"/>
      <c r="E1292" s="8" t="n"/>
      <c r="F1292" s="14" t="n"/>
      <c r="G1292" s="14" t="n"/>
      <c r="H1292" s="8" t="n"/>
      <c r="I1292" s="8" t="n"/>
      <c r="J1292" s="8" t="n"/>
      <c r="K1292" s="18">
        <f>IF(B1292="","",IFERROR(MONTH(B1292),""))</f>
        <v/>
      </c>
      <c r="L1292" s="5">
        <f>IF(COUNTA(A1292:J1292)=0,"",IF(E1292="","Mangler motkonto",IF((F1292="")=(G1292=""),"Fyll ut enten Inn eller Ut",IF(OR(IFERROR(INDEX('Kontoplan'!$D$3:$D$302,MATCH(D1292,'Kontoplan'!$H$3:$H$302,0))="Støttes ikke",FALSE),IFERROR(INDEX('Kontoplan'!$D$3:$D$302,MATCH(E1292,'Kontoplan'!$H$3:$H$302,0))="Støttes ikke",FALSE)),"Kontoen støttes ikke",IF(IFERROR(AND(A1292&gt;1,COUNTIF($A$3:$A$2002,A1292-1)=0),FALSE),"Nummeret hopper over",IF(OR(NOT(ISNUMBER(B1292)),B1292&lt;DATE(2027,1,1),B1292&gt;DATE(2027,12,31)),"Datoen er ikke i 2027",""))))))</f>
        <v/>
      </c>
    </row>
    <row r="1293">
      <c r="A1293" s="17" t="n"/>
      <c r="B1293" s="9" t="n"/>
      <c r="C1293" s="8" t="n"/>
      <c r="D1293" s="8" t="n"/>
      <c r="E1293" s="8" t="n"/>
      <c r="F1293" s="14" t="n"/>
      <c r="G1293" s="14" t="n"/>
      <c r="H1293" s="8" t="n"/>
      <c r="I1293" s="8" t="n"/>
      <c r="J1293" s="8" t="n"/>
      <c r="K1293" s="18">
        <f>IF(B1293="","",IFERROR(MONTH(B1293),""))</f>
        <v/>
      </c>
      <c r="L1293" s="5">
        <f>IF(COUNTA(A1293:J1293)=0,"",IF(E1293="","Mangler motkonto",IF((F1293="")=(G1293=""),"Fyll ut enten Inn eller Ut",IF(OR(IFERROR(INDEX('Kontoplan'!$D$3:$D$302,MATCH(D1293,'Kontoplan'!$H$3:$H$302,0))="Støttes ikke",FALSE),IFERROR(INDEX('Kontoplan'!$D$3:$D$302,MATCH(E1293,'Kontoplan'!$H$3:$H$302,0))="Støttes ikke",FALSE)),"Kontoen støttes ikke",IF(IFERROR(AND(A1293&gt;1,COUNTIF($A$3:$A$2002,A1293-1)=0),FALSE),"Nummeret hopper over",IF(OR(NOT(ISNUMBER(B1293)),B1293&lt;DATE(2027,1,1),B1293&gt;DATE(2027,12,31)),"Datoen er ikke i 2027",""))))))</f>
        <v/>
      </c>
    </row>
    <row r="1294">
      <c r="A1294" s="17" t="n"/>
      <c r="B1294" s="9" t="n"/>
      <c r="C1294" s="8" t="n"/>
      <c r="D1294" s="8" t="n"/>
      <c r="E1294" s="8" t="n"/>
      <c r="F1294" s="14" t="n"/>
      <c r="G1294" s="14" t="n"/>
      <c r="H1294" s="8" t="n"/>
      <c r="I1294" s="8" t="n"/>
      <c r="J1294" s="8" t="n"/>
      <c r="K1294" s="18">
        <f>IF(B1294="","",IFERROR(MONTH(B1294),""))</f>
        <v/>
      </c>
      <c r="L1294" s="5">
        <f>IF(COUNTA(A1294:J1294)=0,"",IF(E1294="","Mangler motkonto",IF((F1294="")=(G1294=""),"Fyll ut enten Inn eller Ut",IF(OR(IFERROR(INDEX('Kontoplan'!$D$3:$D$302,MATCH(D1294,'Kontoplan'!$H$3:$H$302,0))="Støttes ikke",FALSE),IFERROR(INDEX('Kontoplan'!$D$3:$D$302,MATCH(E1294,'Kontoplan'!$H$3:$H$302,0))="Støttes ikke",FALSE)),"Kontoen støttes ikke",IF(IFERROR(AND(A1294&gt;1,COUNTIF($A$3:$A$2002,A1294-1)=0),FALSE),"Nummeret hopper over",IF(OR(NOT(ISNUMBER(B1294)),B1294&lt;DATE(2027,1,1),B1294&gt;DATE(2027,12,31)),"Datoen er ikke i 2027",""))))))</f>
        <v/>
      </c>
    </row>
    <row r="1295">
      <c r="A1295" s="17" t="n"/>
      <c r="B1295" s="9" t="n"/>
      <c r="C1295" s="8" t="n"/>
      <c r="D1295" s="8" t="n"/>
      <c r="E1295" s="8" t="n"/>
      <c r="F1295" s="14" t="n"/>
      <c r="G1295" s="14" t="n"/>
      <c r="H1295" s="8" t="n"/>
      <c r="I1295" s="8" t="n"/>
      <c r="J1295" s="8" t="n"/>
      <c r="K1295" s="18">
        <f>IF(B1295="","",IFERROR(MONTH(B1295),""))</f>
        <v/>
      </c>
      <c r="L1295" s="5">
        <f>IF(COUNTA(A1295:J1295)=0,"",IF(E1295="","Mangler motkonto",IF((F1295="")=(G1295=""),"Fyll ut enten Inn eller Ut",IF(OR(IFERROR(INDEX('Kontoplan'!$D$3:$D$302,MATCH(D1295,'Kontoplan'!$H$3:$H$302,0))="Støttes ikke",FALSE),IFERROR(INDEX('Kontoplan'!$D$3:$D$302,MATCH(E1295,'Kontoplan'!$H$3:$H$302,0))="Støttes ikke",FALSE)),"Kontoen støttes ikke",IF(IFERROR(AND(A1295&gt;1,COUNTIF($A$3:$A$2002,A1295-1)=0),FALSE),"Nummeret hopper over",IF(OR(NOT(ISNUMBER(B1295)),B1295&lt;DATE(2027,1,1),B1295&gt;DATE(2027,12,31)),"Datoen er ikke i 2027",""))))))</f>
        <v/>
      </c>
    </row>
    <row r="1296">
      <c r="A1296" s="17" t="n"/>
      <c r="B1296" s="9" t="n"/>
      <c r="C1296" s="8" t="n"/>
      <c r="D1296" s="8" t="n"/>
      <c r="E1296" s="8" t="n"/>
      <c r="F1296" s="14" t="n"/>
      <c r="G1296" s="14" t="n"/>
      <c r="H1296" s="8" t="n"/>
      <c r="I1296" s="8" t="n"/>
      <c r="J1296" s="8" t="n"/>
      <c r="K1296" s="18">
        <f>IF(B1296="","",IFERROR(MONTH(B1296),""))</f>
        <v/>
      </c>
      <c r="L1296" s="5">
        <f>IF(COUNTA(A1296:J1296)=0,"",IF(E1296="","Mangler motkonto",IF((F1296="")=(G1296=""),"Fyll ut enten Inn eller Ut",IF(OR(IFERROR(INDEX('Kontoplan'!$D$3:$D$302,MATCH(D1296,'Kontoplan'!$H$3:$H$302,0))="Støttes ikke",FALSE),IFERROR(INDEX('Kontoplan'!$D$3:$D$302,MATCH(E1296,'Kontoplan'!$H$3:$H$302,0))="Støttes ikke",FALSE)),"Kontoen støttes ikke",IF(IFERROR(AND(A1296&gt;1,COUNTIF($A$3:$A$2002,A1296-1)=0),FALSE),"Nummeret hopper over",IF(OR(NOT(ISNUMBER(B1296)),B1296&lt;DATE(2027,1,1),B1296&gt;DATE(2027,12,31)),"Datoen er ikke i 2027",""))))))</f>
        <v/>
      </c>
    </row>
    <row r="1297">
      <c r="A1297" s="17" t="n"/>
      <c r="B1297" s="9" t="n"/>
      <c r="C1297" s="8" t="n"/>
      <c r="D1297" s="8" t="n"/>
      <c r="E1297" s="8" t="n"/>
      <c r="F1297" s="14" t="n"/>
      <c r="G1297" s="14" t="n"/>
      <c r="H1297" s="8" t="n"/>
      <c r="I1297" s="8" t="n"/>
      <c r="J1297" s="8" t="n"/>
      <c r="K1297" s="18">
        <f>IF(B1297="","",IFERROR(MONTH(B1297),""))</f>
        <v/>
      </c>
      <c r="L1297" s="5">
        <f>IF(COUNTA(A1297:J1297)=0,"",IF(E1297="","Mangler motkonto",IF((F1297="")=(G1297=""),"Fyll ut enten Inn eller Ut",IF(OR(IFERROR(INDEX('Kontoplan'!$D$3:$D$302,MATCH(D1297,'Kontoplan'!$H$3:$H$302,0))="Støttes ikke",FALSE),IFERROR(INDEX('Kontoplan'!$D$3:$D$302,MATCH(E1297,'Kontoplan'!$H$3:$H$302,0))="Støttes ikke",FALSE)),"Kontoen støttes ikke",IF(IFERROR(AND(A1297&gt;1,COUNTIF($A$3:$A$2002,A1297-1)=0),FALSE),"Nummeret hopper over",IF(OR(NOT(ISNUMBER(B1297)),B1297&lt;DATE(2027,1,1),B1297&gt;DATE(2027,12,31)),"Datoen er ikke i 2027",""))))))</f>
        <v/>
      </c>
    </row>
    <row r="1298">
      <c r="A1298" s="17" t="n"/>
      <c r="B1298" s="9" t="n"/>
      <c r="C1298" s="8" t="n"/>
      <c r="D1298" s="8" t="n"/>
      <c r="E1298" s="8" t="n"/>
      <c r="F1298" s="14" t="n"/>
      <c r="G1298" s="14" t="n"/>
      <c r="H1298" s="8" t="n"/>
      <c r="I1298" s="8" t="n"/>
      <c r="J1298" s="8" t="n"/>
      <c r="K1298" s="18">
        <f>IF(B1298="","",IFERROR(MONTH(B1298),""))</f>
        <v/>
      </c>
      <c r="L1298" s="5">
        <f>IF(COUNTA(A1298:J1298)=0,"",IF(E1298="","Mangler motkonto",IF((F1298="")=(G1298=""),"Fyll ut enten Inn eller Ut",IF(OR(IFERROR(INDEX('Kontoplan'!$D$3:$D$302,MATCH(D1298,'Kontoplan'!$H$3:$H$302,0))="Støttes ikke",FALSE),IFERROR(INDEX('Kontoplan'!$D$3:$D$302,MATCH(E1298,'Kontoplan'!$H$3:$H$302,0))="Støttes ikke",FALSE)),"Kontoen støttes ikke",IF(IFERROR(AND(A1298&gt;1,COUNTIF($A$3:$A$2002,A1298-1)=0),FALSE),"Nummeret hopper over",IF(OR(NOT(ISNUMBER(B1298)),B1298&lt;DATE(2027,1,1),B1298&gt;DATE(2027,12,31)),"Datoen er ikke i 2027",""))))))</f>
        <v/>
      </c>
    </row>
    <row r="1299">
      <c r="A1299" s="17" t="n"/>
      <c r="B1299" s="9" t="n"/>
      <c r="C1299" s="8" t="n"/>
      <c r="D1299" s="8" t="n"/>
      <c r="E1299" s="8" t="n"/>
      <c r="F1299" s="14" t="n"/>
      <c r="G1299" s="14" t="n"/>
      <c r="H1299" s="8" t="n"/>
      <c r="I1299" s="8" t="n"/>
      <c r="J1299" s="8" t="n"/>
      <c r="K1299" s="18">
        <f>IF(B1299="","",IFERROR(MONTH(B1299),""))</f>
        <v/>
      </c>
      <c r="L1299" s="5">
        <f>IF(COUNTA(A1299:J1299)=0,"",IF(E1299="","Mangler motkonto",IF((F1299="")=(G1299=""),"Fyll ut enten Inn eller Ut",IF(OR(IFERROR(INDEX('Kontoplan'!$D$3:$D$302,MATCH(D1299,'Kontoplan'!$H$3:$H$302,0))="Støttes ikke",FALSE),IFERROR(INDEX('Kontoplan'!$D$3:$D$302,MATCH(E1299,'Kontoplan'!$H$3:$H$302,0))="Støttes ikke",FALSE)),"Kontoen støttes ikke",IF(IFERROR(AND(A1299&gt;1,COUNTIF($A$3:$A$2002,A1299-1)=0),FALSE),"Nummeret hopper over",IF(OR(NOT(ISNUMBER(B1299)),B1299&lt;DATE(2027,1,1),B1299&gt;DATE(2027,12,31)),"Datoen er ikke i 2027",""))))))</f>
        <v/>
      </c>
    </row>
    <row r="1300">
      <c r="A1300" s="17" t="n"/>
      <c r="B1300" s="9" t="n"/>
      <c r="C1300" s="8" t="n"/>
      <c r="D1300" s="8" t="n"/>
      <c r="E1300" s="8" t="n"/>
      <c r="F1300" s="14" t="n"/>
      <c r="G1300" s="14" t="n"/>
      <c r="H1300" s="8" t="n"/>
      <c r="I1300" s="8" t="n"/>
      <c r="J1300" s="8" t="n"/>
      <c r="K1300" s="18">
        <f>IF(B1300="","",IFERROR(MONTH(B1300),""))</f>
        <v/>
      </c>
      <c r="L1300" s="5">
        <f>IF(COUNTA(A1300:J1300)=0,"",IF(E1300="","Mangler motkonto",IF((F1300="")=(G1300=""),"Fyll ut enten Inn eller Ut",IF(OR(IFERROR(INDEX('Kontoplan'!$D$3:$D$302,MATCH(D1300,'Kontoplan'!$H$3:$H$302,0))="Støttes ikke",FALSE),IFERROR(INDEX('Kontoplan'!$D$3:$D$302,MATCH(E1300,'Kontoplan'!$H$3:$H$302,0))="Støttes ikke",FALSE)),"Kontoen støttes ikke",IF(IFERROR(AND(A1300&gt;1,COUNTIF($A$3:$A$2002,A1300-1)=0),FALSE),"Nummeret hopper over",IF(OR(NOT(ISNUMBER(B1300)),B1300&lt;DATE(2027,1,1),B1300&gt;DATE(2027,12,31)),"Datoen er ikke i 2027",""))))))</f>
        <v/>
      </c>
    </row>
    <row r="1301">
      <c r="A1301" s="17" t="n"/>
      <c r="B1301" s="9" t="n"/>
      <c r="C1301" s="8" t="n"/>
      <c r="D1301" s="8" t="n"/>
      <c r="E1301" s="8" t="n"/>
      <c r="F1301" s="14" t="n"/>
      <c r="G1301" s="14" t="n"/>
      <c r="H1301" s="8" t="n"/>
      <c r="I1301" s="8" t="n"/>
      <c r="J1301" s="8" t="n"/>
      <c r="K1301" s="18">
        <f>IF(B1301="","",IFERROR(MONTH(B1301),""))</f>
        <v/>
      </c>
      <c r="L1301" s="5">
        <f>IF(COUNTA(A1301:J1301)=0,"",IF(E1301="","Mangler motkonto",IF((F1301="")=(G1301=""),"Fyll ut enten Inn eller Ut",IF(OR(IFERROR(INDEX('Kontoplan'!$D$3:$D$302,MATCH(D1301,'Kontoplan'!$H$3:$H$302,0))="Støttes ikke",FALSE),IFERROR(INDEX('Kontoplan'!$D$3:$D$302,MATCH(E1301,'Kontoplan'!$H$3:$H$302,0))="Støttes ikke",FALSE)),"Kontoen støttes ikke",IF(IFERROR(AND(A1301&gt;1,COUNTIF($A$3:$A$2002,A1301-1)=0),FALSE),"Nummeret hopper over",IF(OR(NOT(ISNUMBER(B1301)),B1301&lt;DATE(2027,1,1),B1301&gt;DATE(2027,12,31)),"Datoen er ikke i 2027",""))))))</f>
        <v/>
      </c>
    </row>
    <row r="1302">
      <c r="A1302" s="17" t="n"/>
      <c r="B1302" s="9" t="n"/>
      <c r="C1302" s="8" t="n"/>
      <c r="D1302" s="8" t="n"/>
      <c r="E1302" s="8" t="n"/>
      <c r="F1302" s="14" t="n"/>
      <c r="G1302" s="14" t="n"/>
      <c r="H1302" s="8" t="n"/>
      <c r="I1302" s="8" t="n"/>
      <c r="J1302" s="8" t="n"/>
      <c r="K1302" s="18">
        <f>IF(B1302="","",IFERROR(MONTH(B1302),""))</f>
        <v/>
      </c>
      <c r="L1302" s="5">
        <f>IF(COUNTA(A1302:J1302)=0,"",IF(E1302="","Mangler motkonto",IF((F1302="")=(G1302=""),"Fyll ut enten Inn eller Ut",IF(OR(IFERROR(INDEX('Kontoplan'!$D$3:$D$302,MATCH(D1302,'Kontoplan'!$H$3:$H$302,0))="Støttes ikke",FALSE),IFERROR(INDEX('Kontoplan'!$D$3:$D$302,MATCH(E1302,'Kontoplan'!$H$3:$H$302,0))="Støttes ikke",FALSE)),"Kontoen støttes ikke",IF(IFERROR(AND(A1302&gt;1,COUNTIF($A$3:$A$2002,A1302-1)=0),FALSE),"Nummeret hopper over",IF(OR(NOT(ISNUMBER(B1302)),B1302&lt;DATE(2027,1,1),B1302&gt;DATE(2027,12,31)),"Datoen er ikke i 2027",""))))))</f>
        <v/>
      </c>
    </row>
    <row r="1303">
      <c r="A1303" s="17" t="n"/>
      <c r="B1303" s="9" t="n"/>
      <c r="C1303" s="8" t="n"/>
      <c r="D1303" s="8" t="n"/>
      <c r="E1303" s="8" t="n"/>
      <c r="F1303" s="14" t="n"/>
      <c r="G1303" s="14" t="n"/>
      <c r="H1303" s="8" t="n"/>
      <c r="I1303" s="8" t="n"/>
      <c r="J1303" s="8" t="n"/>
      <c r="K1303" s="18">
        <f>IF(B1303="","",IFERROR(MONTH(B1303),""))</f>
        <v/>
      </c>
      <c r="L1303" s="5">
        <f>IF(COUNTA(A1303:J1303)=0,"",IF(E1303="","Mangler motkonto",IF((F1303="")=(G1303=""),"Fyll ut enten Inn eller Ut",IF(OR(IFERROR(INDEX('Kontoplan'!$D$3:$D$302,MATCH(D1303,'Kontoplan'!$H$3:$H$302,0))="Støttes ikke",FALSE),IFERROR(INDEX('Kontoplan'!$D$3:$D$302,MATCH(E1303,'Kontoplan'!$H$3:$H$302,0))="Støttes ikke",FALSE)),"Kontoen støttes ikke",IF(IFERROR(AND(A1303&gt;1,COUNTIF($A$3:$A$2002,A1303-1)=0),FALSE),"Nummeret hopper over",IF(OR(NOT(ISNUMBER(B1303)),B1303&lt;DATE(2027,1,1),B1303&gt;DATE(2027,12,31)),"Datoen er ikke i 2027",""))))))</f>
        <v/>
      </c>
    </row>
    <row r="1304">
      <c r="A1304" s="17" t="n"/>
      <c r="B1304" s="9" t="n"/>
      <c r="C1304" s="8" t="n"/>
      <c r="D1304" s="8" t="n"/>
      <c r="E1304" s="8" t="n"/>
      <c r="F1304" s="14" t="n"/>
      <c r="G1304" s="14" t="n"/>
      <c r="H1304" s="8" t="n"/>
      <c r="I1304" s="8" t="n"/>
      <c r="J1304" s="8" t="n"/>
      <c r="K1304" s="18">
        <f>IF(B1304="","",IFERROR(MONTH(B1304),""))</f>
        <v/>
      </c>
      <c r="L1304" s="5">
        <f>IF(COUNTA(A1304:J1304)=0,"",IF(E1304="","Mangler motkonto",IF((F1304="")=(G1304=""),"Fyll ut enten Inn eller Ut",IF(OR(IFERROR(INDEX('Kontoplan'!$D$3:$D$302,MATCH(D1304,'Kontoplan'!$H$3:$H$302,0))="Støttes ikke",FALSE),IFERROR(INDEX('Kontoplan'!$D$3:$D$302,MATCH(E1304,'Kontoplan'!$H$3:$H$302,0))="Støttes ikke",FALSE)),"Kontoen støttes ikke",IF(IFERROR(AND(A1304&gt;1,COUNTIF($A$3:$A$2002,A1304-1)=0),FALSE),"Nummeret hopper over",IF(OR(NOT(ISNUMBER(B1304)),B1304&lt;DATE(2027,1,1),B1304&gt;DATE(2027,12,31)),"Datoen er ikke i 2027",""))))))</f>
        <v/>
      </c>
    </row>
    <row r="1305">
      <c r="A1305" s="17" t="n"/>
      <c r="B1305" s="9" t="n"/>
      <c r="C1305" s="8" t="n"/>
      <c r="D1305" s="8" t="n"/>
      <c r="E1305" s="8" t="n"/>
      <c r="F1305" s="14" t="n"/>
      <c r="G1305" s="14" t="n"/>
      <c r="H1305" s="8" t="n"/>
      <c r="I1305" s="8" t="n"/>
      <c r="J1305" s="8" t="n"/>
      <c r="K1305" s="18">
        <f>IF(B1305="","",IFERROR(MONTH(B1305),""))</f>
        <v/>
      </c>
      <c r="L1305" s="5">
        <f>IF(COUNTA(A1305:J1305)=0,"",IF(E1305="","Mangler motkonto",IF((F1305="")=(G1305=""),"Fyll ut enten Inn eller Ut",IF(OR(IFERROR(INDEX('Kontoplan'!$D$3:$D$302,MATCH(D1305,'Kontoplan'!$H$3:$H$302,0))="Støttes ikke",FALSE),IFERROR(INDEX('Kontoplan'!$D$3:$D$302,MATCH(E1305,'Kontoplan'!$H$3:$H$302,0))="Støttes ikke",FALSE)),"Kontoen støttes ikke",IF(IFERROR(AND(A1305&gt;1,COUNTIF($A$3:$A$2002,A1305-1)=0),FALSE),"Nummeret hopper over",IF(OR(NOT(ISNUMBER(B1305)),B1305&lt;DATE(2027,1,1),B1305&gt;DATE(2027,12,31)),"Datoen er ikke i 2027",""))))))</f>
        <v/>
      </c>
    </row>
    <row r="1306">
      <c r="A1306" s="17" t="n"/>
      <c r="B1306" s="9" t="n"/>
      <c r="C1306" s="8" t="n"/>
      <c r="D1306" s="8" t="n"/>
      <c r="E1306" s="8" t="n"/>
      <c r="F1306" s="14" t="n"/>
      <c r="G1306" s="14" t="n"/>
      <c r="H1306" s="8" t="n"/>
      <c r="I1306" s="8" t="n"/>
      <c r="J1306" s="8" t="n"/>
      <c r="K1306" s="18">
        <f>IF(B1306="","",IFERROR(MONTH(B1306),""))</f>
        <v/>
      </c>
      <c r="L1306" s="5">
        <f>IF(COUNTA(A1306:J1306)=0,"",IF(E1306="","Mangler motkonto",IF((F1306="")=(G1306=""),"Fyll ut enten Inn eller Ut",IF(OR(IFERROR(INDEX('Kontoplan'!$D$3:$D$302,MATCH(D1306,'Kontoplan'!$H$3:$H$302,0))="Støttes ikke",FALSE),IFERROR(INDEX('Kontoplan'!$D$3:$D$302,MATCH(E1306,'Kontoplan'!$H$3:$H$302,0))="Støttes ikke",FALSE)),"Kontoen støttes ikke",IF(IFERROR(AND(A1306&gt;1,COUNTIF($A$3:$A$2002,A1306-1)=0),FALSE),"Nummeret hopper over",IF(OR(NOT(ISNUMBER(B1306)),B1306&lt;DATE(2027,1,1),B1306&gt;DATE(2027,12,31)),"Datoen er ikke i 2027",""))))))</f>
        <v/>
      </c>
    </row>
    <row r="1307">
      <c r="A1307" s="17" t="n"/>
      <c r="B1307" s="9" t="n"/>
      <c r="C1307" s="8" t="n"/>
      <c r="D1307" s="8" t="n"/>
      <c r="E1307" s="8" t="n"/>
      <c r="F1307" s="14" t="n"/>
      <c r="G1307" s="14" t="n"/>
      <c r="H1307" s="8" t="n"/>
      <c r="I1307" s="8" t="n"/>
      <c r="J1307" s="8" t="n"/>
      <c r="K1307" s="18">
        <f>IF(B1307="","",IFERROR(MONTH(B1307),""))</f>
        <v/>
      </c>
      <c r="L1307" s="5">
        <f>IF(COUNTA(A1307:J1307)=0,"",IF(E1307="","Mangler motkonto",IF((F1307="")=(G1307=""),"Fyll ut enten Inn eller Ut",IF(OR(IFERROR(INDEX('Kontoplan'!$D$3:$D$302,MATCH(D1307,'Kontoplan'!$H$3:$H$302,0))="Støttes ikke",FALSE),IFERROR(INDEX('Kontoplan'!$D$3:$D$302,MATCH(E1307,'Kontoplan'!$H$3:$H$302,0))="Støttes ikke",FALSE)),"Kontoen støttes ikke",IF(IFERROR(AND(A1307&gt;1,COUNTIF($A$3:$A$2002,A1307-1)=0),FALSE),"Nummeret hopper over",IF(OR(NOT(ISNUMBER(B1307)),B1307&lt;DATE(2027,1,1),B1307&gt;DATE(2027,12,31)),"Datoen er ikke i 2027",""))))))</f>
        <v/>
      </c>
    </row>
    <row r="1308">
      <c r="A1308" s="17" t="n"/>
      <c r="B1308" s="9" t="n"/>
      <c r="C1308" s="8" t="n"/>
      <c r="D1308" s="8" t="n"/>
      <c r="E1308" s="8" t="n"/>
      <c r="F1308" s="14" t="n"/>
      <c r="G1308" s="14" t="n"/>
      <c r="H1308" s="8" t="n"/>
      <c r="I1308" s="8" t="n"/>
      <c r="J1308" s="8" t="n"/>
      <c r="K1308" s="18">
        <f>IF(B1308="","",IFERROR(MONTH(B1308),""))</f>
        <v/>
      </c>
      <c r="L1308" s="5">
        <f>IF(COUNTA(A1308:J1308)=0,"",IF(E1308="","Mangler motkonto",IF((F1308="")=(G1308=""),"Fyll ut enten Inn eller Ut",IF(OR(IFERROR(INDEX('Kontoplan'!$D$3:$D$302,MATCH(D1308,'Kontoplan'!$H$3:$H$302,0))="Støttes ikke",FALSE),IFERROR(INDEX('Kontoplan'!$D$3:$D$302,MATCH(E1308,'Kontoplan'!$H$3:$H$302,0))="Støttes ikke",FALSE)),"Kontoen støttes ikke",IF(IFERROR(AND(A1308&gt;1,COUNTIF($A$3:$A$2002,A1308-1)=0),FALSE),"Nummeret hopper over",IF(OR(NOT(ISNUMBER(B1308)),B1308&lt;DATE(2027,1,1),B1308&gt;DATE(2027,12,31)),"Datoen er ikke i 2027",""))))))</f>
        <v/>
      </c>
    </row>
    <row r="1309">
      <c r="A1309" s="17" t="n"/>
      <c r="B1309" s="9" t="n"/>
      <c r="C1309" s="8" t="n"/>
      <c r="D1309" s="8" t="n"/>
      <c r="E1309" s="8" t="n"/>
      <c r="F1309" s="14" t="n"/>
      <c r="G1309" s="14" t="n"/>
      <c r="H1309" s="8" t="n"/>
      <c r="I1309" s="8" t="n"/>
      <c r="J1309" s="8" t="n"/>
      <c r="K1309" s="18">
        <f>IF(B1309="","",IFERROR(MONTH(B1309),""))</f>
        <v/>
      </c>
      <c r="L1309" s="5">
        <f>IF(COUNTA(A1309:J1309)=0,"",IF(E1309="","Mangler motkonto",IF((F1309="")=(G1309=""),"Fyll ut enten Inn eller Ut",IF(OR(IFERROR(INDEX('Kontoplan'!$D$3:$D$302,MATCH(D1309,'Kontoplan'!$H$3:$H$302,0))="Støttes ikke",FALSE),IFERROR(INDEX('Kontoplan'!$D$3:$D$302,MATCH(E1309,'Kontoplan'!$H$3:$H$302,0))="Støttes ikke",FALSE)),"Kontoen støttes ikke",IF(IFERROR(AND(A1309&gt;1,COUNTIF($A$3:$A$2002,A1309-1)=0),FALSE),"Nummeret hopper over",IF(OR(NOT(ISNUMBER(B1309)),B1309&lt;DATE(2027,1,1),B1309&gt;DATE(2027,12,31)),"Datoen er ikke i 2027",""))))))</f>
        <v/>
      </c>
    </row>
    <row r="1310">
      <c r="A1310" s="17" t="n"/>
      <c r="B1310" s="9" t="n"/>
      <c r="C1310" s="8" t="n"/>
      <c r="D1310" s="8" t="n"/>
      <c r="E1310" s="8" t="n"/>
      <c r="F1310" s="14" t="n"/>
      <c r="G1310" s="14" t="n"/>
      <c r="H1310" s="8" t="n"/>
      <c r="I1310" s="8" t="n"/>
      <c r="J1310" s="8" t="n"/>
      <c r="K1310" s="18">
        <f>IF(B1310="","",IFERROR(MONTH(B1310),""))</f>
        <v/>
      </c>
      <c r="L1310" s="5">
        <f>IF(COUNTA(A1310:J1310)=0,"",IF(E1310="","Mangler motkonto",IF((F1310="")=(G1310=""),"Fyll ut enten Inn eller Ut",IF(OR(IFERROR(INDEX('Kontoplan'!$D$3:$D$302,MATCH(D1310,'Kontoplan'!$H$3:$H$302,0))="Støttes ikke",FALSE),IFERROR(INDEX('Kontoplan'!$D$3:$D$302,MATCH(E1310,'Kontoplan'!$H$3:$H$302,0))="Støttes ikke",FALSE)),"Kontoen støttes ikke",IF(IFERROR(AND(A1310&gt;1,COUNTIF($A$3:$A$2002,A1310-1)=0),FALSE),"Nummeret hopper over",IF(OR(NOT(ISNUMBER(B1310)),B1310&lt;DATE(2027,1,1),B1310&gt;DATE(2027,12,31)),"Datoen er ikke i 2027",""))))))</f>
        <v/>
      </c>
    </row>
    <row r="1311">
      <c r="A1311" s="17" t="n"/>
      <c r="B1311" s="9" t="n"/>
      <c r="C1311" s="8" t="n"/>
      <c r="D1311" s="8" t="n"/>
      <c r="E1311" s="8" t="n"/>
      <c r="F1311" s="14" t="n"/>
      <c r="G1311" s="14" t="n"/>
      <c r="H1311" s="8" t="n"/>
      <c r="I1311" s="8" t="n"/>
      <c r="J1311" s="8" t="n"/>
      <c r="K1311" s="18">
        <f>IF(B1311="","",IFERROR(MONTH(B1311),""))</f>
        <v/>
      </c>
      <c r="L1311" s="5">
        <f>IF(COUNTA(A1311:J1311)=0,"",IF(E1311="","Mangler motkonto",IF((F1311="")=(G1311=""),"Fyll ut enten Inn eller Ut",IF(OR(IFERROR(INDEX('Kontoplan'!$D$3:$D$302,MATCH(D1311,'Kontoplan'!$H$3:$H$302,0))="Støttes ikke",FALSE),IFERROR(INDEX('Kontoplan'!$D$3:$D$302,MATCH(E1311,'Kontoplan'!$H$3:$H$302,0))="Støttes ikke",FALSE)),"Kontoen støttes ikke",IF(IFERROR(AND(A1311&gt;1,COUNTIF($A$3:$A$2002,A1311-1)=0),FALSE),"Nummeret hopper over",IF(OR(NOT(ISNUMBER(B1311)),B1311&lt;DATE(2027,1,1),B1311&gt;DATE(2027,12,31)),"Datoen er ikke i 2027",""))))))</f>
        <v/>
      </c>
    </row>
    <row r="1312">
      <c r="A1312" s="17" t="n"/>
      <c r="B1312" s="9" t="n"/>
      <c r="C1312" s="8" t="n"/>
      <c r="D1312" s="8" t="n"/>
      <c r="E1312" s="8" t="n"/>
      <c r="F1312" s="14" t="n"/>
      <c r="G1312" s="14" t="n"/>
      <c r="H1312" s="8" t="n"/>
      <c r="I1312" s="8" t="n"/>
      <c r="J1312" s="8" t="n"/>
      <c r="K1312" s="18">
        <f>IF(B1312="","",IFERROR(MONTH(B1312),""))</f>
        <v/>
      </c>
      <c r="L1312" s="5">
        <f>IF(COUNTA(A1312:J1312)=0,"",IF(E1312="","Mangler motkonto",IF((F1312="")=(G1312=""),"Fyll ut enten Inn eller Ut",IF(OR(IFERROR(INDEX('Kontoplan'!$D$3:$D$302,MATCH(D1312,'Kontoplan'!$H$3:$H$302,0))="Støttes ikke",FALSE),IFERROR(INDEX('Kontoplan'!$D$3:$D$302,MATCH(E1312,'Kontoplan'!$H$3:$H$302,0))="Støttes ikke",FALSE)),"Kontoen støttes ikke",IF(IFERROR(AND(A1312&gt;1,COUNTIF($A$3:$A$2002,A1312-1)=0),FALSE),"Nummeret hopper over",IF(OR(NOT(ISNUMBER(B1312)),B1312&lt;DATE(2027,1,1),B1312&gt;DATE(2027,12,31)),"Datoen er ikke i 2027",""))))))</f>
        <v/>
      </c>
    </row>
    <row r="1313">
      <c r="A1313" s="17" t="n"/>
      <c r="B1313" s="9" t="n"/>
      <c r="C1313" s="8" t="n"/>
      <c r="D1313" s="8" t="n"/>
      <c r="E1313" s="8" t="n"/>
      <c r="F1313" s="14" t="n"/>
      <c r="G1313" s="14" t="n"/>
      <c r="H1313" s="8" t="n"/>
      <c r="I1313" s="8" t="n"/>
      <c r="J1313" s="8" t="n"/>
      <c r="K1313" s="18">
        <f>IF(B1313="","",IFERROR(MONTH(B1313),""))</f>
        <v/>
      </c>
      <c r="L1313" s="5">
        <f>IF(COUNTA(A1313:J1313)=0,"",IF(E1313="","Mangler motkonto",IF((F1313="")=(G1313=""),"Fyll ut enten Inn eller Ut",IF(OR(IFERROR(INDEX('Kontoplan'!$D$3:$D$302,MATCH(D1313,'Kontoplan'!$H$3:$H$302,0))="Støttes ikke",FALSE),IFERROR(INDEX('Kontoplan'!$D$3:$D$302,MATCH(E1313,'Kontoplan'!$H$3:$H$302,0))="Støttes ikke",FALSE)),"Kontoen støttes ikke",IF(IFERROR(AND(A1313&gt;1,COUNTIF($A$3:$A$2002,A1313-1)=0),FALSE),"Nummeret hopper over",IF(OR(NOT(ISNUMBER(B1313)),B1313&lt;DATE(2027,1,1),B1313&gt;DATE(2027,12,31)),"Datoen er ikke i 2027",""))))))</f>
        <v/>
      </c>
    </row>
    <row r="1314">
      <c r="A1314" s="17" t="n"/>
      <c r="B1314" s="9" t="n"/>
      <c r="C1314" s="8" t="n"/>
      <c r="D1314" s="8" t="n"/>
      <c r="E1314" s="8" t="n"/>
      <c r="F1314" s="14" t="n"/>
      <c r="G1314" s="14" t="n"/>
      <c r="H1314" s="8" t="n"/>
      <c r="I1314" s="8" t="n"/>
      <c r="J1314" s="8" t="n"/>
      <c r="K1314" s="18">
        <f>IF(B1314="","",IFERROR(MONTH(B1314),""))</f>
        <v/>
      </c>
      <c r="L1314" s="5">
        <f>IF(COUNTA(A1314:J1314)=0,"",IF(E1314="","Mangler motkonto",IF((F1314="")=(G1314=""),"Fyll ut enten Inn eller Ut",IF(OR(IFERROR(INDEX('Kontoplan'!$D$3:$D$302,MATCH(D1314,'Kontoplan'!$H$3:$H$302,0))="Støttes ikke",FALSE),IFERROR(INDEX('Kontoplan'!$D$3:$D$302,MATCH(E1314,'Kontoplan'!$H$3:$H$302,0))="Støttes ikke",FALSE)),"Kontoen støttes ikke",IF(IFERROR(AND(A1314&gt;1,COUNTIF($A$3:$A$2002,A1314-1)=0),FALSE),"Nummeret hopper over",IF(OR(NOT(ISNUMBER(B1314)),B1314&lt;DATE(2027,1,1),B1314&gt;DATE(2027,12,31)),"Datoen er ikke i 2027",""))))))</f>
        <v/>
      </c>
    </row>
    <row r="1315">
      <c r="A1315" s="17" t="n"/>
      <c r="B1315" s="9" t="n"/>
      <c r="C1315" s="8" t="n"/>
      <c r="D1315" s="8" t="n"/>
      <c r="E1315" s="8" t="n"/>
      <c r="F1315" s="14" t="n"/>
      <c r="G1315" s="14" t="n"/>
      <c r="H1315" s="8" t="n"/>
      <c r="I1315" s="8" t="n"/>
      <c r="J1315" s="8" t="n"/>
      <c r="K1315" s="18">
        <f>IF(B1315="","",IFERROR(MONTH(B1315),""))</f>
        <v/>
      </c>
      <c r="L1315" s="5">
        <f>IF(COUNTA(A1315:J1315)=0,"",IF(E1315="","Mangler motkonto",IF((F1315="")=(G1315=""),"Fyll ut enten Inn eller Ut",IF(OR(IFERROR(INDEX('Kontoplan'!$D$3:$D$302,MATCH(D1315,'Kontoplan'!$H$3:$H$302,0))="Støttes ikke",FALSE),IFERROR(INDEX('Kontoplan'!$D$3:$D$302,MATCH(E1315,'Kontoplan'!$H$3:$H$302,0))="Støttes ikke",FALSE)),"Kontoen støttes ikke",IF(IFERROR(AND(A1315&gt;1,COUNTIF($A$3:$A$2002,A1315-1)=0),FALSE),"Nummeret hopper over",IF(OR(NOT(ISNUMBER(B1315)),B1315&lt;DATE(2027,1,1),B1315&gt;DATE(2027,12,31)),"Datoen er ikke i 2027",""))))))</f>
        <v/>
      </c>
    </row>
    <row r="1316">
      <c r="A1316" s="17" t="n"/>
      <c r="B1316" s="9" t="n"/>
      <c r="C1316" s="8" t="n"/>
      <c r="D1316" s="8" t="n"/>
      <c r="E1316" s="8" t="n"/>
      <c r="F1316" s="14" t="n"/>
      <c r="G1316" s="14" t="n"/>
      <c r="H1316" s="8" t="n"/>
      <c r="I1316" s="8" t="n"/>
      <c r="J1316" s="8" t="n"/>
      <c r="K1316" s="18">
        <f>IF(B1316="","",IFERROR(MONTH(B1316),""))</f>
        <v/>
      </c>
      <c r="L1316" s="5">
        <f>IF(COUNTA(A1316:J1316)=0,"",IF(E1316="","Mangler motkonto",IF((F1316="")=(G1316=""),"Fyll ut enten Inn eller Ut",IF(OR(IFERROR(INDEX('Kontoplan'!$D$3:$D$302,MATCH(D1316,'Kontoplan'!$H$3:$H$302,0))="Støttes ikke",FALSE),IFERROR(INDEX('Kontoplan'!$D$3:$D$302,MATCH(E1316,'Kontoplan'!$H$3:$H$302,0))="Støttes ikke",FALSE)),"Kontoen støttes ikke",IF(IFERROR(AND(A1316&gt;1,COUNTIF($A$3:$A$2002,A1316-1)=0),FALSE),"Nummeret hopper over",IF(OR(NOT(ISNUMBER(B1316)),B1316&lt;DATE(2027,1,1),B1316&gt;DATE(2027,12,31)),"Datoen er ikke i 2027",""))))))</f>
        <v/>
      </c>
    </row>
    <row r="1317">
      <c r="A1317" s="17" t="n"/>
      <c r="B1317" s="9" t="n"/>
      <c r="C1317" s="8" t="n"/>
      <c r="D1317" s="8" t="n"/>
      <c r="E1317" s="8" t="n"/>
      <c r="F1317" s="14" t="n"/>
      <c r="G1317" s="14" t="n"/>
      <c r="H1317" s="8" t="n"/>
      <c r="I1317" s="8" t="n"/>
      <c r="J1317" s="8" t="n"/>
      <c r="K1317" s="18">
        <f>IF(B1317="","",IFERROR(MONTH(B1317),""))</f>
        <v/>
      </c>
      <c r="L1317" s="5">
        <f>IF(COUNTA(A1317:J1317)=0,"",IF(E1317="","Mangler motkonto",IF((F1317="")=(G1317=""),"Fyll ut enten Inn eller Ut",IF(OR(IFERROR(INDEX('Kontoplan'!$D$3:$D$302,MATCH(D1317,'Kontoplan'!$H$3:$H$302,0))="Støttes ikke",FALSE),IFERROR(INDEX('Kontoplan'!$D$3:$D$302,MATCH(E1317,'Kontoplan'!$H$3:$H$302,0))="Støttes ikke",FALSE)),"Kontoen støttes ikke",IF(IFERROR(AND(A1317&gt;1,COUNTIF($A$3:$A$2002,A1317-1)=0),FALSE),"Nummeret hopper over",IF(OR(NOT(ISNUMBER(B1317)),B1317&lt;DATE(2027,1,1),B1317&gt;DATE(2027,12,31)),"Datoen er ikke i 2027",""))))))</f>
        <v/>
      </c>
    </row>
    <row r="1318">
      <c r="A1318" s="17" t="n"/>
      <c r="B1318" s="9" t="n"/>
      <c r="C1318" s="8" t="n"/>
      <c r="D1318" s="8" t="n"/>
      <c r="E1318" s="8" t="n"/>
      <c r="F1318" s="14" t="n"/>
      <c r="G1318" s="14" t="n"/>
      <c r="H1318" s="8" t="n"/>
      <c r="I1318" s="8" t="n"/>
      <c r="J1318" s="8" t="n"/>
      <c r="K1318" s="18">
        <f>IF(B1318="","",IFERROR(MONTH(B1318),""))</f>
        <v/>
      </c>
      <c r="L1318" s="5">
        <f>IF(COUNTA(A1318:J1318)=0,"",IF(E1318="","Mangler motkonto",IF((F1318="")=(G1318=""),"Fyll ut enten Inn eller Ut",IF(OR(IFERROR(INDEX('Kontoplan'!$D$3:$D$302,MATCH(D1318,'Kontoplan'!$H$3:$H$302,0))="Støttes ikke",FALSE),IFERROR(INDEX('Kontoplan'!$D$3:$D$302,MATCH(E1318,'Kontoplan'!$H$3:$H$302,0))="Støttes ikke",FALSE)),"Kontoen støttes ikke",IF(IFERROR(AND(A1318&gt;1,COUNTIF($A$3:$A$2002,A1318-1)=0),FALSE),"Nummeret hopper over",IF(OR(NOT(ISNUMBER(B1318)),B1318&lt;DATE(2027,1,1),B1318&gt;DATE(2027,12,31)),"Datoen er ikke i 2027",""))))))</f>
        <v/>
      </c>
    </row>
    <row r="1319">
      <c r="A1319" s="17" t="n"/>
      <c r="B1319" s="9" t="n"/>
      <c r="C1319" s="8" t="n"/>
      <c r="D1319" s="8" t="n"/>
      <c r="E1319" s="8" t="n"/>
      <c r="F1319" s="14" t="n"/>
      <c r="G1319" s="14" t="n"/>
      <c r="H1319" s="8" t="n"/>
      <c r="I1319" s="8" t="n"/>
      <c r="J1319" s="8" t="n"/>
      <c r="K1319" s="18">
        <f>IF(B1319="","",IFERROR(MONTH(B1319),""))</f>
        <v/>
      </c>
      <c r="L1319" s="5">
        <f>IF(COUNTA(A1319:J1319)=0,"",IF(E1319="","Mangler motkonto",IF((F1319="")=(G1319=""),"Fyll ut enten Inn eller Ut",IF(OR(IFERROR(INDEX('Kontoplan'!$D$3:$D$302,MATCH(D1319,'Kontoplan'!$H$3:$H$302,0))="Støttes ikke",FALSE),IFERROR(INDEX('Kontoplan'!$D$3:$D$302,MATCH(E1319,'Kontoplan'!$H$3:$H$302,0))="Støttes ikke",FALSE)),"Kontoen støttes ikke",IF(IFERROR(AND(A1319&gt;1,COUNTIF($A$3:$A$2002,A1319-1)=0),FALSE),"Nummeret hopper over",IF(OR(NOT(ISNUMBER(B1319)),B1319&lt;DATE(2027,1,1),B1319&gt;DATE(2027,12,31)),"Datoen er ikke i 2027",""))))))</f>
        <v/>
      </c>
    </row>
    <row r="1320">
      <c r="A1320" s="17" t="n"/>
      <c r="B1320" s="9" t="n"/>
      <c r="C1320" s="8" t="n"/>
      <c r="D1320" s="8" t="n"/>
      <c r="E1320" s="8" t="n"/>
      <c r="F1320" s="14" t="n"/>
      <c r="G1320" s="14" t="n"/>
      <c r="H1320" s="8" t="n"/>
      <c r="I1320" s="8" t="n"/>
      <c r="J1320" s="8" t="n"/>
      <c r="K1320" s="18">
        <f>IF(B1320="","",IFERROR(MONTH(B1320),""))</f>
        <v/>
      </c>
      <c r="L1320" s="5">
        <f>IF(COUNTA(A1320:J1320)=0,"",IF(E1320="","Mangler motkonto",IF((F1320="")=(G1320=""),"Fyll ut enten Inn eller Ut",IF(OR(IFERROR(INDEX('Kontoplan'!$D$3:$D$302,MATCH(D1320,'Kontoplan'!$H$3:$H$302,0))="Støttes ikke",FALSE),IFERROR(INDEX('Kontoplan'!$D$3:$D$302,MATCH(E1320,'Kontoplan'!$H$3:$H$302,0))="Støttes ikke",FALSE)),"Kontoen støttes ikke",IF(IFERROR(AND(A1320&gt;1,COUNTIF($A$3:$A$2002,A1320-1)=0),FALSE),"Nummeret hopper over",IF(OR(NOT(ISNUMBER(B1320)),B1320&lt;DATE(2027,1,1),B1320&gt;DATE(2027,12,31)),"Datoen er ikke i 2027",""))))))</f>
        <v/>
      </c>
    </row>
    <row r="1321">
      <c r="A1321" s="17" t="n"/>
      <c r="B1321" s="9" t="n"/>
      <c r="C1321" s="8" t="n"/>
      <c r="D1321" s="8" t="n"/>
      <c r="E1321" s="8" t="n"/>
      <c r="F1321" s="14" t="n"/>
      <c r="G1321" s="14" t="n"/>
      <c r="H1321" s="8" t="n"/>
      <c r="I1321" s="8" t="n"/>
      <c r="J1321" s="8" t="n"/>
      <c r="K1321" s="18">
        <f>IF(B1321="","",IFERROR(MONTH(B1321),""))</f>
        <v/>
      </c>
      <c r="L1321" s="5">
        <f>IF(COUNTA(A1321:J1321)=0,"",IF(E1321="","Mangler motkonto",IF((F1321="")=(G1321=""),"Fyll ut enten Inn eller Ut",IF(OR(IFERROR(INDEX('Kontoplan'!$D$3:$D$302,MATCH(D1321,'Kontoplan'!$H$3:$H$302,0))="Støttes ikke",FALSE),IFERROR(INDEX('Kontoplan'!$D$3:$D$302,MATCH(E1321,'Kontoplan'!$H$3:$H$302,0))="Støttes ikke",FALSE)),"Kontoen støttes ikke",IF(IFERROR(AND(A1321&gt;1,COUNTIF($A$3:$A$2002,A1321-1)=0),FALSE),"Nummeret hopper over",IF(OR(NOT(ISNUMBER(B1321)),B1321&lt;DATE(2027,1,1),B1321&gt;DATE(2027,12,31)),"Datoen er ikke i 2027",""))))))</f>
        <v/>
      </c>
    </row>
    <row r="1322">
      <c r="A1322" s="17" t="n"/>
      <c r="B1322" s="9" t="n"/>
      <c r="C1322" s="8" t="n"/>
      <c r="D1322" s="8" t="n"/>
      <c r="E1322" s="8" t="n"/>
      <c r="F1322" s="14" t="n"/>
      <c r="G1322" s="14" t="n"/>
      <c r="H1322" s="8" t="n"/>
      <c r="I1322" s="8" t="n"/>
      <c r="J1322" s="8" t="n"/>
      <c r="K1322" s="18">
        <f>IF(B1322="","",IFERROR(MONTH(B1322),""))</f>
        <v/>
      </c>
      <c r="L1322" s="5">
        <f>IF(COUNTA(A1322:J1322)=0,"",IF(E1322="","Mangler motkonto",IF((F1322="")=(G1322=""),"Fyll ut enten Inn eller Ut",IF(OR(IFERROR(INDEX('Kontoplan'!$D$3:$D$302,MATCH(D1322,'Kontoplan'!$H$3:$H$302,0))="Støttes ikke",FALSE),IFERROR(INDEX('Kontoplan'!$D$3:$D$302,MATCH(E1322,'Kontoplan'!$H$3:$H$302,0))="Støttes ikke",FALSE)),"Kontoen støttes ikke",IF(IFERROR(AND(A1322&gt;1,COUNTIF($A$3:$A$2002,A1322-1)=0),FALSE),"Nummeret hopper over",IF(OR(NOT(ISNUMBER(B1322)),B1322&lt;DATE(2027,1,1),B1322&gt;DATE(2027,12,31)),"Datoen er ikke i 2027",""))))))</f>
        <v/>
      </c>
    </row>
    <row r="1323">
      <c r="A1323" s="17" t="n"/>
      <c r="B1323" s="9" t="n"/>
      <c r="C1323" s="8" t="n"/>
      <c r="D1323" s="8" t="n"/>
      <c r="E1323" s="8" t="n"/>
      <c r="F1323" s="14" t="n"/>
      <c r="G1323" s="14" t="n"/>
      <c r="H1323" s="8" t="n"/>
      <c r="I1323" s="8" t="n"/>
      <c r="J1323" s="8" t="n"/>
      <c r="K1323" s="18">
        <f>IF(B1323="","",IFERROR(MONTH(B1323),""))</f>
        <v/>
      </c>
      <c r="L1323" s="5">
        <f>IF(COUNTA(A1323:J1323)=0,"",IF(E1323="","Mangler motkonto",IF((F1323="")=(G1323=""),"Fyll ut enten Inn eller Ut",IF(OR(IFERROR(INDEX('Kontoplan'!$D$3:$D$302,MATCH(D1323,'Kontoplan'!$H$3:$H$302,0))="Støttes ikke",FALSE),IFERROR(INDEX('Kontoplan'!$D$3:$D$302,MATCH(E1323,'Kontoplan'!$H$3:$H$302,0))="Støttes ikke",FALSE)),"Kontoen støttes ikke",IF(IFERROR(AND(A1323&gt;1,COUNTIF($A$3:$A$2002,A1323-1)=0),FALSE),"Nummeret hopper over",IF(OR(NOT(ISNUMBER(B1323)),B1323&lt;DATE(2027,1,1),B1323&gt;DATE(2027,12,31)),"Datoen er ikke i 2027",""))))))</f>
        <v/>
      </c>
    </row>
    <row r="1324">
      <c r="A1324" s="17" t="n"/>
      <c r="B1324" s="9" t="n"/>
      <c r="C1324" s="8" t="n"/>
      <c r="D1324" s="8" t="n"/>
      <c r="E1324" s="8" t="n"/>
      <c r="F1324" s="14" t="n"/>
      <c r="G1324" s="14" t="n"/>
      <c r="H1324" s="8" t="n"/>
      <c r="I1324" s="8" t="n"/>
      <c r="J1324" s="8" t="n"/>
      <c r="K1324" s="18">
        <f>IF(B1324="","",IFERROR(MONTH(B1324),""))</f>
        <v/>
      </c>
      <c r="L1324" s="5">
        <f>IF(COUNTA(A1324:J1324)=0,"",IF(E1324="","Mangler motkonto",IF((F1324="")=(G1324=""),"Fyll ut enten Inn eller Ut",IF(OR(IFERROR(INDEX('Kontoplan'!$D$3:$D$302,MATCH(D1324,'Kontoplan'!$H$3:$H$302,0))="Støttes ikke",FALSE),IFERROR(INDEX('Kontoplan'!$D$3:$D$302,MATCH(E1324,'Kontoplan'!$H$3:$H$302,0))="Støttes ikke",FALSE)),"Kontoen støttes ikke",IF(IFERROR(AND(A1324&gt;1,COUNTIF($A$3:$A$2002,A1324-1)=0),FALSE),"Nummeret hopper over",IF(OR(NOT(ISNUMBER(B1324)),B1324&lt;DATE(2027,1,1),B1324&gt;DATE(2027,12,31)),"Datoen er ikke i 2027",""))))))</f>
        <v/>
      </c>
    </row>
    <row r="1325">
      <c r="A1325" s="17" t="n"/>
      <c r="B1325" s="9" t="n"/>
      <c r="C1325" s="8" t="n"/>
      <c r="D1325" s="8" t="n"/>
      <c r="E1325" s="8" t="n"/>
      <c r="F1325" s="14" t="n"/>
      <c r="G1325" s="14" t="n"/>
      <c r="H1325" s="8" t="n"/>
      <c r="I1325" s="8" t="n"/>
      <c r="J1325" s="8" t="n"/>
      <c r="K1325" s="18">
        <f>IF(B1325="","",IFERROR(MONTH(B1325),""))</f>
        <v/>
      </c>
      <c r="L1325" s="5">
        <f>IF(COUNTA(A1325:J1325)=0,"",IF(E1325="","Mangler motkonto",IF((F1325="")=(G1325=""),"Fyll ut enten Inn eller Ut",IF(OR(IFERROR(INDEX('Kontoplan'!$D$3:$D$302,MATCH(D1325,'Kontoplan'!$H$3:$H$302,0))="Støttes ikke",FALSE),IFERROR(INDEX('Kontoplan'!$D$3:$D$302,MATCH(E1325,'Kontoplan'!$H$3:$H$302,0))="Støttes ikke",FALSE)),"Kontoen støttes ikke",IF(IFERROR(AND(A1325&gt;1,COUNTIF($A$3:$A$2002,A1325-1)=0),FALSE),"Nummeret hopper over",IF(OR(NOT(ISNUMBER(B1325)),B1325&lt;DATE(2027,1,1),B1325&gt;DATE(2027,12,31)),"Datoen er ikke i 2027",""))))))</f>
        <v/>
      </c>
    </row>
    <row r="1326">
      <c r="A1326" s="17" t="n"/>
      <c r="B1326" s="9" t="n"/>
      <c r="C1326" s="8" t="n"/>
      <c r="D1326" s="8" t="n"/>
      <c r="E1326" s="8" t="n"/>
      <c r="F1326" s="14" t="n"/>
      <c r="G1326" s="14" t="n"/>
      <c r="H1326" s="8" t="n"/>
      <c r="I1326" s="8" t="n"/>
      <c r="J1326" s="8" t="n"/>
      <c r="K1326" s="18">
        <f>IF(B1326="","",IFERROR(MONTH(B1326),""))</f>
        <v/>
      </c>
      <c r="L1326" s="5">
        <f>IF(COUNTA(A1326:J1326)=0,"",IF(E1326="","Mangler motkonto",IF((F1326="")=(G1326=""),"Fyll ut enten Inn eller Ut",IF(OR(IFERROR(INDEX('Kontoplan'!$D$3:$D$302,MATCH(D1326,'Kontoplan'!$H$3:$H$302,0))="Støttes ikke",FALSE),IFERROR(INDEX('Kontoplan'!$D$3:$D$302,MATCH(E1326,'Kontoplan'!$H$3:$H$302,0))="Støttes ikke",FALSE)),"Kontoen støttes ikke",IF(IFERROR(AND(A1326&gt;1,COUNTIF($A$3:$A$2002,A1326-1)=0),FALSE),"Nummeret hopper over",IF(OR(NOT(ISNUMBER(B1326)),B1326&lt;DATE(2027,1,1),B1326&gt;DATE(2027,12,31)),"Datoen er ikke i 2027",""))))))</f>
        <v/>
      </c>
    </row>
    <row r="1327">
      <c r="A1327" s="17" t="n"/>
      <c r="B1327" s="9" t="n"/>
      <c r="C1327" s="8" t="n"/>
      <c r="D1327" s="8" t="n"/>
      <c r="E1327" s="8" t="n"/>
      <c r="F1327" s="14" t="n"/>
      <c r="G1327" s="14" t="n"/>
      <c r="H1327" s="8" t="n"/>
      <c r="I1327" s="8" t="n"/>
      <c r="J1327" s="8" t="n"/>
      <c r="K1327" s="18">
        <f>IF(B1327="","",IFERROR(MONTH(B1327),""))</f>
        <v/>
      </c>
      <c r="L1327" s="5">
        <f>IF(COUNTA(A1327:J1327)=0,"",IF(E1327="","Mangler motkonto",IF((F1327="")=(G1327=""),"Fyll ut enten Inn eller Ut",IF(OR(IFERROR(INDEX('Kontoplan'!$D$3:$D$302,MATCH(D1327,'Kontoplan'!$H$3:$H$302,0))="Støttes ikke",FALSE),IFERROR(INDEX('Kontoplan'!$D$3:$D$302,MATCH(E1327,'Kontoplan'!$H$3:$H$302,0))="Støttes ikke",FALSE)),"Kontoen støttes ikke",IF(IFERROR(AND(A1327&gt;1,COUNTIF($A$3:$A$2002,A1327-1)=0),FALSE),"Nummeret hopper over",IF(OR(NOT(ISNUMBER(B1327)),B1327&lt;DATE(2027,1,1),B1327&gt;DATE(2027,12,31)),"Datoen er ikke i 2027",""))))))</f>
        <v/>
      </c>
    </row>
    <row r="1328">
      <c r="A1328" s="17" t="n"/>
      <c r="B1328" s="9" t="n"/>
      <c r="C1328" s="8" t="n"/>
      <c r="D1328" s="8" t="n"/>
      <c r="E1328" s="8" t="n"/>
      <c r="F1328" s="14" t="n"/>
      <c r="G1328" s="14" t="n"/>
      <c r="H1328" s="8" t="n"/>
      <c r="I1328" s="8" t="n"/>
      <c r="J1328" s="8" t="n"/>
      <c r="K1328" s="18">
        <f>IF(B1328="","",IFERROR(MONTH(B1328),""))</f>
        <v/>
      </c>
      <c r="L1328" s="5">
        <f>IF(COUNTA(A1328:J1328)=0,"",IF(E1328="","Mangler motkonto",IF((F1328="")=(G1328=""),"Fyll ut enten Inn eller Ut",IF(OR(IFERROR(INDEX('Kontoplan'!$D$3:$D$302,MATCH(D1328,'Kontoplan'!$H$3:$H$302,0))="Støttes ikke",FALSE),IFERROR(INDEX('Kontoplan'!$D$3:$D$302,MATCH(E1328,'Kontoplan'!$H$3:$H$302,0))="Støttes ikke",FALSE)),"Kontoen støttes ikke",IF(IFERROR(AND(A1328&gt;1,COUNTIF($A$3:$A$2002,A1328-1)=0),FALSE),"Nummeret hopper over",IF(OR(NOT(ISNUMBER(B1328)),B1328&lt;DATE(2027,1,1),B1328&gt;DATE(2027,12,31)),"Datoen er ikke i 2027",""))))))</f>
        <v/>
      </c>
    </row>
    <row r="1329">
      <c r="A1329" s="17" t="n"/>
      <c r="B1329" s="9" t="n"/>
      <c r="C1329" s="8" t="n"/>
      <c r="D1329" s="8" t="n"/>
      <c r="E1329" s="8" t="n"/>
      <c r="F1329" s="14" t="n"/>
      <c r="G1329" s="14" t="n"/>
      <c r="H1329" s="8" t="n"/>
      <c r="I1329" s="8" t="n"/>
      <c r="J1329" s="8" t="n"/>
      <c r="K1329" s="18">
        <f>IF(B1329="","",IFERROR(MONTH(B1329),""))</f>
        <v/>
      </c>
      <c r="L1329" s="5">
        <f>IF(COUNTA(A1329:J1329)=0,"",IF(E1329="","Mangler motkonto",IF((F1329="")=(G1329=""),"Fyll ut enten Inn eller Ut",IF(OR(IFERROR(INDEX('Kontoplan'!$D$3:$D$302,MATCH(D1329,'Kontoplan'!$H$3:$H$302,0))="Støttes ikke",FALSE),IFERROR(INDEX('Kontoplan'!$D$3:$D$302,MATCH(E1329,'Kontoplan'!$H$3:$H$302,0))="Støttes ikke",FALSE)),"Kontoen støttes ikke",IF(IFERROR(AND(A1329&gt;1,COUNTIF($A$3:$A$2002,A1329-1)=0),FALSE),"Nummeret hopper over",IF(OR(NOT(ISNUMBER(B1329)),B1329&lt;DATE(2027,1,1),B1329&gt;DATE(2027,12,31)),"Datoen er ikke i 2027",""))))))</f>
        <v/>
      </c>
    </row>
    <row r="1330">
      <c r="A1330" s="17" t="n"/>
      <c r="B1330" s="9" t="n"/>
      <c r="C1330" s="8" t="n"/>
      <c r="D1330" s="8" t="n"/>
      <c r="E1330" s="8" t="n"/>
      <c r="F1330" s="14" t="n"/>
      <c r="G1330" s="14" t="n"/>
      <c r="H1330" s="8" t="n"/>
      <c r="I1330" s="8" t="n"/>
      <c r="J1330" s="8" t="n"/>
      <c r="K1330" s="18">
        <f>IF(B1330="","",IFERROR(MONTH(B1330),""))</f>
        <v/>
      </c>
      <c r="L1330" s="5">
        <f>IF(COUNTA(A1330:J1330)=0,"",IF(E1330="","Mangler motkonto",IF((F1330="")=(G1330=""),"Fyll ut enten Inn eller Ut",IF(OR(IFERROR(INDEX('Kontoplan'!$D$3:$D$302,MATCH(D1330,'Kontoplan'!$H$3:$H$302,0))="Støttes ikke",FALSE),IFERROR(INDEX('Kontoplan'!$D$3:$D$302,MATCH(E1330,'Kontoplan'!$H$3:$H$302,0))="Støttes ikke",FALSE)),"Kontoen støttes ikke",IF(IFERROR(AND(A1330&gt;1,COUNTIF($A$3:$A$2002,A1330-1)=0),FALSE),"Nummeret hopper over",IF(OR(NOT(ISNUMBER(B1330)),B1330&lt;DATE(2027,1,1),B1330&gt;DATE(2027,12,31)),"Datoen er ikke i 2027",""))))))</f>
        <v/>
      </c>
    </row>
    <row r="1331">
      <c r="A1331" s="17" t="n"/>
      <c r="B1331" s="9" t="n"/>
      <c r="C1331" s="8" t="n"/>
      <c r="D1331" s="8" t="n"/>
      <c r="E1331" s="8" t="n"/>
      <c r="F1331" s="14" t="n"/>
      <c r="G1331" s="14" t="n"/>
      <c r="H1331" s="8" t="n"/>
      <c r="I1331" s="8" t="n"/>
      <c r="J1331" s="8" t="n"/>
      <c r="K1331" s="18">
        <f>IF(B1331="","",IFERROR(MONTH(B1331),""))</f>
        <v/>
      </c>
      <c r="L1331" s="5">
        <f>IF(COUNTA(A1331:J1331)=0,"",IF(E1331="","Mangler motkonto",IF((F1331="")=(G1331=""),"Fyll ut enten Inn eller Ut",IF(OR(IFERROR(INDEX('Kontoplan'!$D$3:$D$302,MATCH(D1331,'Kontoplan'!$H$3:$H$302,0))="Støttes ikke",FALSE),IFERROR(INDEX('Kontoplan'!$D$3:$D$302,MATCH(E1331,'Kontoplan'!$H$3:$H$302,0))="Støttes ikke",FALSE)),"Kontoen støttes ikke",IF(IFERROR(AND(A1331&gt;1,COUNTIF($A$3:$A$2002,A1331-1)=0),FALSE),"Nummeret hopper over",IF(OR(NOT(ISNUMBER(B1331)),B1331&lt;DATE(2027,1,1),B1331&gt;DATE(2027,12,31)),"Datoen er ikke i 2027",""))))))</f>
        <v/>
      </c>
    </row>
    <row r="1332">
      <c r="A1332" s="17" t="n"/>
      <c r="B1332" s="9" t="n"/>
      <c r="C1332" s="8" t="n"/>
      <c r="D1332" s="8" t="n"/>
      <c r="E1332" s="8" t="n"/>
      <c r="F1332" s="14" t="n"/>
      <c r="G1332" s="14" t="n"/>
      <c r="H1332" s="8" t="n"/>
      <c r="I1332" s="8" t="n"/>
      <c r="J1332" s="8" t="n"/>
      <c r="K1332" s="18">
        <f>IF(B1332="","",IFERROR(MONTH(B1332),""))</f>
        <v/>
      </c>
      <c r="L1332" s="5">
        <f>IF(COUNTA(A1332:J1332)=0,"",IF(E1332="","Mangler motkonto",IF((F1332="")=(G1332=""),"Fyll ut enten Inn eller Ut",IF(OR(IFERROR(INDEX('Kontoplan'!$D$3:$D$302,MATCH(D1332,'Kontoplan'!$H$3:$H$302,0))="Støttes ikke",FALSE),IFERROR(INDEX('Kontoplan'!$D$3:$D$302,MATCH(E1332,'Kontoplan'!$H$3:$H$302,0))="Støttes ikke",FALSE)),"Kontoen støttes ikke",IF(IFERROR(AND(A1332&gt;1,COUNTIF($A$3:$A$2002,A1332-1)=0),FALSE),"Nummeret hopper over",IF(OR(NOT(ISNUMBER(B1332)),B1332&lt;DATE(2027,1,1),B1332&gt;DATE(2027,12,31)),"Datoen er ikke i 2027",""))))))</f>
        <v/>
      </c>
    </row>
    <row r="1333">
      <c r="A1333" s="17" t="n"/>
      <c r="B1333" s="9" t="n"/>
      <c r="C1333" s="8" t="n"/>
      <c r="D1333" s="8" t="n"/>
      <c r="E1333" s="8" t="n"/>
      <c r="F1333" s="14" t="n"/>
      <c r="G1333" s="14" t="n"/>
      <c r="H1333" s="8" t="n"/>
      <c r="I1333" s="8" t="n"/>
      <c r="J1333" s="8" t="n"/>
      <c r="K1333" s="18">
        <f>IF(B1333="","",IFERROR(MONTH(B1333),""))</f>
        <v/>
      </c>
      <c r="L1333" s="5">
        <f>IF(COUNTA(A1333:J1333)=0,"",IF(E1333="","Mangler motkonto",IF((F1333="")=(G1333=""),"Fyll ut enten Inn eller Ut",IF(OR(IFERROR(INDEX('Kontoplan'!$D$3:$D$302,MATCH(D1333,'Kontoplan'!$H$3:$H$302,0))="Støttes ikke",FALSE),IFERROR(INDEX('Kontoplan'!$D$3:$D$302,MATCH(E1333,'Kontoplan'!$H$3:$H$302,0))="Støttes ikke",FALSE)),"Kontoen støttes ikke",IF(IFERROR(AND(A1333&gt;1,COUNTIF($A$3:$A$2002,A1333-1)=0),FALSE),"Nummeret hopper over",IF(OR(NOT(ISNUMBER(B1333)),B1333&lt;DATE(2027,1,1),B1333&gt;DATE(2027,12,31)),"Datoen er ikke i 2027",""))))))</f>
        <v/>
      </c>
    </row>
    <row r="1334">
      <c r="A1334" s="17" t="n"/>
      <c r="B1334" s="9" t="n"/>
      <c r="C1334" s="8" t="n"/>
      <c r="D1334" s="8" t="n"/>
      <c r="E1334" s="8" t="n"/>
      <c r="F1334" s="14" t="n"/>
      <c r="G1334" s="14" t="n"/>
      <c r="H1334" s="8" t="n"/>
      <c r="I1334" s="8" t="n"/>
      <c r="J1334" s="8" t="n"/>
      <c r="K1334" s="18">
        <f>IF(B1334="","",IFERROR(MONTH(B1334),""))</f>
        <v/>
      </c>
      <c r="L1334" s="5">
        <f>IF(COUNTA(A1334:J1334)=0,"",IF(E1334="","Mangler motkonto",IF((F1334="")=(G1334=""),"Fyll ut enten Inn eller Ut",IF(OR(IFERROR(INDEX('Kontoplan'!$D$3:$D$302,MATCH(D1334,'Kontoplan'!$H$3:$H$302,0))="Støttes ikke",FALSE),IFERROR(INDEX('Kontoplan'!$D$3:$D$302,MATCH(E1334,'Kontoplan'!$H$3:$H$302,0))="Støttes ikke",FALSE)),"Kontoen støttes ikke",IF(IFERROR(AND(A1334&gt;1,COUNTIF($A$3:$A$2002,A1334-1)=0),FALSE),"Nummeret hopper over",IF(OR(NOT(ISNUMBER(B1334)),B1334&lt;DATE(2027,1,1),B1334&gt;DATE(2027,12,31)),"Datoen er ikke i 2027",""))))))</f>
        <v/>
      </c>
    </row>
    <row r="1335">
      <c r="A1335" s="17" t="n"/>
      <c r="B1335" s="9" t="n"/>
      <c r="C1335" s="8" t="n"/>
      <c r="D1335" s="8" t="n"/>
      <c r="E1335" s="8" t="n"/>
      <c r="F1335" s="14" t="n"/>
      <c r="G1335" s="14" t="n"/>
      <c r="H1335" s="8" t="n"/>
      <c r="I1335" s="8" t="n"/>
      <c r="J1335" s="8" t="n"/>
      <c r="K1335" s="18">
        <f>IF(B1335="","",IFERROR(MONTH(B1335),""))</f>
        <v/>
      </c>
      <c r="L1335" s="5">
        <f>IF(COUNTA(A1335:J1335)=0,"",IF(E1335="","Mangler motkonto",IF((F1335="")=(G1335=""),"Fyll ut enten Inn eller Ut",IF(OR(IFERROR(INDEX('Kontoplan'!$D$3:$D$302,MATCH(D1335,'Kontoplan'!$H$3:$H$302,0))="Støttes ikke",FALSE),IFERROR(INDEX('Kontoplan'!$D$3:$D$302,MATCH(E1335,'Kontoplan'!$H$3:$H$302,0))="Støttes ikke",FALSE)),"Kontoen støttes ikke",IF(IFERROR(AND(A1335&gt;1,COUNTIF($A$3:$A$2002,A1335-1)=0),FALSE),"Nummeret hopper over",IF(OR(NOT(ISNUMBER(B1335)),B1335&lt;DATE(2027,1,1),B1335&gt;DATE(2027,12,31)),"Datoen er ikke i 2027",""))))))</f>
        <v/>
      </c>
    </row>
    <row r="1336">
      <c r="A1336" s="17" t="n"/>
      <c r="B1336" s="9" t="n"/>
      <c r="C1336" s="8" t="n"/>
      <c r="D1336" s="8" t="n"/>
      <c r="E1336" s="8" t="n"/>
      <c r="F1336" s="14" t="n"/>
      <c r="G1336" s="14" t="n"/>
      <c r="H1336" s="8" t="n"/>
      <c r="I1336" s="8" t="n"/>
      <c r="J1336" s="8" t="n"/>
      <c r="K1336" s="18">
        <f>IF(B1336="","",IFERROR(MONTH(B1336),""))</f>
        <v/>
      </c>
      <c r="L1336" s="5">
        <f>IF(COUNTA(A1336:J1336)=0,"",IF(E1336="","Mangler motkonto",IF((F1336="")=(G1336=""),"Fyll ut enten Inn eller Ut",IF(OR(IFERROR(INDEX('Kontoplan'!$D$3:$D$302,MATCH(D1336,'Kontoplan'!$H$3:$H$302,0))="Støttes ikke",FALSE),IFERROR(INDEX('Kontoplan'!$D$3:$D$302,MATCH(E1336,'Kontoplan'!$H$3:$H$302,0))="Støttes ikke",FALSE)),"Kontoen støttes ikke",IF(IFERROR(AND(A1336&gt;1,COUNTIF($A$3:$A$2002,A1336-1)=0),FALSE),"Nummeret hopper over",IF(OR(NOT(ISNUMBER(B1336)),B1336&lt;DATE(2027,1,1),B1336&gt;DATE(2027,12,31)),"Datoen er ikke i 2027",""))))))</f>
        <v/>
      </c>
    </row>
    <row r="1337">
      <c r="A1337" s="17" t="n"/>
      <c r="B1337" s="9" t="n"/>
      <c r="C1337" s="8" t="n"/>
      <c r="D1337" s="8" t="n"/>
      <c r="E1337" s="8" t="n"/>
      <c r="F1337" s="14" t="n"/>
      <c r="G1337" s="14" t="n"/>
      <c r="H1337" s="8" t="n"/>
      <c r="I1337" s="8" t="n"/>
      <c r="J1337" s="8" t="n"/>
      <c r="K1337" s="18">
        <f>IF(B1337="","",IFERROR(MONTH(B1337),""))</f>
        <v/>
      </c>
      <c r="L1337" s="5">
        <f>IF(COUNTA(A1337:J1337)=0,"",IF(E1337="","Mangler motkonto",IF((F1337="")=(G1337=""),"Fyll ut enten Inn eller Ut",IF(OR(IFERROR(INDEX('Kontoplan'!$D$3:$D$302,MATCH(D1337,'Kontoplan'!$H$3:$H$302,0))="Støttes ikke",FALSE),IFERROR(INDEX('Kontoplan'!$D$3:$D$302,MATCH(E1337,'Kontoplan'!$H$3:$H$302,0))="Støttes ikke",FALSE)),"Kontoen støttes ikke",IF(IFERROR(AND(A1337&gt;1,COUNTIF($A$3:$A$2002,A1337-1)=0),FALSE),"Nummeret hopper over",IF(OR(NOT(ISNUMBER(B1337)),B1337&lt;DATE(2027,1,1),B1337&gt;DATE(2027,12,31)),"Datoen er ikke i 2027",""))))))</f>
        <v/>
      </c>
    </row>
    <row r="1338">
      <c r="A1338" s="17" t="n"/>
      <c r="B1338" s="9" t="n"/>
      <c r="C1338" s="8" t="n"/>
      <c r="D1338" s="8" t="n"/>
      <c r="E1338" s="8" t="n"/>
      <c r="F1338" s="14" t="n"/>
      <c r="G1338" s="14" t="n"/>
      <c r="H1338" s="8" t="n"/>
      <c r="I1338" s="8" t="n"/>
      <c r="J1338" s="8" t="n"/>
      <c r="K1338" s="18">
        <f>IF(B1338="","",IFERROR(MONTH(B1338),""))</f>
        <v/>
      </c>
      <c r="L1338" s="5">
        <f>IF(COUNTA(A1338:J1338)=0,"",IF(E1338="","Mangler motkonto",IF((F1338="")=(G1338=""),"Fyll ut enten Inn eller Ut",IF(OR(IFERROR(INDEX('Kontoplan'!$D$3:$D$302,MATCH(D1338,'Kontoplan'!$H$3:$H$302,0))="Støttes ikke",FALSE),IFERROR(INDEX('Kontoplan'!$D$3:$D$302,MATCH(E1338,'Kontoplan'!$H$3:$H$302,0))="Støttes ikke",FALSE)),"Kontoen støttes ikke",IF(IFERROR(AND(A1338&gt;1,COUNTIF($A$3:$A$2002,A1338-1)=0),FALSE),"Nummeret hopper over",IF(OR(NOT(ISNUMBER(B1338)),B1338&lt;DATE(2027,1,1),B1338&gt;DATE(2027,12,31)),"Datoen er ikke i 2027",""))))))</f>
        <v/>
      </c>
    </row>
    <row r="1339">
      <c r="A1339" s="17" t="n"/>
      <c r="B1339" s="9" t="n"/>
      <c r="C1339" s="8" t="n"/>
      <c r="D1339" s="8" t="n"/>
      <c r="E1339" s="8" t="n"/>
      <c r="F1339" s="14" t="n"/>
      <c r="G1339" s="14" t="n"/>
      <c r="H1339" s="8" t="n"/>
      <c r="I1339" s="8" t="n"/>
      <c r="J1339" s="8" t="n"/>
      <c r="K1339" s="18">
        <f>IF(B1339="","",IFERROR(MONTH(B1339),""))</f>
        <v/>
      </c>
      <c r="L1339" s="5">
        <f>IF(COUNTA(A1339:J1339)=0,"",IF(E1339="","Mangler motkonto",IF((F1339="")=(G1339=""),"Fyll ut enten Inn eller Ut",IF(OR(IFERROR(INDEX('Kontoplan'!$D$3:$D$302,MATCH(D1339,'Kontoplan'!$H$3:$H$302,0))="Støttes ikke",FALSE),IFERROR(INDEX('Kontoplan'!$D$3:$D$302,MATCH(E1339,'Kontoplan'!$H$3:$H$302,0))="Støttes ikke",FALSE)),"Kontoen støttes ikke",IF(IFERROR(AND(A1339&gt;1,COUNTIF($A$3:$A$2002,A1339-1)=0),FALSE),"Nummeret hopper over",IF(OR(NOT(ISNUMBER(B1339)),B1339&lt;DATE(2027,1,1),B1339&gt;DATE(2027,12,31)),"Datoen er ikke i 2027",""))))))</f>
        <v/>
      </c>
    </row>
    <row r="1340">
      <c r="A1340" s="17" t="n"/>
      <c r="B1340" s="9" t="n"/>
      <c r="C1340" s="8" t="n"/>
      <c r="D1340" s="8" t="n"/>
      <c r="E1340" s="8" t="n"/>
      <c r="F1340" s="14" t="n"/>
      <c r="G1340" s="14" t="n"/>
      <c r="H1340" s="8" t="n"/>
      <c r="I1340" s="8" t="n"/>
      <c r="J1340" s="8" t="n"/>
      <c r="K1340" s="18">
        <f>IF(B1340="","",IFERROR(MONTH(B1340),""))</f>
        <v/>
      </c>
      <c r="L1340" s="5">
        <f>IF(COUNTA(A1340:J1340)=0,"",IF(E1340="","Mangler motkonto",IF((F1340="")=(G1340=""),"Fyll ut enten Inn eller Ut",IF(OR(IFERROR(INDEX('Kontoplan'!$D$3:$D$302,MATCH(D1340,'Kontoplan'!$H$3:$H$302,0))="Støttes ikke",FALSE),IFERROR(INDEX('Kontoplan'!$D$3:$D$302,MATCH(E1340,'Kontoplan'!$H$3:$H$302,0))="Støttes ikke",FALSE)),"Kontoen støttes ikke",IF(IFERROR(AND(A1340&gt;1,COUNTIF($A$3:$A$2002,A1340-1)=0),FALSE),"Nummeret hopper over",IF(OR(NOT(ISNUMBER(B1340)),B1340&lt;DATE(2027,1,1),B1340&gt;DATE(2027,12,31)),"Datoen er ikke i 2027",""))))))</f>
        <v/>
      </c>
    </row>
    <row r="1341">
      <c r="A1341" s="17" t="n"/>
      <c r="B1341" s="9" t="n"/>
      <c r="C1341" s="8" t="n"/>
      <c r="D1341" s="8" t="n"/>
      <c r="E1341" s="8" t="n"/>
      <c r="F1341" s="14" t="n"/>
      <c r="G1341" s="14" t="n"/>
      <c r="H1341" s="8" t="n"/>
      <c r="I1341" s="8" t="n"/>
      <c r="J1341" s="8" t="n"/>
      <c r="K1341" s="18">
        <f>IF(B1341="","",IFERROR(MONTH(B1341),""))</f>
        <v/>
      </c>
      <c r="L1341" s="5">
        <f>IF(COUNTA(A1341:J1341)=0,"",IF(E1341="","Mangler motkonto",IF((F1341="")=(G1341=""),"Fyll ut enten Inn eller Ut",IF(OR(IFERROR(INDEX('Kontoplan'!$D$3:$D$302,MATCH(D1341,'Kontoplan'!$H$3:$H$302,0))="Støttes ikke",FALSE),IFERROR(INDEX('Kontoplan'!$D$3:$D$302,MATCH(E1341,'Kontoplan'!$H$3:$H$302,0))="Støttes ikke",FALSE)),"Kontoen støttes ikke",IF(IFERROR(AND(A1341&gt;1,COUNTIF($A$3:$A$2002,A1341-1)=0),FALSE),"Nummeret hopper over",IF(OR(NOT(ISNUMBER(B1341)),B1341&lt;DATE(2027,1,1),B1341&gt;DATE(2027,12,31)),"Datoen er ikke i 2027",""))))))</f>
        <v/>
      </c>
    </row>
    <row r="1342">
      <c r="A1342" s="17" t="n"/>
      <c r="B1342" s="9" t="n"/>
      <c r="C1342" s="8" t="n"/>
      <c r="D1342" s="8" t="n"/>
      <c r="E1342" s="8" t="n"/>
      <c r="F1342" s="14" t="n"/>
      <c r="G1342" s="14" t="n"/>
      <c r="H1342" s="8" t="n"/>
      <c r="I1342" s="8" t="n"/>
      <c r="J1342" s="8" t="n"/>
      <c r="K1342" s="18">
        <f>IF(B1342="","",IFERROR(MONTH(B1342),""))</f>
        <v/>
      </c>
      <c r="L1342" s="5">
        <f>IF(COUNTA(A1342:J1342)=0,"",IF(E1342="","Mangler motkonto",IF((F1342="")=(G1342=""),"Fyll ut enten Inn eller Ut",IF(OR(IFERROR(INDEX('Kontoplan'!$D$3:$D$302,MATCH(D1342,'Kontoplan'!$H$3:$H$302,0))="Støttes ikke",FALSE),IFERROR(INDEX('Kontoplan'!$D$3:$D$302,MATCH(E1342,'Kontoplan'!$H$3:$H$302,0))="Støttes ikke",FALSE)),"Kontoen støttes ikke",IF(IFERROR(AND(A1342&gt;1,COUNTIF($A$3:$A$2002,A1342-1)=0),FALSE),"Nummeret hopper over",IF(OR(NOT(ISNUMBER(B1342)),B1342&lt;DATE(2027,1,1),B1342&gt;DATE(2027,12,31)),"Datoen er ikke i 2027",""))))))</f>
        <v/>
      </c>
    </row>
    <row r="1343">
      <c r="A1343" s="17" t="n"/>
      <c r="B1343" s="9" t="n"/>
      <c r="C1343" s="8" t="n"/>
      <c r="D1343" s="8" t="n"/>
      <c r="E1343" s="8" t="n"/>
      <c r="F1343" s="14" t="n"/>
      <c r="G1343" s="14" t="n"/>
      <c r="H1343" s="8" t="n"/>
      <c r="I1343" s="8" t="n"/>
      <c r="J1343" s="8" t="n"/>
      <c r="K1343" s="18">
        <f>IF(B1343="","",IFERROR(MONTH(B1343),""))</f>
        <v/>
      </c>
      <c r="L1343" s="5">
        <f>IF(COUNTA(A1343:J1343)=0,"",IF(E1343="","Mangler motkonto",IF((F1343="")=(G1343=""),"Fyll ut enten Inn eller Ut",IF(OR(IFERROR(INDEX('Kontoplan'!$D$3:$D$302,MATCH(D1343,'Kontoplan'!$H$3:$H$302,0))="Støttes ikke",FALSE),IFERROR(INDEX('Kontoplan'!$D$3:$D$302,MATCH(E1343,'Kontoplan'!$H$3:$H$302,0))="Støttes ikke",FALSE)),"Kontoen støttes ikke",IF(IFERROR(AND(A1343&gt;1,COUNTIF($A$3:$A$2002,A1343-1)=0),FALSE),"Nummeret hopper over",IF(OR(NOT(ISNUMBER(B1343)),B1343&lt;DATE(2027,1,1),B1343&gt;DATE(2027,12,31)),"Datoen er ikke i 2027",""))))))</f>
        <v/>
      </c>
    </row>
    <row r="1344">
      <c r="A1344" s="17" t="n"/>
      <c r="B1344" s="9" t="n"/>
      <c r="C1344" s="8" t="n"/>
      <c r="D1344" s="8" t="n"/>
      <c r="E1344" s="8" t="n"/>
      <c r="F1344" s="14" t="n"/>
      <c r="G1344" s="14" t="n"/>
      <c r="H1344" s="8" t="n"/>
      <c r="I1344" s="8" t="n"/>
      <c r="J1344" s="8" t="n"/>
      <c r="K1344" s="18">
        <f>IF(B1344="","",IFERROR(MONTH(B1344),""))</f>
        <v/>
      </c>
      <c r="L1344" s="5">
        <f>IF(COUNTA(A1344:J1344)=0,"",IF(E1344="","Mangler motkonto",IF((F1344="")=(G1344=""),"Fyll ut enten Inn eller Ut",IF(OR(IFERROR(INDEX('Kontoplan'!$D$3:$D$302,MATCH(D1344,'Kontoplan'!$H$3:$H$302,0))="Støttes ikke",FALSE),IFERROR(INDEX('Kontoplan'!$D$3:$D$302,MATCH(E1344,'Kontoplan'!$H$3:$H$302,0))="Støttes ikke",FALSE)),"Kontoen støttes ikke",IF(IFERROR(AND(A1344&gt;1,COUNTIF($A$3:$A$2002,A1344-1)=0),FALSE),"Nummeret hopper over",IF(OR(NOT(ISNUMBER(B1344)),B1344&lt;DATE(2027,1,1),B1344&gt;DATE(2027,12,31)),"Datoen er ikke i 2027",""))))))</f>
        <v/>
      </c>
    </row>
    <row r="1345">
      <c r="A1345" s="17" t="n"/>
      <c r="B1345" s="9" t="n"/>
      <c r="C1345" s="8" t="n"/>
      <c r="D1345" s="8" t="n"/>
      <c r="E1345" s="8" t="n"/>
      <c r="F1345" s="14" t="n"/>
      <c r="G1345" s="14" t="n"/>
      <c r="H1345" s="8" t="n"/>
      <c r="I1345" s="8" t="n"/>
      <c r="J1345" s="8" t="n"/>
      <c r="K1345" s="18">
        <f>IF(B1345="","",IFERROR(MONTH(B1345),""))</f>
        <v/>
      </c>
      <c r="L1345" s="5">
        <f>IF(COUNTA(A1345:J1345)=0,"",IF(E1345="","Mangler motkonto",IF((F1345="")=(G1345=""),"Fyll ut enten Inn eller Ut",IF(OR(IFERROR(INDEX('Kontoplan'!$D$3:$D$302,MATCH(D1345,'Kontoplan'!$H$3:$H$302,0))="Støttes ikke",FALSE),IFERROR(INDEX('Kontoplan'!$D$3:$D$302,MATCH(E1345,'Kontoplan'!$H$3:$H$302,0))="Støttes ikke",FALSE)),"Kontoen støttes ikke",IF(IFERROR(AND(A1345&gt;1,COUNTIF($A$3:$A$2002,A1345-1)=0),FALSE),"Nummeret hopper over",IF(OR(NOT(ISNUMBER(B1345)),B1345&lt;DATE(2027,1,1),B1345&gt;DATE(2027,12,31)),"Datoen er ikke i 2027",""))))))</f>
        <v/>
      </c>
    </row>
    <row r="1346">
      <c r="A1346" s="17" t="n"/>
      <c r="B1346" s="9" t="n"/>
      <c r="C1346" s="8" t="n"/>
      <c r="D1346" s="8" t="n"/>
      <c r="E1346" s="8" t="n"/>
      <c r="F1346" s="14" t="n"/>
      <c r="G1346" s="14" t="n"/>
      <c r="H1346" s="8" t="n"/>
      <c r="I1346" s="8" t="n"/>
      <c r="J1346" s="8" t="n"/>
      <c r="K1346" s="18">
        <f>IF(B1346="","",IFERROR(MONTH(B1346),""))</f>
        <v/>
      </c>
      <c r="L1346" s="5">
        <f>IF(COUNTA(A1346:J1346)=0,"",IF(E1346="","Mangler motkonto",IF((F1346="")=(G1346=""),"Fyll ut enten Inn eller Ut",IF(OR(IFERROR(INDEX('Kontoplan'!$D$3:$D$302,MATCH(D1346,'Kontoplan'!$H$3:$H$302,0))="Støttes ikke",FALSE),IFERROR(INDEX('Kontoplan'!$D$3:$D$302,MATCH(E1346,'Kontoplan'!$H$3:$H$302,0))="Støttes ikke",FALSE)),"Kontoen støttes ikke",IF(IFERROR(AND(A1346&gt;1,COUNTIF($A$3:$A$2002,A1346-1)=0),FALSE),"Nummeret hopper over",IF(OR(NOT(ISNUMBER(B1346)),B1346&lt;DATE(2027,1,1),B1346&gt;DATE(2027,12,31)),"Datoen er ikke i 2027",""))))))</f>
        <v/>
      </c>
    </row>
    <row r="1347">
      <c r="A1347" s="17" t="n"/>
      <c r="B1347" s="9" t="n"/>
      <c r="C1347" s="8" t="n"/>
      <c r="D1347" s="8" t="n"/>
      <c r="E1347" s="8" t="n"/>
      <c r="F1347" s="14" t="n"/>
      <c r="G1347" s="14" t="n"/>
      <c r="H1347" s="8" t="n"/>
      <c r="I1347" s="8" t="n"/>
      <c r="J1347" s="8" t="n"/>
      <c r="K1347" s="18">
        <f>IF(B1347="","",IFERROR(MONTH(B1347),""))</f>
        <v/>
      </c>
      <c r="L1347" s="5">
        <f>IF(COUNTA(A1347:J1347)=0,"",IF(E1347="","Mangler motkonto",IF((F1347="")=(G1347=""),"Fyll ut enten Inn eller Ut",IF(OR(IFERROR(INDEX('Kontoplan'!$D$3:$D$302,MATCH(D1347,'Kontoplan'!$H$3:$H$302,0))="Støttes ikke",FALSE),IFERROR(INDEX('Kontoplan'!$D$3:$D$302,MATCH(E1347,'Kontoplan'!$H$3:$H$302,0))="Støttes ikke",FALSE)),"Kontoen støttes ikke",IF(IFERROR(AND(A1347&gt;1,COUNTIF($A$3:$A$2002,A1347-1)=0),FALSE),"Nummeret hopper over",IF(OR(NOT(ISNUMBER(B1347)),B1347&lt;DATE(2027,1,1),B1347&gt;DATE(2027,12,31)),"Datoen er ikke i 2027",""))))))</f>
        <v/>
      </c>
    </row>
    <row r="1348">
      <c r="A1348" s="17" t="n"/>
      <c r="B1348" s="9" t="n"/>
      <c r="C1348" s="8" t="n"/>
      <c r="D1348" s="8" t="n"/>
      <c r="E1348" s="8" t="n"/>
      <c r="F1348" s="14" t="n"/>
      <c r="G1348" s="14" t="n"/>
      <c r="H1348" s="8" t="n"/>
      <c r="I1348" s="8" t="n"/>
      <c r="J1348" s="8" t="n"/>
      <c r="K1348" s="18">
        <f>IF(B1348="","",IFERROR(MONTH(B1348),""))</f>
        <v/>
      </c>
      <c r="L1348" s="5">
        <f>IF(COUNTA(A1348:J1348)=0,"",IF(E1348="","Mangler motkonto",IF((F1348="")=(G1348=""),"Fyll ut enten Inn eller Ut",IF(OR(IFERROR(INDEX('Kontoplan'!$D$3:$D$302,MATCH(D1348,'Kontoplan'!$H$3:$H$302,0))="Støttes ikke",FALSE),IFERROR(INDEX('Kontoplan'!$D$3:$D$302,MATCH(E1348,'Kontoplan'!$H$3:$H$302,0))="Støttes ikke",FALSE)),"Kontoen støttes ikke",IF(IFERROR(AND(A1348&gt;1,COUNTIF($A$3:$A$2002,A1348-1)=0),FALSE),"Nummeret hopper over",IF(OR(NOT(ISNUMBER(B1348)),B1348&lt;DATE(2027,1,1),B1348&gt;DATE(2027,12,31)),"Datoen er ikke i 2027",""))))))</f>
        <v/>
      </c>
    </row>
    <row r="1349">
      <c r="A1349" s="17" t="n"/>
      <c r="B1349" s="9" t="n"/>
      <c r="C1349" s="8" t="n"/>
      <c r="D1349" s="8" t="n"/>
      <c r="E1349" s="8" t="n"/>
      <c r="F1349" s="14" t="n"/>
      <c r="G1349" s="14" t="n"/>
      <c r="H1349" s="8" t="n"/>
      <c r="I1349" s="8" t="n"/>
      <c r="J1349" s="8" t="n"/>
      <c r="K1349" s="18">
        <f>IF(B1349="","",IFERROR(MONTH(B1349),""))</f>
        <v/>
      </c>
      <c r="L1349" s="5">
        <f>IF(COUNTA(A1349:J1349)=0,"",IF(E1349="","Mangler motkonto",IF((F1349="")=(G1349=""),"Fyll ut enten Inn eller Ut",IF(OR(IFERROR(INDEX('Kontoplan'!$D$3:$D$302,MATCH(D1349,'Kontoplan'!$H$3:$H$302,0))="Støttes ikke",FALSE),IFERROR(INDEX('Kontoplan'!$D$3:$D$302,MATCH(E1349,'Kontoplan'!$H$3:$H$302,0))="Støttes ikke",FALSE)),"Kontoen støttes ikke",IF(IFERROR(AND(A1349&gt;1,COUNTIF($A$3:$A$2002,A1349-1)=0),FALSE),"Nummeret hopper over",IF(OR(NOT(ISNUMBER(B1349)),B1349&lt;DATE(2027,1,1),B1349&gt;DATE(2027,12,31)),"Datoen er ikke i 2027",""))))))</f>
        <v/>
      </c>
    </row>
    <row r="1350">
      <c r="A1350" s="17" t="n"/>
      <c r="B1350" s="9" t="n"/>
      <c r="C1350" s="8" t="n"/>
      <c r="D1350" s="8" t="n"/>
      <c r="E1350" s="8" t="n"/>
      <c r="F1350" s="14" t="n"/>
      <c r="G1350" s="14" t="n"/>
      <c r="H1350" s="8" t="n"/>
      <c r="I1350" s="8" t="n"/>
      <c r="J1350" s="8" t="n"/>
      <c r="K1350" s="18">
        <f>IF(B1350="","",IFERROR(MONTH(B1350),""))</f>
        <v/>
      </c>
      <c r="L1350" s="5">
        <f>IF(COUNTA(A1350:J1350)=0,"",IF(E1350="","Mangler motkonto",IF((F1350="")=(G1350=""),"Fyll ut enten Inn eller Ut",IF(OR(IFERROR(INDEX('Kontoplan'!$D$3:$D$302,MATCH(D1350,'Kontoplan'!$H$3:$H$302,0))="Støttes ikke",FALSE),IFERROR(INDEX('Kontoplan'!$D$3:$D$302,MATCH(E1350,'Kontoplan'!$H$3:$H$302,0))="Støttes ikke",FALSE)),"Kontoen støttes ikke",IF(IFERROR(AND(A1350&gt;1,COUNTIF($A$3:$A$2002,A1350-1)=0),FALSE),"Nummeret hopper over",IF(OR(NOT(ISNUMBER(B1350)),B1350&lt;DATE(2027,1,1),B1350&gt;DATE(2027,12,31)),"Datoen er ikke i 2027",""))))))</f>
        <v/>
      </c>
    </row>
    <row r="1351">
      <c r="A1351" s="17" t="n"/>
      <c r="B1351" s="9" t="n"/>
      <c r="C1351" s="8" t="n"/>
      <c r="D1351" s="8" t="n"/>
      <c r="E1351" s="8" t="n"/>
      <c r="F1351" s="14" t="n"/>
      <c r="G1351" s="14" t="n"/>
      <c r="H1351" s="8" t="n"/>
      <c r="I1351" s="8" t="n"/>
      <c r="J1351" s="8" t="n"/>
      <c r="K1351" s="18">
        <f>IF(B1351="","",IFERROR(MONTH(B1351),""))</f>
        <v/>
      </c>
      <c r="L1351" s="5">
        <f>IF(COUNTA(A1351:J1351)=0,"",IF(E1351="","Mangler motkonto",IF((F1351="")=(G1351=""),"Fyll ut enten Inn eller Ut",IF(OR(IFERROR(INDEX('Kontoplan'!$D$3:$D$302,MATCH(D1351,'Kontoplan'!$H$3:$H$302,0))="Støttes ikke",FALSE),IFERROR(INDEX('Kontoplan'!$D$3:$D$302,MATCH(E1351,'Kontoplan'!$H$3:$H$302,0))="Støttes ikke",FALSE)),"Kontoen støttes ikke",IF(IFERROR(AND(A1351&gt;1,COUNTIF($A$3:$A$2002,A1351-1)=0),FALSE),"Nummeret hopper over",IF(OR(NOT(ISNUMBER(B1351)),B1351&lt;DATE(2027,1,1),B1351&gt;DATE(2027,12,31)),"Datoen er ikke i 2027",""))))))</f>
        <v/>
      </c>
    </row>
    <row r="1352">
      <c r="A1352" s="17" t="n"/>
      <c r="B1352" s="9" t="n"/>
      <c r="C1352" s="8" t="n"/>
      <c r="D1352" s="8" t="n"/>
      <c r="E1352" s="8" t="n"/>
      <c r="F1352" s="14" t="n"/>
      <c r="G1352" s="14" t="n"/>
      <c r="H1352" s="8" t="n"/>
      <c r="I1352" s="8" t="n"/>
      <c r="J1352" s="8" t="n"/>
      <c r="K1352" s="18">
        <f>IF(B1352="","",IFERROR(MONTH(B1352),""))</f>
        <v/>
      </c>
      <c r="L1352" s="5">
        <f>IF(COUNTA(A1352:J1352)=0,"",IF(E1352="","Mangler motkonto",IF((F1352="")=(G1352=""),"Fyll ut enten Inn eller Ut",IF(OR(IFERROR(INDEX('Kontoplan'!$D$3:$D$302,MATCH(D1352,'Kontoplan'!$H$3:$H$302,0))="Støttes ikke",FALSE),IFERROR(INDEX('Kontoplan'!$D$3:$D$302,MATCH(E1352,'Kontoplan'!$H$3:$H$302,0))="Støttes ikke",FALSE)),"Kontoen støttes ikke",IF(IFERROR(AND(A1352&gt;1,COUNTIF($A$3:$A$2002,A1352-1)=0),FALSE),"Nummeret hopper over",IF(OR(NOT(ISNUMBER(B1352)),B1352&lt;DATE(2027,1,1),B1352&gt;DATE(2027,12,31)),"Datoen er ikke i 2027",""))))))</f>
        <v/>
      </c>
    </row>
    <row r="1353">
      <c r="A1353" s="17" t="n"/>
      <c r="B1353" s="9" t="n"/>
      <c r="C1353" s="8" t="n"/>
      <c r="D1353" s="8" t="n"/>
      <c r="E1353" s="8" t="n"/>
      <c r="F1353" s="14" t="n"/>
      <c r="G1353" s="14" t="n"/>
      <c r="H1353" s="8" t="n"/>
      <c r="I1353" s="8" t="n"/>
      <c r="J1353" s="8" t="n"/>
      <c r="K1353" s="18">
        <f>IF(B1353="","",IFERROR(MONTH(B1353),""))</f>
        <v/>
      </c>
      <c r="L1353" s="5">
        <f>IF(COUNTA(A1353:J1353)=0,"",IF(E1353="","Mangler motkonto",IF((F1353="")=(G1353=""),"Fyll ut enten Inn eller Ut",IF(OR(IFERROR(INDEX('Kontoplan'!$D$3:$D$302,MATCH(D1353,'Kontoplan'!$H$3:$H$302,0))="Støttes ikke",FALSE),IFERROR(INDEX('Kontoplan'!$D$3:$D$302,MATCH(E1353,'Kontoplan'!$H$3:$H$302,0))="Støttes ikke",FALSE)),"Kontoen støttes ikke",IF(IFERROR(AND(A1353&gt;1,COUNTIF($A$3:$A$2002,A1353-1)=0),FALSE),"Nummeret hopper over",IF(OR(NOT(ISNUMBER(B1353)),B1353&lt;DATE(2027,1,1),B1353&gt;DATE(2027,12,31)),"Datoen er ikke i 2027",""))))))</f>
        <v/>
      </c>
    </row>
    <row r="1354">
      <c r="A1354" s="17" t="n"/>
      <c r="B1354" s="9" t="n"/>
      <c r="C1354" s="8" t="n"/>
      <c r="D1354" s="8" t="n"/>
      <c r="E1354" s="8" t="n"/>
      <c r="F1354" s="14" t="n"/>
      <c r="G1354" s="14" t="n"/>
      <c r="H1354" s="8" t="n"/>
      <c r="I1354" s="8" t="n"/>
      <c r="J1354" s="8" t="n"/>
      <c r="K1354" s="18">
        <f>IF(B1354="","",IFERROR(MONTH(B1354),""))</f>
        <v/>
      </c>
      <c r="L1354" s="5">
        <f>IF(COUNTA(A1354:J1354)=0,"",IF(E1354="","Mangler motkonto",IF((F1354="")=(G1354=""),"Fyll ut enten Inn eller Ut",IF(OR(IFERROR(INDEX('Kontoplan'!$D$3:$D$302,MATCH(D1354,'Kontoplan'!$H$3:$H$302,0))="Støttes ikke",FALSE),IFERROR(INDEX('Kontoplan'!$D$3:$D$302,MATCH(E1354,'Kontoplan'!$H$3:$H$302,0))="Støttes ikke",FALSE)),"Kontoen støttes ikke",IF(IFERROR(AND(A1354&gt;1,COUNTIF($A$3:$A$2002,A1354-1)=0),FALSE),"Nummeret hopper over",IF(OR(NOT(ISNUMBER(B1354)),B1354&lt;DATE(2027,1,1),B1354&gt;DATE(2027,12,31)),"Datoen er ikke i 2027",""))))))</f>
        <v/>
      </c>
    </row>
    <row r="1355">
      <c r="A1355" s="17" t="n"/>
      <c r="B1355" s="9" t="n"/>
      <c r="C1355" s="8" t="n"/>
      <c r="D1355" s="8" t="n"/>
      <c r="E1355" s="8" t="n"/>
      <c r="F1355" s="14" t="n"/>
      <c r="G1355" s="14" t="n"/>
      <c r="H1355" s="8" t="n"/>
      <c r="I1355" s="8" t="n"/>
      <c r="J1355" s="8" t="n"/>
      <c r="K1355" s="18">
        <f>IF(B1355="","",IFERROR(MONTH(B1355),""))</f>
        <v/>
      </c>
      <c r="L1355" s="5">
        <f>IF(COUNTA(A1355:J1355)=0,"",IF(E1355="","Mangler motkonto",IF((F1355="")=(G1355=""),"Fyll ut enten Inn eller Ut",IF(OR(IFERROR(INDEX('Kontoplan'!$D$3:$D$302,MATCH(D1355,'Kontoplan'!$H$3:$H$302,0))="Støttes ikke",FALSE),IFERROR(INDEX('Kontoplan'!$D$3:$D$302,MATCH(E1355,'Kontoplan'!$H$3:$H$302,0))="Støttes ikke",FALSE)),"Kontoen støttes ikke",IF(IFERROR(AND(A1355&gt;1,COUNTIF($A$3:$A$2002,A1355-1)=0),FALSE),"Nummeret hopper over",IF(OR(NOT(ISNUMBER(B1355)),B1355&lt;DATE(2027,1,1),B1355&gt;DATE(2027,12,31)),"Datoen er ikke i 2027",""))))))</f>
        <v/>
      </c>
    </row>
    <row r="1356">
      <c r="A1356" s="17" t="n"/>
      <c r="B1356" s="9" t="n"/>
      <c r="C1356" s="8" t="n"/>
      <c r="D1356" s="8" t="n"/>
      <c r="E1356" s="8" t="n"/>
      <c r="F1356" s="14" t="n"/>
      <c r="G1356" s="14" t="n"/>
      <c r="H1356" s="8" t="n"/>
      <c r="I1356" s="8" t="n"/>
      <c r="J1356" s="8" t="n"/>
      <c r="K1356" s="18">
        <f>IF(B1356="","",IFERROR(MONTH(B1356),""))</f>
        <v/>
      </c>
      <c r="L1356" s="5">
        <f>IF(COUNTA(A1356:J1356)=0,"",IF(E1356="","Mangler motkonto",IF((F1356="")=(G1356=""),"Fyll ut enten Inn eller Ut",IF(OR(IFERROR(INDEX('Kontoplan'!$D$3:$D$302,MATCH(D1356,'Kontoplan'!$H$3:$H$302,0))="Støttes ikke",FALSE),IFERROR(INDEX('Kontoplan'!$D$3:$D$302,MATCH(E1356,'Kontoplan'!$H$3:$H$302,0))="Støttes ikke",FALSE)),"Kontoen støttes ikke",IF(IFERROR(AND(A1356&gt;1,COUNTIF($A$3:$A$2002,A1356-1)=0),FALSE),"Nummeret hopper over",IF(OR(NOT(ISNUMBER(B1356)),B1356&lt;DATE(2027,1,1),B1356&gt;DATE(2027,12,31)),"Datoen er ikke i 2027",""))))))</f>
        <v/>
      </c>
    </row>
    <row r="1357">
      <c r="A1357" s="17" t="n"/>
      <c r="B1357" s="9" t="n"/>
      <c r="C1357" s="8" t="n"/>
      <c r="D1357" s="8" t="n"/>
      <c r="E1357" s="8" t="n"/>
      <c r="F1357" s="14" t="n"/>
      <c r="G1357" s="14" t="n"/>
      <c r="H1357" s="8" t="n"/>
      <c r="I1357" s="8" t="n"/>
      <c r="J1357" s="8" t="n"/>
      <c r="K1357" s="18">
        <f>IF(B1357="","",IFERROR(MONTH(B1357),""))</f>
        <v/>
      </c>
      <c r="L1357" s="5">
        <f>IF(COUNTA(A1357:J1357)=0,"",IF(E1357="","Mangler motkonto",IF((F1357="")=(G1357=""),"Fyll ut enten Inn eller Ut",IF(OR(IFERROR(INDEX('Kontoplan'!$D$3:$D$302,MATCH(D1357,'Kontoplan'!$H$3:$H$302,0))="Støttes ikke",FALSE),IFERROR(INDEX('Kontoplan'!$D$3:$D$302,MATCH(E1357,'Kontoplan'!$H$3:$H$302,0))="Støttes ikke",FALSE)),"Kontoen støttes ikke",IF(IFERROR(AND(A1357&gt;1,COUNTIF($A$3:$A$2002,A1357-1)=0),FALSE),"Nummeret hopper over",IF(OR(NOT(ISNUMBER(B1357)),B1357&lt;DATE(2027,1,1),B1357&gt;DATE(2027,12,31)),"Datoen er ikke i 2027",""))))))</f>
        <v/>
      </c>
    </row>
    <row r="1358">
      <c r="A1358" s="17" t="n"/>
      <c r="B1358" s="9" t="n"/>
      <c r="C1358" s="8" t="n"/>
      <c r="D1358" s="8" t="n"/>
      <c r="E1358" s="8" t="n"/>
      <c r="F1358" s="14" t="n"/>
      <c r="G1358" s="14" t="n"/>
      <c r="H1358" s="8" t="n"/>
      <c r="I1358" s="8" t="n"/>
      <c r="J1358" s="8" t="n"/>
      <c r="K1358" s="18">
        <f>IF(B1358="","",IFERROR(MONTH(B1358),""))</f>
        <v/>
      </c>
      <c r="L1358" s="5">
        <f>IF(COUNTA(A1358:J1358)=0,"",IF(E1358="","Mangler motkonto",IF((F1358="")=(G1358=""),"Fyll ut enten Inn eller Ut",IF(OR(IFERROR(INDEX('Kontoplan'!$D$3:$D$302,MATCH(D1358,'Kontoplan'!$H$3:$H$302,0))="Støttes ikke",FALSE),IFERROR(INDEX('Kontoplan'!$D$3:$D$302,MATCH(E1358,'Kontoplan'!$H$3:$H$302,0))="Støttes ikke",FALSE)),"Kontoen støttes ikke",IF(IFERROR(AND(A1358&gt;1,COUNTIF($A$3:$A$2002,A1358-1)=0),FALSE),"Nummeret hopper over",IF(OR(NOT(ISNUMBER(B1358)),B1358&lt;DATE(2027,1,1),B1358&gt;DATE(2027,12,31)),"Datoen er ikke i 2027",""))))))</f>
        <v/>
      </c>
    </row>
    <row r="1359">
      <c r="A1359" s="17" t="n"/>
      <c r="B1359" s="9" t="n"/>
      <c r="C1359" s="8" t="n"/>
      <c r="D1359" s="8" t="n"/>
      <c r="E1359" s="8" t="n"/>
      <c r="F1359" s="14" t="n"/>
      <c r="G1359" s="14" t="n"/>
      <c r="H1359" s="8" t="n"/>
      <c r="I1359" s="8" t="n"/>
      <c r="J1359" s="8" t="n"/>
      <c r="K1359" s="18">
        <f>IF(B1359="","",IFERROR(MONTH(B1359),""))</f>
        <v/>
      </c>
      <c r="L1359" s="5">
        <f>IF(COUNTA(A1359:J1359)=0,"",IF(E1359="","Mangler motkonto",IF((F1359="")=(G1359=""),"Fyll ut enten Inn eller Ut",IF(OR(IFERROR(INDEX('Kontoplan'!$D$3:$D$302,MATCH(D1359,'Kontoplan'!$H$3:$H$302,0))="Støttes ikke",FALSE),IFERROR(INDEX('Kontoplan'!$D$3:$D$302,MATCH(E1359,'Kontoplan'!$H$3:$H$302,0))="Støttes ikke",FALSE)),"Kontoen støttes ikke",IF(IFERROR(AND(A1359&gt;1,COUNTIF($A$3:$A$2002,A1359-1)=0),FALSE),"Nummeret hopper over",IF(OR(NOT(ISNUMBER(B1359)),B1359&lt;DATE(2027,1,1),B1359&gt;DATE(2027,12,31)),"Datoen er ikke i 2027",""))))))</f>
        <v/>
      </c>
    </row>
    <row r="1360">
      <c r="A1360" s="17" t="n"/>
      <c r="B1360" s="9" t="n"/>
      <c r="C1360" s="8" t="n"/>
      <c r="D1360" s="8" t="n"/>
      <c r="E1360" s="8" t="n"/>
      <c r="F1360" s="14" t="n"/>
      <c r="G1360" s="14" t="n"/>
      <c r="H1360" s="8" t="n"/>
      <c r="I1360" s="8" t="n"/>
      <c r="J1360" s="8" t="n"/>
      <c r="K1360" s="18">
        <f>IF(B1360="","",IFERROR(MONTH(B1360),""))</f>
        <v/>
      </c>
      <c r="L1360" s="5">
        <f>IF(COUNTA(A1360:J1360)=0,"",IF(E1360="","Mangler motkonto",IF((F1360="")=(G1360=""),"Fyll ut enten Inn eller Ut",IF(OR(IFERROR(INDEX('Kontoplan'!$D$3:$D$302,MATCH(D1360,'Kontoplan'!$H$3:$H$302,0))="Støttes ikke",FALSE),IFERROR(INDEX('Kontoplan'!$D$3:$D$302,MATCH(E1360,'Kontoplan'!$H$3:$H$302,0))="Støttes ikke",FALSE)),"Kontoen støttes ikke",IF(IFERROR(AND(A1360&gt;1,COUNTIF($A$3:$A$2002,A1360-1)=0),FALSE),"Nummeret hopper over",IF(OR(NOT(ISNUMBER(B1360)),B1360&lt;DATE(2027,1,1),B1360&gt;DATE(2027,12,31)),"Datoen er ikke i 2027",""))))))</f>
        <v/>
      </c>
    </row>
    <row r="1361">
      <c r="A1361" s="17" t="n"/>
      <c r="B1361" s="9" t="n"/>
      <c r="C1361" s="8" t="n"/>
      <c r="D1361" s="8" t="n"/>
      <c r="E1361" s="8" t="n"/>
      <c r="F1361" s="14" t="n"/>
      <c r="G1361" s="14" t="n"/>
      <c r="H1361" s="8" t="n"/>
      <c r="I1361" s="8" t="n"/>
      <c r="J1361" s="8" t="n"/>
      <c r="K1361" s="18">
        <f>IF(B1361="","",IFERROR(MONTH(B1361),""))</f>
        <v/>
      </c>
      <c r="L1361" s="5">
        <f>IF(COUNTA(A1361:J1361)=0,"",IF(E1361="","Mangler motkonto",IF((F1361="")=(G1361=""),"Fyll ut enten Inn eller Ut",IF(OR(IFERROR(INDEX('Kontoplan'!$D$3:$D$302,MATCH(D1361,'Kontoplan'!$H$3:$H$302,0))="Støttes ikke",FALSE),IFERROR(INDEX('Kontoplan'!$D$3:$D$302,MATCH(E1361,'Kontoplan'!$H$3:$H$302,0))="Støttes ikke",FALSE)),"Kontoen støttes ikke",IF(IFERROR(AND(A1361&gt;1,COUNTIF($A$3:$A$2002,A1361-1)=0),FALSE),"Nummeret hopper over",IF(OR(NOT(ISNUMBER(B1361)),B1361&lt;DATE(2027,1,1),B1361&gt;DATE(2027,12,31)),"Datoen er ikke i 2027",""))))))</f>
        <v/>
      </c>
    </row>
    <row r="1362">
      <c r="A1362" s="17" t="n"/>
      <c r="B1362" s="9" t="n"/>
      <c r="C1362" s="8" t="n"/>
      <c r="D1362" s="8" t="n"/>
      <c r="E1362" s="8" t="n"/>
      <c r="F1362" s="14" t="n"/>
      <c r="G1362" s="14" t="n"/>
      <c r="H1362" s="8" t="n"/>
      <c r="I1362" s="8" t="n"/>
      <c r="J1362" s="8" t="n"/>
      <c r="K1362" s="18">
        <f>IF(B1362="","",IFERROR(MONTH(B1362),""))</f>
        <v/>
      </c>
      <c r="L1362" s="5">
        <f>IF(COUNTA(A1362:J1362)=0,"",IF(E1362="","Mangler motkonto",IF((F1362="")=(G1362=""),"Fyll ut enten Inn eller Ut",IF(OR(IFERROR(INDEX('Kontoplan'!$D$3:$D$302,MATCH(D1362,'Kontoplan'!$H$3:$H$302,0))="Støttes ikke",FALSE),IFERROR(INDEX('Kontoplan'!$D$3:$D$302,MATCH(E1362,'Kontoplan'!$H$3:$H$302,0))="Støttes ikke",FALSE)),"Kontoen støttes ikke",IF(IFERROR(AND(A1362&gt;1,COUNTIF($A$3:$A$2002,A1362-1)=0),FALSE),"Nummeret hopper over",IF(OR(NOT(ISNUMBER(B1362)),B1362&lt;DATE(2027,1,1),B1362&gt;DATE(2027,12,31)),"Datoen er ikke i 2027",""))))))</f>
        <v/>
      </c>
    </row>
    <row r="1363">
      <c r="A1363" s="17" t="n"/>
      <c r="B1363" s="9" t="n"/>
      <c r="C1363" s="8" t="n"/>
      <c r="D1363" s="8" t="n"/>
      <c r="E1363" s="8" t="n"/>
      <c r="F1363" s="14" t="n"/>
      <c r="G1363" s="14" t="n"/>
      <c r="H1363" s="8" t="n"/>
      <c r="I1363" s="8" t="n"/>
      <c r="J1363" s="8" t="n"/>
      <c r="K1363" s="18">
        <f>IF(B1363="","",IFERROR(MONTH(B1363),""))</f>
        <v/>
      </c>
      <c r="L1363" s="5">
        <f>IF(COUNTA(A1363:J1363)=0,"",IF(E1363="","Mangler motkonto",IF((F1363="")=(G1363=""),"Fyll ut enten Inn eller Ut",IF(OR(IFERROR(INDEX('Kontoplan'!$D$3:$D$302,MATCH(D1363,'Kontoplan'!$H$3:$H$302,0))="Støttes ikke",FALSE),IFERROR(INDEX('Kontoplan'!$D$3:$D$302,MATCH(E1363,'Kontoplan'!$H$3:$H$302,0))="Støttes ikke",FALSE)),"Kontoen støttes ikke",IF(IFERROR(AND(A1363&gt;1,COUNTIF($A$3:$A$2002,A1363-1)=0),FALSE),"Nummeret hopper over",IF(OR(NOT(ISNUMBER(B1363)),B1363&lt;DATE(2027,1,1),B1363&gt;DATE(2027,12,31)),"Datoen er ikke i 2027",""))))))</f>
        <v/>
      </c>
    </row>
    <row r="1364">
      <c r="A1364" s="17" t="n"/>
      <c r="B1364" s="9" t="n"/>
      <c r="C1364" s="8" t="n"/>
      <c r="D1364" s="8" t="n"/>
      <c r="E1364" s="8" t="n"/>
      <c r="F1364" s="14" t="n"/>
      <c r="G1364" s="14" t="n"/>
      <c r="H1364" s="8" t="n"/>
      <c r="I1364" s="8" t="n"/>
      <c r="J1364" s="8" t="n"/>
      <c r="K1364" s="18">
        <f>IF(B1364="","",IFERROR(MONTH(B1364),""))</f>
        <v/>
      </c>
      <c r="L1364" s="5">
        <f>IF(COUNTA(A1364:J1364)=0,"",IF(E1364="","Mangler motkonto",IF((F1364="")=(G1364=""),"Fyll ut enten Inn eller Ut",IF(OR(IFERROR(INDEX('Kontoplan'!$D$3:$D$302,MATCH(D1364,'Kontoplan'!$H$3:$H$302,0))="Støttes ikke",FALSE),IFERROR(INDEX('Kontoplan'!$D$3:$D$302,MATCH(E1364,'Kontoplan'!$H$3:$H$302,0))="Støttes ikke",FALSE)),"Kontoen støttes ikke",IF(IFERROR(AND(A1364&gt;1,COUNTIF($A$3:$A$2002,A1364-1)=0),FALSE),"Nummeret hopper over",IF(OR(NOT(ISNUMBER(B1364)),B1364&lt;DATE(2027,1,1),B1364&gt;DATE(2027,12,31)),"Datoen er ikke i 2027",""))))))</f>
        <v/>
      </c>
    </row>
    <row r="1365">
      <c r="A1365" s="17" t="n"/>
      <c r="B1365" s="9" t="n"/>
      <c r="C1365" s="8" t="n"/>
      <c r="D1365" s="8" t="n"/>
      <c r="E1365" s="8" t="n"/>
      <c r="F1365" s="14" t="n"/>
      <c r="G1365" s="14" t="n"/>
      <c r="H1365" s="8" t="n"/>
      <c r="I1365" s="8" t="n"/>
      <c r="J1365" s="8" t="n"/>
      <c r="K1365" s="18">
        <f>IF(B1365="","",IFERROR(MONTH(B1365),""))</f>
        <v/>
      </c>
      <c r="L1365" s="5">
        <f>IF(COUNTA(A1365:J1365)=0,"",IF(E1365="","Mangler motkonto",IF((F1365="")=(G1365=""),"Fyll ut enten Inn eller Ut",IF(OR(IFERROR(INDEX('Kontoplan'!$D$3:$D$302,MATCH(D1365,'Kontoplan'!$H$3:$H$302,0))="Støttes ikke",FALSE),IFERROR(INDEX('Kontoplan'!$D$3:$D$302,MATCH(E1365,'Kontoplan'!$H$3:$H$302,0))="Støttes ikke",FALSE)),"Kontoen støttes ikke",IF(IFERROR(AND(A1365&gt;1,COUNTIF($A$3:$A$2002,A1365-1)=0),FALSE),"Nummeret hopper over",IF(OR(NOT(ISNUMBER(B1365)),B1365&lt;DATE(2027,1,1),B1365&gt;DATE(2027,12,31)),"Datoen er ikke i 2027",""))))))</f>
        <v/>
      </c>
    </row>
    <row r="1366">
      <c r="A1366" s="17" t="n"/>
      <c r="B1366" s="9" t="n"/>
      <c r="C1366" s="8" t="n"/>
      <c r="D1366" s="8" t="n"/>
      <c r="E1366" s="8" t="n"/>
      <c r="F1366" s="14" t="n"/>
      <c r="G1366" s="14" t="n"/>
      <c r="H1366" s="8" t="n"/>
      <c r="I1366" s="8" t="n"/>
      <c r="J1366" s="8" t="n"/>
      <c r="K1366" s="18">
        <f>IF(B1366="","",IFERROR(MONTH(B1366),""))</f>
        <v/>
      </c>
      <c r="L1366" s="5">
        <f>IF(COUNTA(A1366:J1366)=0,"",IF(E1366="","Mangler motkonto",IF((F1366="")=(G1366=""),"Fyll ut enten Inn eller Ut",IF(OR(IFERROR(INDEX('Kontoplan'!$D$3:$D$302,MATCH(D1366,'Kontoplan'!$H$3:$H$302,0))="Støttes ikke",FALSE),IFERROR(INDEX('Kontoplan'!$D$3:$D$302,MATCH(E1366,'Kontoplan'!$H$3:$H$302,0))="Støttes ikke",FALSE)),"Kontoen støttes ikke",IF(IFERROR(AND(A1366&gt;1,COUNTIF($A$3:$A$2002,A1366-1)=0),FALSE),"Nummeret hopper over",IF(OR(NOT(ISNUMBER(B1366)),B1366&lt;DATE(2027,1,1),B1366&gt;DATE(2027,12,31)),"Datoen er ikke i 2027",""))))))</f>
        <v/>
      </c>
    </row>
    <row r="1367">
      <c r="A1367" s="17" t="n"/>
      <c r="B1367" s="9" t="n"/>
      <c r="C1367" s="8" t="n"/>
      <c r="D1367" s="8" t="n"/>
      <c r="E1367" s="8" t="n"/>
      <c r="F1367" s="14" t="n"/>
      <c r="G1367" s="14" t="n"/>
      <c r="H1367" s="8" t="n"/>
      <c r="I1367" s="8" t="n"/>
      <c r="J1367" s="8" t="n"/>
      <c r="K1367" s="18">
        <f>IF(B1367="","",IFERROR(MONTH(B1367),""))</f>
        <v/>
      </c>
      <c r="L1367" s="5">
        <f>IF(COUNTA(A1367:J1367)=0,"",IF(E1367="","Mangler motkonto",IF((F1367="")=(G1367=""),"Fyll ut enten Inn eller Ut",IF(OR(IFERROR(INDEX('Kontoplan'!$D$3:$D$302,MATCH(D1367,'Kontoplan'!$H$3:$H$302,0))="Støttes ikke",FALSE),IFERROR(INDEX('Kontoplan'!$D$3:$D$302,MATCH(E1367,'Kontoplan'!$H$3:$H$302,0))="Støttes ikke",FALSE)),"Kontoen støttes ikke",IF(IFERROR(AND(A1367&gt;1,COUNTIF($A$3:$A$2002,A1367-1)=0),FALSE),"Nummeret hopper over",IF(OR(NOT(ISNUMBER(B1367)),B1367&lt;DATE(2027,1,1),B1367&gt;DATE(2027,12,31)),"Datoen er ikke i 2027",""))))))</f>
        <v/>
      </c>
    </row>
    <row r="1368">
      <c r="A1368" s="17" t="n"/>
      <c r="B1368" s="9" t="n"/>
      <c r="C1368" s="8" t="n"/>
      <c r="D1368" s="8" t="n"/>
      <c r="E1368" s="8" t="n"/>
      <c r="F1368" s="14" t="n"/>
      <c r="G1368" s="14" t="n"/>
      <c r="H1368" s="8" t="n"/>
      <c r="I1368" s="8" t="n"/>
      <c r="J1368" s="8" t="n"/>
      <c r="K1368" s="18">
        <f>IF(B1368="","",IFERROR(MONTH(B1368),""))</f>
        <v/>
      </c>
      <c r="L1368" s="5">
        <f>IF(COUNTA(A1368:J1368)=0,"",IF(E1368="","Mangler motkonto",IF((F1368="")=(G1368=""),"Fyll ut enten Inn eller Ut",IF(OR(IFERROR(INDEX('Kontoplan'!$D$3:$D$302,MATCH(D1368,'Kontoplan'!$H$3:$H$302,0))="Støttes ikke",FALSE),IFERROR(INDEX('Kontoplan'!$D$3:$D$302,MATCH(E1368,'Kontoplan'!$H$3:$H$302,0))="Støttes ikke",FALSE)),"Kontoen støttes ikke",IF(IFERROR(AND(A1368&gt;1,COUNTIF($A$3:$A$2002,A1368-1)=0),FALSE),"Nummeret hopper over",IF(OR(NOT(ISNUMBER(B1368)),B1368&lt;DATE(2027,1,1),B1368&gt;DATE(2027,12,31)),"Datoen er ikke i 2027",""))))))</f>
        <v/>
      </c>
    </row>
    <row r="1369">
      <c r="A1369" s="17" t="n"/>
      <c r="B1369" s="9" t="n"/>
      <c r="C1369" s="8" t="n"/>
      <c r="D1369" s="8" t="n"/>
      <c r="E1369" s="8" t="n"/>
      <c r="F1369" s="14" t="n"/>
      <c r="G1369" s="14" t="n"/>
      <c r="H1369" s="8" t="n"/>
      <c r="I1369" s="8" t="n"/>
      <c r="J1369" s="8" t="n"/>
      <c r="K1369" s="18">
        <f>IF(B1369="","",IFERROR(MONTH(B1369),""))</f>
        <v/>
      </c>
      <c r="L1369" s="5">
        <f>IF(COUNTA(A1369:J1369)=0,"",IF(E1369="","Mangler motkonto",IF((F1369="")=(G1369=""),"Fyll ut enten Inn eller Ut",IF(OR(IFERROR(INDEX('Kontoplan'!$D$3:$D$302,MATCH(D1369,'Kontoplan'!$H$3:$H$302,0))="Støttes ikke",FALSE),IFERROR(INDEX('Kontoplan'!$D$3:$D$302,MATCH(E1369,'Kontoplan'!$H$3:$H$302,0))="Støttes ikke",FALSE)),"Kontoen støttes ikke",IF(IFERROR(AND(A1369&gt;1,COUNTIF($A$3:$A$2002,A1369-1)=0),FALSE),"Nummeret hopper over",IF(OR(NOT(ISNUMBER(B1369)),B1369&lt;DATE(2027,1,1),B1369&gt;DATE(2027,12,31)),"Datoen er ikke i 2027",""))))))</f>
        <v/>
      </c>
    </row>
    <row r="1370">
      <c r="A1370" s="17" t="n"/>
      <c r="B1370" s="9" t="n"/>
      <c r="C1370" s="8" t="n"/>
      <c r="D1370" s="8" t="n"/>
      <c r="E1370" s="8" t="n"/>
      <c r="F1370" s="14" t="n"/>
      <c r="G1370" s="14" t="n"/>
      <c r="H1370" s="8" t="n"/>
      <c r="I1370" s="8" t="n"/>
      <c r="J1370" s="8" t="n"/>
      <c r="K1370" s="18">
        <f>IF(B1370="","",IFERROR(MONTH(B1370),""))</f>
        <v/>
      </c>
      <c r="L1370" s="5">
        <f>IF(COUNTA(A1370:J1370)=0,"",IF(E1370="","Mangler motkonto",IF((F1370="")=(G1370=""),"Fyll ut enten Inn eller Ut",IF(OR(IFERROR(INDEX('Kontoplan'!$D$3:$D$302,MATCH(D1370,'Kontoplan'!$H$3:$H$302,0))="Støttes ikke",FALSE),IFERROR(INDEX('Kontoplan'!$D$3:$D$302,MATCH(E1370,'Kontoplan'!$H$3:$H$302,0))="Støttes ikke",FALSE)),"Kontoen støttes ikke",IF(IFERROR(AND(A1370&gt;1,COUNTIF($A$3:$A$2002,A1370-1)=0),FALSE),"Nummeret hopper over",IF(OR(NOT(ISNUMBER(B1370)),B1370&lt;DATE(2027,1,1),B1370&gt;DATE(2027,12,31)),"Datoen er ikke i 2027",""))))))</f>
        <v/>
      </c>
    </row>
    <row r="1371">
      <c r="A1371" s="17" t="n"/>
      <c r="B1371" s="9" t="n"/>
      <c r="C1371" s="8" t="n"/>
      <c r="D1371" s="8" t="n"/>
      <c r="E1371" s="8" t="n"/>
      <c r="F1371" s="14" t="n"/>
      <c r="G1371" s="14" t="n"/>
      <c r="H1371" s="8" t="n"/>
      <c r="I1371" s="8" t="n"/>
      <c r="J1371" s="8" t="n"/>
      <c r="K1371" s="18">
        <f>IF(B1371="","",IFERROR(MONTH(B1371),""))</f>
        <v/>
      </c>
      <c r="L1371" s="5">
        <f>IF(COUNTA(A1371:J1371)=0,"",IF(E1371="","Mangler motkonto",IF((F1371="")=(G1371=""),"Fyll ut enten Inn eller Ut",IF(OR(IFERROR(INDEX('Kontoplan'!$D$3:$D$302,MATCH(D1371,'Kontoplan'!$H$3:$H$302,0))="Støttes ikke",FALSE),IFERROR(INDEX('Kontoplan'!$D$3:$D$302,MATCH(E1371,'Kontoplan'!$H$3:$H$302,0))="Støttes ikke",FALSE)),"Kontoen støttes ikke",IF(IFERROR(AND(A1371&gt;1,COUNTIF($A$3:$A$2002,A1371-1)=0),FALSE),"Nummeret hopper over",IF(OR(NOT(ISNUMBER(B1371)),B1371&lt;DATE(2027,1,1),B1371&gt;DATE(2027,12,31)),"Datoen er ikke i 2027",""))))))</f>
        <v/>
      </c>
    </row>
    <row r="1372">
      <c r="A1372" s="17" t="n"/>
      <c r="B1372" s="9" t="n"/>
      <c r="C1372" s="8" t="n"/>
      <c r="D1372" s="8" t="n"/>
      <c r="E1372" s="8" t="n"/>
      <c r="F1372" s="14" t="n"/>
      <c r="G1372" s="14" t="n"/>
      <c r="H1372" s="8" t="n"/>
      <c r="I1372" s="8" t="n"/>
      <c r="J1372" s="8" t="n"/>
      <c r="K1372" s="18">
        <f>IF(B1372="","",IFERROR(MONTH(B1372),""))</f>
        <v/>
      </c>
      <c r="L1372" s="5">
        <f>IF(COUNTA(A1372:J1372)=0,"",IF(E1372="","Mangler motkonto",IF((F1372="")=(G1372=""),"Fyll ut enten Inn eller Ut",IF(OR(IFERROR(INDEX('Kontoplan'!$D$3:$D$302,MATCH(D1372,'Kontoplan'!$H$3:$H$302,0))="Støttes ikke",FALSE),IFERROR(INDEX('Kontoplan'!$D$3:$D$302,MATCH(E1372,'Kontoplan'!$H$3:$H$302,0))="Støttes ikke",FALSE)),"Kontoen støttes ikke",IF(IFERROR(AND(A1372&gt;1,COUNTIF($A$3:$A$2002,A1372-1)=0),FALSE),"Nummeret hopper over",IF(OR(NOT(ISNUMBER(B1372)),B1372&lt;DATE(2027,1,1),B1372&gt;DATE(2027,12,31)),"Datoen er ikke i 2027",""))))))</f>
        <v/>
      </c>
    </row>
    <row r="1373">
      <c r="A1373" s="17" t="n"/>
      <c r="B1373" s="9" t="n"/>
      <c r="C1373" s="8" t="n"/>
      <c r="D1373" s="8" t="n"/>
      <c r="E1373" s="8" t="n"/>
      <c r="F1373" s="14" t="n"/>
      <c r="G1373" s="14" t="n"/>
      <c r="H1373" s="8" t="n"/>
      <c r="I1373" s="8" t="n"/>
      <c r="J1373" s="8" t="n"/>
      <c r="K1373" s="18">
        <f>IF(B1373="","",IFERROR(MONTH(B1373),""))</f>
        <v/>
      </c>
      <c r="L1373" s="5">
        <f>IF(COUNTA(A1373:J1373)=0,"",IF(E1373="","Mangler motkonto",IF((F1373="")=(G1373=""),"Fyll ut enten Inn eller Ut",IF(OR(IFERROR(INDEX('Kontoplan'!$D$3:$D$302,MATCH(D1373,'Kontoplan'!$H$3:$H$302,0))="Støttes ikke",FALSE),IFERROR(INDEX('Kontoplan'!$D$3:$D$302,MATCH(E1373,'Kontoplan'!$H$3:$H$302,0))="Støttes ikke",FALSE)),"Kontoen støttes ikke",IF(IFERROR(AND(A1373&gt;1,COUNTIF($A$3:$A$2002,A1373-1)=0),FALSE),"Nummeret hopper over",IF(OR(NOT(ISNUMBER(B1373)),B1373&lt;DATE(2027,1,1),B1373&gt;DATE(2027,12,31)),"Datoen er ikke i 2027",""))))))</f>
        <v/>
      </c>
    </row>
    <row r="1374">
      <c r="A1374" s="17" t="n"/>
      <c r="B1374" s="9" t="n"/>
      <c r="C1374" s="8" t="n"/>
      <c r="D1374" s="8" t="n"/>
      <c r="E1374" s="8" t="n"/>
      <c r="F1374" s="14" t="n"/>
      <c r="G1374" s="14" t="n"/>
      <c r="H1374" s="8" t="n"/>
      <c r="I1374" s="8" t="n"/>
      <c r="J1374" s="8" t="n"/>
      <c r="K1374" s="18">
        <f>IF(B1374="","",IFERROR(MONTH(B1374),""))</f>
        <v/>
      </c>
      <c r="L1374" s="5">
        <f>IF(COUNTA(A1374:J1374)=0,"",IF(E1374="","Mangler motkonto",IF((F1374="")=(G1374=""),"Fyll ut enten Inn eller Ut",IF(OR(IFERROR(INDEX('Kontoplan'!$D$3:$D$302,MATCH(D1374,'Kontoplan'!$H$3:$H$302,0))="Støttes ikke",FALSE),IFERROR(INDEX('Kontoplan'!$D$3:$D$302,MATCH(E1374,'Kontoplan'!$H$3:$H$302,0))="Støttes ikke",FALSE)),"Kontoen støttes ikke",IF(IFERROR(AND(A1374&gt;1,COUNTIF($A$3:$A$2002,A1374-1)=0),FALSE),"Nummeret hopper over",IF(OR(NOT(ISNUMBER(B1374)),B1374&lt;DATE(2027,1,1),B1374&gt;DATE(2027,12,31)),"Datoen er ikke i 2027",""))))))</f>
        <v/>
      </c>
    </row>
    <row r="1375">
      <c r="A1375" s="17" t="n"/>
      <c r="B1375" s="9" t="n"/>
      <c r="C1375" s="8" t="n"/>
      <c r="D1375" s="8" t="n"/>
      <c r="E1375" s="8" t="n"/>
      <c r="F1375" s="14" t="n"/>
      <c r="G1375" s="14" t="n"/>
      <c r="H1375" s="8" t="n"/>
      <c r="I1375" s="8" t="n"/>
      <c r="J1375" s="8" t="n"/>
      <c r="K1375" s="18">
        <f>IF(B1375="","",IFERROR(MONTH(B1375),""))</f>
        <v/>
      </c>
      <c r="L1375" s="5">
        <f>IF(COUNTA(A1375:J1375)=0,"",IF(E1375="","Mangler motkonto",IF((F1375="")=(G1375=""),"Fyll ut enten Inn eller Ut",IF(OR(IFERROR(INDEX('Kontoplan'!$D$3:$D$302,MATCH(D1375,'Kontoplan'!$H$3:$H$302,0))="Støttes ikke",FALSE),IFERROR(INDEX('Kontoplan'!$D$3:$D$302,MATCH(E1375,'Kontoplan'!$H$3:$H$302,0))="Støttes ikke",FALSE)),"Kontoen støttes ikke",IF(IFERROR(AND(A1375&gt;1,COUNTIF($A$3:$A$2002,A1375-1)=0),FALSE),"Nummeret hopper over",IF(OR(NOT(ISNUMBER(B1375)),B1375&lt;DATE(2027,1,1),B1375&gt;DATE(2027,12,31)),"Datoen er ikke i 2027",""))))))</f>
        <v/>
      </c>
    </row>
    <row r="1376">
      <c r="A1376" s="17" t="n"/>
      <c r="B1376" s="9" t="n"/>
      <c r="C1376" s="8" t="n"/>
      <c r="D1376" s="8" t="n"/>
      <c r="E1376" s="8" t="n"/>
      <c r="F1376" s="14" t="n"/>
      <c r="G1376" s="14" t="n"/>
      <c r="H1376" s="8" t="n"/>
      <c r="I1376" s="8" t="n"/>
      <c r="J1376" s="8" t="n"/>
      <c r="K1376" s="18">
        <f>IF(B1376="","",IFERROR(MONTH(B1376),""))</f>
        <v/>
      </c>
      <c r="L1376" s="5">
        <f>IF(COUNTA(A1376:J1376)=0,"",IF(E1376="","Mangler motkonto",IF((F1376="")=(G1376=""),"Fyll ut enten Inn eller Ut",IF(OR(IFERROR(INDEX('Kontoplan'!$D$3:$D$302,MATCH(D1376,'Kontoplan'!$H$3:$H$302,0))="Støttes ikke",FALSE),IFERROR(INDEX('Kontoplan'!$D$3:$D$302,MATCH(E1376,'Kontoplan'!$H$3:$H$302,0))="Støttes ikke",FALSE)),"Kontoen støttes ikke",IF(IFERROR(AND(A1376&gt;1,COUNTIF($A$3:$A$2002,A1376-1)=0),FALSE),"Nummeret hopper over",IF(OR(NOT(ISNUMBER(B1376)),B1376&lt;DATE(2027,1,1),B1376&gt;DATE(2027,12,31)),"Datoen er ikke i 2027",""))))))</f>
        <v/>
      </c>
    </row>
    <row r="1377">
      <c r="A1377" s="17" t="n"/>
      <c r="B1377" s="9" t="n"/>
      <c r="C1377" s="8" t="n"/>
      <c r="D1377" s="8" t="n"/>
      <c r="E1377" s="8" t="n"/>
      <c r="F1377" s="14" t="n"/>
      <c r="G1377" s="14" t="n"/>
      <c r="H1377" s="8" t="n"/>
      <c r="I1377" s="8" t="n"/>
      <c r="J1377" s="8" t="n"/>
      <c r="K1377" s="18">
        <f>IF(B1377="","",IFERROR(MONTH(B1377),""))</f>
        <v/>
      </c>
      <c r="L1377" s="5">
        <f>IF(COUNTA(A1377:J1377)=0,"",IF(E1377="","Mangler motkonto",IF((F1377="")=(G1377=""),"Fyll ut enten Inn eller Ut",IF(OR(IFERROR(INDEX('Kontoplan'!$D$3:$D$302,MATCH(D1377,'Kontoplan'!$H$3:$H$302,0))="Støttes ikke",FALSE),IFERROR(INDEX('Kontoplan'!$D$3:$D$302,MATCH(E1377,'Kontoplan'!$H$3:$H$302,0))="Støttes ikke",FALSE)),"Kontoen støttes ikke",IF(IFERROR(AND(A1377&gt;1,COUNTIF($A$3:$A$2002,A1377-1)=0),FALSE),"Nummeret hopper over",IF(OR(NOT(ISNUMBER(B1377)),B1377&lt;DATE(2027,1,1),B1377&gt;DATE(2027,12,31)),"Datoen er ikke i 2027",""))))))</f>
        <v/>
      </c>
    </row>
    <row r="1378">
      <c r="A1378" s="17" t="n"/>
      <c r="B1378" s="9" t="n"/>
      <c r="C1378" s="8" t="n"/>
      <c r="D1378" s="8" t="n"/>
      <c r="E1378" s="8" t="n"/>
      <c r="F1378" s="14" t="n"/>
      <c r="G1378" s="14" t="n"/>
      <c r="H1378" s="8" t="n"/>
      <c r="I1378" s="8" t="n"/>
      <c r="J1378" s="8" t="n"/>
      <c r="K1378" s="18">
        <f>IF(B1378="","",IFERROR(MONTH(B1378),""))</f>
        <v/>
      </c>
      <c r="L1378" s="5">
        <f>IF(COUNTA(A1378:J1378)=0,"",IF(E1378="","Mangler motkonto",IF((F1378="")=(G1378=""),"Fyll ut enten Inn eller Ut",IF(OR(IFERROR(INDEX('Kontoplan'!$D$3:$D$302,MATCH(D1378,'Kontoplan'!$H$3:$H$302,0))="Støttes ikke",FALSE),IFERROR(INDEX('Kontoplan'!$D$3:$D$302,MATCH(E1378,'Kontoplan'!$H$3:$H$302,0))="Støttes ikke",FALSE)),"Kontoen støttes ikke",IF(IFERROR(AND(A1378&gt;1,COUNTIF($A$3:$A$2002,A1378-1)=0),FALSE),"Nummeret hopper over",IF(OR(NOT(ISNUMBER(B1378)),B1378&lt;DATE(2027,1,1),B1378&gt;DATE(2027,12,31)),"Datoen er ikke i 2027",""))))))</f>
        <v/>
      </c>
    </row>
    <row r="1379">
      <c r="A1379" s="17" t="n"/>
      <c r="B1379" s="9" t="n"/>
      <c r="C1379" s="8" t="n"/>
      <c r="D1379" s="8" t="n"/>
      <c r="E1379" s="8" t="n"/>
      <c r="F1379" s="14" t="n"/>
      <c r="G1379" s="14" t="n"/>
      <c r="H1379" s="8" t="n"/>
      <c r="I1379" s="8" t="n"/>
      <c r="J1379" s="8" t="n"/>
      <c r="K1379" s="18">
        <f>IF(B1379="","",IFERROR(MONTH(B1379),""))</f>
        <v/>
      </c>
      <c r="L1379" s="5">
        <f>IF(COUNTA(A1379:J1379)=0,"",IF(E1379="","Mangler motkonto",IF((F1379="")=(G1379=""),"Fyll ut enten Inn eller Ut",IF(OR(IFERROR(INDEX('Kontoplan'!$D$3:$D$302,MATCH(D1379,'Kontoplan'!$H$3:$H$302,0))="Støttes ikke",FALSE),IFERROR(INDEX('Kontoplan'!$D$3:$D$302,MATCH(E1379,'Kontoplan'!$H$3:$H$302,0))="Støttes ikke",FALSE)),"Kontoen støttes ikke",IF(IFERROR(AND(A1379&gt;1,COUNTIF($A$3:$A$2002,A1379-1)=0),FALSE),"Nummeret hopper over",IF(OR(NOT(ISNUMBER(B1379)),B1379&lt;DATE(2027,1,1),B1379&gt;DATE(2027,12,31)),"Datoen er ikke i 2027",""))))))</f>
        <v/>
      </c>
    </row>
    <row r="1380">
      <c r="A1380" s="17" t="n"/>
      <c r="B1380" s="9" t="n"/>
      <c r="C1380" s="8" t="n"/>
      <c r="D1380" s="8" t="n"/>
      <c r="E1380" s="8" t="n"/>
      <c r="F1380" s="14" t="n"/>
      <c r="G1380" s="14" t="n"/>
      <c r="H1380" s="8" t="n"/>
      <c r="I1380" s="8" t="n"/>
      <c r="J1380" s="8" t="n"/>
      <c r="K1380" s="18">
        <f>IF(B1380="","",IFERROR(MONTH(B1380),""))</f>
        <v/>
      </c>
      <c r="L1380" s="5">
        <f>IF(COUNTA(A1380:J1380)=0,"",IF(E1380="","Mangler motkonto",IF((F1380="")=(G1380=""),"Fyll ut enten Inn eller Ut",IF(OR(IFERROR(INDEX('Kontoplan'!$D$3:$D$302,MATCH(D1380,'Kontoplan'!$H$3:$H$302,0))="Støttes ikke",FALSE),IFERROR(INDEX('Kontoplan'!$D$3:$D$302,MATCH(E1380,'Kontoplan'!$H$3:$H$302,0))="Støttes ikke",FALSE)),"Kontoen støttes ikke",IF(IFERROR(AND(A1380&gt;1,COUNTIF($A$3:$A$2002,A1380-1)=0),FALSE),"Nummeret hopper over",IF(OR(NOT(ISNUMBER(B1380)),B1380&lt;DATE(2027,1,1),B1380&gt;DATE(2027,12,31)),"Datoen er ikke i 2027",""))))))</f>
        <v/>
      </c>
    </row>
    <row r="1381">
      <c r="A1381" s="17" t="n"/>
      <c r="B1381" s="9" t="n"/>
      <c r="C1381" s="8" t="n"/>
      <c r="D1381" s="8" t="n"/>
      <c r="E1381" s="8" t="n"/>
      <c r="F1381" s="14" t="n"/>
      <c r="G1381" s="14" t="n"/>
      <c r="H1381" s="8" t="n"/>
      <c r="I1381" s="8" t="n"/>
      <c r="J1381" s="8" t="n"/>
      <c r="K1381" s="18">
        <f>IF(B1381="","",IFERROR(MONTH(B1381),""))</f>
        <v/>
      </c>
      <c r="L1381" s="5">
        <f>IF(COUNTA(A1381:J1381)=0,"",IF(E1381="","Mangler motkonto",IF((F1381="")=(G1381=""),"Fyll ut enten Inn eller Ut",IF(OR(IFERROR(INDEX('Kontoplan'!$D$3:$D$302,MATCH(D1381,'Kontoplan'!$H$3:$H$302,0))="Støttes ikke",FALSE),IFERROR(INDEX('Kontoplan'!$D$3:$D$302,MATCH(E1381,'Kontoplan'!$H$3:$H$302,0))="Støttes ikke",FALSE)),"Kontoen støttes ikke",IF(IFERROR(AND(A1381&gt;1,COUNTIF($A$3:$A$2002,A1381-1)=0),FALSE),"Nummeret hopper over",IF(OR(NOT(ISNUMBER(B1381)),B1381&lt;DATE(2027,1,1),B1381&gt;DATE(2027,12,31)),"Datoen er ikke i 2027",""))))))</f>
        <v/>
      </c>
    </row>
    <row r="1382">
      <c r="A1382" s="17" t="n"/>
      <c r="B1382" s="9" t="n"/>
      <c r="C1382" s="8" t="n"/>
      <c r="D1382" s="8" t="n"/>
      <c r="E1382" s="8" t="n"/>
      <c r="F1382" s="14" t="n"/>
      <c r="G1382" s="14" t="n"/>
      <c r="H1382" s="8" t="n"/>
      <c r="I1382" s="8" t="n"/>
      <c r="J1382" s="8" t="n"/>
      <c r="K1382" s="18">
        <f>IF(B1382="","",IFERROR(MONTH(B1382),""))</f>
        <v/>
      </c>
      <c r="L1382" s="5">
        <f>IF(COUNTA(A1382:J1382)=0,"",IF(E1382="","Mangler motkonto",IF((F1382="")=(G1382=""),"Fyll ut enten Inn eller Ut",IF(OR(IFERROR(INDEX('Kontoplan'!$D$3:$D$302,MATCH(D1382,'Kontoplan'!$H$3:$H$302,0))="Støttes ikke",FALSE),IFERROR(INDEX('Kontoplan'!$D$3:$D$302,MATCH(E1382,'Kontoplan'!$H$3:$H$302,0))="Støttes ikke",FALSE)),"Kontoen støttes ikke",IF(IFERROR(AND(A1382&gt;1,COUNTIF($A$3:$A$2002,A1382-1)=0),FALSE),"Nummeret hopper over",IF(OR(NOT(ISNUMBER(B1382)),B1382&lt;DATE(2027,1,1),B1382&gt;DATE(2027,12,31)),"Datoen er ikke i 2027",""))))))</f>
        <v/>
      </c>
    </row>
    <row r="1383">
      <c r="A1383" s="17" t="n"/>
      <c r="B1383" s="9" t="n"/>
      <c r="C1383" s="8" t="n"/>
      <c r="D1383" s="8" t="n"/>
      <c r="E1383" s="8" t="n"/>
      <c r="F1383" s="14" t="n"/>
      <c r="G1383" s="14" t="n"/>
      <c r="H1383" s="8" t="n"/>
      <c r="I1383" s="8" t="n"/>
      <c r="J1383" s="8" t="n"/>
      <c r="K1383" s="18">
        <f>IF(B1383="","",IFERROR(MONTH(B1383),""))</f>
        <v/>
      </c>
      <c r="L1383" s="5">
        <f>IF(COUNTA(A1383:J1383)=0,"",IF(E1383="","Mangler motkonto",IF((F1383="")=(G1383=""),"Fyll ut enten Inn eller Ut",IF(OR(IFERROR(INDEX('Kontoplan'!$D$3:$D$302,MATCH(D1383,'Kontoplan'!$H$3:$H$302,0))="Støttes ikke",FALSE),IFERROR(INDEX('Kontoplan'!$D$3:$D$302,MATCH(E1383,'Kontoplan'!$H$3:$H$302,0))="Støttes ikke",FALSE)),"Kontoen støttes ikke",IF(IFERROR(AND(A1383&gt;1,COUNTIF($A$3:$A$2002,A1383-1)=0),FALSE),"Nummeret hopper over",IF(OR(NOT(ISNUMBER(B1383)),B1383&lt;DATE(2027,1,1),B1383&gt;DATE(2027,12,31)),"Datoen er ikke i 2027",""))))))</f>
        <v/>
      </c>
    </row>
    <row r="1384">
      <c r="A1384" s="17" t="n"/>
      <c r="B1384" s="9" t="n"/>
      <c r="C1384" s="8" t="n"/>
      <c r="D1384" s="8" t="n"/>
      <c r="E1384" s="8" t="n"/>
      <c r="F1384" s="14" t="n"/>
      <c r="G1384" s="14" t="n"/>
      <c r="H1384" s="8" t="n"/>
      <c r="I1384" s="8" t="n"/>
      <c r="J1384" s="8" t="n"/>
      <c r="K1384" s="18">
        <f>IF(B1384="","",IFERROR(MONTH(B1384),""))</f>
        <v/>
      </c>
      <c r="L1384" s="5">
        <f>IF(COUNTA(A1384:J1384)=0,"",IF(E1384="","Mangler motkonto",IF((F1384="")=(G1384=""),"Fyll ut enten Inn eller Ut",IF(OR(IFERROR(INDEX('Kontoplan'!$D$3:$D$302,MATCH(D1384,'Kontoplan'!$H$3:$H$302,0))="Støttes ikke",FALSE),IFERROR(INDEX('Kontoplan'!$D$3:$D$302,MATCH(E1384,'Kontoplan'!$H$3:$H$302,0))="Støttes ikke",FALSE)),"Kontoen støttes ikke",IF(IFERROR(AND(A1384&gt;1,COUNTIF($A$3:$A$2002,A1384-1)=0),FALSE),"Nummeret hopper over",IF(OR(NOT(ISNUMBER(B1384)),B1384&lt;DATE(2027,1,1),B1384&gt;DATE(2027,12,31)),"Datoen er ikke i 2027",""))))))</f>
        <v/>
      </c>
    </row>
    <row r="1385">
      <c r="A1385" s="17" t="n"/>
      <c r="B1385" s="9" t="n"/>
      <c r="C1385" s="8" t="n"/>
      <c r="D1385" s="8" t="n"/>
      <c r="E1385" s="8" t="n"/>
      <c r="F1385" s="14" t="n"/>
      <c r="G1385" s="14" t="n"/>
      <c r="H1385" s="8" t="n"/>
      <c r="I1385" s="8" t="n"/>
      <c r="J1385" s="8" t="n"/>
      <c r="K1385" s="18">
        <f>IF(B1385="","",IFERROR(MONTH(B1385),""))</f>
        <v/>
      </c>
      <c r="L1385" s="5">
        <f>IF(COUNTA(A1385:J1385)=0,"",IF(E1385="","Mangler motkonto",IF((F1385="")=(G1385=""),"Fyll ut enten Inn eller Ut",IF(OR(IFERROR(INDEX('Kontoplan'!$D$3:$D$302,MATCH(D1385,'Kontoplan'!$H$3:$H$302,0))="Støttes ikke",FALSE),IFERROR(INDEX('Kontoplan'!$D$3:$D$302,MATCH(E1385,'Kontoplan'!$H$3:$H$302,0))="Støttes ikke",FALSE)),"Kontoen støttes ikke",IF(IFERROR(AND(A1385&gt;1,COUNTIF($A$3:$A$2002,A1385-1)=0),FALSE),"Nummeret hopper over",IF(OR(NOT(ISNUMBER(B1385)),B1385&lt;DATE(2027,1,1),B1385&gt;DATE(2027,12,31)),"Datoen er ikke i 2027",""))))))</f>
        <v/>
      </c>
    </row>
    <row r="1386">
      <c r="A1386" s="17" t="n"/>
      <c r="B1386" s="9" t="n"/>
      <c r="C1386" s="8" t="n"/>
      <c r="D1386" s="8" t="n"/>
      <c r="E1386" s="8" t="n"/>
      <c r="F1386" s="14" t="n"/>
      <c r="G1386" s="14" t="n"/>
      <c r="H1386" s="8" t="n"/>
      <c r="I1386" s="8" t="n"/>
      <c r="J1386" s="8" t="n"/>
      <c r="K1386" s="18">
        <f>IF(B1386="","",IFERROR(MONTH(B1386),""))</f>
        <v/>
      </c>
      <c r="L1386" s="5">
        <f>IF(COUNTA(A1386:J1386)=0,"",IF(E1386="","Mangler motkonto",IF((F1386="")=(G1386=""),"Fyll ut enten Inn eller Ut",IF(OR(IFERROR(INDEX('Kontoplan'!$D$3:$D$302,MATCH(D1386,'Kontoplan'!$H$3:$H$302,0))="Støttes ikke",FALSE),IFERROR(INDEX('Kontoplan'!$D$3:$D$302,MATCH(E1386,'Kontoplan'!$H$3:$H$302,0))="Støttes ikke",FALSE)),"Kontoen støttes ikke",IF(IFERROR(AND(A1386&gt;1,COUNTIF($A$3:$A$2002,A1386-1)=0),FALSE),"Nummeret hopper over",IF(OR(NOT(ISNUMBER(B1386)),B1386&lt;DATE(2027,1,1),B1386&gt;DATE(2027,12,31)),"Datoen er ikke i 2027",""))))))</f>
        <v/>
      </c>
    </row>
    <row r="1387">
      <c r="A1387" s="17" t="n"/>
      <c r="B1387" s="9" t="n"/>
      <c r="C1387" s="8" t="n"/>
      <c r="D1387" s="8" t="n"/>
      <c r="E1387" s="8" t="n"/>
      <c r="F1387" s="14" t="n"/>
      <c r="G1387" s="14" t="n"/>
      <c r="H1387" s="8" t="n"/>
      <c r="I1387" s="8" t="n"/>
      <c r="J1387" s="8" t="n"/>
      <c r="K1387" s="18">
        <f>IF(B1387="","",IFERROR(MONTH(B1387),""))</f>
        <v/>
      </c>
      <c r="L1387" s="5">
        <f>IF(COUNTA(A1387:J1387)=0,"",IF(E1387="","Mangler motkonto",IF((F1387="")=(G1387=""),"Fyll ut enten Inn eller Ut",IF(OR(IFERROR(INDEX('Kontoplan'!$D$3:$D$302,MATCH(D1387,'Kontoplan'!$H$3:$H$302,0))="Støttes ikke",FALSE),IFERROR(INDEX('Kontoplan'!$D$3:$D$302,MATCH(E1387,'Kontoplan'!$H$3:$H$302,0))="Støttes ikke",FALSE)),"Kontoen støttes ikke",IF(IFERROR(AND(A1387&gt;1,COUNTIF($A$3:$A$2002,A1387-1)=0),FALSE),"Nummeret hopper over",IF(OR(NOT(ISNUMBER(B1387)),B1387&lt;DATE(2027,1,1),B1387&gt;DATE(2027,12,31)),"Datoen er ikke i 2027",""))))))</f>
        <v/>
      </c>
    </row>
    <row r="1388">
      <c r="A1388" s="17" t="n"/>
      <c r="B1388" s="9" t="n"/>
      <c r="C1388" s="8" t="n"/>
      <c r="D1388" s="8" t="n"/>
      <c r="E1388" s="8" t="n"/>
      <c r="F1388" s="14" t="n"/>
      <c r="G1388" s="14" t="n"/>
      <c r="H1388" s="8" t="n"/>
      <c r="I1388" s="8" t="n"/>
      <c r="J1388" s="8" t="n"/>
      <c r="K1388" s="18">
        <f>IF(B1388="","",IFERROR(MONTH(B1388),""))</f>
        <v/>
      </c>
      <c r="L1388" s="5">
        <f>IF(COUNTA(A1388:J1388)=0,"",IF(E1388="","Mangler motkonto",IF((F1388="")=(G1388=""),"Fyll ut enten Inn eller Ut",IF(OR(IFERROR(INDEX('Kontoplan'!$D$3:$D$302,MATCH(D1388,'Kontoplan'!$H$3:$H$302,0))="Støttes ikke",FALSE),IFERROR(INDEX('Kontoplan'!$D$3:$D$302,MATCH(E1388,'Kontoplan'!$H$3:$H$302,0))="Støttes ikke",FALSE)),"Kontoen støttes ikke",IF(IFERROR(AND(A1388&gt;1,COUNTIF($A$3:$A$2002,A1388-1)=0),FALSE),"Nummeret hopper over",IF(OR(NOT(ISNUMBER(B1388)),B1388&lt;DATE(2027,1,1),B1388&gt;DATE(2027,12,31)),"Datoen er ikke i 2027",""))))))</f>
        <v/>
      </c>
    </row>
    <row r="1389">
      <c r="A1389" s="17" t="n"/>
      <c r="B1389" s="9" t="n"/>
      <c r="C1389" s="8" t="n"/>
      <c r="D1389" s="8" t="n"/>
      <c r="E1389" s="8" t="n"/>
      <c r="F1389" s="14" t="n"/>
      <c r="G1389" s="14" t="n"/>
      <c r="H1389" s="8" t="n"/>
      <c r="I1389" s="8" t="n"/>
      <c r="J1389" s="8" t="n"/>
      <c r="K1389" s="18">
        <f>IF(B1389="","",IFERROR(MONTH(B1389),""))</f>
        <v/>
      </c>
      <c r="L1389" s="5">
        <f>IF(COUNTA(A1389:J1389)=0,"",IF(E1389="","Mangler motkonto",IF((F1389="")=(G1389=""),"Fyll ut enten Inn eller Ut",IF(OR(IFERROR(INDEX('Kontoplan'!$D$3:$D$302,MATCH(D1389,'Kontoplan'!$H$3:$H$302,0))="Støttes ikke",FALSE),IFERROR(INDEX('Kontoplan'!$D$3:$D$302,MATCH(E1389,'Kontoplan'!$H$3:$H$302,0))="Støttes ikke",FALSE)),"Kontoen støttes ikke",IF(IFERROR(AND(A1389&gt;1,COUNTIF($A$3:$A$2002,A1389-1)=0),FALSE),"Nummeret hopper over",IF(OR(NOT(ISNUMBER(B1389)),B1389&lt;DATE(2027,1,1),B1389&gt;DATE(2027,12,31)),"Datoen er ikke i 2027",""))))))</f>
        <v/>
      </c>
    </row>
    <row r="1390">
      <c r="A1390" s="17" t="n"/>
      <c r="B1390" s="9" t="n"/>
      <c r="C1390" s="8" t="n"/>
      <c r="D1390" s="8" t="n"/>
      <c r="E1390" s="8" t="n"/>
      <c r="F1390" s="14" t="n"/>
      <c r="G1390" s="14" t="n"/>
      <c r="H1390" s="8" t="n"/>
      <c r="I1390" s="8" t="n"/>
      <c r="J1390" s="8" t="n"/>
      <c r="K1390" s="18">
        <f>IF(B1390="","",IFERROR(MONTH(B1390),""))</f>
        <v/>
      </c>
      <c r="L1390" s="5">
        <f>IF(COUNTA(A1390:J1390)=0,"",IF(E1390="","Mangler motkonto",IF((F1390="")=(G1390=""),"Fyll ut enten Inn eller Ut",IF(OR(IFERROR(INDEX('Kontoplan'!$D$3:$D$302,MATCH(D1390,'Kontoplan'!$H$3:$H$302,0))="Støttes ikke",FALSE),IFERROR(INDEX('Kontoplan'!$D$3:$D$302,MATCH(E1390,'Kontoplan'!$H$3:$H$302,0))="Støttes ikke",FALSE)),"Kontoen støttes ikke",IF(IFERROR(AND(A1390&gt;1,COUNTIF($A$3:$A$2002,A1390-1)=0),FALSE),"Nummeret hopper over",IF(OR(NOT(ISNUMBER(B1390)),B1390&lt;DATE(2027,1,1),B1390&gt;DATE(2027,12,31)),"Datoen er ikke i 2027",""))))))</f>
        <v/>
      </c>
    </row>
    <row r="1391">
      <c r="A1391" s="17" t="n"/>
      <c r="B1391" s="9" t="n"/>
      <c r="C1391" s="8" t="n"/>
      <c r="D1391" s="8" t="n"/>
      <c r="E1391" s="8" t="n"/>
      <c r="F1391" s="14" t="n"/>
      <c r="G1391" s="14" t="n"/>
      <c r="H1391" s="8" t="n"/>
      <c r="I1391" s="8" t="n"/>
      <c r="J1391" s="8" t="n"/>
      <c r="K1391" s="18">
        <f>IF(B1391="","",IFERROR(MONTH(B1391),""))</f>
        <v/>
      </c>
      <c r="L1391" s="5">
        <f>IF(COUNTA(A1391:J1391)=0,"",IF(E1391="","Mangler motkonto",IF((F1391="")=(G1391=""),"Fyll ut enten Inn eller Ut",IF(OR(IFERROR(INDEX('Kontoplan'!$D$3:$D$302,MATCH(D1391,'Kontoplan'!$H$3:$H$302,0))="Støttes ikke",FALSE),IFERROR(INDEX('Kontoplan'!$D$3:$D$302,MATCH(E1391,'Kontoplan'!$H$3:$H$302,0))="Støttes ikke",FALSE)),"Kontoen støttes ikke",IF(IFERROR(AND(A1391&gt;1,COUNTIF($A$3:$A$2002,A1391-1)=0),FALSE),"Nummeret hopper over",IF(OR(NOT(ISNUMBER(B1391)),B1391&lt;DATE(2027,1,1),B1391&gt;DATE(2027,12,31)),"Datoen er ikke i 2027",""))))))</f>
        <v/>
      </c>
    </row>
    <row r="1392">
      <c r="A1392" s="17" t="n"/>
      <c r="B1392" s="9" t="n"/>
      <c r="C1392" s="8" t="n"/>
      <c r="D1392" s="8" t="n"/>
      <c r="E1392" s="8" t="n"/>
      <c r="F1392" s="14" t="n"/>
      <c r="G1392" s="14" t="n"/>
      <c r="H1392" s="8" t="n"/>
      <c r="I1392" s="8" t="n"/>
      <c r="J1392" s="8" t="n"/>
      <c r="K1392" s="18">
        <f>IF(B1392="","",IFERROR(MONTH(B1392),""))</f>
        <v/>
      </c>
      <c r="L1392" s="5">
        <f>IF(COUNTA(A1392:J1392)=0,"",IF(E1392="","Mangler motkonto",IF((F1392="")=(G1392=""),"Fyll ut enten Inn eller Ut",IF(OR(IFERROR(INDEX('Kontoplan'!$D$3:$D$302,MATCH(D1392,'Kontoplan'!$H$3:$H$302,0))="Støttes ikke",FALSE),IFERROR(INDEX('Kontoplan'!$D$3:$D$302,MATCH(E1392,'Kontoplan'!$H$3:$H$302,0))="Støttes ikke",FALSE)),"Kontoen støttes ikke",IF(IFERROR(AND(A1392&gt;1,COUNTIF($A$3:$A$2002,A1392-1)=0),FALSE),"Nummeret hopper over",IF(OR(NOT(ISNUMBER(B1392)),B1392&lt;DATE(2027,1,1),B1392&gt;DATE(2027,12,31)),"Datoen er ikke i 2027",""))))))</f>
        <v/>
      </c>
    </row>
    <row r="1393">
      <c r="A1393" s="17" t="n"/>
      <c r="B1393" s="9" t="n"/>
      <c r="C1393" s="8" t="n"/>
      <c r="D1393" s="8" t="n"/>
      <c r="E1393" s="8" t="n"/>
      <c r="F1393" s="14" t="n"/>
      <c r="G1393" s="14" t="n"/>
      <c r="H1393" s="8" t="n"/>
      <c r="I1393" s="8" t="n"/>
      <c r="J1393" s="8" t="n"/>
      <c r="K1393" s="18">
        <f>IF(B1393="","",IFERROR(MONTH(B1393),""))</f>
        <v/>
      </c>
      <c r="L1393" s="5">
        <f>IF(COUNTA(A1393:J1393)=0,"",IF(E1393="","Mangler motkonto",IF((F1393="")=(G1393=""),"Fyll ut enten Inn eller Ut",IF(OR(IFERROR(INDEX('Kontoplan'!$D$3:$D$302,MATCH(D1393,'Kontoplan'!$H$3:$H$302,0))="Støttes ikke",FALSE),IFERROR(INDEX('Kontoplan'!$D$3:$D$302,MATCH(E1393,'Kontoplan'!$H$3:$H$302,0))="Støttes ikke",FALSE)),"Kontoen støttes ikke",IF(IFERROR(AND(A1393&gt;1,COUNTIF($A$3:$A$2002,A1393-1)=0),FALSE),"Nummeret hopper over",IF(OR(NOT(ISNUMBER(B1393)),B1393&lt;DATE(2027,1,1),B1393&gt;DATE(2027,12,31)),"Datoen er ikke i 2027",""))))))</f>
        <v/>
      </c>
    </row>
    <row r="1394">
      <c r="A1394" s="17" t="n"/>
      <c r="B1394" s="9" t="n"/>
      <c r="C1394" s="8" t="n"/>
      <c r="D1394" s="8" t="n"/>
      <c r="E1394" s="8" t="n"/>
      <c r="F1394" s="14" t="n"/>
      <c r="G1394" s="14" t="n"/>
      <c r="H1394" s="8" t="n"/>
      <c r="I1394" s="8" t="n"/>
      <c r="J1394" s="8" t="n"/>
      <c r="K1394" s="18">
        <f>IF(B1394="","",IFERROR(MONTH(B1394),""))</f>
        <v/>
      </c>
      <c r="L1394" s="5">
        <f>IF(COUNTA(A1394:J1394)=0,"",IF(E1394="","Mangler motkonto",IF((F1394="")=(G1394=""),"Fyll ut enten Inn eller Ut",IF(OR(IFERROR(INDEX('Kontoplan'!$D$3:$D$302,MATCH(D1394,'Kontoplan'!$H$3:$H$302,0))="Støttes ikke",FALSE),IFERROR(INDEX('Kontoplan'!$D$3:$D$302,MATCH(E1394,'Kontoplan'!$H$3:$H$302,0))="Støttes ikke",FALSE)),"Kontoen støttes ikke",IF(IFERROR(AND(A1394&gt;1,COUNTIF($A$3:$A$2002,A1394-1)=0),FALSE),"Nummeret hopper over",IF(OR(NOT(ISNUMBER(B1394)),B1394&lt;DATE(2027,1,1),B1394&gt;DATE(2027,12,31)),"Datoen er ikke i 2027",""))))))</f>
        <v/>
      </c>
    </row>
    <row r="1395">
      <c r="A1395" s="17" t="n"/>
      <c r="B1395" s="9" t="n"/>
      <c r="C1395" s="8" t="n"/>
      <c r="D1395" s="8" t="n"/>
      <c r="E1395" s="8" t="n"/>
      <c r="F1395" s="14" t="n"/>
      <c r="G1395" s="14" t="n"/>
      <c r="H1395" s="8" t="n"/>
      <c r="I1395" s="8" t="n"/>
      <c r="J1395" s="8" t="n"/>
      <c r="K1395" s="18">
        <f>IF(B1395="","",IFERROR(MONTH(B1395),""))</f>
        <v/>
      </c>
      <c r="L1395" s="5">
        <f>IF(COUNTA(A1395:J1395)=0,"",IF(E1395="","Mangler motkonto",IF((F1395="")=(G1395=""),"Fyll ut enten Inn eller Ut",IF(OR(IFERROR(INDEX('Kontoplan'!$D$3:$D$302,MATCH(D1395,'Kontoplan'!$H$3:$H$302,0))="Støttes ikke",FALSE),IFERROR(INDEX('Kontoplan'!$D$3:$D$302,MATCH(E1395,'Kontoplan'!$H$3:$H$302,0))="Støttes ikke",FALSE)),"Kontoen støttes ikke",IF(IFERROR(AND(A1395&gt;1,COUNTIF($A$3:$A$2002,A1395-1)=0),FALSE),"Nummeret hopper over",IF(OR(NOT(ISNUMBER(B1395)),B1395&lt;DATE(2027,1,1),B1395&gt;DATE(2027,12,31)),"Datoen er ikke i 2027",""))))))</f>
        <v/>
      </c>
    </row>
    <row r="1396">
      <c r="A1396" s="17" t="n"/>
      <c r="B1396" s="9" t="n"/>
      <c r="C1396" s="8" t="n"/>
      <c r="D1396" s="8" t="n"/>
      <c r="E1396" s="8" t="n"/>
      <c r="F1396" s="14" t="n"/>
      <c r="G1396" s="14" t="n"/>
      <c r="H1396" s="8" t="n"/>
      <c r="I1396" s="8" t="n"/>
      <c r="J1396" s="8" t="n"/>
      <c r="K1396" s="18">
        <f>IF(B1396="","",IFERROR(MONTH(B1396),""))</f>
        <v/>
      </c>
      <c r="L1396" s="5">
        <f>IF(COUNTA(A1396:J1396)=0,"",IF(E1396="","Mangler motkonto",IF((F1396="")=(G1396=""),"Fyll ut enten Inn eller Ut",IF(OR(IFERROR(INDEX('Kontoplan'!$D$3:$D$302,MATCH(D1396,'Kontoplan'!$H$3:$H$302,0))="Støttes ikke",FALSE),IFERROR(INDEX('Kontoplan'!$D$3:$D$302,MATCH(E1396,'Kontoplan'!$H$3:$H$302,0))="Støttes ikke",FALSE)),"Kontoen støttes ikke",IF(IFERROR(AND(A1396&gt;1,COUNTIF($A$3:$A$2002,A1396-1)=0),FALSE),"Nummeret hopper over",IF(OR(NOT(ISNUMBER(B1396)),B1396&lt;DATE(2027,1,1),B1396&gt;DATE(2027,12,31)),"Datoen er ikke i 2027",""))))))</f>
        <v/>
      </c>
    </row>
    <row r="1397">
      <c r="A1397" s="17" t="n"/>
      <c r="B1397" s="9" t="n"/>
      <c r="C1397" s="8" t="n"/>
      <c r="D1397" s="8" t="n"/>
      <c r="E1397" s="8" t="n"/>
      <c r="F1397" s="14" t="n"/>
      <c r="G1397" s="14" t="n"/>
      <c r="H1397" s="8" t="n"/>
      <c r="I1397" s="8" t="n"/>
      <c r="J1397" s="8" t="n"/>
      <c r="K1397" s="18">
        <f>IF(B1397="","",IFERROR(MONTH(B1397),""))</f>
        <v/>
      </c>
      <c r="L1397" s="5">
        <f>IF(COUNTA(A1397:J1397)=0,"",IF(E1397="","Mangler motkonto",IF((F1397="")=(G1397=""),"Fyll ut enten Inn eller Ut",IF(OR(IFERROR(INDEX('Kontoplan'!$D$3:$D$302,MATCH(D1397,'Kontoplan'!$H$3:$H$302,0))="Støttes ikke",FALSE),IFERROR(INDEX('Kontoplan'!$D$3:$D$302,MATCH(E1397,'Kontoplan'!$H$3:$H$302,0))="Støttes ikke",FALSE)),"Kontoen støttes ikke",IF(IFERROR(AND(A1397&gt;1,COUNTIF($A$3:$A$2002,A1397-1)=0),FALSE),"Nummeret hopper over",IF(OR(NOT(ISNUMBER(B1397)),B1397&lt;DATE(2027,1,1),B1397&gt;DATE(2027,12,31)),"Datoen er ikke i 2027",""))))))</f>
        <v/>
      </c>
    </row>
    <row r="1398">
      <c r="A1398" s="17" t="n"/>
      <c r="B1398" s="9" t="n"/>
      <c r="C1398" s="8" t="n"/>
      <c r="D1398" s="8" t="n"/>
      <c r="E1398" s="8" t="n"/>
      <c r="F1398" s="14" t="n"/>
      <c r="G1398" s="14" t="n"/>
      <c r="H1398" s="8" t="n"/>
      <c r="I1398" s="8" t="n"/>
      <c r="J1398" s="8" t="n"/>
      <c r="K1398" s="18">
        <f>IF(B1398="","",IFERROR(MONTH(B1398),""))</f>
        <v/>
      </c>
      <c r="L1398" s="5">
        <f>IF(COUNTA(A1398:J1398)=0,"",IF(E1398="","Mangler motkonto",IF((F1398="")=(G1398=""),"Fyll ut enten Inn eller Ut",IF(OR(IFERROR(INDEX('Kontoplan'!$D$3:$D$302,MATCH(D1398,'Kontoplan'!$H$3:$H$302,0))="Støttes ikke",FALSE),IFERROR(INDEX('Kontoplan'!$D$3:$D$302,MATCH(E1398,'Kontoplan'!$H$3:$H$302,0))="Støttes ikke",FALSE)),"Kontoen støttes ikke",IF(IFERROR(AND(A1398&gt;1,COUNTIF($A$3:$A$2002,A1398-1)=0),FALSE),"Nummeret hopper over",IF(OR(NOT(ISNUMBER(B1398)),B1398&lt;DATE(2027,1,1),B1398&gt;DATE(2027,12,31)),"Datoen er ikke i 2027",""))))))</f>
        <v/>
      </c>
    </row>
    <row r="1399">
      <c r="A1399" s="17" t="n"/>
      <c r="B1399" s="9" t="n"/>
      <c r="C1399" s="8" t="n"/>
      <c r="D1399" s="8" t="n"/>
      <c r="E1399" s="8" t="n"/>
      <c r="F1399" s="14" t="n"/>
      <c r="G1399" s="14" t="n"/>
      <c r="H1399" s="8" t="n"/>
      <c r="I1399" s="8" t="n"/>
      <c r="J1399" s="8" t="n"/>
      <c r="K1399" s="18">
        <f>IF(B1399="","",IFERROR(MONTH(B1399),""))</f>
        <v/>
      </c>
      <c r="L1399" s="5">
        <f>IF(COUNTA(A1399:J1399)=0,"",IF(E1399="","Mangler motkonto",IF((F1399="")=(G1399=""),"Fyll ut enten Inn eller Ut",IF(OR(IFERROR(INDEX('Kontoplan'!$D$3:$D$302,MATCH(D1399,'Kontoplan'!$H$3:$H$302,0))="Støttes ikke",FALSE),IFERROR(INDEX('Kontoplan'!$D$3:$D$302,MATCH(E1399,'Kontoplan'!$H$3:$H$302,0))="Støttes ikke",FALSE)),"Kontoen støttes ikke",IF(IFERROR(AND(A1399&gt;1,COUNTIF($A$3:$A$2002,A1399-1)=0),FALSE),"Nummeret hopper over",IF(OR(NOT(ISNUMBER(B1399)),B1399&lt;DATE(2027,1,1),B1399&gt;DATE(2027,12,31)),"Datoen er ikke i 2027",""))))))</f>
        <v/>
      </c>
    </row>
    <row r="1400">
      <c r="A1400" s="17" t="n"/>
      <c r="B1400" s="9" t="n"/>
      <c r="C1400" s="8" t="n"/>
      <c r="D1400" s="8" t="n"/>
      <c r="E1400" s="8" t="n"/>
      <c r="F1400" s="14" t="n"/>
      <c r="G1400" s="14" t="n"/>
      <c r="H1400" s="8" t="n"/>
      <c r="I1400" s="8" t="n"/>
      <c r="J1400" s="8" t="n"/>
      <c r="K1400" s="18">
        <f>IF(B1400="","",IFERROR(MONTH(B1400),""))</f>
        <v/>
      </c>
      <c r="L1400" s="5">
        <f>IF(COUNTA(A1400:J1400)=0,"",IF(E1400="","Mangler motkonto",IF((F1400="")=(G1400=""),"Fyll ut enten Inn eller Ut",IF(OR(IFERROR(INDEX('Kontoplan'!$D$3:$D$302,MATCH(D1400,'Kontoplan'!$H$3:$H$302,0))="Støttes ikke",FALSE),IFERROR(INDEX('Kontoplan'!$D$3:$D$302,MATCH(E1400,'Kontoplan'!$H$3:$H$302,0))="Støttes ikke",FALSE)),"Kontoen støttes ikke",IF(IFERROR(AND(A1400&gt;1,COUNTIF($A$3:$A$2002,A1400-1)=0),FALSE),"Nummeret hopper over",IF(OR(NOT(ISNUMBER(B1400)),B1400&lt;DATE(2027,1,1),B1400&gt;DATE(2027,12,31)),"Datoen er ikke i 2027",""))))))</f>
        <v/>
      </c>
    </row>
    <row r="1401">
      <c r="A1401" s="17" t="n"/>
      <c r="B1401" s="9" t="n"/>
      <c r="C1401" s="8" t="n"/>
      <c r="D1401" s="8" t="n"/>
      <c r="E1401" s="8" t="n"/>
      <c r="F1401" s="14" t="n"/>
      <c r="G1401" s="14" t="n"/>
      <c r="H1401" s="8" t="n"/>
      <c r="I1401" s="8" t="n"/>
      <c r="J1401" s="8" t="n"/>
      <c r="K1401" s="18">
        <f>IF(B1401="","",IFERROR(MONTH(B1401),""))</f>
        <v/>
      </c>
      <c r="L1401" s="5">
        <f>IF(COUNTA(A1401:J1401)=0,"",IF(E1401="","Mangler motkonto",IF((F1401="")=(G1401=""),"Fyll ut enten Inn eller Ut",IF(OR(IFERROR(INDEX('Kontoplan'!$D$3:$D$302,MATCH(D1401,'Kontoplan'!$H$3:$H$302,0))="Støttes ikke",FALSE),IFERROR(INDEX('Kontoplan'!$D$3:$D$302,MATCH(E1401,'Kontoplan'!$H$3:$H$302,0))="Støttes ikke",FALSE)),"Kontoen støttes ikke",IF(IFERROR(AND(A1401&gt;1,COUNTIF($A$3:$A$2002,A1401-1)=0),FALSE),"Nummeret hopper over",IF(OR(NOT(ISNUMBER(B1401)),B1401&lt;DATE(2027,1,1),B1401&gt;DATE(2027,12,31)),"Datoen er ikke i 2027",""))))))</f>
        <v/>
      </c>
    </row>
    <row r="1402">
      <c r="A1402" s="17" t="n"/>
      <c r="B1402" s="9" t="n"/>
      <c r="C1402" s="8" t="n"/>
      <c r="D1402" s="8" t="n"/>
      <c r="E1402" s="8" t="n"/>
      <c r="F1402" s="14" t="n"/>
      <c r="G1402" s="14" t="n"/>
      <c r="H1402" s="8" t="n"/>
      <c r="I1402" s="8" t="n"/>
      <c r="J1402" s="8" t="n"/>
      <c r="K1402" s="18">
        <f>IF(B1402="","",IFERROR(MONTH(B1402),""))</f>
        <v/>
      </c>
      <c r="L1402" s="5">
        <f>IF(COUNTA(A1402:J1402)=0,"",IF(E1402="","Mangler motkonto",IF((F1402="")=(G1402=""),"Fyll ut enten Inn eller Ut",IF(OR(IFERROR(INDEX('Kontoplan'!$D$3:$D$302,MATCH(D1402,'Kontoplan'!$H$3:$H$302,0))="Støttes ikke",FALSE),IFERROR(INDEX('Kontoplan'!$D$3:$D$302,MATCH(E1402,'Kontoplan'!$H$3:$H$302,0))="Støttes ikke",FALSE)),"Kontoen støttes ikke",IF(IFERROR(AND(A1402&gt;1,COUNTIF($A$3:$A$2002,A1402-1)=0),FALSE),"Nummeret hopper over",IF(OR(NOT(ISNUMBER(B1402)),B1402&lt;DATE(2027,1,1),B1402&gt;DATE(2027,12,31)),"Datoen er ikke i 2027",""))))))</f>
        <v/>
      </c>
    </row>
    <row r="1403">
      <c r="A1403" s="17" t="n"/>
      <c r="B1403" s="9" t="n"/>
      <c r="C1403" s="8" t="n"/>
      <c r="D1403" s="8" t="n"/>
      <c r="E1403" s="8" t="n"/>
      <c r="F1403" s="14" t="n"/>
      <c r="G1403" s="14" t="n"/>
      <c r="H1403" s="8" t="n"/>
      <c r="I1403" s="8" t="n"/>
      <c r="J1403" s="8" t="n"/>
      <c r="K1403" s="18">
        <f>IF(B1403="","",IFERROR(MONTH(B1403),""))</f>
        <v/>
      </c>
      <c r="L1403" s="5">
        <f>IF(COUNTA(A1403:J1403)=0,"",IF(E1403="","Mangler motkonto",IF((F1403="")=(G1403=""),"Fyll ut enten Inn eller Ut",IF(OR(IFERROR(INDEX('Kontoplan'!$D$3:$D$302,MATCH(D1403,'Kontoplan'!$H$3:$H$302,0))="Støttes ikke",FALSE),IFERROR(INDEX('Kontoplan'!$D$3:$D$302,MATCH(E1403,'Kontoplan'!$H$3:$H$302,0))="Støttes ikke",FALSE)),"Kontoen støttes ikke",IF(IFERROR(AND(A1403&gt;1,COUNTIF($A$3:$A$2002,A1403-1)=0),FALSE),"Nummeret hopper over",IF(OR(NOT(ISNUMBER(B1403)),B1403&lt;DATE(2027,1,1),B1403&gt;DATE(2027,12,31)),"Datoen er ikke i 2027",""))))))</f>
        <v/>
      </c>
    </row>
    <row r="1404">
      <c r="A1404" s="17" t="n"/>
      <c r="B1404" s="9" t="n"/>
      <c r="C1404" s="8" t="n"/>
      <c r="D1404" s="8" t="n"/>
      <c r="E1404" s="8" t="n"/>
      <c r="F1404" s="14" t="n"/>
      <c r="G1404" s="14" t="n"/>
      <c r="H1404" s="8" t="n"/>
      <c r="I1404" s="8" t="n"/>
      <c r="J1404" s="8" t="n"/>
      <c r="K1404" s="18">
        <f>IF(B1404="","",IFERROR(MONTH(B1404),""))</f>
        <v/>
      </c>
      <c r="L1404" s="5">
        <f>IF(COUNTA(A1404:J1404)=0,"",IF(E1404="","Mangler motkonto",IF((F1404="")=(G1404=""),"Fyll ut enten Inn eller Ut",IF(OR(IFERROR(INDEX('Kontoplan'!$D$3:$D$302,MATCH(D1404,'Kontoplan'!$H$3:$H$302,0))="Støttes ikke",FALSE),IFERROR(INDEX('Kontoplan'!$D$3:$D$302,MATCH(E1404,'Kontoplan'!$H$3:$H$302,0))="Støttes ikke",FALSE)),"Kontoen støttes ikke",IF(IFERROR(AND(A1404&gt;1,COUNTIF($A$3:$A$2002,A1404-1)=0),FALSE),"Nummeret hopper over",IF(OR(NOT(ISNUMBER(B1404)),B1404&lt;DATE(2027,1,1),B1404&gt;DATE(2027,12,31)),"Datoen er ikke i 2027",""))))))</f>
        <v/>
      </c>
    </row>
    <row r="1405">
      <c r="A1405" s="17" t="n"/>
      <c r="B1405" s="9" t="n"/>
      <c r="C1405" s="8" t="n"/>
      <c r="D1405" s="8" t="n"/>
      <c r="E1405" s="8" t="n"/>
      <c r="F1405" s="14" t="n"/>
      <c r="G1405" s="14" t="n"/>
      <c r="H1405" s="8" t="n"/>
      <c r="I1405" s="8" t="n"/>
      <c r="J1405" s="8" t="n"/>
      <c r="K1405" s="18">
        <f>IF(B1405="","",IFERROR(MONTH(B1405),""))</f>
        <v/>
      </c>
      <c r="L1405" s="5">
        <f>IF(COUNTA(A1405:J1405)=0,"",IF(E1405="","Mangler motkonto",IF((F1405="")=(G1405=""),"Fyll ut enten Inn eller Ut",IF(OR(IFERROR(INDEX('Kontoplan'!$D$3:$D$302,MATCH(D1405,'Kontoplan'!$H$3:$H$302,0))="Støttes ikke",FALSE),IFERROR(INDEX('Kontoplan'!$D$3:$D$302,MATCH(E1405,'Kontoplan'!$H$3:$H$302,0))="Støttes ikke",FALSE)),"Kontoen støttes ikke",IF(IFERROR(AND(A1405&gt;1,COUNTIF($A$3:$A$2002,A1405-1)=0),FALSE),"Nummeret hopper over",IF(OR(NOT(ISNUMBER(B1405)),B1405&lt;DATE(2027,1,1),B1405&gt;DATE(2027,12,31)),"Datoen er ikke i 2027",""))))))</f>
        <v/>
      </c>
    </row>
    <row r="1406">
      <c r="A1406" s="17" t="n"/>
      <c r="B1406" s="9" t="n"/>
      <c r="C1406" s="8" t="n"/>
      <c r="D1406" s="8" t="n"/>
      <c r="E1406" s="8" t="n"/>
      <c r="F1406" s="14" t="n"/>
      <c r="G1406" s="14" t="n"/>
      <c r="H1406" s="8" t="n"/>
      <c r="I1406" s="8" t="n"/>
      <c r="J1406" s="8" t="n"/>
      <c r="K1406" s="18">
        <f>IF(B1406="","",IFERROR(MONTH(B1406),""))</f>
        <v/>
      </c>
      <c r="L1406" s="5">
        <f>IF(COUNTA(A1406:J1406)=0,"",IF(E1406="","Mangler motkonto",IF((F1406="")=(G1406=""),"Fyll ut enten Inn eller Ut",IF(OR(IFERROR(INDEX('Kontoplan'!$D$3:$D$302,MATCH(D1406,'Kontoplan'!$H$3:$H$302,0))="Støttes ikke",FALSE),IFERROR(INDEX('Kontoplan'!$D$3:$D$302,MATCH(E1406,'Kontoplan'!$H$3:$H$302,0))="Støttes ikke",FALSE)),"Kontoen støttes ikke",IF(IFERROR(AND(A1406&gt;1,COUNTIF($A$3:$A$2002,A1406-1)=0),FALSE),"Nummeret hopper over",IF(OR(NOT(ISNUMBER(B1406)),B1406&lt;DATE(2027,1,1),B1406&gt;DATE(2027,12,31)),"Datoen er ikke i 2027",""))))))</f>
        <v/>
      </c>
    </row>
    <row r="1407">
      <c r="A1407" s="17" t="n"/>
      <c r="B1407" s="9" t="n"/>
      <c r="C1407" s="8" t="n"/>
      <c r="D1407" s="8" t="n"/>
      <c r="E1407" s="8" t="n"/>
      <c r="F1407" s="14" t="n"/>
      <c r="G1407" s="14" t="n"/>
      <c r="H1407" s="8" t="n"/>
      <c r="I1407" s="8" t="n"/>
      <c r="J1407" s="8" t="n"/>
      <c r="K1407" s="18">
        <f>IF(B1407="","",IFERROR(MONTH(B1407),""))</f>
        <v/>
      </c>
      <c r="L1407" s="5">
        <f>IF(COUNTA(A1407:J1407)=0,"",IF(E1407="","Mangler motkonto",IF((F1407="")=(G1407=""),"Fyll ut enten Inn eller Ut",IF(OR(IFERROR(INDEX('Kontoplan'!$D$3:$D$302,MATCH(D1407,'Kontoplan'!$H$3:$H$302,0))="Støttes ikke",FALSE),IFERROR(INDEX('Kontoplan'!$D$3:$D$302,MATCH(E1407,'Kontoplan'!$H$3:$H$302,0))="Støttes ikke",FALSE)),"Kontoen støttes ikke",IF(IFERROR(AND(A1407&gt;1,COUNTIF($A$3:$A$2002,A1407-1)=0),FALSE),"Nummeret hopper over",IF(OR(NOT(ISNUMBER(B1407)),B1407&lt;DATE(2027,1,1),B1407&gt;DATE(2027,12,31)),"Datoen er ikke i 2027",""))))))</f>
        <v/>
      </c>
    </row>
    <row r="1408">
      <c r="A1408" s="17" t="n"/>
      <c r="B1408" s="9" t="n"/>
      <c r="C1408" s="8" t="n"/>
      <c r="D1408" s="8" t="n"/>
      <c r="E1408" s="8" t="n"/>
      <c r="F1408" s="14" t="n"/>
      <c r="G1408" s="14" t="n"/>
      <c r="H1408" s="8" t="n"/>
      <c r="I1408" s="8" t="n"/>
      <c r="J1408" s="8" t="n"/>
      <c r="K1408" s="18">
        <f>IF(B1408="","",IFERROR(MONTH(B1408),""))</f>
        <v/>
      </c>
      <c r="L1408" s="5">
        <f>IF(COUNTA(A1408:J1408)=0,"",IF(E1408="","Mangler motkonto",IF((F1408="")=(G1408=""),"Fyll ut enten Inn eller Ut",IF(OR(IFERROR(INDEX('Kontoplan'!$D$3:$D$302,MATCH(D1408,'Kontoplan'!$H$3:$H$302,0))="Støttes ikke",FALSE),IFERROR(INDEX('Kontoplan'!$D$3:$D$302,MATCH(E1408,'Kontoplan'!$H$3:$H$302,0))="Støttes ikke",FALSE)),"Kontoen støttes ikke",IF(IFERROR(AND(A1408&gt;1,COUNTIF($A$3:$A$2002,A1408-1)=0),FALSE),"Nummeret hopper over",IF(OR(NOT(ISNUMBER(B1408)),B1408&lt;DATE(2027,1,1),B1408&gt;DATE(2027,12,31)),"Datoen er ikke i 2027",""))))))</f>
        <v/>
      </c>
    </row>
    <row r="1409">
      <c r="A1409" s="17" t="n"/>
      <c r="B1409" s="9" t="n"/>
      <c r="C1409" s="8" t="n"/>
      <c r="D1409" s="8" t="n"/>
      <c r="E1409" s="8" t="n"/>
      <c r="F1409" s="14" t="n"/>
      <c r="G1409" s="14" t="n"/>
      <c r="H1409" s="8" t="n"/>
      <c r="I1409" s="8" t="n"/>
      <c r="J1409" s="8" t="n"/>
      <c r="K1409" s="18">
        <f>IF(B1409="","",IFERROR(MONTH(B1409),""))</f>
        <v/>
      </c>
      <c r="L1409" s="5">
        <f>IF(COUNTA(A1409:J1409)=0,"",IF(E1409="","Mangler motkonto",IF((F1409="")=(G1409=""),"Fyll ut enten Inn eller Ut",IF(OR(IFERROR(INDEX('Kontoplan'!$D$3:$D$302,MATCH(D1409,'Kontoplan'!$H$3:$H$302,0))="Støttes ikke",FALSE),IFERROR(INDEX('Kontoplan'!$D$3:$D$302,MATCH(E1409,'Kontoplan'!$H$3:$H$302,0))="Støttes ikke",FALSE)),"Kontoen støttes ikke",IF(IFERROR(AND(A1409&gt;1,COUNTIF($A$3:$A$2002,A1409-1)=0),FALSE),"Nummeret hopper over",IF(OR(NOT(ISNUMBER(B1409)),B1409&lt;DATE(2027,1,1),B1409&gt;DATE(2027,12,31)),"Datoen er ikke i 2027",""))))))</f>
        <v/>
      </c>
    </row>
    <row r="1410">
      <c r="A1410" s="17" t="n"/>
      <c r="B1410" s="9" t="n"/>
      <c r="C1410" s="8" t="n"/>
      <c r="D1410" s="8" t="n"/>
      <c r="E1410" s="8" t="n"/>
      <c r="F1410" s="14" t="n"/>
      <c r="G1410" s="14" t="n"/>
      <c r="H1410" s="8" t="n"/>
      <c r="I1410" s="8" t="n"/>
      <c r="J1410" s="8" t="n"/>
      <c r="K1410" s="18">
        <f>IF(B1410="","",IFERROR(MONTH(B1410),""))</f>
        <v/>
      </c>
      <c r="L1410" s="5">
        <f>IF(COUNTA(A1410:J1410)=0,"",IF(E1410="","Mangler motkonto",IF((F1410="")=(G1410=""),"Fyll ut enten Inn eller Ut",IF(OR(IFERROR(INDEX('Kontoplan'!$D$3:$D$302,MATCH(D1410,'Kontoplan'!$H$3:$H$302,0))="Støttes ikke",FALSE),IFERROR(INDEX('Kontoplan'!$D$3:$D$302,MATCH(E1410,'Kontoplan'!$H$3:$H$302,0))="Støttes ikke",FALSE)),"Kontoen støttes ikke",IF(IFERROR(AND(A1410&gt;1,COUNTIF($A$3:$A$2002,A1410-1)=0),FALSE),"Nummeret hopper over",IF(OR(NOT(ISNUMBER(B1410)),B1410&lt;DATE(2027,1,1),B1410&gt;DATE(2027,12,31)),"Datoen er ikke i 2027",""))))))</f>
        <v/>
      </c>
    </row>
    <row r="1411">
      <c r="A1411" s="17" t="n"/>
      <c r="B1411" s="9" t="n"/>
      <c r="C1411" s="8" t="n"/>
      <c r="D1411" s="8" t="n"/>
      <c r="E1411" s="8" t="n"/>
      <c r="F1411" s="14" t="n"/>
      <c r="G1411" s="14" t="n"/>
      <c r="H1411" s="8" t="n"/>
      <c r="I1411" s="8" t="n"/>
      <c r="J1411" s="8" t="n"/>
      <c r="K1411" s="18">
        <f>IF(B1411="","",IFERROR(MONTH(B1411),""))</f>
        <v/>
      </c>
      <c r="L1411" s="5">
        <f>IF(COUNTA(A1411:J1411)=0,"",IF(E1411="","Mangler motkonto",IF((F1411="")=(G1411=""),"Fyll ut enten Inn eller Ut",IF(OR(IFERROR(INDEX('Kontoplan'!$D$3:$D$302,MATCH(D1411,'Kontoplan'!$H$3:$H$302,0))="Støttes ikke",FALSE),IFERROR(INDEX('Kontoplan'!$D$3:$D$302,MATCH(E1411,'Kontoplan'!$H$3:$H$302,0))="Støttes ikke",FALSE)),"Kontoen støttes ikke",IF(IFERROR(AND(A1411&gt;1,COUNTIF($A$3:$A$2002,A1411-1)=0),FALSE),"Nummeret hopper over",IF(OR(NOT(ISNUMBER(B1411)),B1411&lt;DATE(2027,1,1),B1411&gt;DATE(2027,12,31)),"Datoen er ikke i 2027",""))))))</f>
        <v/>
      </c>
    </row>
    <row r="1412">
      <c r="A1412" s="17" t="n"/>
      <c r="B1412" s="9" t="n"/>
      <c r="C1412" s="8" t="n"/>
      <c r="D1412" s="8" t="n"/>
      <c r="E1412" s="8" t="n"/>
      <c r="F1412" s="14" t="n"/>
      <c r="G1412" s="14" t="n"/>
      <c r="H1412" s="8" t="n"/>
      <c r="I1412" s="8" t="n"/>
      <c r="J1412" s="8" t="n"/>
      <c r="K1412" s="18">
        <f>IF(B1412="","",IFERROR(MONTH(B1412),""))</f>
        <v/>
      </c>
      <c r="L1412" s="5">
        <f>IF(COUNTA(A1412:J1412)=0,"",IF(E1412="","Mangler motkonto",IF((F1412="")=(G1412=""),"Fyll ut enten Inn eller Ut",IF(OR(IFERROR(INDEX('Kontoplan'!$D$3:$D$302,MATCH(D1412,'Kontoplan'!$H$3:$H$302,0))="Støttes ikke",FALSE),IFERROR(INDEX('Kontoplan'!$D$3:$D$302,MATCH(E1412,'Kontoplan'!$H$3:$H$302,0))="Støttes ikke",FALSE)),"Kontoen støttes ikke",IF(IFERROR(AND(A1412&gt;1,COUNTIF($A$3:$A$2002,A1412-1)=0),FALSE),"Nummeret hopper over",IF(OR(NOT(ISNUMBER(B1412)),B1412&lt;DATE(2027,1,1),B1412&gt;DATE(2027,12,31)),"Datoen er ikke i 2027",""))))))</f>
        <v/>
      </c>
    </row>
    <row r="1413">
      <c r="A1413" s="17" t="n"/>
      <c r="B1413" s="9" t="n"/>
      <c r="C1413" s="8" t="n"/>
      <c r="D1413" s="8" t="n"/>
      <c r="E1413" s="8" t="n"/>
      <c r="F1413" s="14" t="n"/>
      <c r="G1413" s="14" t="n"/>
      <c r="H1413" s="8" t="n"/>
      <c r="I1413" s="8" t="n"/>
      <c r="J1413" s="8" t="n"/>
      <c r="K1413" s="18">
        <f>IF(B1413="","",IFERROR(MONTH(B1413),""))</f>
        <v/>
      </c>
      <c r="L1413" s="5">
        <f>IF(COUNTA(A1413:J1413)=0,"",IF(E1413="","Mangler motkonto",IF((F1413="")=(G1413=""),"Fyll ut enten Inn eller Ut",IF(OR(IFERROR(INDEX('Kontoplan'!$D$3:$D$302,MATCH(D1413,'Kontoplan'!$H$3:$H$302,0))="Støttes ikke",FALSE),IFERROR(INDEX('Kontoplan'!$D$3:$D$302,MATCH(E1413,'Kontoplan'!$H$3:$H$302,0))="Støttes ikke",FALSE)),"Kontoen støttes ikke",IF(IFERROR(AND(A1413&gt;1,COUNTIF($A$3:$A$2002,A1413-1)=0),FALSE),"Nummeret hopper over",IF(OR(NOT(ISNUMBER(B1413)),B1413&lt;DATE(2027,1,1),B1413&gt;DATE(2027,12,31)),"Datoen er ikke i 2027",""))))))</f>
        <v/>
      </c>
    </row>
    <row r="1414">
      <c r="A1414" s="17" t="n"/>
      <c r="B1414" s="9" t="n"/>
      <c r="C1414" s="8" t="n"/>
      <c r="D1414" s="8" t="n"/>
      <c r="E1414" s="8" t="n"/>
      <c r="F1414" s="14" t="n"/>
      <c r="G1414" s="14" t="n"/>
      <c r="H1414" s="8" t="n"/>
      <c r="I1414" s="8" t="n"/>
      <c r="J1414" s="8" t="n"/>
      <c r="K1414" s="18">
        <f>IF(B1414="","",IFERROR(MONTH(B1414),""))</f>
        <v/>
      </c>
      <c r="L1414" s="5">
        <f>IF(COUNTA(A1414:J1414)=0,"",IF(E1414="","Mangler motkonto",IF((F1414="")=(G1414=""),"Fyll ut enten Inn eller Ut",IF(OR(IFERROR(INDEX('Kontoplan'!$D$3:$D$302,MATCH(D1414,'Kontoplan'!$H$3:$H$302,0))="Støttes ikke",FALSE),IFERROR(INDEX('Kontoplan'!$D$3:$D$302,MATCH(E1414,'Kontoplan'!$H$3:$H$302,0))="Støttes ikke",FALSE)),"Kontoen støttes ikke",IF(IFERROR(AND(A1414&gt;1,COUNTIF($A$3:$A$2002,A1414-1)=0),FALSE),"Nummeret hopper over",IF(OR(NOT(ISNUMBER(B1414)),B1414&lt;DATE(2027,1,1),B1414&gt;DATE(2027,12,31)),"Datoen er ikke i 2027",""))))))</f>
        <v/>
      </c>
    </row>
    <row r="1415">
      <c r="A1415" s="17" t="n"/>
      <c r="B1415" s="9" t="n"/>
      <c r="C1415" s="8" t="n"/>
      <c r="D1415" s="8" t="n"/>
      <c r="E1415" s="8" t="n"/>
      <c r="F1415" s="14" t="n"/>
      <c r="G1415" s="14" t="n"/>
      <c r="H1415" s="8" t="n"/>
      <c r="I1415" s="8" t="n"/>
      <c r="J1415" s="8" t="n"/>
      <c r="K1415" s="18">
        <f>IF(B1415="","",IFERROR(MONTH(B1415),""))</f>
        <v/>
      </c>
      <c r="L1415" s="5">
        <f>IF(COUNTA(A1415:J1415)=0,"",IF(E1415="","Mangler motkonto",IF((F1415="")=(G1415=""),"Fyll ut enten Inn eller Ut",IF(OR(IFERROR(INDEX('Kontoplan'!$D$3:$D$302,MATCH(D1415,'Kontoplan'!$H$3:$H$302,0))="Støttes ikke",FALSE),IFERROR(INDEX('Kontoplan'!$D$3:$D$302,MATCH(E1415,'Kontoplan'!$H$3:$H$302,0))="Støttes ikke",FALSE)),"Kontoen støttes ikke",IF(IFERROR(AND(A1415&gt;1,COUNTIF($A$3:$A$2002,A1415-1)=0),FALSE),"Nummeret hopper over",IF(OR(NOT(ISNUMBER(B1415)),B1415&lt;DATE(2027,1,1),B1415&gt;DATE(2027,12,31)),"Datoen er ikke i 2027",""))))))</f>
        <v/>
      </c>
    </row>
    <row r="1416">
      <c r="A1416" s="17" t="n"/>
      <c r="B1416" s="9" t="n"/>
      <c r="C1416" s="8" t="n"/>
      <c r="D1416" s="8" t="n"/>
      <c r="E1416" s="8" t="n"/>
      <c r="F1416" s="14" t="n"/>
      <c r="G1416" s="14" t="n"/>
      <c r="H1416" s="8" t="n"/>
      <c r="I1416" s="8" t="n"/>
      <c r="J1416" s="8" t="n"/>
      <c r="K1416" s="18">
        <f>IF(B1416="","",IFERROR(MONTH(B1416),""))</f>
        <v/>
      </c>
      <c r="L1416" s="5">
        <f>IF(COUNTA(A1416:J1416)=0,"",IF(E1416="","Mangler motkonto",IF((F1416="")=(G1416=""),"Fyll ut enten Inn eller Ut",IF(OR(IFERROR(INDEX('Kontoplan'!$D$3:$D$302,MATCH(D1416,'Kontoplan'!$H$3:$H$302,0))="Støttes ikke",FALSE),IFERROR(INDEX('Kontoplan'!$D$3:$D$302,MATCH(E1416,'Kontoplan'!$H$3:$H$302,0))="Støttes ikke",FALSE)),"Kontoen støttes ikke",IF(IFERROR(AND(A1416&gt;1,COUNTIF($A$3:$A$2002,A1416-1)=0),FALSE),"Nummeret hopper over",IF(OR(NOT(ISNUMBER(B1416)),B1416&lt;DATE(2027,1,1),B1416&gt;DATE(2027,12,31)),"Datoen er ikke i 2027",""))))))</f>
        <v/>
      </c>
    </row>
    <row r="1417">
      <c r="A1417" s="17" t="n"/>
      <c r="B1417" s="9" t="n"/>
      <c r="C1417" s="8" t="n"/>
      <c r="D1417" s="8" t="n"/>
      <c r="E1417" s="8" t="n"/>
      <c r="F1417" s="14" t="n"/>
      <c r="G1417" s="14" t="n"/>
      <c r="H1417" s="8" t="n"/>
      <c r="I1417" s="8" t="n"/>
      <c r="J1417" s="8" t="n"/>
      <c r="K1417" s="18">
        <f>IF(B1417="","",IFERROR(MONTH(B1417),""))</f>
        <v/>
      </c>
      <c r="L1417" s="5">
        <f>IF(COUNTA(A1417:J1417)=0,"",IF(E1417="","Mangler motkonto",IF((F1417="")=(G1417=""),"Fyll ut enten Inn eller Ut",IF(OR(IFERROR(INDEX('Kontoplan'!$D$3:$D$302,MATCH(D1417,'Kontoplan'!$H$3:$H$302,0))="Støttes ikke",FALSE),IFERROR(INDEX('Kontoplan'!$D$3:$D$302,MATCH(E1417,'Kontoplan'!$H$3:$H$302,0))="Støttes ikke",FALSE)),"Kontoen støttes ikke",IF(IFERROR(AND(A1417&gt;1,COUNTIF($A$3:$A$2002,A1417-1)=0),FALSE),"Nummeret hopper over",IF(OR(NOT(ISNUMBER(B1417)),B1417&lt;DATE(2027,1,1),B1417&gt;DATE(2027,12,31)),"Datoen er ikke i 2027",""))))))</f>
        <v/>
      </c>
    </row>
    <row r="1418">
      <c r="A1418" s="17" t="n"/>
      <c r="B1418" s="9" t="n"/>
      <c r="C1418" s="8" t="n"/>
      <c r="D1418" s="8" t="n"/>
      <c r="E1418" s="8" t="n"/>
      <c r="F1418" s="14" t="n"/>
      <c r="G1418" s="14" t="n"/>
      <c r="H1418" s="8" t="n"/>
      <c r="I1418" s="8" t="n"/>
      <c r="J1418" s="8" t="n"/>
      <c r="K1418" s="18">
        <f>IF(B1418="","",IFERROR(MONTH(B1418),""))</f>
        <v/>
      </c>
      <c r="L1418" s="5">
        <f>IF(COUNTA(A1418:J1418)=0,"",IF(E1418="","Mangler motkonto",IF((F1418="")=(G1418=""),"Fyll ut enten Inn eller Ut",IF(OR(IFERROR(INDEX('Kontoplan'!$D$3:$D$302,MATCH(D1418,'Kontoplan'!$H$3:$H$302,0))="Støttes ikke",FALSE),IFERROR(INDEX('Kontoplan'!$D$3:$D$302,MATCH(E1418,'Kontoplan'!$H$3:$H$302,0))="Støttes ikke",FALSE)),"Kontoen støttes ikke",IF(IFERROR(AND(A1418&gt;1,COUNTIF($A$3:$A$2002,A1418-1)=0),FALSE),"Nummeret hopper over",IF(OR(NOT(ISNUMBER(B1418)),B1418&lt;DATE(2027,1,1),B1418&gt;DATE(2027,12,31)),"Datoen er ikke i 2027",""))))))</f>
        <v/>
      </c>
    </row>
    <row r="1419">
      <c r="A1419" s="17" t="n"/>
      <c r="B1419" s="9" t="n"/>
      <c r="C1419" s="8" t="n"/>
      <c r="D1419" s="8" t="n"/>
      <c r="E1419" s="8" t="n"/>
      <c r="F1419" s="14" t="n"/>
      <c r="G1419" s="14" t="n"/>
      <c r="H1419" s="8" t="n"/>
      <c r="I1419" s="8" t="n"/>
      <c r="J1419" s="8" t="n"/>
      <c r="K1419" s="18">
        <f>IF(B1419="","",IFERROR(MONTH(B1419),""))</f>
        <v/>
      </c>
      <c r="L1419" s="5">
        <f>IF(COUNTA(A1419:J1419)=0,"",IF(E1419="","Mangler motkonto",IF((F1419="")=(G1419=""),"Fyll ut enten Inn eller Ut",IF(OR(IFERROR(INDEX('Kontoplan'!$D$3:$D$302,MATCH(D1419,'Kontoplan'!$H$3:$H$302,0))="Støttes ikke",FALSE),IFERROR(INDEX('Kontoplan'!$D$3:$D$302,MATCH(E1419,'Kontoplan'!$H$3:$H$302,0))="Støttes ikke",FALSE)),"Kontoen støttes ikke",IF(IFERROR(AND(A1419&gt;1,COUNTIF($A$3:$A$2002,A1419-1)=0),FALSE),"Nummeret hopper over",IF(OR(NOT(ISNUMBER(B1419)),B1419&lt;DATE(2027,1,1),B1419&gt;DATE(2027,12,31)),"Datoen er ikke i 2027",""))))))</f>
        <v/>
      </c>
    </row>
    <row r="1420">
      <c r="A1420" s="17" t="n"/>
      <c r="B1420" s="9" t="n"/>
      <c r="C1420" s="8" t="n"/>
      <c r="D1420" s="8" t="n"/>
      <c r="E1420" s="8" t="n"/>
      <c r="F1420" s="14" t="n"/>
      <c r="G1420" s="14" t="n"/>
      <c r="H1420" s="8" t="n"/>
      <c r="I1420" s="8" t="n"/>
      <c r="J1420" s="8" t="n"/>
      <c r="K1420" s="18">
        <f>IF(B1420="","",IFERROR(MONTH(B1420),""))</f>
        <v/>
      </c>
      <c r="L1420" s="5">
        <f>IF(COUNTA(A1420:J1420)=0,"",IF(E1420="","Mangler motkonto",IF((F1420="")=(G1420=""),"Fyll ut enten Inn eller Ut",IF(OR(IFERROR(INDEX('Kontoplan'!$D$3:$D$302,MATCH(D1420,'Kontoplan'!$H$3:$H$302,0))="Støttes ikke",FALSE),IFERROR(INDEX('Kontoplan'!$D$3:$D$302,MATCH(E1420,'Kontoplan'!$H$3:$H$302,0))="Støttes ikke",FALSE)),"Kontoen støttes ikke",IF(IFERROR(AND(A1420&gt;1,COUNTIF($A$3:$A$2002,A1420-1)=0),FALSE),"Nummeret hopper over",IF(OR(NOT(ISNUMBER(B1420)),B1420&lt;DATE(2027,1,1),B1420&gt;DATE(2027,12,31)),"Datoen er ikke i 2027",""))))))</f>
        <v/>
      </c>
    </row>
    <row r="1421">
      <c r="A1421" s="17" t="n"/>
      <c r="B1421" s="9" t="n"/>
      <c r="C1421" s="8" t="n"/>
      <c r="D1421" s="8" t="n"/>
      <c r="E1421" s="8" t="n"/>
      <c r="F1421" s="14" t="n"/>
      <c r="G1421" s="14" t="n"/>
      <c r="H1421" s="8" t="n"/>
      <c r="I1421" s="8" t="n"/>
      <c r="J1421" s="8" t="n"/>
      <c r="K1421" s="18">
        <f>IF(B1421="","",IFERROR(MONTH(B1421),""))</f>
        <v/>
      </c>
      <c r="L1421" s="5">
        <f>IF(COUNTA(A1421:J1421)=0,"",IF(E1421="","Mangler motkonto",IF((F1421="")=(G1421=""),"Fyll ut enten Inn eller Ut",IF(OR(IFERROR(INDEX('Kontoplan'!$D$3:$D$302,MATCH(D1421,'Kontoplan'!$H$3:$H$302,0))="Støttes ikke",FALSE),IFERROR(INDEX('Kontoplan'!$D$3:$D$302,MATCH(E1421,'Kontoplan'!$H$3:$H$302,0))="Støttes ikke",FALSE)),"Kontoen støttes ikke",IF(IFERROR(AND(A1421&gt;1,COUNTIF($A$3:$A$2002,A1421-1)=0),FALSE),"Nummeret hopper over",IF(OR(NOT(ISNUMBER(B1421)),B1421&lt;DATE(2027,1,1),B1421&gt;DATE(2027,12,31)),"Datoen er ikke i 2027",""))))))</f>
        <v/>
      </c>
    </row>
    <row r="1422">
      <c r="A1422" s="17" t="n"/>
      <c r="B1422" s="9" t="n"/>
      <c r="C1422" s="8" t="n"/>
      <c r="D1422" s="8" t="n"/>
      <c r="E1422" s="8" t="n"/>
      <c r="F1422" s="14" t="n"/>
      <c r="G1422" s="14" t="n"/>
      <c r="H1422" s="8" t="n"/>
      <c r="I1422" s="8" t="n"/>
      <c r="J1422" s="8" t="n"/>
      <c r="K1422" s="18">
        <f>IF(B1422="","",IFERROR(MONTH(B1422),""))</f>
        <v/>
      </c>
      <c r="L1422" s="5">
        <f>IF(COUNTA(A1422:J1422)=0,"",IF(E1422="","Mangler motkonto",IF((F1422="")=(G1422=""),"Fyll ut enten Inn eller Ut",IF(OR(IFERROR(INDEX('Kontoplan'!$D$3:$D$302,MATCH(D1422,'Kontoplan'!$H$3:$H$302,0))="Støttes ikke",FALSE),IFERROR(INDEX('Kontoplan'!$D$3:$D$302,MATCH(E1422,'Kontoplan'!$H$3:$H$302,0))="Støttes ikke",FALSE)),"Kontoen støttes ikke",IF(IFERROR(AND(A1422&gt;1,COUNTIF($A$3:$A$2002,A1422-1)=0),FALSE),"Nummeret hopper over",IF(OR(NOT(ISNUMBER(B1422)),B1422&lt;DATE(2027,1,1),B1422&gt;DATE(2027,12,31)),"Datoen er ikke i 2027",""))))))</f>
        <v/>
      </c>
    </row>
    <row r="1423">
      <c r="A1423" s="17" t="n"/>
      <c r="B1423" s="9" t="n"/>
      <c r="C1423" s="8" t="n"/>
      <c r="D1423" s="8" t="n"/>
      <c r="E1423" s="8" t="n"/>
      <c r="F1423" s="14" t="n"/>
      <c r="G1423" s="14" t="n"/>
      <c r="H1423" s="8" t="n"/>
      <c r="I1423" s="8" t="n"/>
      <c r="J1423" s="8" t="n"/>
      <c r="K1423" s="18">
        <f>IF(B1423="","",IFERROR(MONTH(B1423),""))</f>
        <v/>
      </c>
      <c r="L1423" s="5">
        <f>IF(COUNTA(A1423:J1423)=0,"",IF(E1423="","Mangler motkonto",IF((F1423="")=(G1423=""),"Fyll ut enten Inn eller Ut",IF(OR(IFERROR(INDEX('Kontoplan'!$D$3:$D$302,MATCH(D1423,'Kontoplan'!$H$3:$H$302,0))="Støttes ikke",FALSE),IFERROR(INDEX('Kontoplan'!$D$3:$D$302,MATCH(E1423,'Kontoplan'!$H$3:$H$302,0))="Støttes ikke",FALSE)),"Kontoen støttes ikke",IF(IFERROR(AND(A1423&gt;1,COUNTIF($A$3:$A$2002,A1423-1)=0),FALSE),"Nummeret hopper over",IF(OR(NOT(ISNUMBER(B1423)),B1423&lt;DATE(2027,1,1),B1423&gt;DATE(2027,12,31)),"Datoen er ikke i 2027",""))))))</f>
        <v/>
      </c>
    </row>
    <row r="1424">
      <c r="A1424" s="17" t="n"/>
      <c r="B1424" s="9" t="n"/>
      <c r="C1424" s="8" t="n"/>
      <c r="D1424" s="8" t="n"/>
      <c r="E1424" s="8" t="n"/>
      <c r="F1424" s="14" t="n"/>
      <c r="G1424" s="14" t="n"/>
      <c r="H1424" s="8" t="n"/>
      <c r="I1424" s="8" t="n"/>
      <c r="J1424" s="8" t="n"/>
      <c r="K1424" s="18">
        <f>IF(B1424="","",IFERROR(MONTH(B1424),""))</f>
        <v/>
      </c>
      <c r="L1424" s="5">
        <f>IF(COUNTA(A1424:J1424)=0,"",IF(E1424="","Mangler motkonto",IF((F1424="")=(G1424=""),"Fyll ut enten Inn eller Ut",IF(OR(IFERROR(INDEX('Kontoplan'!$D$3:$D$302,MATCH(D1424,'Kontoplan'!$H$3:$H$302,0))="Støttes ikke",FALSE),IFERROR(INDEX('Kontoplan'!$D$3:$D$302,MATCH(E1424,'Kontoplan'!$H$3:$H$302,0))="Støttes ikke",FALSE)),"Kontoen støttes ikke",IF(IFERROR(AND(A1424&gt;1,COUNTIF($A$3:$A$2002,A1424-1)=0),FALSE),"Nummeret hopper over",IF(OR(NOT(ISNUMBER(B1424)),B1424&lt;DATE(2027,1,1),B1424&gt;DATE(2027,12,31)),"Datoen er ikke i 2027",""))))))</f>
        <v/>
      </c>
    </row>
    <row r="1425">
      <c r="A1425" s="17" t="n"/>
      <c r="B1425" s="9" t="n"/>
      <c r="C1425" s="8" t="n"/>
      <c r="D1425" s="8" t="n"/>
      <c r="E1425" s="8" t="n"/>
      <c r="F1425" s="14" t="n"/>
      <c r="G1425" s="14" t="n"/>
      <c r="H1425" s="8" t="n"/>
      <c r="I1425" s="8" t="n"/>
      <c r="J1425" s="8" t="n"/>
      <c r="K1425" s="18">
        <f>IF(B1425="","",IFERROR(MONTH(B1425),""))</f>
        <v/>
      </c>
      <c r="L1425" s="5">
        <f>IF(COUNTA(A1425:J1425)=0,"",IF(E1425="","Mangler motkonto",IF((F1425="")=(G1425=""),"Fyll ut enten Inn eller Ut",IF(OR(IFERROR(INDEX('Kontoplan'!$D$3:$D$302,MATCH(D1425,'Kontoplan'!$H$3:$H$302,0))="Støttes ikke",FALSE),IFERROR(INDEX('Kontoplan'!$D$3:$D$302,MATCH(E1425,'Kontoplan'!$H$3:$H$302,0))="Støttes ikke",FALSE)),"Kontoen støttes ikke",IF(IFERROR(AND(A1425&gt;1,COUNTIF($A$3:$A$2002,A1425-1)=0),FALSE),"Nummeret hopper over",IF(OR(NOT(ISNUMBER(B1425)),B1425&lt;DATE(2027,1,1),B1425&gt;DATE(2027,12,31)),"Datoen er ikke i 2027",""))))))</f>
        <v/>
      </c>
    </row>
    <row r="1426">
      <c r="A1426" s="17" t="n"/>
      <c r="B1426" s="9" t="n"/>
      <c r="C1426" s="8" t="n"/>
      <c r="D1426" s="8" t="n"/>
      <c r="E1426" s="8" t="n"/>
      <c r="F1426" s="14" t="n"/>
      <c r="G1426" s="14" t="n"/>
      <c r="H1426" s="8" t="n"/>
      <c r="I1426" s="8" t="n"/>
      <c r="J1426" s="8" t="n"/>
      <c r="K1426" s="18">
        <f>IF(B1426="","",IFERROR(MONTH(B1426),""))</f>
        <v/>
      </c>
      <c r="L1426" s="5">
        <f>IF(COUNTA(A1426:J1426)=0,"",IF(E1426="","Mangler motkonto",IF((F1426="")=(G1426=""),"Fyll ut enten Inn eller Ut",IF(OR(IFERROR(INDEX('Kontoplan'!$D$3:$D$302,MATCH(D1426,'Kontoplan'!$H$3:$H$302,0))="Støttes ikke",FALSE),IFERROR(INDEX('Kontoplan'!$D$3:$D$302,MATCH(E1426,'Kontoplan'!$H$3:$H$302,0))="Støttes ikke",FALSE)),"Kontoen støttes ikke",IF(IFERROR(AND(A1426&gt;1,COUNTIF($A$3:$A$2002,A1426-1)=0),FALSE),"Nummeret hopper over",IF(OR(NOT(ISNUMBER(B1426)),B1426&lt;DATE(2027,1,1),B1426&gt;DATE(2027,12,31)),"Datoen er ikke i 2027",""))))))</f>
        <v/>
      </c>
    </row>
    <row r="1427">
      <c r="A1427" s="17" t="n"/>
      <c r="B1427" s="9" t="n"/>
      <c r="C1427" s="8" t="n"/>
      <c r="D1427" s="8" t="n"/>
      <c r="E1427" s="8" t="n"/>
      <c r="F1427" s="14" t="n"/>
      <c r="G1427" s="14" t="n"/>
      <c r="H1427" s="8" t="n"/>
      <c r="I1427" s="8" t="n"/>
      <c r="J1427" s="8" t="n"/>
      <c r="K1427" s="18">
        <f>IF(B1427="","",IFERROR(MONTH(B1427),""))</f>
        <v/>
      </c>
      <c r="L1427" s="5">
        <f>IF(COUNTA(A1427:J1427)=0,"",IF(E1427="","Mangler motkonto",IF((F1427="")=(G1427=""),"Fyll ut enten Inn eller Ut",IF(OR(IFERROR(INDEX('Kontoplan'!$D$3:$D$302,MATCH(D1427,'Kontoplan'!$H$3:$H$302,0))="Støttes ikke",FALSE),IFERROR(INDEX('Kontoplan'!$D$3:$D$302,MATCH(E1427,'Kontoplan'!$H$3:$H$302,0))="Støttes ikke",FALSE)),"Kontoen støttes ikke",IF(IFERROR(AND(A1427&gt;1,COUNTIF($A$3:$A$2002,A1427-1)=0),FALSE),"Nummeret hopper over",IF(OR(NOT(ISNUMBER(B1427)),B1427&lt;DATE(2027,1,1),B1427&gt;DATE(2027,12,31)),"Datoen er ikke i 2027",""))))))</f>
        <v/>
      </c>
    </row>
    <row r="1428">
      <c r="A1428" s="17" t="n"/>
      <c r="B1428" s="9" t="n"/>
      <c r="C1428" s="8" t="n"/>
      <c r="D1428" s="8" t="n"/>
      <c r="E1428" s="8" t="n"/>
      <c r="F1428" s="14" t="n"/>
      <c r="G1428" s="14" t="n"/>
      <c r="H1428" s="8" t="n"/>
      <c r="I1428" s="8" t="n"/>
      <c r="J1428" s="8" t="n"/>
      <c r="K1428" s="18">
        <f>IF(B1428="","",IFERROR(MONTH(B1428),""))</f>
        <v/>
      </c>
      <c r="L1428" s="5">
        <f>IF(COUNTA(A1428:J1428)=0,"",IF(E1428="","Mangler motkonto",IF((F1428="")=(G1428=""),"Fyll ut enten Inn eller Ut",IF(OR(IFERROR(INDEX('Kontoplan'!$D$3:$D$302,MATCH(D1428,'Kontoplan'!$H$3:$H$302,0))="Støttes ikke",FALSE),IFERROR(INDEX('Kontoplan'!$D$3:$D$302,MATCH(E1428,'Kontoplan'!$H$3:$H$302,0))="Støttes ikke",FALSE)),"Kontoen støttes ikke",IF(IFERROR(AND(A1428&gt;1,COUNTIF($A$3:$A$2002,A1428-1)=0),FALSE),"Nummeret hopper over",IF(OR(NOT(ISNUMBER(B1428)),B1428&lt;DATE(2027,1,1),B1428&gt;DATE(2027,12,31)),"Datoen er ikke i 2027",""))))))</f>
        <v/>
      </c>
    </row>
    <row r="1429">
      <c r="A1429" s="17" t="n"/>
      <c r="B1429" s="9" t="n"/>
      <c r="C1429" s="8" t="n"/>
      <c r="D1429" s="8" t="n"/>
      <c r="E1429" s="8" t="n"/>
      <c r="F1429" s="14" t="n"/>
      <c r="G1429" s="14" t="n"/>
      <c r="H1429" s="8" t="n"/>
      <c r="I1429" s="8" t="n"/>
      <c r="J1429" s="8" t="n"/>
      <c r="K1429" s="18">
        <f>IF(B1429="","",IFERROR(MONTH(B1429),""))</f>
        <v/>
      </c>
      <c r="L1429" s="5">
        <f>IF(COUNTA(A1429:J1429)=0,"",IF(E1429="","Mangler motkonto",IF((F1429="")=(G1429=""),"Fyll ut enten Inn eller Ut",IF(OR(IFERROR(INDEX('Kontoplan'!$D$3:$D$302,MATCH(D1429,'Kontoplan'!$H$3:$H$302,0))="Støttes ikke",FALSE),IFERROR(INDEX('Kontoplan'!$D$3:$D$302,MATCH(E1429,'Kontoplan'!$H$3:$H$302,0))="Støttes ikke",FALSE)),"Kontoen støttes ikke",IF(IFERROR(AND(A1429&gt;1,COUNTIF($A$3:$A$2002,A1429-1)=0),FALSE),"Nummeret hopper over",IF(OR(NOT(ISNUMBER(B1429)),B1429&lt;DATE(2027,1,1),B1429&gt;DATE(2027,12,31)),"Datoen er ikke i 2027",""))))))</f>
        <v/>
      </c>
    </row>
    <row r="1430">
      <c r="A1430" s="17" t="n"/>
      <c r="B1430" s="9" t="n"/>
      <c r="C1430" s="8" t="n"/>
      <c r="D1430" s="8" t="n"/>
      <c r="E1430" s="8" t="n"/>
      <c r="F1430" s="14" t="n"/>
      <c r="G1430" s="14" t="n"/>
      <c r="H1430" s="8" t="n"/>
      <c r="I1430" s="8" t="n"/>
      <c r="J1430" s="8" t="n"/>
      <c r="K1430" s="18">
        <f>IF(B1430="","",IFERROR(MONTH(B1430),""))</f>
        <v/>
      </c>
      <c r="L1430" s="5">
        <f>IF(COUNTA(A1430:J1430)=0,"",IF(E1430="","Mangler motkonto",IF((F1430="")=(G1430=""),"Fyll ut enten Inn eller Ut",IF(OR(IFERROR(INDEX('Kontoplan'!$D$3:$D$302,MATCH(D1430,'Kontoplan'!$H$3:$H$302,0))="Støttes ikke",FALSE),IFERROR(INDEX('Kontoplan'!$D$3:$D$302,MATCH(E1430,'Kontoplan'!$H$3:$H$302,0))="Støttes ikke",FALSE)),"Kontoen støttes ikke",IF(IFERROR(AND(A1430&gt;1,COUNTIF($A$3:$A$2002,A1430-1)=0),FALSE),"Nummeret hopper over",IF(OR(NOT(ISNUMBER(B1430)),B1430&lt;DATE(2027,1,1),B1430&gt;DATE(2027,12,31)),"Datoen er ikke i 2027",""))))))</f>
        <v/>
      </c>
    </row>
    <row r="1431">
      <c r="A1431" s="17" t="n"/>
      <c r="B1431" s="9" t="n"/>
      <c r="C1431" s="8" t="n"/>
      <c r="D1431" s="8" t="n"/>
      <c r="E1431" s="8" t="n"/>
      <c r="F1431" s="14" t="n"/>
      <c r="G1431" s="14" t="n"/>
      <c r="H1431" s="8" t="n"/>
      <c r="I1431" s="8" t="n"/>
      <c r="J1431" s="8" t="n"/>
      <c r="K1431" s="18">
        <f>IF(B1431="","",IFERROR(MONTH(B1431),""))</f>
        <v/>
      </c>
      <c r="L1431" s="5">
        <f>IF(COUNTA(A1431:J1431)=0,"",IF(E1431="","Mangler motkonto",IF((F1431="")=(G1431=""),"Fyll ut enten Inn eller Ut",IF(OR(IFERROR(INDEX('Kontoplan'!$D$3:$D$302,MATCH(D1431,'Kontoplan'!$H$3:$H$302,0))="Støttes ikke",FALSE),IFERROR(INDEX('Kontoplan'!$D$3:$D$302,MATCH(E1431,'Kontoplan'!$H$3:$H$302,0))="Støttes ikke",FALSE)),"Kontoen støttes ikke",IF(IFERROR(AND(A1431&gt;1,COUNTIF($A$3:$A$2002,A1431-1)=0),FALSE),"Nummeret hopper over",IF(OR(NOT(ISNUMBER(B1431)),B1431&lt;DATE(2027,1,1),B1431&gt;DATE(2027,12,31)),"Datoen er ikke i 2027",""))))))</f>
        <v/>
      </c>
    </row>
    <row r="1432">
      <c r="A1432" s="17" t="n"/>
      <c r="B1432" s="9" t="n"/>
      <c r="C1432" s="8" t="n"/>
      <c r="D1432" s="8" t="n"/>
      <c r="E1432" s="8" t="n"/>
      <c r="F1432" s="14" t="n"/>
      <c r="G1432" s="14" t="n"/>
      <c r="H1432" s="8" t="n"/>
      <c r="I1432" s="8" t="n"/>
      <c r="J1432" s="8" t="n"/>
      <c r="K1432" s="18">
        <f>IF(B1432="","",IFERROR(MONTH(B1432),""))</f>
        <v/>
      </c>
      <c r="L1432" s="5">
        <f>IF(COUNTA(A1432:J1432)=0,"",IF(E1432="","Mangler motkonto",IF((F1432="")=(G1432=""),"Fyll ut enten Inn eller Ut",IF(OR(IFERROR(INDEX('Kontoplan'!$D$3:$D$302,MATCH(D1432,'Kontoplan'!$H$3:$H$302,0))="Støttes ikke",FALSE),IFERROR(INDEX('Kontoplan'!$D$3:$D$302,MATCH(E1432,'Kontoplan'!$H$3:$H$302,0))="Støttes ikke",FALSE)),"Kontoen støttes ikke",IF(IFERROR(AND(A1432&gt;1,COUNTIF($A$3:$A$2002,A1432-1)=0),FALSE),"Nummeret hopper over",IF(OR(NOT(ISNUMBER(B1432)),B1432&lt;DATE(2027,1,1),B1432&gt;DATE(2027,12,31)),"Datoen er ikke i 2027",""))))))</f>
        <v/>
      </c>
    </row>
    <row r="1433">
      <c r="A1433" s="17" t="n"/>
      <c r="B1433" s="9" t="n"/>
      <c r="C1433" s="8" t="n"/>
      <c r="D1433" s="8" t="n"/>
      <c r="E1433" s="8" t="n"/>
      <c r="F1433" s="14" t="n"/>
      <c r="G1433" s="14" t="n"/>
      <c r="H1433" s="8" t="n"/>
      <c r="I1433" s="8" t="n"/>
      <c r="J1433" s="8" t="n"/>
      <c r="K1433" s="18">
        <f>IF(B1433="","",IFERROR(MONTH(B1433),""))</f>
        <v/>
      </c>
      <c r="L1433" s="5">
        <f>IF(COUNTA(A1433:J1433)=0,"",IF(E1433="","Mangler motkonto",IF((F1433="")=(G1433=""),"Fyll ut enten Inn eller Ut",IF(OR(IFERROR(INDEX('Kontoplan'!$D$3:$D$302,MATCH(D1433,'Kontoplan'!$H$3:$H$302,0))="Støttes ikke",FALSE),IFERROR(INDEX('Kontoplan'!$D$3:$D$302,MATCH(E1433,'Kontoplan'!$H$3:$H$302,0))="Støttes ikke",FALSE)),"Kontoen støttes ikke",IF(IFERROR(AND(A1433&gt;1,COUNTIF($A$3:$A$2002,A1433-1)=0),FALSE),"Nummeret hopper over",IF(OR(NOT(ISNUMBER(B1433)),B1433&lt;DATE(2027,1,1),B1433&gt;DATE(2027,12,31)),"Datoen er ikke i 2027",""))))))</f>
        <v/>
      </c>
    </row>
    <row r="1434">
      <c r="A1434" s="17" t="n"/>
      <c r="B1434" s="9" t="n"/>
      <c r="C1434" s="8" t="n"/>
      <c r="D1434" s="8" t="n"/>
      <c r="E1434" s="8" t="n"/>
      <c r="F1434" s="14" t="n"/>
      <c r="G1434" s="14" t="n"/>
      <c r="H1434" s="8" t="n"/>
      <c r="I1434" s="8" t="n"/>
      <c r="J1434" s="8" t="n"/>
      <c r="K1434" s="18">
        <f>IF(B1434="","",IFERROR(MONTH(B1434),""))</f>
        <v/>
      </c>
      <c r="L1434" s="5">
        <f>IF(COUNTA(A1434:J1434)=0,"",IF(E1434="","Mangler motkonto",IF((F1434="")=(G1434=""),"Fyll ut enten Inn eller Ut",IF(OR(IFERROR(INDEX('Kontoplan'!$D$3:$D$302,MATCH(D1434,'Kontoplan'!$H$3:$H$302,0))="Støttes ikke",FALSE),IFERROR(INDEX('Kontoplan'!$D$3:$D$302,MATCH(E1434,'Kontoplan'!$H$3:$H$302,0))="Støttes ikke",FALSE)),"Kontoen støttes ikke",IF(IFERROR(AND(A1434&gt;1,COUNTIF($A$3:$A$2002,A1434-1)=0),FALSE),"Nummeret hopper over",IF(OR(NOT(ISNUMBER(B1434)),B1434&lt;DATE(2027,1,1),B1434&gt;DATE(2027,12,31)),"Datoen er ikke i 2027",""))))))</f>
        <v/>
      </c>
    </row>
    <row r="1435">
      <c r="A1435" s="17" t="n"/>
      <c r="B1435" s="9" t="n"/>
      <c r="C1435" s="8" t="n"/>
      <c r="D1435" s="8" t="n"/>
      <c r="E1435" s="8" t="n"/>
      <c r="F1435" s="14" t="n"/>
      <c r="G1435" s="14" t="n"/>
      <c r="H1435" s="8" t="n"/>
      <c r="I1435" s="8" t="n"/>
      <c r="J1435" s="8" t="n"/>
      <c r="K1435" s="18">
        <f>IF(B1435="","",IFERROR(MONTH(B1435),""))</f>
        <v/>
      </c>
      <c r="L1435" s="5">
        <f>IF(COUNTA(A1435:J1435)=0,"",IF(E1435="","Mangler motkonto",IF((F1435="")=(G1435=""),"Fyll ut enten Inn eller Ut",IF(OR(IFERROR(INDEX('Kontoplan'!$D$3:$D$302,MATCH(D1435,'Kontoplan'!$H$3:$H$302,0))="Støttes ikke",FALSE),IFERROR(INDEX('Kontoplan'!$D$3:$D$302,MATCH(E1435,'Kontoplan'!$H$3:$H$302,0))="Støttes ikke",FALSE)),"Kontoen støttes ikke",IF(IFERROR(AND(A1435&gt;1,COUNTIF($A$3:$A$2002,A1435-1)=0),FALSE),"Nummeret hopper over",IF(OR(NOT(ISNUMBER(B1435)),B1435&lt;DATE(2027,1,1),B1435&gt;DATE(2027,12,31)),"Datoen er ikke i 2027",""))))))</f>
        <v/>
      </c>
    </row>
    <row r="1436">
      <c r="A1436" s="17" t="n"/>
      <c r="B1436" s="9" t="n"/>
      <c r="C1436" s="8" t="n"/>
      <c r="D1436" s="8" t="n"/>
      <c r="E1436" s="8" t="n"/>
      <c r="F1436" s="14" t="n"/>
      <c r="G1436" s="14" t="n"/>
      <c r="H1436" s="8" t="n"/>
      <c r="I1436" s="8" t="n"/>
      <c r="J1436" s="8" t="n"/>
      <c r="K1436" s="18">
        <f>IF(B1436="","",IFERROR(MONTH(B1436),""))</f>
        <v/>
      </c>
      <c r="L1436" s="5">
        <f>IF(COUNTA(A1436:J1436)=0,"",IF(E1436="","Mangler motkonto",IF((F1436="")=(G1436=""),"Fyll ut enten Inn eller Ut",IF(OR(IFERROR(INDEX('Kontoplan'!$D$3:$D$302,MATCH(D1436,'Kontoplan'!$H$3:$H$302,0))="Støttes ikke",FALSE),IFERROR(INDEX('Kontoplan'!$D$3:$D$302,MATCH(E1436,'Kontoplan'!$H$3:$H$302,0))="Støttes ikke",FALSE)),"Kontoen støttes ikke",IF(IFERROR(AND(A1436&gt;1,COUNTIF($A$3:$A$2002,A1436-1)=0),FALSE),"Nummeret hopper over",IF(OR(NOT(ISNUMBER(B1436)),B1436&lt;DATE(2027,1,1),B1436&gt;DATE(2027,12,31)),"Datoen er ikke i 2027",""))))))</f>
        <v/>
      </c>
    </row>
    <row r="1437">
      <c r="A1437" s="17" t="n"/>
      <c r="B1437" s="9" t="n"/>
      <c r="C1437" s="8" t="n"/>
      <c r="D1437" s="8" t="n"/>
      <c r="E1437" s="8" t="n"/>
      <c r="F1437" s="14" t="n"/>
      <c r="G1437" s="14" t="n"/>
      <c r="H1437" s="8" t="n"/>
      <c r="I1437" s="8" t="n"/>
      <c r="J1437" s="8" t="n"/>
      <c r="K1437" s="18">
        <f>IF(B1437="","",IFERROR(MONTH(B1437),""))</f>
        <v/>
      </c>
      <c r="L1437" s="5">
        <f>IF(COUNTA(A1437:J1437)=0,"",IF(E1437="","Mangler motkonto",IF((F1437="")=(G1437=""),"Fyll ut enten Inn eller Ut",IF(OR(IFERROR(INDEX('Kontoplan'!$D$3:$D$302,MATCH(D1437,'Kontoplan'!$H$3:$H$302,0))="Støttes ikke",FALSE),IFERROR(INDEX('Kontoplan'!$D$3:$D$302,MATCH(E1437,'Kontoplan'!$H$3:$H$302,0))="Støttes ikke",FALSE)),"Kontoen støttes ikke",IF(IFERROR(AND(A1437&gt;1,COUNTIF($A$3:$A$2002,A1437-1)=0),FALSE),"Nummeret hopper over",IF(OR(NOT(ISNUMBER(B1437)),B1437&lt;DATE(2027,1,1),B1437&gt;DATE(2027,12,31)),"Datoen er ikke i 2027",""))))))</f>
        <v/>
      </c>
    </row>
    <row r="1438">
      <c r="A1438" s="17" t="n"/>
      <c r="B1438" s="9" t="n"/>
      <c r="C1438" s="8" t="n"/>
      <c r="D1438" s="8" t="n"/>
      <c r="E1438" s="8" t="n"/>
      <c r="F1438" s="14" t="n"/>
      <c r="G1438" s="14" t="n"/>
      <c r="H1438" s="8" t="n"/>
      <c r="I1438" s="8" t="n"/>
      <c r="J1438" s="8" t="n"/>
      <c r="K1438" s="18">
        <f>IF(B1438="","",IFERROR(MONTH(B1438),""))</f>
        <v/>
      </c>
      <c r="L1438" s="5">
        <f>IF(COUNTA(A1438:J1438)=0,"",IF(E1438="","Mangler motkonto",IF((F1438="")=(G1438=""),"Fyll ut enten Inn eller Ut",IF(OR(IFERROR(INDEX('Kontoplan'!$D$3:$D$302,MATCH(D1438,'Kontoplan'!$H$3:$H$302,0))="Støttes ikke",FALSE),IFERROR(INDEX('Kontoplan'!$D$3:$D$302,MATCH(E1438,'Kontoplan'!$H$3:$H$302,0))="Støttes ikke",FALSE)),"Kontoen støttes ikke",IF(IFERROR(AND(A1438&gt;1,COUNTIF($A$3:$A$2002,A1438-1)=0),FALSE),"Nummeret hopper over",IF(OR(NOT(ISNUMBER(B1438)),B1438&lt;DATE(2027,1,1),B1438&gt;DATE(2027,12,31)),"Datoen er ikke i 2027",""))))))</f>
        <v/>
      </c>
    </row>
    <row r="1439">
      <c r="A1439" s="17" t="n"/>
      <c r="B1439" s="9" t="n"/>
      <c r="C1439" s="8" t="n"/>
      <c r="D1439" s="8" t="n"/>
      <c r="E1439" s="8" t="n"/>
      <c r="F1439" s="14" t="n"/>
      <c r="G1439" s="14" t="n"/>
      <c r="H1439" s="8" t="n"/>
      <c r="I1439" s="8" t="n"/>
      <c r="J1439" s="8" t="n"/>
      <c r="K1439" s="18">
        <f>IF(B1439="","",IFERROR(MONTH(B1439),""))</f>
        <v/>
      </c>
      <c r="L1439" s="5">
        <f>IF(COUNTA(A1439:J1439)=0,"",IF(E1439="","Mangler motkonto",IF((F1439="")=(G1439=""),"Fyll ut enten Inn eller Ut",IF(OR(IFERROR(INDEX('Kontoplan'!$D$3:$D$302,MATCH(D1439,'Kontoplan'!$H$3:$H$302,0))="Støttes ikke",FALSE),IFERROR(INDEX('Kontoplan'!$D$3:$D$302,MATCH(E1439,'Kontoplan'!$H$3:$H$302,0))="Støttes ikke",FALSE)),"Kontoen støttes ikke",IF(IFERROR(AND(A1439&gt;1,COUNTIF($A$3:$A$2002,A1439-1)=0),FALSE),"Nummeret hopper over",IF(OR(NOT(ISNUMBER(B1439)),B1439&lt;DATE(2027,1,1),B1439&gt;DATE(2027,12,31)),"Datoen er ikke i 2027",""))))))</f>
        <v/>
      </c>
    </row>
    <row r="1440">
      <c r="A1440" s="17" t="n"/>
      <c r="B1440" s="9" t="n"/>
      <c r="C1440" s="8" t="n"/>
      <c r="D1440" s="8" t="n"/>
      <c r="E1440" s="8" t="n"/>
      <c r="F1440" s="14" t="n"/>
      <c r="G1440" s="14" t="n"/>
      <c r="H1440" s="8" t="n"/>
      <c r="I1440" s="8" t="n"/>
      <c r="J1440" s="8" t="n"/>
      <c r="K1440" s="18">
        <f>IF(B1440="","",IFERROR(MONTH(B1440),""))</f>
        <v/>
      </c>
      <c r="L1440" s="5">
        <f>IF(COUNTA(A1440:J1440)=0,"",IF(E1440="","Mangler motkonto",IF((F1440="")=(G1440=""),"Fyll ut enten Inn eller Ut",IF(OR(IFERROR(INDEX('Kontoplan'!$D$3:$D$302,MATCH(D1440,'Kontoplan'!$H$3:$H$302,0))="Støttes ikke",FALSE),IFERROR(INDEX('Kontoplan'!$D$3:$D$302,MATCH(E1440,'Kontoplan'!$H$3:$H$302,0))="Støttes ikke",FALSE)),"Kontoen støttes ikke",IF(IFERROR(AND(A1440&gt;1,COUNTIF($A$3:$A$2002,A1440-1)=0),FALSE),"Nummeret hopper over",IF(OR(NOT(ISNUMBER(B1440)),B1440&lt;DATE(2027,1,1),B1440&gt;DATE(2027,12,31)),"Datoen er ikke i 2027",""))))))</f>
        <v/>
      </c>
    </row>
    <row r="1441">
      <c r="A1441" s="17" t="n"/>
      <c r="B1441" s="9" t="n"/>
      <c r="C1441" s="8" t="n"/>
      <c r="D1441" s="8" t="n"/>
      <c r="E1441" s="8" t="n"/>
      <c r="F1441" s="14" t="n"/>
      <c r="G1441" s="14" t="n"/>
      <c r="H1441" s="8" t="n"/>
      <c r="I1441" s="8" t="n"/>
      <c r="J1441" s="8" t="n"/>
      <c r="K1441" s="18">
        <f>IF(B1441="","",IFERROR(MONTH(B1441),""))</f>
        <v/>
      </c>
      <c r="L1441" s="5">
        <f>IF(COUNTA(A1441:J1441)=0,"",IF(E1441="","Mangler motkonto",IF((F1441="")=(G1441=""),"Fyll ut enten Inn eller Ut",IF(OR(IFERROR(INDEX('Kontoplan'!$D$3:$D$302,MATCH(D1441,'Kontoplan'!$H$3:$H$302,0))="Støttes ikke",FALSE),IFERROR(INDEX('Kontoplan'!$D$3:$D$302,MATCH(E1441,'Kontoplan'!$H$3:$H$302,0))="Støttes ikke",FALSE)),"Kontoen støttes ikke",IF(IFERROR(AND(A1441&gt;1,COUNTIF($A$3:$A$2002,A1441-1)=0),FALSE),"Nummeret hopper over",IF(OR(NOT(ISNUMBER(B1441)),B1441&lt;DATE(2027,1,1),B1441&gt;DATE(2027,12,31)),"Datoen er ikke i 2027",""))))))</f>
        <v/>
      </c>
    </row>
    <row r="1442">
      <c r="A1442" s="17" t="n"/>
      <c r="B1442" s="9" t="n"/>
      <c r="C1442" s="8" t="n"/>
      <c r="D1442" s="8" t="n"/>
      <c r="E1442" s="8" t="n"/>
      <c r="F1442" s="14" t="n"/>
      <c r="G1442" s="14" t="n"/>
      <c r="H1442" s="8" t="n"/>
      <c r="I1442" s="8" t="n"/>
      <c r="J1442" s="8" t="n"/>
      <c r="K1442" s="18">
        <f>IF(B1442="","",IFERROR(MONTH(B1442),""))</f>
        <v/>
      </c>
      <c r="L1442" s="5">
        <f>IF(COUNTA(A1442:J1442)=0,"",IF(E1442="","Mangler motkonto",IF((F1442="")=(G1442=""),"Fyll ut enten Inn eller Ut",IF(OR(IFERROR(INDEX('Kontoplan'!$D$3:$D$302,MATCH(D1442,'Kontoplan'!$H$3:$H$302,0))="Støttes ikke",FALSE),IFERROR(INDEX('Kontoplan'!$D$3:$D$302,MATCH(E1442,'Kontoplan'!$H$3:$H$302,0))="Støttes ikke",FALSE)),"Kontoen støttes ikke",IF(IFERROR(AND(A1442&gt;1,COUNTIF($A$3:$A$2002,A1442-1)=0),FALSE),"Nummeret hopper over",IF(OR(NOT(ISNUMBER(B1442)),B1442&lt;DATE(2027,1,1),B1442&gt;DATE(2027,12,31)),"Datoen er ikke i 2027",""))))))</f>
        <v/>
      </c>
    </row>
    <row r="1443">
      <c r="A1443" s="17" t="n"/>
      <c r="B1443" s="9" t="n"/>
      <c r="C1443" s="8" t="n"/>
      <c r="D1443" s="8" t="n"/>
      <c r="E1443" s="8" t="n"/>
      <c r="F1443" s="14" t="n"/>
      <c r="G1443" s="14" t="n"/>
      <c r="H1443" s="8" t="n"/>
      <c r="I1443" s="8" t="n"/>
      <c r="J1443" s="8" t="n"/>
      <c r="K1443" s="18">
        <f>IF(B1443="","",IFERROR(MONTH(B1443),""))</f>
        <v/>
      </c>
      <c r="L1443" s="5">
        <f>IF(COUNTA(A1443:J1443)=0,"",IF(E1443="","Mangler motkonto",IF((F1443="")=(G1443=""),"Fyll ut enten Inn eller Ut",IF(OR(IFERROR(INDEX('Kontoplan'!$D$3:$D$302,MATCH(D1443,'Kontoplan'!$H$3:$H$302,0))="Støttes ikke",FALSE),IFERROR(INDEX('Kontoplan'!$D$3:$D$302,MATCH(E1443,'Kontoplan'!$H$3:$H$302,0))="Støttes ikke",FALSE)),"Kontoen støttes ikke",IF(IFERROR(AND(A1443&gt;1,COUNTIF($A$3:$A$2002,A1443-1)=0),FALSE),"Nummeret hopper over",IF(OR(NOT(ISNUMBER(B1443)),B1443&lt;DATE(2027,1,1),B1443&gt;DATE(2027,12,31)),"Datoen er ikke i 2027",""))))))</f>
        <v/>
      </c>
    </row>
    <row r="1444">
      <c r="A1444" s="17" t="n"/>
      <c r="B1444" s="9" t="n"/>
      <c r="C1444" s="8" t="n"/>
      <c r="D1444" s="8" t="n"/>
      <c r="E1444" s="8" t="n"/>
      <c r="F1444" s="14" t="n"/>
      <c r="G1444" s="14" t="n"/>
      <c r="H1444" s="8" t="n"/>
      <c r="I1444" s="8" t="n"/>
      <c r="J1444" s="8" t="n"/>
      <c r="K1444" s="18">
        <f>IF(B1444="","",IFERROR(MONTH(B1444),""))</f>
        <v/>
      </c>
      <c r="L1444" s="5">
        <f>IF(COUNTA(A1444:J1444)=0,"",IF(E1444="","Mangler motkonto",IF((F1444="")=(G1444=""),"Fyll ut enten Inn eller Ut",IF(OR(IFERROR(INDEX('Kontoplan'!$D$3:$D$302,MATCH(D1444,'Kontoplan'!$H$3:$H$302,0))="Støttes ikke",FALSE),IFERROR(INDEX('Kontoplan'!$D$3:$D$302,MATCH(E1444,'Kontoplan'!$H$3:$H$302,0))="Støttes ikke",FALSE)),"Kontoen støttes ikke",IF(IFERROR(AND(A1444&gt;1,COUNTIF($A$3:$A$2002,A1444-1)=0),FALSE),"Nummeret hopper over",IF(OR(NOT(ISNUMBER(B1444)),B1444&lt;DATE(2027,1,1),B1444&gt;DATE(2027,12,31)),"Datoen er ikke i 2027",""))))))</f>
        <v/>
      </c>
    </row>
    <row r="1445">
      <c r="A1445" s="17" t="n"/>
      <c r="B1445" s="9" t="n"/>
      <c r="C1445" s="8" t="n"/>
      <c r="D1445" s="8" t="n"/>
      <c r="E1445" s="8" t="n"/>
      <c r="F1445" s="14" t="n"/>
      <c r="G1445" s="14" t="n"/>
      <c r="H1445" s="8" t="n"/>
      <c r="I1445" s="8" t="n"/>
      <c r="J1445" s="8" t="n"/>
      <c r="K1445" s="18">
        <f>IF(B1445="","",IFERROR(MONTH(B1445),""))</f>
        <v/>
      </c>
      <c r="L1445" s="5">
        <f>IF(COUNTA(A1445:J1445)=0,"",IF(E1445="","Mangler motkonto",IF((F1445="")=(G1445=""),"Fyll ut enten Inn eller Ut",IF(OR(IFERROR(INDEX('Kontoplan'!$D$3:$D$302,MATCH(D1445,'Kontoplan'!$H$3:$H$302,0))="Støttes ikke",FALSE),IFERROR(INDEX('Kontoplan'!$D$3:$D$302,MATCH(E1445,'Kontoplan'!$H$3:$H$302,0))="Støttes ikke",FALSE)),"Kontoen støttes ikke",IF(IFERROR(AND(A1445&gt;1,COUNTIF($A$3:$A$2002,A1445-1)=0),FALSE),"Nummeret hopper over",IF(OR(NOT(ISNUMBER(B1445)),B1445&lt;DATE(2027,1,1),B1445&gt;DATE(2027,12,31)),"Datoen er ikke i 2027",""))))))</f>
        <v/>
      </c>
    </row>
    <row r="1446">
      <c r="A1446" s="17" t="n"/>
      <c r="B1446" s="9" t="n"/>
      <c r="C1446" s="8" t="n"/>
      <c r="D1446" s="8" t="n"/>
      <c r="E1446" s="8" t="n"/>
      <c r="F1446" s="14" t="n"/>
      <c r="G1446" s="14" t="n"/>
      <c r="H1446" s="8" t="n"/>
      <c r="I1446" s="8" t="n"/>
      <c r="J1446" s="8" t="n"/>
      <c r="K1446" s="18">
        <f>IF(B1446="","",IFERROR(MONTH(B1446),""))</f>
        <v/>
      </c>
      <c r="L1446" s="5">
        <f>IF(COUNTA(A1446:J1446)=0,"",IF(E1446="","Mangler motkonto",IF((F1446="")=(G1446=""),"Fyll ut enten Inn eller Ut",IF(OR(IFERROR(INDEX('Kontoplan'!$D$3:$D$302,MATCH(D1446,'Kontoplan'!$H$3:$H$302,0))="Støttes ikke",FALSE),IFERROR(INDEX('Kontoplan'!$D$3:$D$302,MATCH(E1446,'Kontoplan'!$H$3:$H$302,0))="Støttes ikke",FALSE)),"Kontoen støttes ikke",IF(IFERROR(AND(A1446&gt;1,COUNTIF($A$3:$A$2002,A1446-1)=0),FALSE),"Nummeret hopper over",IF(OR(NOT(ISNUMBER(B1446)),B1446&lt;DATE(2027,1,1),B1446&gt;DATE(2027,12,31)),"Datoen er ikke i 2027",""))))))</f>
        <v/>
      </c>
    </row>
    <row r="1447">
      <c r="A1447" s="17" t="n"/>
      <c r="B1447" s="9" t="n"/>
      <c r="C1447" s="8" t="n"/>
      <c r="D1447" s="8" t="n"/>
      <c r="E1447" s="8" t="n"/>
      <c r="F1447" s="14" t="n"/>
      <c r="G1447" s="14" t="n"/>
      <c r="H1447" s="8" t="n"/>
      <c r="I1447" s="8" t="n"/>
      <c r="J1447" s="8" t="n"/>
      <c r="K1447" s="18">
        <f>IF(B1447="","",IFERROR(MONTH(B1447),""))</f>
        <v/>
      </c>
      <c r="L1447" s="5">
        <f>IF(COUNTA(A1447:J1447)=0,"",IF(E1447="","Mangler motkonto",IF((F1447="")=(G1447=""),"Fyll ut enten Inn eller Ut",IF(OR(IFERROR(INDEX('Kontoplan'!$D$3:$D$302,MATCH(D1447,'Kontoplan'!$H$3:$H$302,0))="Støttes ikke",FALSE),IFERROR(INDEX('Kontoplan'!$D$3:$D$302,MATCH(E1447,'Kontoplan'!$H$3:$H$302,0))="Støttes ikke",FALSE)),"Kontoen støttes ikke",IF(IFERROR(AND(A1447&gt;1,COUNTIF($A$3:$A$2002,A1447-1)=0),FALSE),"Nummeret hopper over",IF(OR(NOT(ISNUMBER(B1447)),B1447&lt;DATE(2027,1,1),B1447&gt;DATE(2027,12,31)),"Datoen er ikke i 2027",""))))))</f>
        <v/>
      </c>
    </row>
    <row r="1448">
      <c r="A1448" s="17" t="n"/>
      <c r="B1448" s="9" t="n"/>
      <c r="C1448" s="8" t="n"/>
      <c r="D1448" s="8" t="n"/>
      <c r="E1448" s="8" t="n"/>
      <c r="F1448" s="14" t="n"/>
      <c r="G1448" s="14" t="n"/>
      <c r="H1448" s="8" t="n"/>
      <c r="I1448" s="8" t="n"/>
      <c r="J1448" s="8" t="n"/>
      <c r="K1448" s="18">
        <f>IF(B1448="","",IFERROR(MONTH(B1448),""))</f>
        <v/>
      </c>
      <c r="L1448" s="5">
        <f>IF(COUNTA(A1448:J1448)=0,"",IF(E1448="","Mangler motkonto",IF((F1448="")=(G1448=""),"Fyll ut enten Inn eller Ut",IF(OR(IFERROR(INDEX('Kontoplan'!$D$3:$D$302,MATCH(D1448,'Kontoplan'!$H$3:$H$302,0))="Støttes ikke",FALSE),IFERROR(INDEX('Kontoplan'!$D$3:$D$302,MATCH(E1448,'Kontoplan'!$H$3:$H$302,0))="Støttes ikke",FALSE)),"Kontoen støttes ikke",IF(IFERROR(AND(A1448&gt;1,COUNTIF($A$3:$A$2002,A1448-1)=0),FALSE),"Nummeret hopper over",IF(OR(NOT(ISNUMBER(B1448)),B1448&lt;DATE(2027,1,1),B1448&gt;DATE(2027,12,31)),"Datoen er ikke i 2027",""))))))</f>
        <v/>
      </c>
    </row>
    <row r="1449">
      <c r="A1449" s="17" t="n"/>
      <c r="B1449" s="9" t="n"/>
      <c r="C1449" s="8" t="n"/>
      <c r="D1449" s="8" t="n"/>
      <c r="E1449" s="8" t="n"/>
      <c r="F1449" s="14" t="n"/>
      <c r="G1449" s="14" t="n"/>
      <c r="H1449" s="8" t="n"/>
      <c r="I1449" s="8" t="n"/>
      <c r="J1449" s="8" t="n"/>
      <c r="K1449" s="18">
        <f>IF(B1449="","",IFERROR(MONTH(B1449),""))</f>
        <v/>
      </c>
      <c r="L1449" s="5">
        <f>IF(COUNTA(A1449:J1449)=0,"",IF(E1449="","Mangler motkonto",IF((F1449="")=(G1449=""),"Fyll ut enten Inn eller Ut",IF(OR(IFERROR(INDEX('Kontoplan'!$D$3:$D$302,MATCH(D1449,'Kontoplan'!$H$3:$H$302,0))="Støttes ikke",FALSE),IFERROR(INDEX('Kontoplan'!$D$3:$D$302,MATCH(E1449,'Kontoplan'!$H$3:$H$302,0))="Støttes ikke",FALSE)),"Kontoen støttes ikke",IF(IFERROR(AND(A1449&gt;1,COUNTIF($A$3:$A$2002,A1449-1)=0),FALSE),"Nummeret hopper over",IF(OR(NOT(ISNUMBER(B1449)),B1449&lt;DATE(2027,1,1),B1449&gt;DATE(2027,12,31)),"Datoen er ikke i 2027",""))))))</f>
        <v/>
      </c>
    </row>
    <row r="1450">
      <c r="A1450" s="17" t="n"/>
      <c r="B1450" s="9" t="n"/>
      <c r="C1450" s="8" t="n"/>
      <c r="D1450" s="8" t="n"/>
      <c r="E1450" s="8" t="n"/>
      <c r="F1450" s="14" t="n"/>
      <c r="G1450" s="14" t="n"/>
      <c r="H1450" s="8" t="n"/>
      <c r="I1450" s="8" t="n"/>
      <c r="J1450" s="8" t="n"/>
      <c r="K1450" s="18">
        <f>IF(B1450="","",IFERROR(MONTH(B1450),""))</f>
        <v/>
      </c>
      <c r="L1450" s="5">
        <f>IF(COUNTA(A1450:J1450)=0,"",IF(E1450="","Mangler motkonto",IF((F1450="")=(G1450=""),"Fyll ut enten Inn eller Ut",IF(OR(IFERROR(INDEX('Kontoplan'!$D$3:$D$302,MATCH(D1450,'Kontoplan'!$H$3:$H$302,0))="Støttes ikke",FALSE),IFERROR(INDEX('Kontoplan'!$D$3:$D$302,MATCH(E1450,'Kontoplan'!$H$3:$H$302,0))="Støttes ikke",FALSE)),"Kontoen støttes ikke",IF(IFERROR(AND(A1450&gt;1,COUNTIF($A$3:$A$2002,A1450-1)=0),FALSE),"Nummeret hopper over",IF(OR(NOT(ISNUMBER(B1450)),B1450&lt;DATE(2027,1,1),B1450&gt;DATE(2027,12,31)),"Datoen er ikke i 2027",""))))))</f>
        <v/>
      </c>
    </row>
    <row r="1451">
      <c r="A1451" s="17" t="n"/>
      <c r="B1451" s="9" t="n"/>
      <c r="C1451" s="8" t="n"/>
      <c r="D1451" s="8" t="n"/>
      <c r="E1451" s="8" t="n"/>
      <c r="F1451" s="14" t="n"/>
      <c r="G1451" s="14" t="n"/>
      <c r="H1451" s="8" t="n"/>
      <c r="I1451" s="8" t="n"/>
      <c r="J1451" s="8" t="n"/>
      <c r="K1451" s="18">
        <f>IF(B1451="","",IFERROR(MONTH(B1451),""))</f>
        <v/>
      </c>
      <c r="L1451" s="5">
        <f>IF(COUNTA(A1451:J1451)=0,"",IF(E1451="","Mangler motkonto",IF((F1451="")=(G1451=""),"Fyll ut enten Inn eller Ut",IF(OR(IFERROR(INDEX('Kontoplan'!$D$3:$D$302,MATCH(D1451,'Kontoplan'!$H$3:$H$302,0))="Støttes ikke",FALSE),IFERROR(INDEX('Kontoplan'!$D$3:$D$302,MATCH(E1451,'Kontoplan'!$H$3:$H$302,0))="Støttes ikke",FALSE)),"Kontoen støttes ikke",IF(IFERROR(AND(A1451&gt;1,COUNTIF($A$3:$A$2002,A1451-1)=0),FALSE),"Nummeret hopper over",IF(OR(NOT(ISNUMBER(B1451)),B1451&lt;DATE(2027,1,1),B1451&gt;DATE(2027,12,31)),"Datoen er ikke i 2027",""))))))</f>
        <v/>
      </c>
    </row>
    <row r="1452">
      <c r="A1452" s="17" t="n"/>
      <c r="B1452" s="9" t="n"/>
      <c r="C1452" s="8" t="n"/>
      <c r="D1452" s="8" t="n"/>
      <c r="E1452" s="8" t="n"/>
      <c r="F1452" s="14" t="n"/>
      <c r="G1452" s="14" t="n"/>
      <c r="H1452" s="8" t="n"/>
      <c r="I1452" s="8" t="n"/>
      <c r="J1452" s="8" t="n"/>
      <c r="K1452" s="18">
        <f>IF(B1452="","",IFERROR(MONTH(B1452),""))</f>
        <v/>
      </c>
      <c r="L1452" s="5">
        <f>IF(COUNTA(A1452:J1452)=0,"",IF(E1452="","Mangler motkonto",IF((F1452="")=(G1452=""),"Fyll ut enten Inn eller Ut",IF(OR(IFERROR(INDEX('Kontoplan'!$D$3:$D$302,MATCH(D1452,'Kontoplan'!$H$3:$H$302,0))="Støttes ikke",FALSE),IFERROR(INDEX('Kontoplan'!$D$3:$D$302,MATCH(E1452,'Kontoplan'!$H$3:$H$302,0))="Støttes ikke",FALSE)),"Kontoen støttes ikke",IF(IFERROR(AND(A1452&gt;1,COUNTIF($A$3:$A$2002,A1452-1)=0),FALSE),"Nummeret hopper over",IF(OR(NOT(ISNUMBER(B1452)),B1452&lt;DATE(2027,1,1),B1452&gt;DATE(2027,12,31)),"Datoen er ikke i 2027",""))))))</f>
        <v/>
      </c>
    </row>
    <row r="1453">
      <c r="A1453" s="17" t="n"/>
      <c r="B1453" s="9" t="n"/>
      <c r="C1453" s="8" t="n"/>
      <c r="D1453" s="8" t="n"/>
      <c r="E1453" s="8" t="n"/>
      <c r="F1453" s="14" t="n"/>
      <c r="G1453" s="14" t="n"/>
      <c r="H1453" s="8" t="n"/>
      <c r="I1453" s="8" t="n"/>
      <c r="J1453" s="8" t="n"/>
      <c r="K1453" s="18">
        <f>IF(B1453="","",IFERROR(MONTH(B1453),""))</f>
        <v/>
      </c>
      <c r="L1453" s="5">
        <f>IF(COUNTA(A1453:J1453)=0,"",IF(E1453="","Mangler motkonto",IF((F1453="")=(G1453=""),"Fyll ut enten Inn eller Ut",IF(OR(IFERROR(INDEX('Kontoplan'!$D$3:$D$302,MATCH(D1453,'Kontoplan'!$H$3:$H$302,0))="Støttes ikke",FALSE),IFERROR(INDEX('Kontoplan'!$D$3:$D$302,MATCH(E1453,'Kontoplan'!$H$3:$H$302,0))="Støttes ikke",FALSE)),"Kontoen støttes ikke",IF(IFERROR(AND(A1453&gt;1,COUNTIF($A$3:$A$2002,A1453-1)=0),FALSE),"Nummeret hopper over",IF(OR(NOT(ISNUMBER(B1453)),B1453&lt;DATE(2027,1,1),B1453&gt;DATE(2027,12,31)),"Datoen er ikke i 2027",""))))))</f>
        <v/>
      </c>
    </row>
    <row r="1454">
      <c r="A1454" s="17" t="n"/>
      <c r="B1454" s="9" t="n"/>
      <c r="C1454" s="8" t="n"/>
      <c r="D1454" s="8" t="n"/>
      <c r="E1454" s="8" t="n"/>
      <c r="F1454" s="14" t="n"/>
      <c r="G1454" s="14" t="n"/>
      <c r="H1454" s="8" t="n"/>
      <c r="I1454" s="8" t="n"/>
      <c r="J1454" s="8" t="n"/>
      <c r="K1454" s="18">
        <f>IF(B1454="","",IFERROR(MONTH(B1454),""))</f>
        <v/>
      </c>
      <c r="L1454" s="5">
        <f>IF(COUNTA(A1454:J1454)=0,"",IF(E1454="","Mangler motkonto",IF((F1454="")=(G1454=""),"Fyll ut enten Inn eller Ut",IF(OR(IFERROR(INDEX('Kontoplan'!$D$3:$D$302,MATCH(D1454,'Kontoplan'!$H$3:$H$302,0))="Støttes ikke",FALSE),IFERROR(INDEX('Kontoplan'!$D$3:$D$302,MATCH(E1454,'Kontoplan'!$H$3:$H$302,0))="Støttes ikke",FALSE)),"Kontoen støttes ikke",IF(IFERROR(AND(A1454&gt;1,COUNTIF($A$3:$A$2002,A1454-1)=0),FALSE),"Nummeret hopper over",IF(OR(NOT(ISNUMBER(B1454)),B1454&lt;DATE(2027,1,1),B1454&gt;DATE(2027,12,31)),"Datoen er ikke i 2027",""))))))</f>
        <v/>
      </c>
    </row>
    <row r="1455">
      <c r="A1455" s="17" t="n"/>
      <c r="B1455" s="9" t="n"/>
      <c r="C1455" s="8" t="n"/>
      <c r="D1455" s="8" t="n"/>
      <c r="E1455" s="8" t="n"/>
      <c r="F1455" s="14" t="n"/>
      <c r="G1455" s="14" t="n"/>
      <c r="H1455" s="8" t="n"/>
      <c r="I1455" s="8" t="n"/>
      <c r="J1455" s="8" t="n"/>
      <c r="K1455" s="18">
        <f>IF(B1455="","",IFERROR(MONTH(B1455),""))</f>
        <v/>
      </c>
      <c r="L1455" s="5">
        <f>IF(COUNTA(A1455:J1455)=0,"",IF(E1455="","Mangler motkonto",IF((F1455="")=(G1455=""),"Fyll ut enten Inn eller Ut",IF(OR(IFERROR(INDEX('Kontoplan'!$D$3:$D$302,MATCH(D1455,'Kontoplan'!$H$3:$H$302,0))="Støttes ikke",FALSE),IFERROR(INDEX('Kontoplan'!$D$3:$D$302,MATCH(E1455,'Kontoplan'!$H$3:$H$302,0))="Støttes ikke",FALSE)),"Kontoen støttes ikke",IF(IFERROR(AND(A1455&gt;1,COUNTIF($A$3:$A$2002,A1455-1)=0),FALSE),"Nummeret hopper over",IF(OR(NOT(ISNUMBER(B1455)),B1455&lt;DATE(2027,1,1),B1455&gt;DATE(2027,12,31)),"Datoen er ikke i 2027",""))))))</f>
        <v/>
      </c>
    </row>
    <row r="1456">
      <c r="A1456" s="17" t="n"/>
      <c r="B1456" s="9" t="n"/>
      <c r="C1456" s="8" t="n"/>
      <c r="D1456" s="8" t="n"/>
      <c r="E1456" s="8" t="n"/>
      <c r="F1456" s="14" t="n"/>
      <c r="G1456" s="14" t="n"/>
      <c r="H1456" s="8" t="n"/>
      <c r="I1456" s="8" t="n"/>
      <c r="J1456" s="8" t="n"/>
      <c r="K1456" s="18">
        <f>IF(B1456="","",IFERROR(MONTH(B1456),""))</f>
        <v/>
      </c>
      <c r="L1456" s="5">
        <f>IF(COUNTA(A1456:J1456)=0,"",IF(E1456="","Mangler motkonto",IF((F1456="")=(G1456=""),"Fyll ut enten Inn eller Ut",IF(OR(IFERROR(INDEX('Kontoplan'!$D$3:$D$302,MATCH(D1456,'Kontoplan'!$H$3:$H$302,0))="Støttes ikke",FALSE),IFERROR(INDEX('Kontoplan'!$D$3:$D$302,MATCH(E1456,'Kontoplan'!$H$3:$H$302,0))="Støttes ikke",FALSE)),"Kontoen støttes ikke",IF(IFERROR(AND(A1456&gt;1,COUNTIF($A$3:$A$2002,A1456-1)=0),FALSE),"Nummeret hopper over",IF(OR(NOT(ISNUMBER(B1456)),B1456&lt;DATE(2027,1,1),B1456&gt;DATE(2027,12,31)),"Datoen er ikke i 2027",""))))))</f>
        <v/>
      </c>
    </row>
    <row r="1457">
      <c r="A1457" s="17" t="n"/>
      <c r="B1457" s="9" t="n"/>
      <c r="C1457" s="8" t="n"/>
      <c r="D1457" s="8" t="n"/>
      <c r="E1457" s="8" t="n"/>
      <c r="F1457" s="14" t="n"/>
      <c r="G1457" s="14" t="n"/>
      <c r="H1457" s="8" t="n"/>
      <c r="I1457" s="8" t="n"/>
      <c r="J1457" s="8" t="n"/>
      <c r="K1457" s="18">
        <f>IF(B1457="","",IFERROR(MONTH(B1457),""))</f>
        <v/>
      </c>
      <c r="L1457" s="5">
        <f>IF(COUNTA(A1457:J1457)=0,"",IF(E1457="","Mangler motkonto",IF((F1457="")=(G1457=""),"Fyll ut enten Inn eller Ut",IF(OR(IFERROR(INDEX('Kontoplan'!$D$3:$D$302,MATCH(D1457,'Kontoplan'!$H$3:$H$302,0))="Støttes ikke",FALSE),IFERROR(INDEX('Kontoplan'!$D$3:$D$302,MATCH(E1457,'Kontoplan'!$H$3:$H$302,0))="Støttes ikke",FALSE)),"Kontoen støttes ikke",IF(IFERROR(AND(A1457&gt;1,COUNTIF($A$3:$A$2002,A1457-1)=0),FALSE),"Nummeret hopper over",IF(OR(NOT(ISNUMBER(B1457)),B1457&lt;DATE(2027,1,1),B1457&gt;DATE(2027,12,31)),"Datoen er ikke i 2027",""))))))</f>
        <v/>
      </c>
    </row>
    <row r="1458">
      <c r="A1458" s="17" t="n"/>
      <c r="B1458" s="9" t="n"/>
      <c r="C1458" s="8" t="n"/>
      <c r="D1458" s="8" t="n"/>
      <c r="E1458" s="8" t="n"/>
      <c r="F1458" s="14" t="n"/>
      <c r="G1458" s="14" t="n"/>
      <c r="H1458" s="8" t="n"/>
      <c r="I1458" s="8" t="n"/>
      <c r="J1458" s="8" t="n"/>
      <c r="K1458" s="18">
        <f>IF(B1458="","",IFERROR(MONTH(B1458),""))</f>
        <v/>
      </c>
      <c r="L1458" s="5">
        <f>IF(COUNTA(A1458:J1458)=0,"",IF(E1458="","Mangler motkonto",IF((F1458="")=(G1458=""),"Fyll ut enten Inn eller Ut",IF(OR(IFERROR(INDEX('Kontoplan'!$D$3:$D$302,MATCH(D1458,'Kontoplan'!$H$3:$H$302,0))="Støttes ikke",FALSE),IFERROR(INDEX('Kontoplan'!$D$3:$D$302,MATCH(E1458,'Kontoplan'!$H$3:$H$302,0))="Støttes ikke",FALSE)),"Kontoen støttes ikke",IF(IFERROR(AND(A1458&gt;1,COUNTIF($A$3:$A$2002,A1458-1)=0),FALSE),"Nummeret hopper over",IF(OR(NOT(ISNUMBER(B1458)),B1458&lt;DATE(2027,1,1),B1458&gt;DATE(2027,12,31)),"Datoen er ikke i 2027",""))))))</f>
        <v/>
      </c>
    </row>
    <row r="1459">
      <c r="A1459" s="17" t="n"/>
      <c r="B1459" s="9" t="n"/>
      <c r="C1459" s="8" t="n"/>
      <c r="D1459" s="8" t="n"/>
      <c r="E1459" s="8" t="n"/>
      <c r="F1459" s="14" t="n"/>
      <c r="G1459" s="14" t="n"/>
      <c r="H1459" s="8" t="n"/>
      <c r="I1459" s="8" t="n"/>
      <c r="J1459" s="8" t="n"/>
      <c r="K1459" s="18">
        <f>IF(B1459="","",IFERROR(MONTH(B1459),""))</f>
        <v/>
      </c>
      <c r="L1459" s="5">
        <f>IF(COUNTA(A1459:J1459)=0,"",IF(E1459="","Mangler motkonto",IF((F1459="")=(G1459=""),"Fyll ut enten Inn eller Ut",IF(OR(IFERROR(INDEX('Kontoplan'!$D$3:$D$302,MATCH(D1459,'Kontoplan'!$H$3:$H$302,0))="Støttes ikke",FALSE),IFERROR(INDEX('Kontoplan'!$D$3:$D$302,MATCH(E1459,'Kontoplan'!$H$3:$H$302,0))="Støttes ikke",FALSE)),"Kontoen støttes ikke",IF(IFERROR(AND(A1459&gt;1,COUNTIF($A$3:$A$2002,A1459-1)=0),FALSE),"Nummeret hopper over",IF(OR(NOT(ISNUMBER(B1459)),B1459&lt;DATE(2027,1,1),B1459&gt;DATE(2027,12,31)),"Datoen er ikke i 2027",""))))))</f>
        <v/>
      </c>
    </row>
    <row r="1460">
      <c r="A1460" s="17" t="n"/>
      <c r="B1460" s="9" t="n"/>
      <c r="C1460" s="8" t="n"/>
      <c r="D1460" s="8" t="n"/>
      <c r="E1460" s="8" t="n"/>
      <c r="F1460" s="14" t="n"/>
      <c r="G1460" s="14" t="n"/>
      <c r="H1460" s="8" t="n"/>
      <c r="I1460" s="8" t="n"/>
      <c r="J1460" s="8" t="n"/>
      <c r="K1460" s="18">
        <f>IF(B1460="","",IFERROR(MONTH(B1460),""))</f>
        <v/>
      </c>
      <c r="L1460" s="5">
        <f>IF(COUNTA(A1460:J1460)=0,"",IF(E1460="","Mangler motkonto",IF((F1460="")=(G1460=""),"Fyll ut enten Inn eller Ut",IF(OR(IFERROR(INDEX('Kontoplan'!$D$3:$D$302,MATCH(D1460,'Kontoplan'!$H$3:$H$302,0))="Støttes ikke",FALSE),IFERROR(INDEX('Kontoplan'!$D$3:$D$302,MATCH(E1460,'Kontoplan'!$H$3:$H$302,0))="Støttes ikke",FALSE)),"Kontoen støttes ikke",IF(IFERROR(AND(A1460&gt;1,COUNTIF($A$3:$A$2002,A1460-1)=0),FALSE),"Nummeret hopper over",IF(OR(NOT(ISNUMBER(B1460)),B1460&lt;DATE(2027,1,1),B1460&gt;DATE(2027,12,31)),"Datoen er ikke i 2027",""))))))</f>
        <v/>
      </c>
    </row>
    <row r="1461">
      <c r="A1461" s="17" t="n"/>
      <c r="B1461" s="9" t="n"/>
      <c r="C1461" s="8" t="n"/>
      <c r="D1461" s="8" t="n"/>
      <c r="E1461" s="8" t="n"/>
      <c r="F1461" s="14" t="n"/>
      <c r="G1461" s="14" t="n"/>
      <c r="H1461" s="8" t="n"/>
      <c r="I1461" s="8" t="n"/>
      <c r="J1461" s="8" t="n"/>
      <c r="K1461" s="18">
        <f>IF(B1461="","",IFERROR(MONTH(B1461),""))</f>
        <v/>
      </c>
      <c r="L1461" s="5">
        <f>IF(COUNTA(A1461:J1461)=0,"",IF(E1461="","Mangler motkonto",IF((F1461="")=(G1461=""),"Fyll ut enten Inn eller Ut",IF(OR(IFERROR(INDEX('Kontoplan'!$D$3:$D$302,MATCH(D1461,'Kontoplan'!$H$3:$H$302,0))="Støttes ikke",FALSE),IFERROR(INDEX('Kontoplan'!$D$3:$D$302,MATCH(E1461,'Kontoplan'!$H$3:$H$302,0))="Støttes ikke",FALSE)),"Kontoen støttes ikke",IF(IFERROR(AND(A1461&gt;1,COUNTIF($A$3:$A$2002,A1461-1)=0),FALSE),"Nummeret hopper over",IF(OR(NOT(ISNUMBER(B1461)),B1461&lt;DATE(2027,1,1),B1461&gt;DATE(2027,12,31)),"Datoen er ikke i 2027",""))))))</f>
        <v/>
      </c>
    </row>
    <row r="1462">
      <c r="A1462" s="17" t="n"/>
      <c r="B1462" s="9" t="n"/>
      <c r="C1462" s="8" t="n"/>
      <c r="D1462" s="8" t="n"/>
      <c r="E1462" s="8" t="n"/>
      <c r="F1462" s="14" t="n"/>
      <c r="G1462" s="14" t="n"/>
      <c r="H1462" s="8" t="n"/>
      <c r="I1462" s="8" t="n"/>
      <c r="J1462" s="8" t="n"/>
      <c r="K1462" s="18">
        <f>IF(B1462="","",IFERROR(MONTH(B1462),""))</f>
        <v/>
      </c>
      <c r="L1462" s="5">
        <f>IF(COUNTA(A1462:J1462)=0,"",IF(E1462="","Mangler motkonto",IF((F1462="")=(G1462=""),"Fyll ut enten Inn eller Ut",IF(OR(IFERROR(INDEX('Kontoplan'!$D$3:$D$302,MATCH(D1462,'Kontoplan'!$H$3:$H$302,0))="Støttes ikke",FALSE),IFERROR(INDEX('Kontoplan'!$D$3:$D$302,MATCH(E1462,'Kontoplan'!$H$3:$H$302,0))="Støttes ikke",FALSE)),"Kontoen støttes ikke",IF(IFERROR(AND(A1462&gt;1,COUNTIF($A$3:$A$2002,A1462-1)=0),FALSE),"Nummeret hopper over",IF(OR(NOT(ISNUMBER(B1462)),B1462&lt;DATE(2027,1,1),B1462&gt;DATE(2027,12,31)),"Datoen er ikke i 2027",""))))))</f>
        <v/>
      </c>
    </row>
    <row r="1463">
      <c r="A1463" s="17" t="n"/>
      <c r="B1463" s="9" t="n"/>
      <c r="C1463" s="8" t="n"/>
      <c r="D1463" s="8" t="n"/>
      <c r="E1463" s="8" t="n"/>
      <c r="F1463" s="14" t="n"/>
      <c r="G1463" s="14" t="n"/>
      <c r="H1463" s="8" t="n"/>
      <c r="I1463" s="8" t="n"/>
      <c r="J1463" s="8" t="n"/>
      <c r="K1463" s="18">
        <f>IF(B1463="","",IFERROR(MONTH(B1463),""))</f>
        <v/>
      </c>
      <c r="L1463" s="5">
        <f>IF(COUNTA(A1463:J1463)=0,"",IF(E1463="","Mangler motkonto",IF((F1463="")=(G1463=""),"Fyll ut enten Inn eller Ut",IF(OR(IFERROR(INDEX('Kontoplan'!$D$3:$D$302,MATCH(D1463,'Kontoplan'!$H$3:$H$302,0))="Støttes ikke",FALSE),IFERROR(INDEX('Kontoplan'!$D$3:$D$302,MATCH(E1463,'Kontoplan'!$H$3:$H$302,0))="Støttes ikke",FALSE)),"Kontoen støttes ikke",IF(IFERROR(AND(A1463&gt;1,COUNTIF($A$3:$A$2002,A1463-1)=0),FALSE),"Nummeret hopper over",IF(OR(NOT(ISNUMBER(B1463)),B1463&lt;DATE(2027,1,1),B1463&gt;DATE(2027,12,31)),"Datoen er ikke i 2027",""))))))</f>
        <v/>
      </c>
    </row>
    <row r="1464">
      <c r="A1464" s="17" t="n"/>
      <c r="B1464" s="9" t="n"/>
      <c r="C1464" s="8" t="n"/>
      <c r="D1464" s="8" t="n"/>
      <c r="E1464" s="8" t="n"/>
      <c r="F1464" s="14" t="n"/>
      <c r="G1464" s="14" t="n"/>
      <c r="H1464" s="8" t="n"/>
      <c r="I1464" s="8" t="n"/>
      <c r="J1464" s="8" t="n"/>
      <c r="K1464" s="18">
        <f>IF(B1464="","",IFERROR(MONTH(B1464),""))</f>
        <v/>
      </c>
      <c r="L1464" s="5">
        <f>IF(COUNTA(A1464:J1464)=0,"",IF(E1464="","Mangler motkonto",IF((F1464="")=(G1464=""),"Fyll ut enten Inn eller Ut",IF(OR(IFERROR(INDEX('Kontoplan'!$D$3:$D$302,MATCH(D1464,'Kontoplan'!$H$3:$H$302,0))="Støttes ikke",FALSE),IFERROR(INDEX('Kontoplan'!$D$3:$D$302,MATCH(E1464,'Kontoplan'!$H$3:$H$302,0))="Støttes ikke",FALSE)),"Kontoen støttes ikke",IF(IFERROR(AND(A1464&gt;1,COUNTIF($A$3:$A$2002,A1464-1)=0),FALSE),"Nummeret hopper over",IF(OR(NOT(ISNUMBER(B1464)),B1464&lt;DATE(2027,1,1),B1464&gt;DATE(2027,12,31)),"Datoen er ikke i 2027",""))))))</f>
        <v/>
      </c>
    </row>
    <row r="1465">
      <c r="A1465" s="17" t="n"/>
      <c r="B1465" s="9" t="n"/>
      <c r="C1465" s="8" t="n"/>
      <c r="D1465" s="8" t="n"/>
      <c r="E1465" s="8" t="n"/>
      <c r="F1465" s="14" t="n"/>
      <c r="G1465" s="14" t="n"/>
      <c r="H1465" s="8" t="n"/>
      <c r="I1465" s="8" t="n"/>
      <c r="J1465" s="8" t="n"/>
      <c r="K1465" s="18">
        <f>IF(B1465="","",IFERROR(MONTH(B1465),""))</f>
        <v/>
      </c>
      <c r="L1465" s="5">
        <f>IF(COUNTA(A1465:J1465)=0,"",IF(E1465="","Mangler motkonto",IF((F1465="")=(G1465=""),"Fyll ut enten Inn eller Ut",IF(OR(IFERROR(INDEX('Kontoplan'!$D$3:$D$302,MATCH(D1465,'Kontoplan'!$H$3:$H$302,0))="Støttes ikke",FALSE),IFERROR(INDEX('Kontoplan'!$D$3:$D$302,MATCH(E1465,'Kontoplan'!$H$3:$H$302,0))="Støttes ikke",FALSE)),"Kontoen støttes ikke",IF(IFERROR(AND(A1465&gt;1,COUNTIF($A$3:$A$2002,A1465-1)=0),FALSE),"Nummeret hopper over",IF(OR(NOT(ISNUMBER(B1465)),B1465&lt;DATE(2027,1,1),B1465&gt;DATE(2027,12,31)),"Datoen er ikke i 2027",""))))))</f>
        <v/>
      </c>
    </row>
    <row r="1466">
      <c r="A1466" s="17" t="n"/>
      <c r="B1466" s="9" t="n"/>
      <c r="C1466" s="8" t="n"/>
      <c r="D1466" s="8" t="n"/>
      <c r="E1466" s="8" t="n"/>
      <c r="F1466" s="14" t="n"/>
      <c r="G1466" s="14" t="n"/>
      <c r="H1466" s="8" t="n"/>
      <c r="I1466" s="8" t="n"/>
      <c r="J1466" s="8" t="n"/>
      <c r="K1466" s="18">
        <f>IF(B1466="","",IFERROR(MONTH(B1466),""))</f>
        <v/>
      </c>
      <c r="L1466" s="5">
        <f>IF(COUNTA(A1466:J1466)=0,"",IF(E1466="","Mangler motkonto",IF((F1466="")=(G1466=""),"Fyll ut enten Inn eller Ut",IF(OR(IFERROR(INDEX('Kontoplan'!$D$3:$D$302,MATCH(D1466,'Kontoplan'!$H$3:$H$302,0))="Støttes ikke",FALSE),IFERROR(INDEX('Kontoplan'!$D$3:$D$302,MATCH(E1466,'Kontoplan'!$H$3:$H$302,0))="Støttes ikke",FALSE)),"Kontoen støttes ikke",IF(IFERROR(AND(A1466&gt;1,COUNTIF($A$3:$A$2002,A1466-1)=0),FALSE),"Nummeret hopper over",IF(OR(NOT(ISNUMBER(B1466)),B1466&lt;DATE(2027,1,1),B1466&gt;DATE(2027,12,31)),"Datoen er ikke i 2027",""))))))</f>
        <v/>
      </c>
    </row>
    <row r="1467">
      <c r="A1467" s="17" t="n"/>
      <c r="B1467" s="9" t="n"/>
      <c r="C1467" s="8" t="n"/>
      <c r="D1467" s="8" t="n"/>
      <c r="E1467" s="8" t="n"/>
      <c r="F1467" s="14" t="n"/>
      <c r="G1467" s="14" t="n"/>
      <c r="H1467" s="8" t="n"/>
      <c r="I1467" s="8" t="n"/>
      <c r="J1467" s="8" t="n"/>
      <c r="K1467" s="18">
        <f>IF(B1467="","",IFERROR(MONTH(B1467),""))</f>
        <v/>
      </c>
      <c r="L1467" s="5">
        <f>IF(COUNTA(A1467:J1467)=0,"",IF(E1467="","Mangler motkonto",IF((F1467="")=(G1467=""),"Fyll ut enten Inn eller Ut",IF(OR(IFERROR(INDEX('Kontoplan'!$D$3:$D$302,MATCH(D1467,'Kontoplan'!$H$3:$H$302,0))="Støttes ikke",FALSE),IFERROR(INDEX('Kontoplan'!$D$3:$D$302,MATCH(E1467,'Kontoplan'!$H$3:$H$302,0))="Støttes ikke",FALSE)),"Kontoen støttes ikke",IF(IFERROR(AND(A1467&gt;1,COUNTIF($A$3:$A$2002,A1467-1)=0),FALSE),"Nummeret hopper over",IF(OR(NOT(ISNUMBER(B1467)),B1467&lt;DATE(2027,1,1),B1467&gt;DATE(2027,12,31)),"Datoen er ikke i 2027",""))))))</f>
        <v/>
      </c>
    </row>
    <row r="1468">
      <c r="A1468" s="17" t="n"/>
      <c r="B1468" s="9" t="n"/>
      <c r="C1468" s="8" t="n"/>
      <c r="D1468" s="8" t="n"/>
      <c r="E1468" s="8" t="n"/>
      <c r="F1468" s="14" t="n"/>
      <c r="G1468" s="14" t="n"/>
      <c r="H1468" s="8" t="n"/>
      <c r="I1468" s="8" t="n"/>
      <c r="J1468" s="8" t="n"/>
      <c r="K1468" s="18">
        <f>IF(B1468="","",IFERROR(MONTH(B1468),""))</f>
        <v/>
      </c>
      <c r="L1468" s="5">
        <f>IF(COUNTA(A1468:J1468)=0,"",IF(E1468="","Mangler motkonto",IF((F1468="")=(G1468=""),"Fyll ut enten Inn eller Ut",IF(OR(IFERROR(INDEX('Kontoplan'!$D$3:$D$302,MATCH(D1468,'Kontoplan'!$H$3:$H$302,0))="Støttes ikke",FALSE),IFERROR(INDEX('Kontoplan'!$D$3:$D$302,MATCH(E1468,'Kontoplan'!$H$3:$H$302,0))="Støttes ikke",FALSE)),"Kontoen støttes ikke",IF(IFERROR(AND(A1468&gt;1,COUNTIF($A$3:$A$2002,A1468-1)=0),FALSE),"Nummeret hopper over",IF(OR(NOT(ISNUMBER(B1468)),B1468&lt;DATE(2027,1,1),B1468&gt;DATE(2027,12,31)),"Datoen er ikke i 2027",""))))))</f>
        <v/>
      </c>
    </row>
    <row r="1469">
      <c r="A1469" s="17" t="n"/>
      <c r="B1469" s="9" t="n"/>
      <c r="C1469" s="8" t="n"/>
      <c r="D1469" s="8" t="n"/>
      <c r="E1469" s="8" t="n"/>
      <c r="F1469" s="14" t="n"/>
      <c r="G1469" s="14" t="n"/>
      <c r="H1469" s="8" t="n"/>
      <c r="I1469" s="8" t="n"/>
      <c r="J1469" s="8" t="n"/>
      <c r="K1469" s="18">
        <f>IF(B1469="","",IFERROR(MONTH(B1469),""))</f>
        <v/>
      </c>
      <c r="L1469" s="5">
        <f>IF(COUNTA(A1469:J1469)=0,"",IF(E1469="","Mangler motkonto",IF((F1469="")=(G1469=""),"Fyll ut enten Inn eller Ut",IF(OR(IFERROR(INDEX('Kontoplan'!$D$3:$D$302,MATCH(D1469,'Kontoplan'!$H$3:$H$302,0))="Støttes ikke",FALSE),IFERROR(INDEX('Kontoplan'!$D$3:$D$302,MATCH(E1469,'Kontoplan'!$H$3:$H$302,0))="Støttes ikke",FALSE)),"Kontoen støttes ikke",IF(IFERROR(AND(A1469&gt;1,COUNTIF($A$3:$A$2002,A1469-1)=0),FALSE),"Nummeret hopper over",IF(OR(NOT(ISNUMBER(B1469)),B1469&lt;DATE(2027,1,1),B1469&gt;DATE(2027,12,31)),"Datoen er ikke i 2027",""))))))</f>
        <v/>
      </c>
    </row>
    <row r="1470">
      <c r="A1470" s="17" t="n"/>
      <c r="B1470" s="9" t="n"/>
      <c r="C1470" s="8" t="n"/>
      <c r="D1470" s="8" t="n"/>
      <c r="E1470" s="8" t="n"/>
      <c r="F1470" s="14" t="n"/>
      <c r="G1470" s="14" t="n"/>
      <c r="H1470" s="8" t="n"/>
      <c r="I1470" s="8" t="n"/>
      <c r="J1470" s="8" t="n"/>
      <c r="K1470" s="18">
        <f>IF(B1470="","",IFERROR(MONTH(B1470),""))</f>
        <v/>
      </c>
      <c r="L1470" s="5">
        <f>IF(COUNTA(A1470:J1470)=0,"",IF(E1470="","Mangler motkonto",IF((F1470="")=(G1470=""),"Fyll ut enten Inn eller Ut",IF(OR(IFERROR(INDEX('Kontoplan'!$D$3:$D$302,MATCH(D1470,'Kontoplan'!$H$3:$H$302,0))="Støttes ikke",FALSE),IFERROR(INDEX('Kontoplan'!$D$3:$D$302,MATCH(E1470,'Kontoplan'!$H$3:$H$302,0))="Støttes ikke",FALSE)),"Kontoen støttes ikke",IF(IFERROR(AND(A1470&gt;1,COUNTIF($A$3:$A$2002,A1470-1)=0),FALSE),"Nummeret hopper over",IF(OR(NOT(ISNUMBER(B1470)),B1470&lt;DATE(2027,1,1),B1470&gt;DATE(2027,12,31)),"Datoen er ikke i 2027",""))))))</f>
        <v/>
      </c>
    </row>
    <row r="1471">
      <c r="A1471" s="17" t="n"/>
      <c r="B1471" s="9" t="n"/>
      <c r="C1471" s="8" t="n"/>
      <c r="D1471" s="8" t="n"/>
      <c r="E1471" s="8" t="n"/>
      <c r="F1471" s="14" t="n"/>
      <c r="G1471" s="14" t="n"/>
      <c r="H1471" s="8" t="n"/>
      <c r="I1471" s="8" t="n"/>
      <c r="J1471" s="8" t="n"/>
      <c r="K1471" s="18">
        <f>IF(B1471="","",IFERROR(MONTH(B1471),""))</f>
        <v/>
      </c>
      <c r="L1471" s="5">
        <f>IF(COUNTA(A1471:J1471)=0,"",IF(E1471="","Mangler motkonto",IF((F1471="")=(G1471=""),"Fyll ut enten Inn eller Ut",IF(OR(IFERROR(INDEX('Kontoplan'!$D$3:$D$302,MATCH(D1471,'Kontoplan'!$H$3:$H$302,0))="Støttes ikke",FALSE),IFERROR(INDEX('Kontoplan'!$D$3:$D$302,MATCH(E1471,'Kontoplan'!$H$3:$H$302,0))="Støttes ikke",FALSE)),"Kontoen støttes ikke",IF(IFERROR(AND(A1471&gt;1,COUNTIF($A$3:$A$2002,A1471-1)=0),FALSE),"Nummeret hopper over",IF(OR(NOT(ISNUMBER(B1471)),B1471&lt;DATE(2027,1,1),B1471&gt;DATE(2027,12,31)),"Datoen er ikke i 2027",""))))))</f>
        <v/>
      </c>
    </row>
    <row r="1472">
      <c r="A1472" s="17" t="n"/>
      <c r="B1472" s="9" t="n"/>
      <c r="C1472" s="8" t="n"/>
      <c r="D1472" s="8" t="n"/>
      <c r="E1472" s="8" t="n"/>
      <c r="F1472" s="14" t="n"/>
      <c r="G1472" s="14" t="n"/>
      <c r="H1472" s="8" t="n"/>
      <c r="I1472" s="8" t="n"/>
      <c r="J1472" s="8" t="n"/>
      <c r="K1472" s="18">
        <f>IF(B1472="","",IFERROR(MONTH(B1472),""))</f>
        <v/>
      </c>
      <c r="L1472" s="5">
        <f>IF(COUNTA(A1472:J1472)=0,"",IF(E1472="","Mangler motkonto",IF((F1472="")=(G1472=""),"Fyll ut enten Inn eller Ut",IF(OR(IFERROR(INDEX('Kontoplan'!$D$3:$D$302,MATCH(D1472,'Kontoplan'!$H$3:$H$302,0))="Støttes ikke",FALSE),IFERROR(INDEX('Kontoplan'!$D$3:$D$302,MATCH(E1472,'Kontoplan'!$H$3:$H$302,0))="Støttes ikke",FALSE)),"Kontoen støttes ikke",IF(IFERROR(AND(A1472&gt;1,COUNTIF($A$3:$A$2002,A1472-1)=0),FALSE),"Nummeret hopper over",IF(OR(NOT(ISNUMBER(B1472)),B1472&lt;DATE(2027,1,1),B1472&gt;DATE(2027,12,31)),"Datoen er ikke i 2027",""))))))</f>
        <v/>
      </c>
    </row>
    <row r="1473">
      <c r="A1473" s="17" t="n"/>
      <c r="B1473" s="9" t="n"/>
      <c r="C1473" s="8" t="n"/>
      <c r="D1473" s="8" t="n"/>
      <c r="E1473" s="8" t="n"/>
      <c r="F1473" s="14" t="n"/>
      <c r="G1473" s="14" t="n"/>
      <c r="H1473" s="8" t="n"/>
      <c r="I1473" s="8" t="n"/>
      <c r="J1473" s="8" t="n"/>
      <c r="K1473" s="18">
        <f>IF(B1473="","",IFERROR(MONTH(B1473),""))</f>
        <v/>
      </c>
      <c r="L1473" s="5">
        <f>IF(COUNTA(A1473:J1473)=0,"",IF(E1473="","Mangler motkonto",IF((F1473="")=(G1473=""),"Fyll ut enten Inn eller Ut",IF(OR(IFERROR(INDEX('Kontoplan'!$D$3:$D$302,MATCH(D1473,'Kontoplan'!$H$3:$H$302,0))="Støttes ikke",FALSE),IFERROR(INDEX('Kontoplan'!$D$3:$D$302,MATCH(E1473,'Kontoplan'!$H$3:$H$302,0))="Støttes ikke",FALSE)),"Kontoen støttes ikke",IF(IFERROR(AND(A1473&gt;1,COUNTIF($A$3:$A$2002,A1473-1)=0),FALSE),"Nummeret hopper over",IF(OR(NOT(ISNUMBER(B1473)),B1473&lt;DATE(2027,1,1),B1473&gt;DATE(2027,12,31)),"Datoen er ikke i 2027",""))))))</f>
        <v/>
      </c>
    </row>
    <row r="1474">
      <c r="A1474" s="17" t="n"/>
      <c r="B1474" s="9" t="n"/>
      <c r="C1474" s="8" t="n"/>
      <c r="D1474" s="8" t="n"/>
      <c r="E1474" s="8" t="n"/>
      <c r="F1474" s="14" t="n"/>
      <c r="G1474" s="14" t="n"/>
      <c r="H1474" s="8" t="n"/>
      <c r="I1474" s="8" t="n"/>
      <c r="J1474" s="8" t="n"/>
      <c r="K1474" s="18">
        <f>IF(B1474="","",IFERROR(MONTH(B1474),""))</f>
        <v/>
      </c>
      <c r="L1474" s="5">
        <f>IF(COUNTA(A1474:J1474)=0,"",IF(E1474="","Mangler motkonto",IF((F1474="")=(G1474=""),"Fyll ut enten Inn eller Ut",IF(OR(IFERROR(INDEX('Kontoplan'!$D$3:$D$302,MATCH(D1474,'Kontoplan'!$H$3:$H$302,0))="Støttes ikke",FALSE),IFERROR(INDEX('Kontoplan'!$D$3:$D$302,MATCH(E1474,'Kontoplan'!$H$3:$H$302,0))="Støttes ikke",FALSE)),"Kontoen støttes ikke",IF(IFERROR(AND(A1474&gt;1,COUNTIF($A$3:$A$2002,A1474-1)=0),FALSE),"Nummeret hopper over",IF(OR(NOT(ISNUMBER(B1474)),B1474&lt;DATE(2027,1,1),B1474&gt;DATE(2027,12,31)),"Datoen er ikke i 2027",""))))))</f>
        <v/>
      </c>
    </row>
    <row r="1475">
      <c r="A1475" s="17" t="n"/>
      <c r="B1475" s="9" t="n"/>
      <c r="C1475" s="8" t="n"/>
      <c r="D1475" s="8" t="n"/>
      <c r="E1475" s="8" t="n"/>
      <c r="F1475" s="14" t="n"/>
      <c r="G1475" s="14" t="n"/>
      <c r="H1475" s="8" t="n"/>
      <c r="I1475" s="8" t="n"/>
      <c r="J1475" s="8" t="n"/>
      <c r="K1475" s="18">
        <f>IF(B1475="","",IFERROR(MONTH(B1475),""))</f>
        <v/>
      </c>
      <c r="L1475" s="5">
        <f>IF(COUNTA(A1475:J1475)=0,"",IF(E1475="","Mangler motkonto",IF((F1475="")=(G1475=""),"Fyll ut enten Inn eller Ut",IF(OR(IFERROR(INDEX('Kontoplan'!$D$3:$D$302,MATCH(D1475,'Kontoplan'!$H$3:$H$302,0))="Støttes ikke",FALSE),IFERROR(INDEX('Kontoplan'!$D$3:$D$302,MATCH(E1475,'Kontoplan'!$H$3:$H$302,0))="Støttes ikke",FALSE)),"Kontoen støttes ikke",IF(IFERROR(AND(A1475&gt;1,COUNTIF($A$3:$A$2002,A1475-1)=0),FALSE),"Nummeret hopper over",IF(OR(NOT(ISNUMBER(B1475)),B1475&lt;DATE(2027,1,1),B1475&gt;DATE(2027,12,31)),"Datoen er ikke i 2027",""))))))</f>
        <v/>
      </c>
    </row>
    <row r="1476">
      <c r="A1476" s="17" t="n"/>
      <c r="B1476" s="9" t="n"/>
      <c r="C1476" s="8" t="n"/>
      <c r="D1476" s="8" t="n"/>
      <c r="E1476" s="8" t="n"/>
      <c r="F1476" s="14" t="n"/>
      <c r="G1476" s="14" t="n"/>
      <c r="H1476" s="8" t="n"/>
      <c r="I1476" s="8" t="n"/>
      <c r="J1476" s="8" t="n"/>
      <c r="K1476" s="18">
        <f>IF(B1476="","",IFERROR(MONTH(B1476),""))</f>
        <v/>
      </c>
      <c r="L1476" s="5">
        <f>IF(COUNTA(A1476:J1476)=0,"",IF(E1476="","Mangler motkonto",IF((F1476="")=(G1476=""),"Fyll ut enten Inn eller Ut",IF(OR(IFERROR(INDEX('Kontoplan'!$D$3:$D$302,MATCH(D1476,'Kontoplan'!$H$3:$H$302,0))="Støttes ikke",FALSE),IFERROR(INDEX('Kontoplan'!$D$3:$D$302,MATCH(E1476,'Kontoplan'!$H$3:$H$302,0))="Støttes ikke",FALSE)),"Kontoen støttes ikke",IF(IFERROR(AND(A1476&gt;1,COUNTIF($A$3:$A$2002,A1476-1)=0),FALSE),"Nummeret hopper over",IF(OR(NOT(ISNUMBER(B1476)),B1476&lt;DATE(2027,1,1),B1476&gt;DATE(2027,12,31)),"Datoen er ikke i 2027",""))))))</f>
        <v/>
      </c>
    </row>
    <row r="1477">
      <c r="A1477" s="17" t="n"/>
      <c r="B1477" s="9" t="n"/>
      <c r="C1477" s="8" t="n"/>
      <c r="D1477" s="8" t="n"/>
      <c r="E1477" s="8" t="n"/>
      <c r="F1477" s="14" t="n"/>
      <c r="G1477" s="14" t="n"/>
      <c r="H1477" s="8" t="n"/>
      <c r="I1477" s="8" t="n"/>
      <c r="J1477" s="8" t="n"/>
      <c r="K1477" s="18">
        <f>IF(B1477="","",IFERROR(MONTH(B1477),""))</f>
        <v/>
      </c>
      <c r="L1477" s="5">
        <f>IF(COUNTA(A1477:J1477)=0,"",IF(E1477="","Mangler motkonto",IF((F1477="")=(G1477=""),"Fyll ut enten Inn eller Ut",IF(OR(IFERROR(INDEX('Kontoplan'!$D$3:$D$302,MATCH(D1477,'Kontoplan'!$H$3:$H$302,0))="Støttes ikke",FALSE),IFERROR(INDEX('Kontoplan'!$D$3:$D$302,MATCH(E1477,'Kontoplan'!$H$3:$H$302,0))="Støttes ikke",FALSE)),"Kontoen støttes ikke",IF(IFERROR(AND(A1477&gt;1,COUNTIF($A$3:$A$2002,A1477-1)=0),FALSE),"Nummeret hopper over",IF(OR(NOT(ISNUMBER(B1477)),B1477&lt;DATE(2027,1,1),B1477&gt;DATE(2027,12,31)),"Datoen er ikke i 2027",""))))))</f>
        <v/>
      </c>
    </row>
    <row r="1478">
      <c r="A1478" s="17" t="n"/>
      <c r="B1478" s="9" t="n"/>
      <c r="C1478" s="8" t="n"/>
      <c r="D1478" s="8" t="n"/>
      <c r="E1478" s="8" t="n"/>
      <c r="F1478" s="14" t="n"/>
      <c r="G1478" s="14" t="n"/>
      <c r="H1478" s="8" t="n"/>
      <c r="I1478" s="8" t="n"/>
      <c r="J1478" s="8" t="n"/>
      <c r="K1478" s="18">
        <f>IF(B1478="","",IFERROR(MONTH(B1478),""))</f>
        <v/>
      </c>
      <c r="L1478" s="5">
        <f>IF(COUNTA(A1478:J1478)=0,"",IF(E1478="","Mangler motkonto",IF((F1478="")=(G1478=""),"Fyll ut enten Inn eller Ut",IF(OR(IFERROR(INDEX('Kontoplan'!$D$3:$D$302,MATCH(D1478,'Kontoplan'!$H$3:$H$302,0))="Støttes ikke",FALSE),IFERROR(INDEX('Kontoplan'!$D$3:$D$302,MATCH(E1478,'Kontoplan'!$H$3:$H$302,0))="Støttes ikke",FALSE)),"Kontoen støttes ikke",IF(IFERROR(AND(A1478&gt;1,COUNTIF($A$3:$A$2002,A1478-1)=0),FALSE),"Nummeret hopper over",IF(OR(NOT(ISNUMBER(B1478)),B1478&lt;DATE(2027,1,1),B1478&gt;DATE(2027,12,31)),"Datoen er ikke i 2027",""))))))</f>
        <v/>
      </c>
    </row>
    <row r="1479">
      <c r="A1479" s="17" t="n"/>
      <c r="B1479" s="9" t="n"/>
      <c r="C1479" s="8" t="n"/>
      <c r="D1479" s="8" t="n"/>
      <c r="E1479" s="8" t="n"/>
      <c r="F1479" s="14" t="n"/>
      <c r="G1479" s="14" t="n"/>
      <c r="H1479" s="8" t="n"/>
      <c r="I1479" s="8" t="n"/>
      <c r="J1479" s="8" t="n"/>
      <c r="K1479" s="18">
        <f>IF(B1479="","",IFERROR(MONTH(B1479),""))</f>
        <v/>
      </c>
      <c r="L1479" s="5">
        <f>IF(COUNTA(A1479:J1479)=0,"",IF(E1479="","Mangler motkonto",IF((F1479="")=(G1479=""),"Fyll ut enten Inn eller Ut",IF(OR(IFERROR(INDEX('Kontoplan'!$D$3:$D$302,MATCH(D1479,'Kontoplan'!$H$3:$H$302,0))="Støttes ikke",FALSE),IFERROR(INDEX('Kontoplan'!$D$3:$D$302,MATCH(E1479,'Kontoplan'!$H$3:$H$302,0))="Støttes ikke",FALSE)),"Kontoen støttes ikke",IF(IFERROR(AND(A1479&gt;1,COUNTIF($A$3:$A$2002,A1479-1)=0),FALSE),"Nummeret hopper over",IF(OR(NOT(ISNUMBER(B1479)),B1479&lt;DATE(2027,1,1),B1479&gt;DATE(2027,12,31)),"Datoen er ikke i 2027",""))))))</f>
        <v/>
      </c>
    </row>
    <row r="1480">
      <c r="A1480" s="17" t="n"/>
      <c r="B1480" s="9" t="n"/>
      <c r="C1480" s="8" t="n"/>
      <c r="D1480" s="8" t="n"/>
      <c r="E1480" s="8" t="n"/>
      <c r="F1480" s="14" t="n"/>
      <c r="G1480" s="14" t="n"/>
      <c r="H1480" s="8" t="n"/>
      <c r="I1480" s="8" t="n"/>
      <c r="J1480" s="8" t="n"/>
      <c r="K1480" s="18">
        <f>IF(B1480="","",IFERROR(MONTH(B1480),""))</f>
        <v/>
      </c>
      <c r="L1480" s="5">
        <f>IF(COUNTA(A1480:J1480)=0,"",IF(E1480="","Mangler motkonto",IF((F1480="")=(G1480=""),"Fyll ut enten Inn eller Ut",IF(OR(IFERROR(INDEX('Kontoplan'!$D$3:$D$302,MATCH(D1480,'Kontoplan'!$H$3:$H$302,0))="Støttes ikke",FALSE),IFERROR(INDEX('Kontoplan'!$D$3:$D$302,MATCH(E1480,'Kontoplan'!$H$3:$H$302,0))="Støttes ikke",FALSE)),"Kontoen støttes ikke",IF(IFERROR(AND(A1480&gt;1,COUNTIF($A$3:$A$2002,A1480-1)=0),FALSE),"Nummeret hopper over",IF(OR(NOT(ISNUMBER(B1480)),B1480&lt;DATE(2027,1,1),B1480&gt;DATE(2027,12,31)),"Datoen er ikke i 2027",""))))))</f>
        <v/>
      </c>
    </row>
    <row r="1481">
      <c r="A1481" s="17" t="n"/>
      <c r="B1481" s="9" t="n"/>
      <c r="C1481" s="8" t="n"/>
      <c r="D1481" s="8" t="n"/>
      <c r="E1481" s="8" t="n"/>
      <c r="F1481" s="14" t="n"/>
      <c r="G1481" s="14" t="n"/>
      <c r="H1481" s="8" t="n"/>
      <c r="I1481" s="8" t="n"/>
      <c r="J1481" s="8" t="n"/>
      <c r="K1481" s="18">
        <f>IF(B1481="","",IFERROR(MONTH(B1481),""))</f>
        <v/>
      </c>
      <c r="L1481" s="5">
        <f>IF(COUNTA(A1481:J1481)=0,"",IF(E1481="","Mangler motkonto",IF((F1481="")=(G1481=""),"Fyll ut enten Inn eller Ut",IF(OR(IFERROR(INDEX('Kontoplan'!$D$3:$D$302,MATCH(D1481,'Kontoplan'!$H$3:$H$302,0))="Støttes ikke",FALSE),IFERROR(INDEX('Kontoplan'!$D$3:$D$302,MATCH(E1481,'Kontoplan'!$H$3:$H$302,0))="Støttes ikke",FALSE)),"Kontoen støttes ikke",IF(IFERROR(AND(A1481&gt;1,COUNTIF($A$3:$A$2002,A1481-1)=0),FALSE),"Nummeret hopper over",IF(OR(NOT(ISNUMBER(B1481)),B1481&lt;DATE(2027,1,1),B1481&gt;DATE(2027,12,31)),"Datoen er ikke i 2027",""))))))</f>
        <v/>
      </c>
    </row>
    <row r="1482">
      <c r="A1482" s="17" t="n"/>
      <c r="B1482" s="9" t="n"/>
      <c r="C1482" s="8" t="n"/>
      <c r="D1482" s="8" t="n"/>
      <c r="E1482" s="8" t="n"/>
      <c r="F1482" s="14" t="n"/>
      <c r="G1482" s="14" t="n"/>
      <c r="H1482" s="8" t="n"/>
      <c r="I1482" s="8" t="n"/>
      <c r="J1482" s="8" t="n"/>
      <c r="K1482" s="18">
        <f>IF(B1482="","",IFERROR(MONTH(B1482),""))</f>
        <v/>
      </c>
      <c r="L1482" s="5">
        <f>IF(COUNTA(A1482:J1482)=0,"",IF(E1482="","Mangler motkonto",IF((F1482="")=(G1482=""),"Fyll ut enten Inn eller Ut",IF(OR(IFERROR(INDEX('Kontoplan'!$D$3:$D$302,MATCH(D1482,'Kontoplan'!$H$3:$H$302,0))="Støttes ikke",FALSE),IFERROR(INDEX('Kontoplan'!$D$3:$D$302,MATCH(E1482,'Kontoplan'!$H$3:$H$302,0))="Støttes ikke",FALSE)),"Kontoen støttes ikke",IF(IFERROR(AND(A1482&gt;1,COUNTIF($A$3:$A$2002,A1482-1)=0),FALSE),"Nummeret hopper over",IF(OR(NOT(ISNUMBER(B1482)),B1482&lt;DATE(2027,1,1),B1482&gt;DATE(2027,12,31)),"Datoen er ikke i 2027",""))))))</f>
        <v/>
      </c>
    </row>
    <row r="1483">
      <c r="A1483" s="17" t="n"/>
      <c r="B1483" s="9" t="n"/>
      <c r="C1483" s="8" t="n"/>
      <c r="D1483" s="8" t="n"/>
      <c r="E1483" s="8" t="n"/>
      <c r="F1483" s="14" t="n"/>
      <c r="G1483" s="14" t="n"/>
      <c r="H1483" s="8" t="n"/>
      <c r="I1483" s="8" t="n"/>
      <c r="J1483" s="8" t="n"/>
      <c r="K1483" s="18">
        <f>IF(B1483="","",IFERROR(MONTH(B1483),""))</f>
        <v/>
      </c>
      <c r="L1483" s="5">
        <f>IF(COUNTA(A1483:J1483)=0,"",IF(E1483="","Mangler motkonto",IF((F1483="")=(G1483=""),"Fyll ut enten Inn eller Ut",IF(OR(IFERROR(INDEX('Kontoplan'!$D$3:$D$302,MATCH(D1483,'Kontoplan'!$H$3:$H$302,0))="Støttes ikke",FALSE),IFERROR(INDEX('Kontoplan'!$D$3:$D$302,MATCH(E1483,'Kontoplan'!$H$3:$H$302,0))="Støttes ikke",FALSE)),"Kontoen støttes ikke",IF(IFERROR(AND(A1483&gt;1,COUNTIF($A$3:$A$2002,A1483-1)=0),FALSE),"Nummeret hopper over",IF(OR(NOT(ISNUMBER(B1483)),B1483&lt;DATE(2027,1,1),B1483&gt;DATE(2027,12,31)),"Datoen er ikke i 2027",""))))))</f>
        <v/>
      </c>
    </row>
    <row r="1484">
      <c r="A1484" s="17" t="n"/>
      <c r="B1484" s="9" t="n"/>
      <c r="C1484" s="8" t="n"/>
      <c r="D1484" s="8" t="n"/>
      <c r="E1484" s="8" t="n"/>
      <c r="F1484" s="14" t="n"/>
      <c r="G1484" s="14" t="n"/>
      <c r="H1484" s="8" t="n"/>
      <c r="I1484" s="8" t="n"/>
      <c r="J1484" s="8" t="n"/>
      <c r="K1484" s="18">
        <f>IF(B1484="","",IFERROR(MONTH(B1484),""))</f>
        <v/>
      </c>
      <c r="L1484" s="5">
        <f>IF(COUNTA(A1484:J1484)=0,"",IF(E1484="","Mangler motkonto",IF((F1484="")=(G1484=""),"Fyll ut enten Inn eller Ut",IF(OR(IFERROR(INDEX('Kontoplan'!$D$3:$D$302,MATCH(D1484,'Kontoplan'!$H$3:$H$302,0))="Støttes ikke",FALSE),IFERROR(INDEX('Kontoplan'!$D$3:$D$302,MATCH(E1484,'Kontoplan'!$H$3:$H$302,0))="Støttes ikke",FALSE)),"Kontoen støttes ikke",IF(IFERROR(AND(A1484&gt;1,COUNTIF($A$3:$A$2002,A1484-1)=0),FALSE),"Nummeret hopper over",IF(OR(NOT(ISNUMBER(B1484)),B1484&lt;DATE(2027,1,1),B1484&gt;DATE(2027,12,31)),"Datoen er ikke i 2027",""))))))</f>
        <v/>
      </c>
    </row>
    <row r="1485">
      <c r="A1485" s="17" t="n"/>
      <c r="B1485" s="9" t="n"/>
      <c r="C1485" s="8" t="n"/>
      <c r="D1485" s="8" t="n"/>
      <c r="E1485" s="8" t="n"/>
      <c r="F1485" s="14" t="n"/>
      <c r="G1485" s="14" t="n"/>
      <c r="H1485" s="8" t="n"/>
      <c r="I1485" s="8" t="n"/>
      <c r="J1485" s="8" t="n"/>
      <c r="K1485" s="18">
        <f>IF(B1485="","",IFERROR(MONTH(B1485),""))</f>
        <v/>
      </c>
      <c r="L1485" s="5">
        <f>IF(COUNTA(A1485:J1485)=0,"",IF(E1485="","Mangler motkonto",IF((F1485="")=(G1485=""),"Fyll ut enten Inn eller Ut",IF(OR(IFERROR(INDEX('Kontoplan'!$D$3:$D$302,MATCH(D1485,'Kontoplan'!$H$3:$H$302,0))="Støttes ikke",FALSE),IFERROR(INDEX('Kontoplan'!$D$3:$D$302,MATCH(E1485,'Kontoplan'!$H$3:$H$302,0))="Støttes ikke",FALSE)),"Kontoen støttes ikke",IF(IFERROR(AND(A1485&gt;1,COUNTIF($A$3:$A$2002,A1485-1)=0),FALSE),"Nummeret hopper over",IF(OR(NOT(ISNUMBER(B1485)),B1485&lt;DATE(2027,1,1),B1485&gt;DATE(2027,12,31)),"Datoen er ikke i 2027",""))))))</f>
        <v/>
      </c>
    </row>
    <row r="1486">
      <c r="A1486" s="17" t="n"/>
      <c r="B1486" s="9" t="n"/>
      <c r="C1486" s="8" t="n"/>
      <c r="D1486" s="8" t="n"/>
      <c r="E1486" s="8" t="n"/>
      <c r="F1486" s="14" t="n"/>
      <c r="G1486" s="14" t="n"/>
      <c r="H1486" s="8" t="n"/>
      <c r="I1486" s="8" t="n"/>
      <c r="J1486" s="8" t="n"/>
      <c r="K1486" s="18">
        <f>IF(B1486="","",IFERROR(MONTH(B1486),""))</f>
        <v/>
      </c>
      <c r="L1486" s="5">
        <f>IF(COUNTA(A1486:J1486)=0,"",IF(E1486="","Mangler motkonto",IF((F1486="")=(G1486=""),"Fyll ut enten Inn eller Ut",IF(OR(IFERROR(INDEX('Kontoplan'!$D$3:$D$302,MATCH(D1486,'Kontoplan'!$H$3:$H$302,0))="Støttes ikke",FALSE),IFERROR(INDEX('Kontoplan'!$D$3:$D$302,MATCH(E1486,'Kontoplan'!$H$3:$H$302,0))="Støttes ikke",FALSE)),"Kontoen støttes ikke",IF(IFERROR(AND(A1486&gt;1,COUNTIF($A$3:$A$2002,A1486-1)=0),FALSE),"Nummeret hopper over",IF(OR(NOT(ISNUMBER(B1486)),B1486&lt;DATE(2027,1,1),B1486&gt;DATE(2027,12,31)),"Datoen er ikke i 2027",""))))))</f>
        <v/>
      </c>
    </row>
    <row r="1487">
      <c r="A1487" s="17" t="n"/>
      <c r="B1487" s="9" t="n"/>
      <c r="C1487" s="8" t="n"/>
      <c r="D1487" s="8" t="n"/>
      <c r="E1487" s="8" t="n"/>
      <c r="F1487" s="14" t="n"/>
      <c r="G1487" s="14" t="n"/>
      <c r="H1487" s="8" t="n"/>
      <c r="I1487" s="8" t="n"/>
      <c r="J1487" s="8" t="n"/>
      <c r="K1487" s="18">
        <f>IF(B1487="","",IFERROR(MONTH(B1487),""))</f>
        <v/>
      </c>
      <c r="L1487" s="5">
        <f>IF(COUNTA(A1487:J1487)=0,"",IF(E1487="","Mangler motkonto",IF((F1487="")=(G1487=""),"Fyll ut enten Inn eller Ut",IF(OR(IFERROR(INDEX('Kontoplan'!$D$3:$D$302,MATCH(D1487,'Kontoplan'!$H$3:$H$302,0))="Støttes ikke",FALSE),IFERROR(INDEX('Kontoplan'!$D$3:$D$302,MATCH(E1487,'Kontoplan'!$H$3:$H$302,0))="Støttes ikke",FALSE)),"Kontoen støttes ikke",IF(IFERROR(AND(A1487&gt;1,COUNTIF($A$3:$A$2002,A1487-1)=0),FALSE),"Nummeret hopper over",IF(OR(NOT(ISNUMBER(B1487)),B1487&lt;DATE(2027,1,1),B1487&gt;DATE(2027,12,31)),"Datoen er ikke i 2027",""))))))</f>
        <v/>
      </c>
    </row>
    <row r="1488">
      <c r="A1488" s="17" t="n"/>
      <c r="B1488" s="9" t="n"/>
      <c r="C1488" s="8" t="n"/>
      <c r="D1488" s="8" t="n"/>
      <c r="E1488" s="8" t="n"/>
      <c r="F1488" s="14" t="n"/>
      <c r="G1488" s="14" t="n"/>
      <c r="H1488" s="8" t="n"/>
      <c r="I1488" s="8" t="n"/>
      <c r="J1488" s="8" t="n"/>
      <c r="K1488" s="18">
        <f>IF(B1488="","",IFERROR(MONTH(B1488),""))</f>
        <v/>
      </c>
      <c r="L1488" s="5">
        <f>IF(COUNTA(A1488:J1488)=0,"",IF(E1488="","Mangler motkonto",IF((F1488="")=(G1488=""),"Fyll ut enten Inn eller Ut",IF(OR(IFERROR(INDEX('Kontoplan'!$D$3:$D$302,MATCH(D1488,'Kontoplan'!$H$3:$H$302,0))="Støttes ikke",FALSE),IFERROR(INDEX('Kontoplan'!$D$3:$D$302,MATCH(E1488,'Kontoplan'!$H$3:$H$302,0))="Støttes ikke",FALSE)),"Kontoen støttes ikke",IF(IFERROR(AND(A1488&gt;1,COUNTIF($A$3:$A$2002,A1488-1)=0),FALSE),"Nummeret hopper over",IF(OR(NOT(ISNUMBER(B1488)),B1488&lt;DATE(2027,1,1),B1488&gt;DATE(2027,12,31)),"Datoen er ikke i 2027",""))))))</f>
        <v/>
      </c>
    </row>
    <row r="1489">
      <c r="A1489" s="17" t="n"/>
      <c r="B1489" s="9" t="n"/>
      <c r="C1489" s="8" t="n"/>
      <c r="D1489" s="8" t="n"/>
      <c r="E1489" s="8" t="n"/>
      <c r="F1489" s="14" t="n"/>
      <c r="G1489" s="14" t="n"/>
      <c r="H1489" s="8" t="n"/>
      <c r="I1489" s="8" t="n"/>
      <c r="J1489" s="8" t="n"/>
      <c r="K1489" s="18">
        <f>IF(B1489="","",IFERROR(MONTH(B1489),""))</f>
        <v/>
      </c>
      <c r="L1489" s="5">
        <f>IF(COUNTA(A1489:J1489)=0,"",IF(E1489="","Mangler motkonto",IF((F1489="")=(G1489=""),"Fyll ut enten Inn eller Ut",IF(OR(IFERROR(INDEX('Kontoplan'!$D$3:$D$302,MATCH(D1489,'Kontoplan'!$H$3:$H$302,0))="Støttes ikke",FALSE),IFERROR(INDEX('Kontoplan'!$D$3:$D$302,MATCH(E1489,'Kontoplan'!$H$3:$H$302,0))="Støttes ikke",FALSE)),"Kontoen støttes ikke",IF(IFERROR(AND(A1489&gt;1,COUNTIF($A$3:$A$2002,A1489-1)=0),FALSE),"Nummeret hopper over",IF(OR(NOT(ISNUMBER(B1489)),B1489&lt;DATE(2027,1,1),B1489&gt;DATE(2027,12,31)),"Datoen er ikke i 2027",""))))))</f>
        <v/>
      </c>
    </row>
    <row r="1490">
      <c r="A1490" s="17" t="n"/>
      <c r="B1490" s="9" t="n"/>
      <c r="C1490" s="8" t="n"/>
      <c r="D1490" s="8" t="n"/>
      <c r="E1490" s="8" t="n"/>
      <c r="F1490" s="14" t="n"/>
      <c r="G1490" s="14" t="n"/>
      <c r="H1490" s="8" t="n"/>
      <c r="I1490" s="8" t="n"/>
      <c r="J1490" s="8" t="n"/>
      <c r="K1490" s="18">
        <f>IF(B1490="","",IFERROR(MONTH(B1490),""))</f>
        <v/>
      </c>
      <c r="L1490" s="5">
        <f>IF(COUNTA(A1490:J1490)=0,"",IF(E1490="","Mangler motkonto",IF((F1490="")=(G1490=""),"Fyll ut enten Inn eller Ut",IF(OR(IFERROR(INDEX('Kontoplan'!$D$3:$D$302,MATCH(D1490,'Kontoplan'!$H$3:$H$302,0))="Støttes ikke",FALSE),IFERROR(INDEX('Kontoplan'!$D$3:$D$302,MATCH(E1490,'Kontoplan'!$H$3:$H$302,0))="Støttes ikke",FALSE)),"Kontoen støttes ikke",IF(IFERROR(AND(A1490&gt;1,COUNTIF($A$3:$A$2002,A1490-1)=0),FALSE),"Nummeret hopper over",IF(OR(NOT(ISNUMBER(B1490)),B1490&lt;DATE(2027,1,1),B1490&gt;DATE(2027,12,31)),"Datoen er ikke i 2027",""))))))</f>
        <v/>
      </c>
    </row>
    <row r="1491">
      <c r="A1491" s="17" t="n"/>
      <c r="B1491" s="9" t="n"/>
      <c r="C1491" s="8" t="n"/>
      <c r="D1491" s="8" t="n"/>
      <c r="E1491" s="8" t="n"/>
      <c r="F1491" s="14" t="n"/>
      <c r="G1491" s="14" t="n"/>
      <c r="H1491" s="8" t="n"/>
      <c r="I1491" s="8" t="n"/>
      <c r="J1491" s="8" t="n"/>
      <c r="K1491" s="18">
        <f>IF(B1491="","",IFERROR(MONTH(B1491),""))</f>
        <v/>
      </c>
      <c r="L1491" s="5">
        <f>IF(COUNTA(A1491:J1491)=0,"",IF(E1491="","Mangler motkonto",IF((F1491="")=(G1491=""),"Fyll ut enten Inn eller Ut",IF(OR(IFERROR(INDEX('Kontoplan'!$D$3:$D$302,MATCH(D1491,'Kontoplan'!$H$3:$H$302,0))="Støttes ikke",FALSE),IFERROR(INDEX('Kontoplan'!$D$3:$D$302,MATCH(E1491,'Kontoplan'!$H$3:$H$302,0))="Støttes ikke",FALSE)),"Kontoen støttes ikke",IF(IFERROR(AND(A1491&gt;1,COUNTIF($A$3:$A$2002,A1491-1)=0),FALSE),"Nummeret hopper over",IF(OR(NOT(ISNUMBER(B1491)),B1491&lt;DATE(2027,1,1),B1491&gt;DATE(2027,12,31)),"Datoen er ikke i 2027",""))))))</f>
        <v/>
      </c>
    </row>
    <row r="1492">
      <c r="A1492" s="17" t="n"/>
      <c r="B1492" s="9" t="n"/>
      <c r="C1492" s="8" t="n"/>
      <c r="D1492" s="8" t="n"/>
      <c r="E1492" s="8" t="n"/>
      <c r="F1492" s="14" t="n"/>
      <c r="G1492" s="14" t="n"/>
      <c r="H1492" s="8" t="n"/>
      <c r="I1492" s="8" t="n"/>
      <c r="J1492" s="8" t="n"/>
      <c r="K1492" s="18">
        <f>IF(B1492="","",IFERROR(MONTH(B1492),""))</f>
        <v/>
      </c>
      <c r="L1492" s="5">
        <f>IF(COUNTA(A1492:J1492)=0,"",IF(E1492="","Mangler motkonto",IF((F1492="")=(G1492=""),"Fyll ut enten Inn eller Ut",IF(OR(IFERROR(INDEX('Kontoplan'!$D$3:$D$302,MATCH(D1492,'Kontoplan'!$H$3:$H$302,0))="Støttes ikke",FALSE),IFERROR(INDEX('Kontoplan'!$D$3:$D$302,MATCH(E1492,'Kontoplan'!$H$3:$H$302,0))="Støttes ikke",FALSE)),"Kontoen støttes ikke",IF(IFERROR(AND(A1492&gt;1,COUNTIF($A$3:$A$2002,A1492-1)=0),FALSE),"Nummeret hopper over",IF(OR(NOT(ISNUMBER(B1492)),B1492&lt;DATE(2027,1,1),B1492&gt;DATE(2027,12,31)),"Datoen er ikke i 2027",""))))))</f>
        <v/>
      </c>
    </row>
    <row r="1493">
      <c r="A1493" s="17" t="n"/>
      <c r="B1493" s="9" t="n"/>
      <c r="C1493" s="8" t="n"/>
      <c r="D1493" s="8" t="n"/>
      <c r="E1493" s="8" t="n"/>
      <c r="F1493" s="14" t="n"/>
      <c r="G1493" s="14" t="n"/>
      <c r="H1493" s="8" t="n"/>
      <c r="I1493" s="8" t="n"/>
      <c r="J1493" s="8" t="n"/>
      <c r="K1493" s="18">
        <f>IF(B1493="","",IFERROR(MONTH(B1493),""))</f>
        <v/>
      </c>
      <c r="L1493" s="5">
        <f>IF(COUNTA(A1493:J1493)=0,"",IF(E1493="","Mangler motkonto",IF((F1493="")=(G1493=""),"Fyll ut enten Inn eller Ut",IF(OR(IFERROR(INDEX('Kontoplan'!$D$3:$D$302,MATCH(D1493,'Kontoplan'!$H$3:$H$302,0))="Støttes ikke",FALSE),IFERROR(INDEX('Kontoplan'!$D$3:$D$302,MATCH(E1493,'Kontoplan'!$H$3:$H$302,0))="Støttes ikke",FALSE)),"Kontoen støttes ikke",IF(IFERROR(AND(A1493&gt;1,COUNTIF($A$3:$A$2002,A1493-1)=0),FALSE),"Nummeret hopper over",IF(OR(NOT(ISNUMBER(B1493)),B1493&lt;DATE(2027,1,1),B1493&gt;DATE(2027,12,31)),"Datoen er ikke i 2027",""))))))</f>
        <v/>
      </c>
    </row>
    <row r="1494">
      <c r="A1494" s="17" t="n"/>
      <c r="B1494" s="9" t="n"/>
      <c r="C1494" s="8" t="n"/>
      <c r="D1494" s="8" t="n"/>
      <c r="E1494" s="8" t="n"/>
      <c r="F1494" s="14" t="n"/>
      <c r="G1494" s="14" t="n"/>
      <c r="H1494" s="8" t="n"/>
      <c r="I1494" s="8" t="n"/>
      <c r="J1494" s="8" t="n"/>
      <c r="K1494" s="18">
        <f>IF(B1494="","",IFERROR(MONTH(B1494),""))</f>
        <v/>
      </c>
      <c r="L1494" s="5">
        <f>IF(COUNTA(A1494:J1494)=0,"",IF(E1494="","Mangler motkonto",IF((F1494="")=(G1494=""),"Fyll ut enten Inn eller Ut",IF(OR(IFERROR(INDEX('Kontoplan'!$D$3:$D$302,MATCH(D1494,'Kontoplan'!$H$3:$H$302,0))="Støttes ikke",FALSE),IFERROR(INDEX('Kontoplan'!$D$3:$D$302,MATCH(E1494,'Kontoplan'!$H$3:$H$302,0))="Støttes ikke",FALSE)),"Kontoen støttes ikke",IF(IFERROR(AND(A1494&gt;1,COUNTIF($A$3:$A$2002,A1494-1)=0),FALSE),"Nummeret hopper over",IF(OR(NOT(ISNUMBER(B1494)),B1494&lt;DATE(2027,1,1),B1494&gt;DATE(2027,12,31)),"Datoen er ikke i 2027",""))))))</f>
        <v/>
      </c>
    </row>
    <row r="1495">
      <c r="A1495" s="17" t="n"/>
      <c r="B1495" s="9" t="n"/>
      <c r="C1495" s="8" t="n"/>
      <c r="D1495" s="8" t="n"/>
      <c r="E1495" s="8" t="n"/>
      <c r="F1495" s="14" t="n"/>
      <c r="G1495" s="14" t="n"/>
      <c r="H1495" s="8" t="n"/>
      <c r="I1495" s="8" t="n"/>
      <c r="J1495" s="8" t="n"/>
      <c r="K1495" s="18">
        <f>IF(B1495="","",IFERROR(MONTH(B1495),""))</f>
        <v/>
      </c>
      <c r="L1495" s="5">
        <f>IF(COUNTA(A1495:J1495)=0,"",IF(E1495="","Mangler motkonto",IF((F1495="")=(G1495=""),"Fyll ut enten Inn eller Ut",IF(OR(IFERROR(INDEX('Kontoplan'!$D$3:$D$302,MATCH(D1495,'Kontoplan'!$H$3:$H$302,0))="Støttes ikke",FALSE),IFERROR(INDEX('Kontoplan'!$D$3:$D$302,MATCH(E1495,'Kontoplan'!$H$3:$H$302,0))="Støttes ikke",FALSE)),"Kontoen støttes ikke",IF(IFERROR(AND(A1495&gt;1,COUNTIF($A$3:$A$2002,A1495-1)=0),FALSE),"Nummeret hopper over",IF(OR(NOT(ISNUMBER(B1495)),B1495&lt;DATE(2027,1,1),B1495&gt;DATE(2027,12,31)),"Datoen er ikke i 2027",""))))))</f>
        <v/>
      </c>
    </row>
    <row r="1496">
      <c r="A1496" s="17" t="n"/>
      <c r="B1496" s="9" t="n"/>
      <c r="C1496" s="8" t="n"/>
      <c r="D1496" s="8" t="n"/>
      <c r="E1496" s="8" t="n"/>
      <c r="F1496" s="14" t="n"/>
      <c r="G1496" s="14" t="n"/>
      <c r="H1496" s="8" t="n"/>
      <c r="I1496" s="8" t="n"/>
      <c r="J1496" s="8" t="n"/>
      <c r="K1496" s="18">
        <f>IF(B1496="","",IFERROR(MONTH(B1496),""))</f>
        <v/>
      </c>
      <c r="L1496" s="5">
        <f>IF(COUNTA(A1496:J1496)=0,"",IF(E1496="","Mangler motkonto",IF((F1496="")=(G1496=""),"Fyll ut enten Inn eller Ut",IF(OR(IFERROR(INDEX('Kontoplan'!$D$3:$D$302,MATCH(D1496,'Kontoplan'!$H$3:$H$302,0))="Støttes ikke",FALSE),IFERROR(INDEX('Kontoplan'!$D$3:$D$302,MATCH(E1496,'Kontoplan'!$H$3:$H$302,0))="Støttes ikke",FALSE)),"Kontoen støttes ikke",IF(IFERROR(AND(A1496&gt;1,COUNTIF($A$3:$A$2002,A1496-1)=0),FALSE),"Nummeret hopper over",IF(OR(NOT(ISNUMBER(B1496)),B1496&lt;DATE(2027,1,1),B1496&gt;DATE(2027,12,31)),"Datoen er ikke i 2027",""))))))</f>
        <v/>
      </c>
    </row>
    <row r="1497">
      <c r="A1497" s="17" t="n"/>
      <c r="B1497" s="9" t="n"/>
      <c r="C1497" s="8" t="n"/>
      <c r="D1497" s="8" t="n"/>
      <c r="E1497" s="8" t="n"/>
      <c r="F1497" s="14" t="n"/>
      <c r="G1497" s="14" t="n"/>
      <c r="H1497" s="8" t="n"/>
      <c r="I1497" s="8" t="n"/>
      <c r="J1497" s="8" t="n"/>
      <c r="K1497" s="18">
        <f>IF(B1497="","",IFERROR(MONTH(B1497),""))</f>
        <v/>
      </c>
      <c r="L1497" s="5">
        <f>IF(COUNTA(A1497:J1497)=0,"",IF(E1497="","Mangler motkonto",IF((F1497="")=(G1497=""),"Fyll ut enten Inn eller Ut",IF(OR(IFERROR(INDEX('Kontoplan'!$D$3:$D$302,MATCH(D1497,'Kontoplan'!$H$3:$H$302,0))="Støttes ikke",FALSE),IFERROR(INDEX('Kontoplan'!$D$3:$D$302,MATCH(E1497,'Kontoplan'!$H$3:$H$302,0))="Støttes ikke",FALSE)),"Kontoen støttes ikke",IF(IFERROR(AND(A1497&gt;1,COUNTIF($A$3:$A$2002,A1497-1)=0),FALSE),"Nummeret hopper over",IF(OR(NOT(ISNUMBER(B1497)),B1497&lt;DATE(2027,1,1),B1497&gt;DATE(2027,12,31)),"Datoen er ikke i 2027",""))))))</f>
        <v/>
      </c>
    </row>
    <row r="1498">
      <c r="A1498" s="17" t="n"/>
      <c r="B1498" s="9" t="n"/>
      <c r="C1498" s="8" t="n"/>
      <c r="D1498" s="8" t="n"/>
      <c r="E1498" s="8" t="n"/>
      <c r="F1498" s="14" t="n"/>
      <c r="G1498" s="14" t="n"/>
      <c r="H1498" s="8" t="n"/>
      <c r="I1498" s="8" t="n"/>
      <c r="J1498" s="8" t="n"/>
      <c r="K1498" s="18">
        <f>IF(B1498="","",IFERROR(MONTH(B1498),""))</f>
        <v/>
      </c>
      <c r="L1498" s="5">
        <f>IF(COUNTA(A1498:J1498)=0,"",IF(E1498="","Mangler motkonto",IF((F1498="")=(G1498=""),"Fyll ut enten Inn eller Ut",IF(OR(IFERROR(INDEX('Kontoplan'!$D$3:$D$302,MATCH(D1498,'Kontoplan'!$H$3:$H$302,0))="Støttes ikke",FALSE),IFERROR(INDEX('Kontoplan'!$D$3:$D$302,MATCH(E1498,'Kontoplan'!$H$3:$H$302,0))="Støttes ikke",FALSE)),"Kontoen støttes ikke",IF(IFERROR(AND(A1498&gt;1,COUNTIF($A$3:$A$2002,A1498-1)=0),FALSE),"Nummeret hopper over",IF(OR(NOT(ISNUMBER(B1498)),B1498&lt;DATE(2027,1,1),B1498&gt;DATE(2027,12,31)),"Datoen er ikke i 2027",""))))))</f>
        <v/>
      </c>
    </row>
    <row r="1499">
      <c r="A1499" s="17" t="n"/>
      <c r="B1499" s="9" t="n"/>
      <c r="C1499" s="8" t="n"/>
      <c r="D1499" s="8" t="n"/>
      <c r="E1499" s="8" t="n"/>
      <c r="F1499" s="14" t="n"/>
      <c r="G1499" s="14" t="n"/>
      <c r="H1499" s="8" t="n"/>
      <c r="I1499" s="8" t="n"/>
      <c r="J1499" s="8" t="n"/>
      <c r="K1499" s="18">
        <f>IF(B1499="","",IFERROR(MONTH(B1499),""))</f>
        <v/>
      </c>
      <c r="L1499" s="5">
        <f>IF(COUNTA(A1499:J1499)=0,"",IF(E1499="","Mangler motkonto",IF((F1499="")=(G1499=""),"Fyll ut enten Inn eller Ut",IF(OR(IFERROR(INDEX('Kontoplan'!$D$3:$D$302,MATCH(D1499,'Kontoplan'!$H$3:$H$302,0))="Støttes ikke",FALSE),IFERROR(INDEX('Kontoplan'!$D$3:$D$302,MATCH(E1499,'Kontoplan'!$H$3:$H$302,0))="Støttes ikke",FALSE)),"Kontoen støttes ikke",IF(IFERROR(AND(A1499&gt;1,COUNTIF($A$3:$A$2002,A1499-1)=0),FALSE),"Nummeret hopper over",IF(OR(NOT(ISNUMBER(B1499)),B1499&lt;DATE(2027,1,1),B1499&gt;DATE(2027,12,31)),"Datoen er ikke i 2027",""))))))</f>
        <v/>
      </c>
    </row>
    <row r="1500">
      <c r="A1500" s="17" t="n"/>
      <c r="B1500" s="9" t="n"/>
      <c r="C1500" s="8" t="n"/>
      <c r="D1500" s="8" t="n"/>
      <c r="E1500" s="8" t="n"/>
      <c r="F1500" s="14" t="n"/>
      <c r="G1500" s="14" t="n"/>
      <c r="H1500" s="8" t="n"/>
      <c r="I1500" s="8" t="n"/>
      <c r="J1500" s="8" t="n"/>
      <c r="K1500" s="18">
        <f>IF(B1500="","",IFERROR(MONTH(B1500),""))</f>
        <v/>
      </c>
      <c r="L1500" s="5">
        <f>IF(COUNTA(A1500:J1500)=0,"",IF(E1500="","Mangler motkonto",IF((F1500="")=(G1500=""),"Fyll ut enten Inn eller Ut",IF(OR(IFERROR(INDEX('Kontoplan'!$D$3:$D$302,MATCH(D1500,'Kontoplan'!$H$3:$H$302,0))="Støttes ikke",FALSE),IFERROR(INDEX('Kontoplan'!$D$3:$D$302,MATCH(E1500,'Kontoplan'!$H$3:$H$302,0))="Støttes ikke",FALSE)),"Kontoen støttes ikke",IF(IFERROR(AND(A1500&gt;1,COUNTIF($A$3:$A$2002,A1500-1)=0),FALSE),"Nummeret hopper over",IF(OR(NOT(ISNUMBER(B1500)),B1500&lt;DATE(2027,1,1),B1500&gt;DATE(2027,12,31)),"Datoen er ikke i 2027",""))))))</f>
        <v/>
      </c>
    </row>
    <row r="1501">
      <c r="A1501" s="17" t="n"/>
      <c r="B1501" s="9" t="n"/>
      <c r="C1501" s="8" t="n"/>
      <c r="D1501" s="8" t="n"/>
      <c r="E1501" s="8" t="n"/>
      <c r="F1501" s="14" t="n"/>
      <c r="G1501" s="14" t="n"/>
      <c r="H1501" s="8" t="n"/>
      <c r="I1501" s="8" t="n"/>
      <c r="J1501" s="8" t="n"/>
      <c r="K1501" s="18">
        <f>IF(B1501="","",IFERROR(MONTH(B1501),""))</f>
        <v/>
      </c>
      <c r="L1501" s="5">
        <f>IF(COUNTA(A1501:J1501)=0,"",IF(E1501="","Mangler motkonto",IF((F1501="")=(G1501=""),"Fyll ut enten Inn eller Ut",IF(OR(IFERROR(INDEX('Kontoplan'!$D$3:$D$302,MATCH(D1501,'Kontoplan'!$H$3:$H$302,0))="Støttes ikke",FALSE),IFERROR(INDEX('Kontoplan'!$D$3:$D$302,MATCH(E1501,'Kontoplan'!$H$3:$H$302,0))="Støttes ikke",FALSE)),"Kontoen støttes ikke",IF(IFERROR(AND(A1501&gt;1,COUNTIF($A$3:$A$2002,A1501-1)=0),FALSE),"Nummeret hopper over",IF(OR(NOT(ISNUMBER(B1501)),B1501&lt;DATE(2027,1,1),B1501&gt;DATE(2027,12,31)),"Datoen er ikke i 2027",""))))))</f>
        <v/>
      </c>
    </row>
    <row r="1502">
      <c r="A1502" s="17" t="n"/>
      <c r="B1502" s="9" t="n"/>
      <c r="C1502" s="8" t="n"/>
      <c r="D1502" s="8" t="n"/>
      <c r="E1502" s="8" t="n"/>
      <c r="F1502" s="14" t="n"/>
      <c r="G1502" s="14" t="n"/>
      <c r="H1502" s="8" t="n"/>
      <c r="I1502" s="8" t="n"/>
      <c r="J1502" s="8" t="n"/>
      <c r="K1502" s="18">
        <f>IF(B1502="","",IFERROR(MONTH(B1502),""))</f>
        <v/>
      </c>
      <c r="L1502" s="5">
        <f>IF(COUNTA(A1502:J1502)=0,"",IF(E1502="","Mangler motkonto",IF((F1502="")=(G1502=""),"Fyll ut enten Inn eller Ut",IF(OR(IFERROR(INDEX('Kontoplan'!$D$3:$D$302,MATCH(D1502,'Kontoplan'!$H$3:$H$302,0))="Støttes ikke",FALSE),IFERROR(INDEX('Kontoplan'!$D$3:$D$302,MATCH(E1502,'Kontoplan'!$H$3:$H$302,0))="Støttes ikke",FALSE)),"Kontoen støttes ikke",IF(IFERROR(AND(A1502&gt;1,COUNTIF($A$3:$A$2002,A1502-1)=0),FALSE),"Nummeret hopper over",IF(OR(NOT(ISNUMBER(B1502)),B1502&lt;DATE(2027,1,1),B1502&gt;DATE(2027,12,31)),"Datoen er ikke i 2027",""))))))</f>
        <v/>
      </c>
    </row>
    <row r="1503">
      <c r="A1503" s="17" t="n"/>
      <c r="B1503" s="9" t="n"/>
      <c r="C1503" s="8" t="n"/>
      <c r="D1503" s="8" t="n"/>
      <c r="E1503" s="8" t="n"/>
      <c r="F1503" s="14" t="n"/>
      <c r="G1503" s="14" t="n"/>
      <c r="H1503" s="8" t="n"/>
      <c r="I1503" s="8" t="n"/>
      <c r="J1503" s="8" t="n"/>
      <c r="K1503" s="18">
        <f>IF(B1503="","",IFERROR(MONTH(B1503),""))</f>
        <v/>
      </c>
      <c r="L1503" s="5">
        <f>IF(COUNTA(A1503:J1503)=0,"",IF(E1503="","Mangler motkonto",IF((F1503="")=(G1503=""),"Fyll ut enten Inn eller Ut",IF(OR(IFERROR(INDEX('Kontoplan'!$D$3:$D$302,MATCH(D1503,'Kontoplan'!$H$3:$H$302,0))="Støttes ikke",FALSE),IFERROR(INDEX('Kontoplan'!$D$3:$D$302,MATCH(E1503,'Kontoplan'!$H$3:$H$302,0))="Støttes ikke",FALSE)),"Kontoen støttes ikke",IF(IFERROR(AND(A1503&gt;1,COUNTIF($A$3:$A$2002,A1503-1)=0),FALSE),"Nummeret hopper over",IF(OR(NOT(ISNUMBER(B1503)),B1503&lt;DATE(2027,1,1),B1503&gt;DATE(2027,12,31)),"Datoen er ikke i 2027",""))))))</f>
        <v/>
      </c>
    </row>
    <row r="1504">
      <c r="A1504" s="17" t="n"/>
      <c r="B1504" s="9" t="n"/>
      <c r="C1504" s="8" t="n"/>
      <c r="D1504" s="8" t="n"/>
      <c r="E1504" s="8" t="n"/>
      <c r="F1504" s="14" t="n"/>
      <c r="G1504" s="14" t="n"/>
      <c r="H1504" s="8" t="n"/>
      <c r="I1504" s="8" t="n"/>
      <c r="J1504" s="8" t="n"/>
      <c r="K1504" s="18">
        <f>IF(B1504="","",IFERROR(MONTH(B1504),""))</f>
        <v/>
      </c>
      <c r="L1504" s="5">
        <f>IF(COUNTA(A1504:J1504)=0,"",IF(E1504="","Mangler motkonto",IF((F1504="")=(G1504=""),"Fyll ut enten Inn eller Ut",IF(OR(IFERROR(INDEX('Kontoplan'!$D$3:$D$302,MATCH(D1504,'Kontoplan'!$H$3:$H$302,0))="Støttes ikke",FALSE),IFERROR(INDEX('Kontoplan'!$D$3:$D$302,MATCH(E1504,'Kontoplan'!$H$3:$H$302,0))="Støttes ikke",FALSE)),"Kontoen støttes ikke",IF(IFERROR(AND(A1504&gt;1,COUNTIF($A$3:$A$2002,A1504-1)=0),FALSE),"Nummeret hopper over",IF(OR(NOT(ISNUMBER(B1504)),B1504&lt;DATE(2027,1,1),B1504&gt;DATE(2027,12,31)),"Datoen er ikke i 2027",""))))))</f>
        <v/>
      </c>
    </row>
    <row r="1505">
      <c r="A1505" s="17" t="n"/>
      <c r="B1505" s="9" t="n"/>
      <c r="C1505" s="8" t="n"/>
      <c r="D1505" s="8" t="n"/>
      <c r="E1505" s="8" t="n"/>
      <c r="F1505" s="14" t="n"/>
      <c r="G1505" s="14" t="n"/>
      <c r="H1505" s="8" t="n"/>
      <c r="I1505" s="8" t="n"/>
      <c r="J1505" s="8" t="n"/>
      <c r="K1505" s="18">
        <f>IF(B1505="","",IFERROR(MONTH(B1505),""))</f>
        <v/>
      </c>
      <c r="L1505" s="5">
        <f>IF(COUNTA(A1505:J1505)=0,"",IF(E1505="","Mangler motkonto",IF((F1505="")=(G1505=""),"Fyll ut enten Inn eller Ut",IF(OR(IFERROR(INDEX('Kontoplan'!$D$3:$D$302,MATCH(D1505,'Kontoplan'!$H$3:$H$302,0))="Støttes ikke",FALSE),IFERROR(INDEX('Kontoplan'!$D$3:$D$302,MATCH(E1505,'Kontoplan'!$H$3:$H$302,0))="Støttes ikke",FALSE)),"Kontoen støttes ikke",IF(IFERROR(AND(A1505&gt;1,COUNTIF($A$3:$A$2002,A1505-1)=0),FALSE),"Nummeret hopper over",IF(OR(NOT(ISNUMBER(B1505)),B1505&lt;DATE(2027,1,1),B1505&gt;DATE(2027,12,31)),"Datoen er ikke i 2027",""))))))</f>
        <v/>
      </c>
    </row>
    <row r="1506">
      <c r="A1506" s="17" t="n"/>
      <c r="B1506" s="9" t="n"/>
      <c r="C1506" s="8" t="n"/>
      <c r="D1506" s="8" t="n"/>
      <c r="E1506" s="8" t="n"/>
      <c r="F1506" s="14" t="n"/>
      <c r="G1506" s="14" t="n"/>
      <c r="H1506" s="8" t="n"/>
      <c r="I1506" s="8" t="n"/>
      <c r="J1506" s="8" t="n"/>
      <c r="K1506" s="18">
        <f>IF(B1506="","",IFERROR(MONTH(B1506),""))</f>
        <v/>
      </c>
      <c r="L1506" s="5">
        <f>IF(COUNTA(A1506:J1506)=0,"",IF(E1506="","Mangler motkonto",IF((F1506="")=(G1506=""),"Fyll ut enten Inn eller Ut",IF(OR(IFERROR(INDEX('Kontoplan'!$D$3:$D$302,MATCH(D1506,'Kontoplan'!$H$3:$H$302,0))="Støttes ikke",FALSE),IFERROR(INDEX('Kontoplan'!$D$3:$D$302,MATCH(E1506,'Kontoplan'!$H$3:$H$302,0))="Støttes ikke",FALSE)),"Kontoen støttes ikke",IF(IFERROR(AND(A1506&gt;1,COUNTIF($A$3:$A$2002,A1506-1)=0),FALSE),"Nummeret hopper over",IF(OR(NOT(ISNUMBER(B1506)),B1506&lt;DATE(2027,1,1),B1506&gt;DATE(2027,12,31)),"Datoen er ikke i 2027",""))))))</f>
        <v/>
      </c>
    </row>
    <row r="1507">
      <c r="A1507" s="17" t="n"/>
      <c r="B1507" s="9" t="n"/>
      <c r="C1507" s="8" t="n"/>
      <c r="D1507" s="8" t="n"/>
      <c r="E1507" s="8" t="n"/>
      <c r="F1507" s="14" t="n"/>
      <c r="G1507" s="14" t="n"/>
      <c r="H1507" s="8" t="n"/>
      <c r="I1507" s="8" t="n"/>
      <c r="J1507" s="8" t="n"/>
      <c r="K1507" s="18">
        <f>IF(B1507="","",IFERROR(MONTH(B1507),""))</f>
        <v/>
      </c>
      <c r="L1507" s="5">
        <f>IF(COUNTA(A1507:J1507)=0,"",IF(E1507="","Mangler motkonto",IF((F1507="")=(G1507=""),"Fyll ut enten Inn eller Ut",IF(OR(IFERROR(INDEX('Kontoplan'!$D$3:$D$302,MATCH(D1507,'Kontoplan'!$H$3:$H$302,0))="Støttes ikke",FALSE),IFERROR(INDEX('Kontoplan'!$D$3:$D$302,MATCH(E1507,'Kontoplan'!$H$3:$H$302,0))="Støttes ikke",FALSE)),"Kontoen støttes ikke",IF(IFERROR(AND(A1507&gt;1,COUNTIF($A$3:$A$2002,A1507-1)=0),FALSE),"Nummeret hopper over",IF(OR(NOT(ISNUMBER(B1507)),B1507&lt;DATE(2027,1,1),B1507&gt;DATE(2027,12,31)),"Datoen er ikke i 2027",""))))))</f>
        <v/>
      </c>
    </row>
    <row r="1508">
      <c r="A1508" s="17" t="n"/>
      <c r="B1508" s="9" t="n"/>
      <c r="C1508" s="8" t="n"/>
      <c r="D1508" s="8" t="n"/>
      <c r="E1508" s="8" t="n"/>
      <c r="F1508" s="14" t="n"/>
      <c r="G1508" s="14" t="n"/>
      <c r="H1508" s="8" t="n"/>
      <c r="I1508" s="8" t="n"/>
      <c r="J1508" s="8" t="n"/>
      <c r="K1508" s="18">
        <f>IF(B1508="","",IFERROR(MONTH(B1508),""))</f>
        <v/>
      </c>
      <c r="L1508" s="5">
        <f>IF(COUNTA(A1508:J1508)=0,"",IF(E1508="","Mangler motkonto",IF((F1508="")=(G1508=""),"Fyll ut enten Inn eller Ut",IF(OR(IFERROR(INDEX('Kontoplan'!$D$3:$D$302,MATCH(D1508,'Kontoplan'!$H$3:$H$302,0))="Støttes ikke",FALSE),IFERROR(INDEX('Kontoplan'!$D$3:$D$302,MATCH(E1508,'Kontoplan'!$H$3:$H$302,0))="Støttes ikke",FALSE)),"Kontoen støttes ikke",IF(IFERROR(AND(A1508&gt;1,COUNTIF($A$3:$A$2002,A1508-1)=0),FALSE),"Nummeret hopper over",IF(OR(NOT(ISNUMBER(B1508)),B1508&lt;DATE(2027,1,1),B1508&gt;DATE(2027,12,31)),"Datoen er ikke i 2027",""))))))</f>
        <v/>
      </c>
    </row>
    <row r="1509">
      <c r="A1509" s="17" t="n"/>
      <c r="B1509" s="9" t="n"/>
      <c r="C1509" s="8" t="n"/>
      <c r="D1509" s="8" t="n"/>
      <c r="E1509" s="8" t="n"/>
      <c r="F1509" s="14" t="n"/>
      <c r="G1509" s="14" t="n"/>
      <c r="H1509" s="8" t="n"/>
      <c r="I1509" s="8" t="n"/>
      <c r="J1509" s="8" t="n"/>
      <c r="K1509" s="18">
        <f>IF(B1509="","",IFERROR(MONTH(B1509),""))</f>
        <v/>
      </c>
      <c r="L1509" s="5">
        <f>IF(COUNTA(A1509:J1509)=0,"",IF(E1509="","Mangler motkonto",IF((F1509="")=(G1509=""),"Fyll ut enten Inn eller Ut",IF(OR(IFERROR(INDEX('Kontoplan'!$D$3:$D$302,MATCH(D1509,'Kontoplan'!$H$3:$H$302,0))="Støttes ikke",FALSE),IFERROR(INDEX('Kontoplan'!$D$3:$D$302,MATCH(E1509,'Kontoplan'!$H$3:$H$302,0))="Støttes ikke",FALSE)),"Kontoen støttes ikke",IF(IFERROR(AND(A1509&gt;1,COUNTIF($A$3:$A$2002,A1509-1)=0),FALSE),"Nummeret hopper over",IF(OR(NOT(ISNUMBER(B1509)),B1509&lt;DATE(2027,1,1),B1509&gt;DATE(2027,12,31)),"Datoen er ikke i 2027",""))))))</f>
        <v/>
      </c>
    </row>
    <row r="1510">
      <c r="A1510" s="17" t="n"/>
      <c r="B1510" s="9" t="n"/>
      <c r="C1510" s="8" t="n"/>
      <c r="D1510" s="8" t="n"/>
      <c r="E1510" s="8" t="n"/>
      <c r="F1510" s="14" t="n"/>
      <c r="G1510" s="14" t="n"/>
      <c r="H1510" s="8" t="n"/>
      <c r="I1510" s="8" t="n"/>
      <c r="J1510" s="8" t="n"/>
      <c r="K1510" s="18">
        <f>IF(B1510="","",IFERROR(MONTH(B1510),""))</f>
        <v/>
      </c>
      <c r="L1510" s="5">
        <f>IF(COUNTA(A1510:J1510)=0,"",IF(E1510="","Mangler motkonto",IF((F1510="")=(G1510=""),"Fyll ut enten Inn eller Ut",IF(OR(IFERROR(INDEX('Kontoplan'!$D$3:$D$302,MATCH(D1510,'Kontoplan'!$H$3:$H$302,0))="Støttes ikke",FALSE),IFERROR(INDEX('Kontoplan'!$D$3:$D$302,MATCH(E1510,'Kontoplan'!$H$3:$H$302,0))="Støttes ikke",FALSE)),"Kontoen støttes ikke",IF(IFERROR(AND(A1510&gt;1,COUNTIF($A$3:$A$2002,A1510-1)=0),FALSE),"Nummeret hopper over",IF(OR(NOT(ISNUMBER(B1510)),B1510&lt;DATE(2027,1,1),B1510&gt;DATE(2027,12,31)),"Datoen er ikke i 2027",""))))))</f>
        <v/>
      </c>
    </row>
    <row r="1511">
      <c r="A1511" s="17" t="n"/>
      <c r="B1511" s="9" t="n"/>
      <c r="C1511" s="8" t="n"/>
      <c r="D1511" s="8" t="n"/>
      <c r="E1511" s="8" t="n"/>
      <c r="F1511" s="14" t="n"/>
      <c r="G1511" s="14" t="n"/>
      <c r="H1511" s="8" t="n"/>
      <c r="I1511" s="8" t="n"/>
      <c r="J1511" s="8" t="n"/>
      <c r="K1511" s="18">
        <f>IF(B1511="","",IFERROR(MONTH(B1511),""))</f>
        <v/>
      </c>
      <c r="L1511" s="5">
        <f>IF(COUNTA(A1511:J1511)=0,"",IF(E1511="","Mangler motkonto",IF((F1511="")=(G1511=""),"Fyll ut enten Inn eller Ut",IF(OR(IFERROR(INDEX('Kontoplan'!$D$3:$D$302,MATCH(D1511,'Kontoplan'!$H$3:$H$302,0))="Støttes ikke",FALSE),IFERROR(INDEX('Kontoplan'!$D$3:$D$302,MATCH(E1511,'Kontoplan'!$H$3:$H$302,0))="Støttes ikke",FALSE)),"Kontoen støttes ikke",IF(IFERROR(AND(A1511&gt;1,COUNTIF($A$3:$A$2002,A1511-1)=0),FALSE),"Nummeret hopper over",IF(OR(NOT(ISNUMBER(B1511)),B1511&lt;DATE(2027,1,1),B1511&gt;DATE(2027,12,31)),"Datoen er ikke i 2027",""))))))</f>
        <v/>
      </c>
    </row>
    <row r="1512">
      <c r="A1512" s="17" t="n"/>
      <c r="B1512" s="9" t="n"/>
      <c r="C1512" s="8" t="n"/>
      <c r="D1512" s="8" t="n"/>
      <c r="E1512" s="8" t="n"/>
      <c r="F1512" s="14" t="n"/>
      <c r="G1512" s="14" t="n"/>
      <c r="H1512" s="8" t="n"/>
      <c r="I1512" s="8" t="n"/>
      <c r="J1512" s="8" t="n"/>
      <c r="K1512" s="18">
        <f>IF(B1512="","",IFERROR(MONTH(B1512),""))</f>
        <v/>
      </c>
      <c r="L1512" s="5">
        <f>IF(COUNTA(A1512:J1512)=0,"",IF(E1512="","Mangler motkonto",IF((F1512="")=(G1512=""),"Fyll ut enten Inn eller Ut",IF(OR(IFERROR(INDEX('Kontoplan'!$D$3:$D$302,MATCH(D1512,'Kontoplan'!$H$3:$H$302,0))="Støttes ikke",FALSE),IFERROR(INDEX('Kontoplan'!$D$3:$D$302,MATCH(E1512,'Kontoplan'!$H$3:$H$302,0))="Støttes ikke",FALSE)),"Kontoen støttes ikke",IF(IFERROR(AND(A1512&gt;1,COUNTIF($A$3:$A$2002,A1512-1)=0),FALSE),"Nummeret hopper over",IF(OR(NOT(ISNUMBER(B1512)),B1512&lt;DATE(2027,1,1),B1512&gt;DATE(2027,12,31)),"Datoen er ikke i 2027",""))))))</f>
        <v/>
      </c>
    </row>
    <row r="1513">
      <c r="A1513" s="17" t="n"/>
      <c r="B1513" s="9" t="n"/>
      <c r="C1513" s="8" t="n"/>
      <c r="D1513" s="8" t="n"/>
      <c r="E1513" s="8" t="n"/>
      <c r="F1513" s="14" t="n"/>
      <c r="G1513" s="14" t="n"/>
      <c r="H1513" s="8" t="n"/>
      <c r="I1513" s="8" t="n"/>
      <c r="J1513" s="8" t="n"/>
      <c r="K1513" s="18">
        <f>IF(B1513="","",IFERROR(MONTH(B1513),""))</f>
        <v/>
      </c>
      <c r="L1513" s="5">
        <f>IF(COUNTA(A1513:J1513)=0,"",IF(E1513="","Mangler motkonto",IF((F1513="")=(G1513=""),"Fyll ut enten Inn eller Ut",IF(OR(IFERROR(INDEX('Kontoplan'!$D$3:$D$302,MATCH(D1513,'Kontoplan'!$H$3:$H$302,0))="Støttes ikke",FALSE),IFERROR(INDEX('Kontoplan'!$D$3:$D$302,MATCH(E1513,'Kontoplan'!$H$3:$H$302,0))="Støttes ikke",FALSE)),"Kontoen støttes ikke",IF(IFERROR(AND(A1513&gt;1,COUNTIF($A$3:$A$2002,A1513-1)=0),FALSE),"Nummeret hopper over",IF(OR(NOT(ISNUMBER(B1513)),B1513&lt;DATE(2027,1,1),B1513&gt;DATE(2027,12,31)),"Datoen er ikke i 2027",""))))))</f>
        <v/>
      </c>
    </row>
    <row r="1514">
      <c r="A1514" s="17" t="n"/>
      <c r="B1514" s="9" t="n"/>
      <c r="C1514" s="8" t="n"/>
      <c r="D1514" s="8" t="n"/>
      <c r="E1514" s="8" t="n"/>
      <c r="F1514" s="14" t="n"/>
      <c r="G1514" s="14" t="n"/>
      <c r="H1514" s="8" t="n"/>
      <c r="I1514" s="8" t="n"/>
      <c r="J1514" s="8" t="n"/>
      <c r="K1514" s="18">
        <f>IF(B1514="","",IFERROR(MONTH(B1514),""))</f>
        <v/>
      </c>
      <c r="L1514" s="5">
        <f>IF(COUNTA(A1514:J1514)=0,"",IF(E1514="","Mangler motkonto",IF((F1514="")=(G1514=""),"Fyll ut enten Inn eller Ut",IF(OR(IFERROR(INDEX('Kontoplan'!$D$3:$D$302,MATCH(D1514,'Kontoplan'!$H$3:$H$302,0))="Støttes ikke",FALSE),IFERROR(INDEX('Kontoplan'!$D$3:$D$302,MATCH(E1514,'Kontoplan'!$H$3:$H$302,0))="Støttes ikke",FALSE)),"Kontoen støttes ikke",IF(IFERROR(AND(A1514&gt;1,COUNTIF($A$3:$A$2002,A1514-1)=0),FALSE),"Nummeret hopper over",IF(OR(NOT(ISNUMBER(B1514)),B1514&lt;DATE(2027,1,1),B1514&gt;DATE(2027,12,31)),"Datoen er ikke i 2027",""))))))</f>
        <v/>
      </c>
    </row>
    <row r="1515">
      <c r="A1515" s="17" t="n"/>
      <c r="B1515" s="9" t="n"/>
      <c r="C1515" s="8" t="n"/>
      <c r="D1515" s="8" t="n"/>
      <c r="E1515" s="8" t="n"/>
      <c r="F1515" s="14" t="n"/>
      <c r="G1515" s="14" t="n"/>
      <c r="H1515" s="8" t="n"/>
      <c r="I1515" s="8" t="n"/>
      <c r="J1515" s="8" t="n"/>
      <c r="K1515" s="18">
        <f>IF(B1515="","",IFERROR(MONTH(B1515),""))</f>
        <v/>
      </c>
      <c r="L1515" s="5">
        <f>IF(COUNTA(A1515:J1515)=0,"",IF(E1515="","Mangler motkonto",IF((F1515="")=(G1515=""),"Fyll ut enten Inn eller Ut",IF(OR(IFERROR(INDEX('Kontoplan'!$D$3:$D$302,MATCH(D1515,'Kontoplan'!$H$3:$H$302,0))="Støttes ikke",FALSE),IFERROR(INDEX('Kontoplan'!$D$3:$D$302,MATCH(E1515,'Kontoplan'!$H$3:$H$302,0))="Støttes ikke",FALSE)),"Kontoen støttes ikke",IF(IFERROR(AND(A1515&gt;1,COUNTIF($A$3:$A$2002,A1515-1)=0),FALSE),"Nummeret hopper over",IF(OR(NOT(ISNUMBER(B1515)),B1515&lt;DATE(2027,1,1),B1515&gt;DATE(2027,12,31)),"Datoen er ikke i 2027",""))))))</f>
        <v/>
      </c>
    </row>
    <row r="1516">
      <c r="A1516" s="17" t="n"/>
      <c r="B1516" s="9" t="n"/>
      <c r="C1516" s="8" t="n"/>
      <c r="D1516" s="8" t="n"/>
      <c r="E1516" s="8" t="n"/>
      <c r="F1516" s="14" t="n"/>
      <c r="G1516" s="14" t="n"/>
      <c r="H1516" s="8" t="n"/>
      <c r="I1516" s="8" t="n"/>
      <c r="J1516" s="8" t="n"/>
      <c r="K1516" s="18">
        <f>IF(B1516="","",IFERROR(MONTH(B1516),""))</f>
        <v/>
      </c>
      <c r="L1516" s="5">
        <f>IF(COUNTA(A1516:J1516)=0,"",IF(E1516="","Mangler motkonto",IF((F1516="")=(G1516=""),"Fyll ut enten Inn eller Ut",IF(OR(IFERROR(INDEX('Kontoplan'!$D$3:$D$302,MATCH(D1516,'Kontoplan'!$H$3:$H$302,0))="Støttes ikke",FALSE),IFERROR(INDEX('Kontoplan'!$D$3:$D$302,MATCH(E1516,'Kontoplan'!$H$3:$H$302,0))="Støttes ikke",FALSE)),"Kontoen støttes ikke",IF(IFERROR(AND(A1516&gt;1,COUNTIF($A$3:$A$2002,A1516-1)=0),FALSE),"Nummeret hopper over",IF(OR(NOT(ISNUMBER(B1516)),B1516&lt;DATE(2027,1,1),B1516&gt;DATE(2027,12,31)),"Datoen er ikke i 2027",""))))))</f>
        <v/>
      </c>
    </row>
    <row r="1517">
      <c r="A1517" s="17" t="n"/>
      <c r="B1517" s="9" t="n"/>
      <c r="C1517" s="8" t="n"/>
      <c r="D1517" s="8" t="n"/>
      <c r="E1517" s="8" t="n"/>
      <c r="F1517" s="14" t="n"/>
      <c r="G1517" s="14" t="n"/>
      <c r="H1517" s="8" t="n"/>
      <c r="I1517" s="8" t="n"/>
      <c r="J1517" s="8" t="n"/>
      <c r="K1517" s="18">
        <f>IF(B1517="","",IFERROR(MONTH(B1517),""))</f>
        <v/>
      </c>
      <c r="L1517" s="5">
        <f>IF(COUNTA(A1517:J1517)=0,"",IF(E1517="","Mangler motkonto",IF((F1517="")=(G1517=""),"Fyll ut enten Inn eller Ut",IF(OR(IFERROR(INDEX('Kontoplan'!$D$3:$D$302,MATCH(D1517,'Kontoplan'!$H$3:$H$302,0))="Støttes ikke",FALSE),IFERROR(INDEX('Kontoplan'!$D$3:$D$302,MATCH(E1517,'Kontoplan'!$H$3:$H$302,0))="Støttes ikke",FALSE)),"Kontoen støttes ikke",IF(IFERROR(AND(A1517&gt;1,COUNTIF($A$3:$A$2002,A1517-1)=0),FALSE),"Nummeret hopper over",IF(OR(NOT(ISNUMBER(B1517)),B1517&lt;DATE(2027,1,1),B1517&gt;DATE(2027,12,31)),"Datoen er ikke i 2027",""))))))</f>
        <v/>
      </c>
    </row>
    <row r="1518">
      <c r="A1518" s="17" t="n"/>
      <c r="B1518" s="9" t="n"/>
      <c r="C1518" s="8" t="n"/>
      <c r="D1518" s="8" t="n"/>
      <c r="E1518" s="8" t="n"/>
      <c r="F1518" s="14" t="n"/>
      <c r="G1518" s="14" t="n"/>
      <c r="H1518" s="8" t="n"/>
      <c r="I1518" s="8" t="n"/>
      <c r="J1518" s="8" t="n"/>
      <c r="K1518" s="18">
        <f>IF(B1518="","",IFERROR(MONTH(B1518),""))</f>
        <v/>
      </c>
      <c r="L1518" s="5">
        <f>IF(COUNTA(A1518:J1518)=0,"",IF(E1518="","Mangler motkonto",IF((F1518="")=(G1518=""),"Fyll ut enten Inn eller Ut",IF(OR(IFERROR(INDEX('Kontoplan'!$D$3:$D$302,MATCH(D1518,'Kontoplan'!$H$3:$H$302,0))="Støttes ikke",FALSE),IFERROR(INDEX('Kontoplan'!$D$3:$D$302,MATCH(E1518,'Kontoplan'!$H$3:$H$302,0))="Støttes ikke",FALSE)),"Kontoen støttes ikke",IF(IFERROR(AND(A1518&gt;1,COUNTIF($A$3:$A$2002,A1518-1)=0),FALSE),"Nummeret hopper over",IF(OR(NOT(ISNUMBER(B1518)),B1518&lt;DATE(2027,1,1),B1518&gt;DATE(2027,12,31)),"Datoen er ikke i 2027",""))))))</f>
        <v/>
      </c>
    </row>
    <row r="1519">
      <c r="A1519" s="17" t="n"/>
      <c r="B1519" s="9" t="n"/>
      <c r="C1519" s="8" t="n"/>
      <c r="D1519" s="8" t="n"/>
      <c r="E1519" s="8" t="n"/>
      <c r="F1519" s="14" t="n"/>
      <c r="G1519" s="14" t="n"/>
      <c r="H1519" s="8" t="n"/>
      <c r="I1519" s="8" t="n"/>
      <c r="J1519" s="8" t="n"/>
      <c r="K1519" s="18">
        <f>IF(B1519="","",IFERROR(MONTH(B1519),""))</f>
        <v/>
      </c>
      <c r="L1519" s="5">
        <f>IF(COUNTA(A1519:J1519)=0,"",IF(E1519="","Mangler motkonto",IF((F1519="")=(G1519=""),"Fyll ut enten Inn eller Ut",IF(OR(IFERROR(INDEX('Kontoplan'!$D$3:$D$302,MATCH(D1519,'Kontoplan'!$H$3:$H$302,0))="Støttes ikke",FALSE),IFERROR(INDEX('Kontoplan'!$D$3:$D$302,MATCH(E1519,'Kontoplan'!$H$3:$H$302,0))="Støttes ikke",FALSE)),"Kontoen støttes ikke",IF(IFERROR(AND(A1519&gt;1,COUNTIF($A$3:$A$2002,A1519-1)=0),FALSE),"Nummeret hopper over",IF(OR(NOT(ISNUMBER(B1519)),B1519&lt;DATE(2027,1,1),B1519&gt;DATE(2027,12,31)),"Datoen er ikke i 2027",""))))))</f>
        <v/>
      </c>
    </row>
    <row r="1520">
      <c r="A1520" s="17" t="n"/>
      <c r="B1520" s="9" t="n"/>
      <c r="C1520" s="8" t="n"/>
      <c r="D1520" s="8" t="n"/>
      <c r="E1520" s="8" t="n"/>
      <c r="F1520" s="14" t="n"/>
      <c r="G1520" s="14" t="n"/>
      <c r="H1520" s="8" t="n"/>
      <c r="I1520" s="8" t="n"/>
      <c r="J1520" s="8" t="n"/>
      <c r="K1520" s="18">
        <f>IF(B1520="","",IFERROR(MONTH(B1520),""))</f>
        <v/>
      </c>
      <c r="L1520" s="5">
        <f>IF(COUNTA(A1520:J1520)=0,"",IF(E1520="","Mangler motkonto",IF((F1520="")=(G1520=""),"Fyll ut enten Inn eller Ut",IF(OR(IFERROR(INDEX('Kontoplan'!$D$3:$D$302,MATCH(D1520,'Kontoplan'!$H$3:$H$302,0))="Støttes ikke",FALSE),IFERROR(INDEX('Kontoplan'!$D$3:$D$302,MATCH(E1520,'Kontoplan'!$H$3:$H$302,0))="Støttes ikke",FALSE)),"Kontoen støttes ikke",IF(IFERROR(AND(A1520&gt;1,COUNTIF($A$3:$A$2002,A1520-1)=0),FALSE),"Nummeret hopper over",IF(OR(NOT(ISNUMBER(B1520)),B1520&lt;DATE(2027,1,1),B1520&gt;DATE(2027,12,31)),"Datoen er ikke i 2027",""))))))</f>
        <v/>
      </c>
    </row>
    <row r="1521">
      <c r="A1521" s="17" t="n"/>
      <c r="B1521" s="9" t="n"/>
      <c r="C1521" s="8" t="n"/>
      <c r="D1521" s="8" t="n"/>
      <c r="E1521" s="8" t="n"/>
      <c r="F1521" s="14" t="n"/>
      <c r="G1521" s="14" t="n"/>
      <c r="H1521" s="8" t="n"/>
      <c r="I1521" s="8" t="n"/>
      <c r="J1521" s="8" t="n"/>
      <c r="K1521" s="18">
        <f>IF(B1521="","",IFERROR(MONTH(B1521),""))</f>
        <v/>
      </c>
      <c r="L1521" s="5">
        <f>IF(COUNTA(A1521:J1521)=0,"",IF(E1521="","Mangler motkonto",IF((F1521="")=(G1521=""),"Fyll ut enten Inn eller Ut",IF(OR(IFERROR(INDEX('Kontoplan'!$D$3:$D$302,MATCH(D1521,'Kontoplan'!$H$3:$H$302,0))="Støttes ikke",FALSE),IFERROR(INDEX('Kontoplan'!$D$3:$D$302,MATCH(E1521,'Kontoplan'!$H$3:$H$302,0))="Støttes ikke",FALSE)),"Kontoen støttes ikke",IF(IFERROR(AND(A1521&gt;1,COUNTIF($A$3:$A$2002,A1521-1)=0),FALSE),"Nummeret hopper over",IF(OR(NOT(ISNUMBER(B1521)),B1521&lt;DATE(2027,1,1),B1521&gt;DATE(2027,12,31)),"Datoen er ikke i 2027",""))))))</f>
        <v/>
      </c>
    </row>
    <row r="1522">
      <c r="A1522" s="17" t="n"/>
      <c r="B1522" s="9" t="n"/>
      <c r="C1522" s="8" t="n"/>
      <c r="D1522" s="8" t="n"/>
      <c r="E1522" s="8" t="n"/>
      <c r="F1522" s="14" t="n"/>
      <c r="G1522" s="14" t="n"/>
      <c r="H1522" s="8" t="n"/>
      <c r="I1522" s="8" t="n"/>
      <c r="J1522" s="8" t="n"/>
      <c r="K1522" s="18">
        <f>IF(B1522="","",IFERROR(MONTH(B1522),""))</f>
        <v/>
      </c>
      <c r="L1522" s="5">
        <f>IF(COUNTA(A1522:J1522)=0,"",IF(E1522="","Mangler motkonto",IF((F1522="")=(G1522=""),"Fyll ut enten Inn eller Ut",IF(OR(IFERROR(INDEX('Kontoplan'!$D$3:$D$302,MATCH(D1522,'Kontoplan'!$H$3:$H$302,0))="Støttes ikke",FALSE),IFERROR(INDEX('Kontoplan'!$D$3:$D$302,MATCH(E1522,'Kontoplan'!$H$3:$H$302,0))="Støttes ikke",FALSE)),"Kontoen støttes ikke",IF(IFERROR(AND(A1522&gt;1,COUNTIF($A$3:$A$2002,A1522-1)=0),FALSE),"Nummeret hopper over",IF(OR(NOT(ISNUMBER(B1522)),B1522&lt;DATE(2027,1,1),B1522&gt;DATE(2027,12,31)),"Datoen er ikke i 2027",""))))))</f>
        <v/>
      </c>
    </row>
    <row r="1523">
      <c r="A1523" s="17" t="n"/>
      <c r="B1523" s="9" t="n"/>
      <c r="C1523" s="8" t="n"/>
      <c r="D1523" s="8" t="n"/>
      <c r="E1523" s="8" t="n"/>
      <c r="F1523" s="14" t="n"/>
      <c r="G1523" s="14" t="n"/>
      <c r="H1523" s="8" t="n"/>
      <c r="I1523" s="8" t="n"/>
      <c r="J1523" s="8" t="n"/>
      <c r="K1523" s="18">
        <f>IF(B1523="","",IFERROR(MONTH(B1523),""))</f>
        <v/>
      </c>
      <c r="L1523" s="5">
        <f>IF(COUNTA(A1523:J1523)=0,"",IF(E1523="","Mangler motkonto",IF((F1523="")=(G1523=""),"Fyll ut enten Inn eller Ut",IF(OR(IFERROR(INDEX('Kontoplan'!$D$3:$D$302,MATCH(D1523,'Kontoplan'!$H$3:$H$302,0))="Støttes ikke",FALSE),IFERROR(INDEX('Kontoplan'!$D$3:$D$302,MATCH(E1523,'Kontoplan'!$H$3:$H$302,0))="Støttes ikke",FALSE)),"Kontoen støttes ikke",IF(IFERROR(AND(A1523&gt;1,COUNTIF($A$3:$A$2002,A1523-1)=0),FALSE),"Nummeret hopper over",IF(OR(NOT(ISNUMBER(B1523)),B1523&lt;DATE(2027,1,1),B1523&gt;DATE(2027,12,31)),"Datoen er ikke i 2027",""))))))</f>
        <v/>
      </c>
    </row>
    <row r="1524">
      <c r="A1524" s="17" t="n"/>
      <c r="B1524" s="9" t="n"/>
      <c r="C1524" s="8" t="n"/>
      <c r="D1524" s="8" t="n"/>
      <c r="E1524" s="8" t="n"/>
      <c r="F1524" s="14" t="n"/>
      <c r="G1524" s="14" t="n"/>
      <c r="H1524" s="8" t="n"/>
      <c r="I1524" s="8" t="n"/>
      <c r="J1524" s="8" t="n"/>
      <c r="K1524" s="18">
        <f>IF(B1524="","",IFERROR(MONTH(B1524),""))</f>
        <v/>
      </c>
      <c r="L1524" s="5">
        <f>IF(COUNTA(A1524:J1524)=0,"",IF(E1524="","Mangler motkonto",IF((F1524="")=(G1524=""),"Fyll ut enten Inn eller Ut",IF(OR(IFERROR(INDEX('Kontoplan'!$D$3:$D$302,MATCH(D1524,'Kontoplan'!$H$3:$H$302,0))="Støttes ikke",FALSE),IFERROR(INDEX('Kontoplan'!$D$3:$D$302,MATCH(E1524,'Kontoplan'!$H$3:$H$302,0))="Støttes ikke",FALSE)),"Kontoen støttes ikke",IF(IFERROR(AND(A1524&gt;1,COUNTIF($A$3:$A$2002,A1524-1)=0),FALSE),"Nummeret hopper over",IF(OR(NOT(ISNUMBER(B1524)),B1524&lt;DATE(2027,1,1),B1524&gt;DATE(2027,12,31)),"Datoen er ikke i 2027",""))))))</f>
        <v/>
      </c>
    </row>
    <row r="1525">
      <c r="A1525" s="17" t="n"/>
      <c r="B1525" s="9" t="n"/>
      <c r="C1525" s="8" t="n"/>
      <c r="D1525" s="8" t="n"/>
      <c r="E1525" s="8" t="n"/>
      <c r="F1525" s="14" t="n"/>
      <c r="G1525" s="14" t="n"/>
      <c r="H1525" s="8" t="n"/>
      <c r="I1525" s="8" t="n"/>
      <c r="J1525" s="8" t="n"/>
      <c r="K1525" s="18">
        <f>IF(B1525="","",IFERROR(MONTH(B1525),""))</f>
        <v/>
      </c>
      <c r="L1525" s="5">
        <f>IF(COUNTA(A1525:J1525)=0,"",IF(E1525="","Mangler motkonto",IF((F1525="")=(G1525=""),"Fyll ut enten Inn eller Ut",IF(OR(IFERROR(INDEX('Kontoplan'!$D$3:$D$302,MATCH(D1525,'Kontoplan'!$H$3:$H$302,0))="Støttes ikke",FALSE),IFERROR(INDEX('Kontoplan'!$D$3:$D$302,MATCH(E1525,'Kontoplan'!$H$3:$H$302,0))="Støttes ikke",FALSE)),"Kontoen støttes ikke",IF(IFERROR(AND(A1525&gt;1,COUNTIF($A$3:$A$2002,A1525-1)=0),FALSE),"Nummeret hopper over",IF(OR(NOT(ISNUMBER(B1525)),B1525&lt;DATE(2027,1,1),B1525&gt;DATE(2027,12,31)),"Datoen er ikke i 2027",""))))))</f>
        <v/>
      </c>
    </row>
    <row r="1526">
      <c r="A1526" s="17" t="n"/>
      <c r="B1526" s="9" t="n"/>
      <c r="C1526" s="8" t="n"/>
      <c r="D1526" s="8" t="n"/>
      <c r="E1526" s="8" t="n"/>
      <c r="F1526" s="14" t="n"/>
      <c r="G1526" s="14" t="n"/>
      <c r="H1526" s="8" t="n"/>
      <c r="I1526" s="8" t="n"/>
      <c r="J1526" s="8" t="n"/>
      <c r="K1526" s="18">
        <f>IF(B1526="","",IFERROR(MONTH(B1526),""))</f>
        <v/>
      </c>
      <c r="L1526" s="5">
        <f>IF(COUNTA(A1526:J1526)=0,"",IF(E1526="","Mangler motkonto",IF((F1526="")=(G1526=""),"Fyll ut enten Inn eller Ut",IF(OR(IFERROR(INDEX('Kontoplan'!$D$3:$D$302,MATCH(D1526,'Kontoplan'!$H$3:$H$302,0))="Støttes ikke",FALSE),IFERROR(INDEX('Kontoplan'!$D$3:$D$302,MATCH(E1526,'Kontoplan'!$H$3:$H$302,0))="Støttes ikke",FALSE)),"Kontoen støttes ikke",IF(IFERROR(AND(A1526&gt;1,COUNTIF($A$3:$A$2002,A1526-1)=0),FALSE),"Nummeret hopper over",IF(OR(NOT(ISNUMBER(B1526)),B1526&lt;DATE(2027,1,1),B1526&gt;DATE(2027,12,31)),"Datoen er ikke i 2027",""))))))</f>
        <v/>
      </c>
    </row>
    <row r="1527">
      <c r="A1527" s="17" t="n"/>
      <c r="B1527" s="9" t="n"/>
      <c r="C1527" s="8" t="n"/>
      <c r="D1527" s="8" t="n"/>
      <c r="E1527" s="8" t="n"/>
      <c r="F1527" s="14" t="n"/>
      <c r="G1527" s="14" t="n"/>
      <c r="H1527" s="8" t="n"/>
      <c r="I1527" s="8" t="n"/>
      <c r="J1527" s="8" t="n"/>
      <c r="K1527" s="18">
        <f>IF(B1527="","",IFERROR(MONTH(B1527),""))</f>
        <v/>
      </c>
      <c r="L1527" s="5">
        <f>IF(COUNTA(A1527:J1527)=0,"",IF(E1527="","Mangler motkonto",IF((F1527="")=(G1527=""),"Fyll ut enten Inn eller Ut",IF(OR(IFERROR(INDEX('Kontoplan'!$D$3:$D$302,MATCH(D1527,'Kontoplan'!$H$3:$H$302,0))="Støttes ikke",FALSE),IFERROR(INDEX('Kontoplan'!$D$3:$D$302,MATCH(E1527,'Kontoplan'!$H$3:$H$302,0))="Støttes ikke",FALSE)),"Kontoen støttes ikke",IF(IFERROR(AND(A1527&gt;1,COUNTIF($A$3:$A$2002,A1527-1)=0),FALSE),"Nummeret hopper over",IF(OR(NOT(ISNUMBER(B1527)),B1527&lt;DATE(2027,1,1),B1527&gt;DATE(2027,12,31)),"Datoen er ikke i 2027",""))))))</f>
        <v/>
      </c>
    </row>
    <row r="1528">
      <c r="A1528" s="17" t="n"/>
      <c r="B1528" s="9" t="n"/>
      <c r="C1528" s="8" t="n"/>
      <c r="D1528" s="8" t="n"/>
      <c r="E1528" s="8" t="n"/>
      <c r="F1528" s="14" t="n"/>
      <c r="G1528" s="14" t="n"/>
      <c r="H1528" s="8" t="n"/>
      <c r="I1528" s="8" t="n"/>
      <c r="J1528" s="8" t="n"/>
      <c r="K1528" s="18">
        <f>IF(B1528="","",IFERROR(MONTH(B1528),""))</f>
        <v/>
      </c>
      <c r="L1528" s="5">
        <f>IF(COUNTA(A1528:J1528)=0,"",IF(E1528="","Mangler motkonto",IF((F1528="")=(G1528=""),"Fyll ut enten Inn eller Ut",IF(OR(IFERROR(INDEX('Kontoplan'!$D$3:$D$302,MATCH(D1528,'Kontoplan'!$H$3:$H$302,0))="Støttes ikke",FALSE),IFERROR(INDEX('Kontoplan'!$D$3:$D$302,MATCH(E1528,'Kontoplan'!$H$3:$H$302,0))="Støttes ikke",FALSE)),"Kontoen støttes ikke",IF(IFERROR(AND(A1528&gt;1,COUNTIF($A$3:$A$2002,A1528-1)=0),FALSE),"Nummeret hopper over",IF(OR(NOT(ISNUMBER(B1528)),B1528&lt;DATE(2027,1,1),B1528&gt;DATE(2027,12,31)),"Datoen er ikke i 2027",""))))))</f>
        <v/>
      </c>
    </row>
    <row r="1529">
      <c r="A1529" s="17" t="n"/>
      <c r="B1529" s="9" t="n"/>
      <c r="C1529" s="8" t="n"/>
      <c r="D1529" s="8" t="n"/>
      <c r="E1529" s="8" t="n"/>
      <c r="F1529" s="14" t="n"/>
      <c r="G1529" s="14" t="n"/>
      <c r="H1529" s="8" t="n"/>
      <c r="I1529" s="8" t="n"/>
      <c r="J1529" s="8" t="n"/>
      <c r="K1529" s="18">
        <f>IF(B1529="","",IFERROR(MONTH(B1529),""))</f>
        <v/>
      </c>
      <c r="L1529" s="5">
        <f>IF(COUNTA(A1529:J1529)=0,"",IF(E1529="","Mangler motkonto",IF((F1529="")=(G1529=""),"Fyll ut enten Inn eller Ut",IF(OR(IFERROR(INDEX('Kontoplan'!$D$3:$D$302,MATCH(D1529,'Kontoplan'!$H$3:$H$302,0))="Støttes ikke",FALSE),IFERROR(INDEX('Kontoplan'!$D$3:$D$302,MATCH(E1529,'Kontoplan'!$H$3:$H$302,0))="Støttes ikke",FALSE)),"Kontoen støttes ikke",IF(IFERROR(AND(A1529&gt;1,COUNTIF($A$3:$A$2002,A1529-1)=0),FALSE),"Nummeret hopper over",IF(OR(NOT(ISNUMBER(B1529)),B1529&lt;DATE(2027,1,1),B1529&gt;DATE(2027,12,31)),"Datoen er ikke i 2027",""))))))</f>
        <v/>
      </c>
    </row>
    <row r="1530">
      <c r="A1530" s="17" t="n"/>
      <c r="B1530" s="9" t="n"/>
      <c r="C1530" s="8" t="n"/>
      <c r="D1530" s="8" t="n"/>
      <c r="E1530" s="8" t="n"/>
      <c r="F1530" s="14" t="n"/>
      <c r="G1530" s="14" t="n"/>
      <c r="H1530" s="8" t="n"/>
      <c r="I1530" s="8" t="n"/>
      <c r="J1530" s="8" t="n"/>
      <c r="K1530" s="18">
        <f>IF(B1530="","",IFERROR(MONTH(B1530),""))</f>
        <v/>
      </c>
      <c r="L1530" s="5">
        <f>IF(COUNTA(A1530:J1530)=0,"",IF(E1530="","Mangler motkonto",IF((F1530="")=(G1530=""),"Fyll ut enten Inn eller Ut",IF(OR(IFERROR(INDEX('Kontoplan'!$D$3:$D$302,MATCH(D1530,'Kontoplan'!$H$3:$H$302,0))="Støttes ikke",FALSE),IFERROR(INDEX('Kontoplan'!$D$3:$D$302,MATCH(E1530,'Kontoplan'!$H$3:$H$302,0))="Støttes ikke",FALSE)),"Kontoen støttes ikke",IF(IFERROR(AND(A1530&gt;1,COUNTIF($A$3:$A$2002,A1530-1)=0),FALSE),"Nummeret hopper over",IF(OR(NOT(ISNUMBER(B1530)),B1530&lt;DATE(2027,1,1),B1530&gt;DATE(2027,12,31)),"Datoen er ikke i 2027",""))))))</f>
        <v/>
      </c>
    </row>
    <row r="1531">
      <c r="A1531" s="17" t="n"/>
      <c r="B1531" s="9" t="n"/>
      <c r="C1531" s="8" t="n"/>
      <c r="D1531" s="8" t="n"/>
      <c r="E1531" s="8" t="n"/>
      <c r="F1531" s="14" t="n"/>
      <c r="G1531" s="14" t="n"/>
      <c r="H1531" s="8" t="n"/>
      <c r="I1531" s="8" t="n"/>
      <c r="J1531" s="8" t="n"/>
      <c r="K1531" s="18">
        <f>IF(B1531="","",IFERROR(MONTH(B1531),""))</f>
        <v/>
      </c>
      <c r="L1531" s="5">
        <f>IF(COUNTA(A1531:J1531)=0,"",IF(E1531="","Mangler motkonto",IF((F1531="")=(G1531=""),"Fyll ut enten Inn eller Ut",IF(OR(IFERROR(INDEX('Kontoplan'!$D$3:$D$302,MATCH(D1531,'Kontoplan'!$H$3:$H$302,0))="Støttes ikke",FALSE),IFERROR(INDEX('Kontoplan'!$D$3:$D$302,MATCH(E1531,'Kontoplan'!$H$3:$H$302,0))="Støttes ikke",FALSE)),"Kontoen støttes ikke",IF(IFERROR(AND(A1531&gt;1,COUNTIF($A$3:$A$2002,A1531-1)=0),FALSE),"Nummeret hopper over",IF(OR(NOT(ISNUMBER(B1531)),B1531&lt;DATE(2027,1,1),B1531&gt;DATE(2027,12,31)),"Datoen er ikke i 2027",""))))))</f>
        <v/>
      </c>
    </row>
    <row r="1532">
      <c r="A1532" s="17" t="n"/>
      <c r="B1532" s="9" t="n"/>
      <c r="C1532" s="8" t="n"/>
      <c r="D1532" s="8" t="n"/>
      <c r="E1532" s="8" t="n"/>
      <c r="F1532" s="14" t="n"/>
      <c r="G1532" s="14" t="n"/>
      <c r="H1532" s="8" t="n"/>
      <c r="I1532" s="8" t="n"/>
      <c r="J1532" s="8" t="n"/>
      <c r="K1532" s="18">
        <f>IF(B1532="","",IFERROR(MONTH(B1532),""))</f>
        <v/>
      </c>
      <c r="L1532" s="5">
        <f>IF(COUNTA(A1532:J1532)=0,"",IF(E1532="","Mangler motkonto",IF((F1532="")=(G1532=""),"Fyll ut enten Inn eller Ut",IF(OR(IFERROR(INDEX('Kontoplan'!$D$3:$D$302,MATCH(D1532,'Kontoplan'!$H$3:$H$302,0))="Støttes ikke",FALSE),IFERROR(INDEX('Kontoplan'!$D$3:$D$302,MATCH(E1532,'Kontoplan'!$H$3:$H$302,0))="Støttes ikke",FALSE)),"Kontoen støttes ikke",IF(IFERROR(AND(A1532&gt;1,COUNTIF($A$3:$A$2002,A1532-1)=0),FALSE),"Nummeret hopper over",IF(OR(NOT(ISNUMBER(B1532)),B1532&lt;DATE(2027,1,1),B1532&gt;DATE(2027,12,31)),"Datoen er ikke i 2027",""))))))</f>
        <v/>
      </c>
    </row>
    <row r="1533">
      <c r="A1533" s="17" t="n"/>
      <c r="B1533" s="9" t="n"/>
      <c r="C1533" s="8" t="n"/>
      <c r="D1533" s="8" t="n"/>
      <c r="E1533" s="8" t="n"/>
      <c r="F1533" s="14" t="n"/>
      <c r="G1533" s="14" t="n"/>
      <c r="H1533" s="8" t="n"/>
      <c r="I1533" s="8" t="n"/>
      <c r="J1533" s="8" t="n"/>
      <c r="K1533" s="18">
        <f>IF(B1533="","",IFERROR(MONTH(B1533),""))</f>
        <v/>
      </c>
      <c r="L1533" s="5">
        <f>IF(COUNTA(A1533:J1533)=0,"",IF(E1533="","Mangler motkonto",IF((F1533="")=(G1533=""),"Fyll ut enten Inn eller Ut",IF(OR(IFERROR(INDEX('Kontoplan'!$D$3:$D$302,MATCH(D1533,'Kontoplan'!$H$3:$H$302,0))="Støttes ikke",FALSE),IFERROR(INDEX('Kontoplan'!$D$3:$D$302,MATCH(E1533,'Kontoplan'!$H$3:$H$302,0))="Støttes ikke",FALSE)),"Kontoen støttes ikke",IF(IFERROR(AND(A1533&gt;1,COUNTIF($A$3:$A$2002,A1533-1)=0),FALSE),"Nummeret hopper over",IF(OR(NOT(ISNUMBER(B1533)),B1533&lt;DATE(2027,1,1),B1533&gt;DATE(2027,12,31)),"Datoen er ikke i 2027",""))))))</f>
        <v/>
      </c>
    </row>
    <row r="1534">
      <c r="A1534" s="17" t="n"/>
      <c r="B1534" s="9" t="n"/>
      <c r="C1534" s="8" t="n"/>
      <c r="D1534" s="8" t="n"/>
      <c r="E1534" s="8" t="n"/>
      <c r="F1534" s="14" t="n"/>
      <c r="G1534" s="14" t="n"/>
      <c r="H1534" s="8" t="n"/>
      <c r="I1534" s="8" t="n"/>
      <c r="J1534" s="8" t="n"/>
      <c r="K1534" s="18">
        <f>IF(B1534="","",IFERROR(MONTH(B1534),""))</f>
        <v/>
      </c>
      <c r="L1534" s="5">
        <f>IF(COUNTA(A1534:J1534)=0,"",IF(E1534="","Mangler motkonto",IF((F1534="")=(G1534=""),"Fyll ut enten Inn eller Ut",IF(OR(IFERROR(INDEX('Kontoplan'!$D$3:$D$302,MATCH(D1534,'Kontoplan'!$H$3:$H$302,0))="Støttes ikke",FALSE),IFERROR(INDEX('Kontoplan'!$D$3:$D$302,MATCH(E1534,'Kontoplan'!$H$3:$H$302,0))="Støttes ikke",FALSE)),"Kontoen støttes ikke",IF(IFERROR(AND(A1534&gt;1,COUNTIF($A$3:$A$2002,A1534-1)=0),FALSE),"Nummeret hopper over",IF(OR(NOT(ISNUMBER(B1534)),B1534&lt;DATE(2027,1,1),B1534&gt;DATE(2027,12,31)),"Datoen er ikke i 2027",""))))))</f>
        <v/>
      </c>
    </row>
    <row r="1535">
      <c r="A1535" s="17" t="n"/>
      <c r="B1535" s="9" t="n"/>
      <c r="C1535" s="8" t="n"/>
      <c r="D1535" s="8" t="n"/>
      <c r="E1535" s="8" t="n"/>
      <c r="F1535" s="14" t="n"/>
      <c r="G1535" s="14" t="n"/>
      <c r="H1535" s="8" t="n"/>
      <c r="I1535" s="8" t="n"/>
      <c r="J1535" s="8" t="n"/>
      <c r="K1535" s="18">
        <f>IF(B1535="","",IFERROR(MONTH(B1535),""))</f>
        <v/>
      </c>
      <c r="L1535" s="5">
        <f>IF(COUNTA(A1535:J1535)=0,"",IF(E1535="","Mangler motkonto",IF((F1535="")=(G1535=""),"Fyll ut enten Inn eller Ut",IF(OR(IFERROR(INDEX('Kontoplan'!$D$3:$D$302,MATCH(D1535,'Kontoplan'!$H$3:$H$302,0))="Støttes ikke",FALSE),IFERROR(INDEX('Kontoplan'!$D$3:$D$302,MATCH(E1535,'Kontoplan'!$H$3:$H$302,0))="Støttes ikke",FALSE)),"Kontoen støttes ikke",IF(IFERROR(AND(A1535&gt;1,COUNTIF($A$3:$A$2002,A1535-1)=0),FALSE),"Nummeret hopper over",IF(OR(NOT(ISNUMBER(B1535)),B1535&lt;DATE(2027,1,1),B1535&gt;DATE(2027,12,31)),"Datoen er ikke i 2027",""))))))</f>
        <v/>
      </c>
    </row>
    <row r="1536">
      <c r="A1536" s="17" t="n"/>
      <c r="B1536" s="9" t="n"/>
      <c r="C1536" s="8" t="n"/>
      <c r="D1536" s="8" t="n"/>
      <c r="E1536" s="8" t="n"/>
      <c r="F1536" s="14" t="n"/>
      <c r="G1536" s="14" t="n"/>
      <c r="H1536" s="8" t="n"/>
      <c r="I1536" s="8" t="n"/>
      <c r="J1536" s="8" t="n"/>
      <c r="K1536" s="18">
        <f>IF(B1536="","",IFERROR(MONTH(B1536),""))</f>
        <v/>
      </c>
      <c r="L1536" s="5">
        <f>IF(COUNTA(A1536:J1536)=0,"",IF(E1536="","Mangler motkonto",IF((F1536="")=(G1536=""),"Fyll ut enten Inn eller Ut",IF(OR(IFERROR(INDEX('Kontoplan'!$D$3:$D$302,MATCH(D1536,'Kontoplan'!$H$3:$H$302,0))="Støttes ikke",FALSE),IFERROR(INDEX('Kontoplan'!$D$3:$D$302,MATCH(E1536,'Kontoplan'!$H$3:$H$302,0))="Støttes ikke",FALSE)),"Kontoen støttes ikke",IF(IFERROR(AND(A1536&gt;1,COUNTIF($A$3:$A$2002,A1536-1)=0),FALSE),"Nummeret hopper over",IF(OR(NOT(ISNUMBER(B1536)),B1536&lt;DATE(2027,1,1),B1536&gt;DATE(2027,12,31)),"Datoen er ikke i 2027",""))))))</f>
        <v/>
      </c>
    </row>
    <row r="1537">
      <c r="A1537" s="17" t="n"/>
      <c r="B1537" s="9" t="n"/>
      <c r="C1537" s="8" t="n"/>
      <c r="D1537" s="8" t="n"/>
      <c r="E1537" s="8" t="n"/>
      <c r="F1537" s="14" t="n"/>
      <c r="G1537" s="14" t="n"/>
      <c r="H1537" s="8" t="n"/>
      <c r="I1537" s="8" t="n"/>
      <c r="J1537" s="8" t="n"/>
      <c r="K1537" s="18">
        <f>IF(B1537="","",IFERROR(MONTH(B1537),""))</f>
        <v/>
      </c>
      <c r="L1537" s="5">
        <f>IF(COUNTA(A1537:J1537)=0,"",IF(E1537="","Mangler motkonto",IF((F1537="")=(G1537=""),"Fyll ut enten Inn eller Ut",IF(OR(IFERROR(INDEX('Kontoplan'!$D$3:$D$302,MATCH(D1537,'Kontoplan'!$H$3:$H$302,0))="Støttes ikke",FALSE),IFERROR(INDEX('Kontoplan'!$D$3:$D$302,MATCH(E1537,'Kontoplan'!$H$3:$H$302,0))="Støttes ikke",FALSE)),"Kontoen støttes ikke",IF(IFERROR(AND(A1537&gt;1,COUNTIF($A$3:$A$2002,A1537-1)=0),FALSE),"Nummeret hopper over",IF(OR(NOT(ISNUMBER(B1537)),B1537&lt;DATE(2027,1,1),B1537&gt;DATE(2027,12,31)),"Datoen er ikke i 2027",""))))))</f>
        <v/>
      </c>
    </row>
    <row r="1538">
      <c r="A1538" s="17" t="n"/>
      <c r="B1538" s="9" t="n"/>
      <c r="C1538" s="8" t="n"/>
      <c r="D1538" s="8" t="n"/>
      <c r="E1538" s="8" t="n"/>
      <c r="F1538" s="14" t="n"/>
      <c r="G1538" s="14" t="n"/>
      <c r="H1538" s="8" t="n"/>
      <c r="I1538" s="8" t="n"/>
      <c r="J1538" s="8" t="n"/>
      <c r="K1538" s="18">
        <f>IF(B1538="","",IFERROR(MONTH(B1538),""))</f>
        <v/>
      </c>
      <c r="L1538" s="5">
        <f>IF(COUNTA(A1538:J1538)=0,"",IF(E1538="","Mangler motkonto",IF((F1538="")=(G1538=""),"Fyll ut enten Inn eller Ut",IF(OR(IFERROR(INDEX('Kontoplan'!$D$3:$D$302,MATCH(D1538,'Kontoplan'!$H$3:$H$302,0))="Støttes ikke",FALSE),IFERROR(INDEX('Kontoplan'!$D$3:$D$302,MATCH(E1538,'Kontoplan'!$H$3:$H$302,0))="Støttes ikke",FALSE)),"Kontoen støttes ikke",IF(IFERROR(AND(A1538&gt;1,COUNTIF($A$3:$A$2002,A1538-1)=0),FALSE),"Nummeret hopper over",IF(OR(NOT(ISNUMBER(B1538)),B1538&lt;DATE(2027,1,1),B1538&gt;DATE(2027,12,31)),"Datoen er ikke i 2027",""))))))</f>
        <v/>
      </c>
    </row>
    <row r="1539">
      <c r="A1539" s="17" t="n"/>
      <c r="B1539" s="9" t="n"/>
      <c r="C1539" s="8" t="n"/>
      <c r="D1539" s="8" t="n"/>
      <c r="E1539" s="8" t="n"/>
      <c r="F1539" s="14" t="n"/>
      <c r="G1539" s="14" t="n"/>
      <c r="H1539" s="8" t="n"/>
      <c r="I1539" s="8" t="n"/>
      <c r="J1539" s="8" t="n"/>
      <c r="K1539" s="18">
        <f>IF(B1539="","",IFERROR(MONTH(B1539),""))</f>
        <v/>
      </c>
      <c r="L1539" s="5">
        <f>IF(COUNTA(A1539:J1539)=0,"",IF(E1539="","Mangler motkonto",IF((F1539="")=(G1539=""),"Fyll ut enten Inn eller Ut",IF(OR(IFERROR(INDEX('Kontoplan'!$D$3:$D$302,MATCH(D1539,'Kontoplan'!$H$3:$H$302,0))="Støttes ikke",FALSE),IFERROR(INDEX('Kontoplan'!$D$3:$D$302,MATCH(E1539,'Kontoplan'!$H$3:$H$302,0))="Støttes ikke",FALSE)),"Kontoen støttes ikke",IF(IFERROR(AND(A1539&gt;1,COUNTIF($A$3:$A$2002,A1539-1)=0),FALSE),"Nummeret hopper over",IF(OR(NOT(ISNUMBER(B1539)),B1539&lt;DATE(2027,1,1),B1539&gt;DATE(2027,12,31)),"Datoen er ikke i 2027",""))))))</f>
        <v/>
      </c>
    </row>
    <row r="1540">
      <c r="A1540" s="17" t="n"/>
      <c r="B1540" s="9" t="n"/>
      <c r="C1540" s="8" t="n"/>
      <c r="D1540" s="8" t="n"/>
      <c r="E1540" s="8" t="n"/>
      <c r="F1540" s="14" t="n"/>
      <c r="G1540" s="14" t="n"/>
      <c r="H1540" s="8" t="n"/>
      <c r="I1540" s="8" t="n"/>
      <c r="J1540" s="8" t="n"/>
      <c r="K1540" s="18">
        <f>IF(B1540="","",IFERROR(MONTH(B1540),""))</f>
        <v/>
      </c>
      <c r="L1540" s="5">
        <f>IF(COUNTA(A1540:J1540)=0,"",IF(E1540="","Mangler motkonto",IF((F1540="")=(G1540=""),"Fyll ut enten Inn eller Ut",IF(OR(IFERROR(INDEX('Kontoplan'!$D$3:$D$302,MATCH(D1540,'Kontoplan'!$H$3:$H$302,0))="Støttes ikke",FALSE),IFERROR(INDEX('Kontoplan'!$D$3:$D$302,MATCH(E1540,'Kontoplan'!$H$3:$H$302,0))="Støttes ikke",FALSE)),"Kontoen støttes ikke",IF(IFERROR(AND(A1540&gt;1,COUNTIF($A$3:$A$2002,A1540-1)=0),FALSE),"Nummeret hopper over",IF(OR(NOT(ISNUMBER(B1540)),B1540&lt;DATE(2027,1,1),B1540&gt;DATE(2027,12,31)),"Datoen er ikke i 2027",""))))))</f>
        <v/>
      </c>
    </row>
    <row r="1541">
      <c r="A1541" s="17" t="n"/>
      <c r="B1541" s="9" t="n"/>
      <c r="C1541" s="8" t="n"/>
      <c r="D1541" s="8" t="n"/>
      <c r="E1541" s="8" t="n"/>
      <c r="F1541" s="14" t="n"/>
      <c r="G1541" s="14" t="n"/>
      <c r="H1541" s="8" t="n"/>
      <c r="I1541" s="8" t="n"/>
      <c r="J1541" s="8" t="n"/>
      <c r="K1541" s="18">
        <f>IF(B1541="","",IFERROR(MONTH(B1541),""))</f>
        <v/>
      </c>
      <c r="L1541" s="5">
        <f>IF(COUNTA(A1541:J1541)=0,"",IF(E1541="","Mangler motkonto",IF((F1541="")=(G1541=""),"Fyll ut enten Inn eller Ut",IF(OR(IFERROR(INDEX('Kontoplan'!$D$3:$D$302,MATCH(D1541,'Kontoplan'!$H$3:$H$302,0))="Støttes ikke",FALSE),IFERROR(INDEX('Kontoplan'!$D$3:$D$302,MATCH(E1541,'Kontoplan'!$H$3:$H$302,0))="Støttes ikke",FALSE)),"Kontoen støttes ikke",IF(IFERROR(AND(A1541&gt;1,COUNTIF($A$3:$A$2002,A1541-1)=0),FALSE),"Nummeret hopper over",IF(OR(NOT(ISNUMBER(B1541)),B1541&lt;DATE(2027,1,1),B1541&gt;DATE(2027,12,31)),"Datoen er ikke i 2027",""))))))</f>
        <v/>
      </c>
    </row>
    <row r="1542">
      <c r="A1542" s="17" t="n"/>
      <c r="B1542" s="9" t="n"/>
      <c r="C1542" s="8" t="n"/>
      <c r="D1542" s="8" t="n"/>
      <c r="E1542" s="8" t="n"/>
      <c r="F1542" s="14" t="n"/>
      <c r="G1542" s="14" t="n"/>
      <c r="H1542" s="8" t="n"/>
      <c r="I1542" s="8" t="n"/>
      <c r="J1542" s="8" t="n"/>
      <c r="K1542" s="18">
        <f>IF(B1542="","",IFERROR(MONTH(B1542),""))</f>
        <v/>
      </c>
      <c r="L1542" s="5">
        <f>IF(COUNTA(A1542:J1542)=0,"",IF(E1542="","Mangler motkonto",IF((F1542="")=(G1542=""),"Fyll ut enten Inn eller Ut",IF(OR(IFERROR(INDEX('Kontoplan'!$D$3:$D$302,MATCH(D1542,'Kontoplan'!$H$3:$H$302,0))="Støttes ikke",FALSE),IFERROR(INDEX('Kontoplan'!$D$3:$D$302,MATCH(E1542,'Kontoplan'!$H$3:$H$302,0))="Støttes ikke",FALSE)),"Kontoen støttes ikke",IF(IFERROR(AND(A1542&gt;1,COUNTIF($A$3:$A$2002,A1542-1)=0),FALSE),"Nummeret hopper over",IF(OR(NOT(ISNUMBER(B1542)),B1542&lt;DATE(2027,1,1),B1542&gt;DATE(2027,12,31)),"Datoen er ikke i 2027",""))))))</f>
        <v/>
      </c>
    </row>
    <row r="1543">
      <c r="A1543" s="17" t="n"/>
      <c r="B1543" s="9" t="n"/>
      <c r="C1543" s="8" t="n"/>
      <c r="D1543" s="8" t="n"/>
      <c r="E1543" s="8" t="n"/>
      <c r="F1543" s="14" t="n"/>
      <c r="G1543" s="14" t="n"/>
      <c r="H1543" s="8" t="n"/>
      <c r="I1543" s="8" t="n"/>
      <c r="J1543" s="8" t="n"/>
      <c r="K1543" s="18">
        <f>IF(B1543="","",IFERROR(MONTH(B1543),""))</f>
        <v/>
      </c>
      <c r="L1543" s="5">
        <f>IF(COUNTA(A1543:J1543)=0,"",IF(E1543="","Mangler motkonto",IF((F1543="")=(G1543=""),"Fyll ut enten Inn eller Ut",IF(OR(IFERROR(INDEX('Kontoplan'!$D$3:$D$302,MATCH(D1543,'Kontoplan'!$H$3:$H$302,0))="Støttes ikke",FALSE),IFERROR(INDEX('Kontoplan'!$D$3:$D$302,MATCH(E1543,'Kontoplan'!$H$3:$H$302,0))="Støttes ikke",FALSE)),"Kontoen støttes ikke",IF(IFERROR(AND(A1543&gt;1,COUNTIF($A$3:$A$2002,A1543-1)=0),FALSE),"Nummeret hopper over",IF(OR(NOT(ISNUMBER(B1543)),B1543&lt;DATE(2027,1,1),B1543&gt;DATE(2027,12,31)),"Datoen er ikke i 2027",""))))))</f>
        <v/>
      </c>
    </row>
    <row r="1544">
      <c r="A1544" s="17" t="n"/>
      <c r="B1544" s="9" t="n"/>
      <c r="C1544" s="8" t="n"/>
      <c r="D1544" s="8" t="n"/>
      <c r="E1544" s="8" t="n"/>
      <c r="F1544" s="14" t="n"/>
      <c r="G1544" s="14" t="n"/>
      <c r="H1544" s="8" t="n"/>
      <c r="I1544" s="8" t="n"/>
      <c r="J1544" s="8" t="n"/>
      <c r="K1544" s="18">
        <f>IF(B1544="","",IFERROR(MONTH(B1544),""))</f>
        <v/>
      </c>
      <c r="L1544" s="5">
        <f>IF(COUNTA(A1544:J1544)=0,"",IF(E1544="","Mangler motkonto",IF((F1544="")=(G1544=""),"Fyll ut enten Inn eller Ut",IF(OR(IFERROR(INDEX('Kontoplan'!$D$3:$D$302,MATCH(D1544,'Kontoplan'!$H$3:$H$302,0))="Støttes ikke",FALSE),IFERROR(INDEX('Kontoplan'!$D$3:$D$302,MATCH(E1544,'Kontoplan'!$H$3:$H$302,0))="Støttes ikke",FALSE)),"Kontoen støttes ikke",IF(IFERROR(AND(A1544&gt;1,COUNTIF($A$3:$A$2002,A1544-1)=0),FALSE),"Nummeret hopper over",IF(OR(NOT(ISNUMBER(B1544)),B1544&lt;DATE(2027,1,1),B1544&gt;DATE(2027,12,31)),"Datoen er ikke i 2027",""))))))</f>
        <v/>
      </c>
    </row>
    <row r="1545">
      <c r="A1545" s="17" t="n"/>
      <c r="B1545" s="9" t="n"/>
      <c r="C1545" s="8" t="n"/>
      <c r="D1545" s="8" t="n"/>
      <c r="E1545" s="8" t="n"/>
      <c r="F1545" s="14" t="n"/>
      <c r="G1545" s="14" t="n"/>
      <c r="H1545" s="8" t="n"/>
      <c r="I1545" s="8" t="n"/>
      <c r="J1545" s="8" t="n"/>
      <c r="K1545" s="18">
        <f>IF(B1545="","",IFERROR(MONTH(B1545),""))</f>
        <v/>
      </c>
      <c r="L1545" s="5">
        <f>IF(COUNTA(A1545:J1545)=0,"",IF(E1545="","Mangler motkonto",IF((F1545="")=(G1545=""),"Fyll ut enten Inn eller Ut",IF(OR(IFERROR(INDEX('Kontoplan'!$D$3:$D$302,MATCH(D1545,'Kontoplan'!$H$3:$H$302,0))="Støttes ikke",FALSE),IFERROR(INDEX('Kontoplan'!$D$3:$D$302,MATCH(E1545,'Kontoplan'!$H$3:$H$302,0))="Støttes ikke",FALSE)),"Kontoen støttes ikke",IF(IFERROR(AND(A1545&gt;1,COUNTIF($A$3:$A$2002,A1545-1)=0),FALSE),"Nummeret hopper over",IF(OR(NOT(ISNUMBER(B1545)),B1545&lt;DATE(2027,1,1),B1545&gt;DATE(2027,12,31)),"Datoen er ikke i 2027",""))))))</f>
        <v/>
      </c>
    </row>
    <row r="1546">
      <c r="A1546" s="17" t="n"/>
      <c r="B1546" s="9" t="n"/>
      <c r="C1546" s="8" t="n"/>
      <c r="D1546" s="8" t="n"/>
      <c r="E1546" s="8" t="n"/>
      <c r="F1546" s="14" t="n"/>
      <c r="G1546" s="14" t="n"/>
      <c r="H1546" s="8" t="n"/>
      <c r="I1546" s="8" t="n"/>
      <c r="J1546" s="8" t="n"/>
      <c r="K1546" s="18">
        <f>IF(B1546="","",IFERROR(MONTH(B1546),""))</f>
        <v/>
      </c>
      <c r="L1546" s="5">
        <f>IF(COUNTA(A1546:J1546)=0,"",IF(E1546="","Mangler motkonto",IF((F1546="")=(G1546=""),"Fyll ut enten Inn eller Ut",IF(OR(IFERROR(INDEX('Kontoplan'!$D$3:$D$302,MATCH(D1546,'Kontoplan'!$H$3:$H$302,0))="Støttes ikke",FALSE),IFERROR(INDEX('Kontoplan'!$D$3:$D$302,MATCH(E1546,'Kontoplan'!$H$3:$H$302,0))="Støttes ikke",FALSE)),"Kontoen støttes ikke",IF(IFERROR(AND(A1546&gt;1,COUNTIF($A$3:$A$2002,A1546-1)=0),FALSE),"Nummeret hopper over",IF(OR(NOT(ISNUMBER(B1546)),B1546&lt;DATE(2027,1,1),B1546&gt;DATE(2027,12,31)),"Datoen er ikke i 2027",""))))))</f>
        <v/>
      </c>
    </row>
    <row r="1547">
      <c r="A1547" s="17" t="n"/>
      <c r="B1547" s="9" t="n"/>
      <c r="C1547" s="8" t="n"/>
      <c r="D1547" s="8" t="n"/>
      <c r="E1547" s="8" t="n"/>
      <c r="F1547" s="14" t="n"/>
      <c r="G1547" s="14" t="n"/>
      <c r="H1547" s="8" t="n"/>
      <c r="I1547" s="8" t="n"/>
      <c r="J1547" s="8" t="n"/>
      <c r="K1547" s="18">
        <f>IF(B1547="","",IFERROR(MONTH(B1547),""))</f>
        <v/>
      </c>
      <c r="L1547" s="5">
        <f>IF(COUNTA(A1547:J1547)=0,"",IF(E1547="","Mangler motkonto",IF((F1547="")=(G1547=""),"Fyll ut enten Inn eller Ut",IF(OR(IFERROR(INDEX('Kontoplan'!$D$3:$D$302,MATCH(D1547,'Kontoplan'!$H$3:$H$302,0))="Støttes ikke",FALSE),IFERROR(INDEX('Kontoplan'!$D$3:$D$302,MATCH(E1547,'Kontoplan'!$H$3:$H$302,0))="Støttes ikke",FALSE)),"Kontoen støttes ikke",IF(IFERROR(AND(A1547&gt;1,COUNTIF($A$3:$A$2002,A1547-1)=0),FALSE),"Nummeret hopper over",IF(OR(NOT(ISNUMBER(B1547)),B1547&lt;DATE(2027,1,1),B1547&gt;DATE(2027,12,31)),"Datoen er ikke i 2027",""))))))</f>
        <v/>
      </c>
    </row>
    <row r="1548">
      <c r="A1548" s="17" t="n"/>
      <c r="B1548" s="9" t="n"/>
      <c r="C1548" s="8" t="n"/>
      <c r="D1548" s="8" t="n"/>
      <c r="E1548" s="8" t="n"/>
      <c r="F1548" s="14" t="n"/>
      <c r="G1548" s="14" t="n"/>
      <c r="H1548" s="8" t="n"/>
      <c r="I1548" s="8" t="n"/>
      <c r="J1548" s="8" t="n"/>
      <c r="K1548" s="18">
        <f>IF(B1548="","",IFERROR(MONTH(B1548),""))</f>
        <v/>
      </c>
      <c r="L1548" s="5">
        <f>IF(COUNTA(A1548:J1548)=0,"",IF(E1548="","Mangler motkonto",IF((F1548="")=(G1548=""),"Fyll ut enten Inn eller Ut",IF(OR(IFERROR(INDEX('Kontoplan'!$D$3:$D$302,MATCH(D1548,'Kontoplan'!$H$3:$H$302,0))="Støttes ikke",FALSE),IFERROR(INDEX('Kontoplan'!$D$3:$D$302,MATCH(E1548,'Kontoplan'!$H$3:$H$302,0))="Støttes ikke",FALSE)),"Kontoen støttes ikke",IF(IFERROR(AND(A1548&gt;1,COUNTIF($A$3:$A$2002,A1548-1)=0),FALSE),"Nummeret hopper over",IF(OR(NOT(ISNUMBER(B1548)),B1548&lt;DATE(2027,1,1),B1548&gt;DATE(2027,12,31)),"Datoen er ikke i 2027",""))))))</f>
        <v/>
      </c>
    </row>
    <row r="1549">
      <c r="A1549" s="17" t="n"/>
      <c r="B1549" s="9" t="n"/>
      <c r="C1549" s="8" t="n"/>
      <c r="D1549" s="8" t="n"/>
      <c r="E1549" s="8" t="n"/>
      <c r="F1549" s="14" t="n"/>
      <c r="G1549" s="14" t="n"/>
      <c r="H1549" s="8" t="n"/>
      <c r="I1549" s="8" t="n"/>
      <c r="J1549" s="8" t="n"/>
      <c r="K1549" s="18">
        <f>IF(B1549="","",IFERROR(MONTH(B1549),""))</f>
        <v/>
      </c>
      <c r="L1549" s="5">
        <f>IF(COUNTA(A1549:J1549)=0,"",IF(E1549="","Mangler motkonto",IF((F1549="")=(G1549=""),"Fyll ut enten Inn eller Ut",IF(OR(IFERROR(INDEX('Kontoplan'!$D$3:$D$302,MATCH(D1549,'Kontoplan'!$H$3:$H$302,0))="Støttes ikke",FALSE),IFERROR(INDEX('Kontoplan'!$D$3:$D$302,MATCH(E1549,'Kontoplan'!$H$3:$H$302,0))="Støttes ikke",FALSE)),"Kontoen støttes ikke",IF(IFERROR(AND(A1549&gt;1,COUNTIF($A$3:$A$2002,A1549-1)=0),FALSE),"Nummeret hopper over",IF(OR(NOT(ISNUMBER(B1549)),B1549&lt;DATE(2027,1,1),B1549&gt;DATE(2027,12,31)),"Datoen er ikke i 2027",""))))))</f>
        <v/>
      </c>
    </row>
    <row r="1550">
      <c r="A1550" s="17" t="n"/>
      <c r="B1550" s="9" t="n"/>
      <c r="C1550" s="8" t="n"/>
      <c r="D1550" s="8" t="n"/>
      <c r="E1550" s="8" t="n"/>
      <c r="F1550" s="14" t="n"/>
      <c r="G1550" s="14" t="n"/>
      <c r="H1550" s="8" t="n"/>
      <c r="I1550" s="8" t="n"/>
      <c r="J1550" s="8" t="n"/>
      <c r="K1550" s="18">
        <f>IF(B1550="","",IFERROR(MONTH(B1550),""))</f>
        <v/>
      </c>
      <c r="L1550" s="5">
        <f>IF(COUNTA(A1550:J1550)=0,"",IF(E1550="","Mangler motkonto",IF((F1550="")=(G1550=""),"Fyll ut enten Inn eller Ut",IF(OR(IFERROR(INDEX('Kontoplan'!$D$3:$D$302,MATCH(D1550,'Kontoplan'!$H$3:$H$302,0))="Støttes ikke",FALSE),IFERROR(INDEX('Kontoplan'!$D$3:$D$302,MATCH(E1550,'Kontoplan'!$H$3:$H$302,0))="Støttes ikke",FALSE)),"Kontoen støttes ikke",IF(IFERROR(AND(A1550&gt;1,COUNTIF($A$3:$A$2002,A1550-1)=0),FALSE),"Nummeret hopper over",IF(OR(NOT(ISNUMBER(B1550)),B1550&lt;DATE(2027,1,1),B1550&gt;DATE(2027,12,31)),"Datoen er ikke i 2027",""))))))</f>
        <v/>
      </c>
    </row>
    <row r="1551">
      <c r="A1551" s="17" t="n"/>
      <c r="B1551" s="9" t="n"/>
      <c r="C1551" s="8" t="n"/>
      <c r="D1551" s="8" t="n"/>
      <c r="E1551" s="8" t="n"/>
      <c r="F1551" s="14" t="n"/>
      <c r="G1551" s="14" t="n"/>
      <c r="H1551" s="8" t="n"/>
      <c r="I1551" s="8" t="n"/>
      <c r="J1551" s="8" t="n"/>
      <c r="K1551" s="18">
        <f>IF(B1551="","",IFERROR(MONTH(B1551),""))</f>
        <v/>
      </c>
      <c r="L1551" s="5">
        <f>IF(COUNTA(A1551:J1551)=0,"",IF(E1551="","Mangler motkonto",IF((F1551="")=(G1551=""),"Fyll ut enten Inn eller Ut",IF(OR(IFERROR(INDEX('Kontoplan'!$D$3:$D$302,MATCH(D1551,'Kontoplan'!$H$3:$H$302,0))="Støttes ikke",FALSE),IFERROR(INDEX('Kontoplan'!$D$3:$D$302,MATCH(E1551,'Kontoplan'!$H$3:$H$302,0))="Støttes ikke",FALSE)),"Kontoen støttes ikke",IF(IFERROR(AND(A1551&gt;1,COUNTIF($A$3:$A$2002,A1551-1)=0),FALSE),"Nummeret hopper over",IF(OR(NOT(ISNUMBER(B1551)),B1551&lt;DATE(2027,1,1),B1551&gt;DATE(2027,12,31)),"Datoen er ikke i 2027",""))))))</f>
        <v/>
      </c>
    </row>
    <row r="1552">
      <c r="A1552" s="17" t="n"/>
      <c r="B1552" s="9" t="n"/>
      <c r="C1552" s="8" t="n"/>
      <c r="D1552" s="8" t="n"/>
      <c r="E1552" s="8" t="n"/>
      <c r="F1552" s="14" t="n"/>
      <c r="G1552" s="14" t="n"/>
      <c r="H1552" s="8" t="n"/>
      <c r="I1552" s="8" t="n"/>
      <c r="J1552" s="8" t="n"/>
      <c r="K1552" s="18">
        <f>IF(B1552="","",IFERROR(MONTH(B1552),""))</f>
        <v/>
      </c>
      <c r="L1552" s="5">
        <f>IF(COUNTA(A1552:J1552)=0,"",IF(E1552="","Mangler motkonto",IF((F1552="")=(G1552=""),"Fyll ut enten Inn eller Ut",IF(OR(IFERROR(INDEX('Kontoplan'!$D$3:$D$302,MATCH(D1552,'Kontoplan'!$H$3:$H$302,0))="Støttes ikke",FALSE),IFERROR(INDEX('Kontoplan'!$D$3:$D$302,MATCH(E1552,'Kontoplan'!$H$3:$H$302,0))="Støttes ikke",FALSE)),"Kontoen støttes ikke",IF(IFERROR(AND(A1552&gt;1,COUNTIF($A$3:$A$2002,A1552-1)=0),FALSE),"Nummeret hopper over",IF(OR(NOT(ISNUMBER(B1552)),B1552&lt;DATE(2027,1,1),B1552&gt;DATE(2027,12,31)),"Datoen er ikke i 2027",""))))))</f>
        <v/>
      </c>
    </row>
    <row r="1553">
      <c r="A1553" s="17" t="n"/>
      <c r="B1553" s="9" t="n"/>
      <c r="C1553" s="8" t="n"/>
      <c r="D1553" s="8" t="n"/>
      <c r="E1553" s="8" t="n"/>
      <c r="F1553" s="14" t="n"/>
      <c r="G1553" s="14" t="n"/>
      <c r="H1553" s="8" t="n"/>
      <c r="I1553" s="8" t="n"/>
      <c r="J1553" s="8" t="n"/>
      <c r="K1553" s="18">
        <f>IF(B1553="","",IFERROR(MONTH(B1553),""))</f>
        <v/>
      </c>
      <c r="L1553" s="5">
        <f>IF(COUNTA(A1553:J1553)=0,"",IF(E1553="","Mangler motkonto",IF((F1553="")=(G1553=""),"Fyll ut enten Inn eller Ut",IF(OR(IFERROR(INDEX('Kontoplan'!$D$3:$D$302,MATCH(D1553,'Kontoplan'!$H$3:$H$302,0))="Støttes ikke",FALSE),IFERROR(INDEX('Kontoplan'!$D$3:$D$302,MATCH(E1553,'Kontoplan'!$H$3:$H$302,0))="Støttes ikke",FALSE)),"Kontoen støttes ikke",IF(IFERROR(AND(A1553&gt;1,COUNTIF($A$3:$A$2002,A1553-1)=0),FALSE),"Nummeret hopper over",IF(OR(NOT(ISNUMBER(B1553)),B1553&lt;DATE(2027,1,1),B1553&gt;DATE(2027,12,31)),"Datoen er ikke i 2027",""))))))</f>
        <v/>
      </c>
    </row>
    <row r="1554">
      <c r="A1554" s="17" t="n"/>
      <c r="B1554" s="9" t="n"/>
      <c r="C1554" s="8" t="n"/>
      <c r="D1554" s="8" t="n"/>
      <c r="E1554" s="8" t="n"/>
      <c r="F1554" s="14" t="n"/>
      <c r="G1554" s="14" t="n"/>
      <c r="H1554" s="8" t="n"/>
      <c r="I1554" s="8" t="n"/>
      <c r="J1554" s="8" t="n"/>
      <c r="K1554" s="18">
        <f>IF(B1554="","",IFERROR(MONTH(B1554),""))</f>
        <v/>
      </c>
      <c r="L1554" s="5">
        <f>IF(COUNTA(A1554:J1554)=0,"",IF(E1554="","Mangler motkonto",IF((F1554="")=(G1554=""),"Fyll ut enten Inn eller Ut",IF(OR(IFERROR(INDEX('Kontoplan'!$D$3:$D$302,MATCH(D1554,'Kontoplan'!$H$3:$H$302,0))="Støttes ikke",FALSE),IFERROR(INDEX('Kontoplan'!$D$3:$D$302,MATCH(E1554,'Kontoplan'!$H$3:$H$302,0))="Støttes ikke",FALSE)),"Kontoen støttes ikke",IF(IFERROR(AND(A1554&gt;1,COUNTIF($A$3:$A$2002,A1554-1)=0),FALSE),"Nummeret hopper over",IF(OR(NOT(ISNUMBER(B1554)),B1554&lt;DATE(2027,1,1),B1554&gt;DATE(2027,12,31)),"Datoen er ikke i 2027",""))))))</f>
        <v/>
      </c>
    </row>
    <row r="1555">
      <c r="A1555" s="17" t="n"/>
      <c r="B1555" s="9" t="n"/>
      <c r="C1555" s="8" t="n"/>
      <c r="D1555" s="8" t="n"/>
      <c r="E1555" s="8" t="n"/>
      <c r="F1555" s="14" t="n"/>
      <c r="G1555" s="14" t="n"/>
      <c r="H1555" s="8" t="n"/>
      <c r="I1555" s="8" t="n"/>
      <c r="J1555" s="8" t="n"/>
      <c r="K1555" s="18">
        <f>IF(B1555="","",IFERROR(MONTH(B1555),""))</f>
        <v/>
      </c>
      <c r="L1555" s="5">
        <f>IF(COUNTA(A1555:J1555)=0,"",IF(E1555="","Mangler motkonto",IF((F1555="")=(G1555=""),"Fyll ut enten Inn eller Ut",IF(OR(IFERROR(INDEX('Kontoplan'!$D$3:$D$302,MATCH(D1555,'Kontoplan'!$H$3:$H$302,0))="Støttes ikke",FALSE),IFERROR(INDEX('Kontoplan'!$D$3:$D$302,MATCH(E1555,'Kontoplan'!$H$3:$H$302,0))="Støttes ikke",FALSE)),"Kontoen støttes ikke",IF(IFERROR(AND(A1555&gt;1,COUNTIF($A$3:$A$2002,A1555-1)=0),FALSE),"Nummeret hopper over",IF(OR(NOT(ISNUMBER(B1555)),B1555&lt;DATE(2027,1,1),B1555&gt;DATE(2027,12,31)),"Datoen er ikke i 2027",""))))))</f>
        <v/>
      </c>
    </row>
    <row r="1556">
      <c r="A1556" s="17" t="n"/>
      <c r="B1556" s="9" t="n"/>
      <c r="C1556" s="8" t="n"/>
      <c r="D1556" s="8" t="n"/>
      <c r="E1556" s="8" t="n"/>
      <c r="F1556" s="14" t="n"/>
      <c r="G1556" s="14" t="n"/>
      <c r="H1556" s="8" t="n"/>
      <c r="I1556" s="8" t="n"/>
      <c r="J1556" s="8" t="n"/>
      <c r="K1556" s="18">
        <f>IF(B1556="","",IFERROR(MONTH(B1556),""))</f>
        <v/>
      </c>
      <c r="L1556" s="5">
        <f>IF(COUNTA(A1556:J1556)=0,"",IF(E1556="","Mangler motkonto",IF((F1556="")=(G1556=""),"Fyll ut enten Inn eller Ut",IF(OR(IFERROR(INDEX('Kontoplan'!$D$3:$D$302,MATCH(D1556,'Kontoplan'!$H$3:$H$302,0))="Støttes ikke",FALSE),IFERROR(INDEX('Kontoplan'!$D$3:$D$302,MATCH(E1556,'Kontoplan'!$H$3:$H$302,0))="Støttes ikke",FALSE)),"Kontoen støttes ikke",IF(IFERROR(AND(A1556&gt;1,COUNTIF($A$3:$A$2002,A1556-1)=0),FALSE),"Nummeret hopper over",IF(OR(NOT(ISNUMBER(B1556)),B1556&lt;DATE(2027,1,1),B1556&gt;DATE(2027,12,31)),"Datoen er ikke i 2027",""))))))</f>
        <v/>
      </c>
    </row>
    <row r="1557">
      <c r="A1557" s="17" t="n"/>
      <c r="B1557" s="9" t="n"/>
      <c r="C1557" s="8" t="n"/>
      <c r="D1557" s="8" t="n"/>
      <c r="E1557" s="8" t="n"/>
      <c r="F1557" s="14" t="n"/>
      <c r="G1557" s="14" t="n"/>
      <c r="H1557" s="8" t="n"/>
      <c r="I1557" s="8" t="n"/>
      <c r="J1557" s="8" t="n"/>
      <c r="K1557" s="18">
        <f>IF(B1557="","",IFERROR(MONTH(B1557),""))</f>
        <v/>
      </c>
      <c r="L1557" s="5">
        <f>IF(COUNTA(A1557:J1557)=0,"",IF(E1557="","Mangler motkonto",IF((F1557="")=(G1557=""),"Fyll ut enten Inn eller Ut",IF(OR(IFERROR(INDEX('Kontoplan'!$D$3:$D$302,MATCH(D1557,'Kontoplan'!$H$3:$H$302,0))="Støttes ikke",FALSE),IFERROR(INDEX('Kontoplan'!$D$3:$D$302,MATCH(E1557,'Kontoplan'!$H$3:$H$302,0))="Støttes ikke",FALSE)),"Kontoen støttes ikke",IF(IFERROR(AND(A1557&gt;1,COUNTIF($A$3:$A$2002,A1557-1)=0),FALSE),"Nummeret hopper over",IF(OR(NOT(ISNUMBER(B1557)),B1557&lt;DATE(2027,1,1),B1557&gt;DATE(2027,12,31)),"Datoen er ikke i 2027",""))))))</f>
        <v/>
      </c>
    </row>
    <row r="1558">
      <c r="A1558" s="17" t="n"/>
      <c r="B1558" s="9" t="n"/>
      <c r="C1558" s="8" t="n"/>
      <c r="D1558" s="8" t="n"/>
      <c r="E1558" s="8" t="n"/>
      <c r="F1558" s="14" t="n"/>
      <c r="G1558" s="14" t="n"/>
      <c r="H1558" s="8" t="n"/>
      <c r="I1558" s="8" t="n"/>
      <c r="J1558" s="8" t="n"/>
      <c r="K1558" s="18">
        <f>IF(B1558="","",IFERROR(MONTH(B1558),""))</f>
        <v/>
      </c>
      <c r="L1558" s="5">
        <f>IF(COUNTA(A1558:J1558)=0,"",IF(E1558="","Mangler motkonto",IF((F1558="")=(G1558=""),"Fyll ut enten Inn eller Ut",IF(OR(IFERROR(INDEX('Kontoplan'!$D$3:$D$302,MATCH(D1558,'Kontoplan'!$H$3:$H$302,0))="Støttes ikke",FALSE),IFERROR(INDEX('Kontoplan'!$D$3:$D$302,MATCH(E1558,'Kontoplan'!$H$3:$H$302,0))="Støttes ikke",FALSE)),"Kontoen støttes ikke",IF(IFERROR(AND(A1558&gt;1,COUNTIF($A$3:$A$2002,A1558-1)=0),FALSE),"Nummeret hopper over",IF(OR(NOT(ISNUMBER(B1558)),B1558&lt;DATE(2027,1,1),B1558&gt;DATE(2027,12,31)),"Datoen er ikke i 2027",""))))))</f>
        <v/>
      </c>
    </row>
    <row r="1559">
      <c r="A1559" s="17" t="n"/>
      <c r="B1559" s="9" t="n"/>
      <c r="C1559" s="8" t="n"/>
      <c r="D1559" s="8" t="n"/>
      <c r="E1559" s="8" t="n"/>
      <c r="F1559" s="14" t="n"/>
      <c r="G1559" s="14" t="n"/>
      <c r="H1559" s="8" t="n"/>
      <c r="I1559" s="8" t="n"/>
      <c r="J1559" s="8" t="n"/>
      <c r="K1559" s="18">
        <f>IF(B1559="","",IFERROR(MONTH(B1559),""))</f>
        <v/>
      </c>
      <c r="L1559" s="5">
        <f>IF(COUNTA(A1559:J1559)=0,"",IF(E1559="","Mangler motkonto",IF((F1559="")=(G1559=""),"Fyll ut enten Inn eller Ut",IF(OR(IFERROR(INDEX('Kontoplan'!$D$3:$D$302,MATCH(D1559,'Kontoplan'!$H$3:$H$302,0))="Støttes ikke",FALSE),IFERROR(INDEX('Kontoplan'!$D$3:$D$302,MATCH(E1559,'Kontoplan'!$H$3:$H$302,0))="Støttes ikke",FALSE)),"Kontoen støttes ikke",IF(IFERROR(AND(A1559&gt;1,COUNTIF($A$3:$A$2002,A1559-1)=0),FALSE),"Nummeret hopper over",IF(OR(NOT(ISNUMBER(B1559)),B1559&lt;DATE(2027,1,1),B1559&gt;DATE(2027,12,31)),"Datoen er ikke i 2027",""))))))</f>
        <v/>
      </c>
    </row>
    <row r="1560">
      <c r="A1560" s="17" t="n"/>
      <c r="B1560" s="9" t="n"/>
      <c r="C1560" s="8" t="n"/>
      <c r="D1560" s="8" t="n"/>
      <c r="E1560" s="8" t="n"/>
      <c r="F1560" s="14" t="n"/>
      <c r="G1560" s="14" t="n"/>
      <c r="H1560" s="8" t="n"/>
      <c r="I1560" s="8" t="n"/>
      <c r="J1560" s="8" t="n"/>
      <c r="K1560" s="18">
        <f>IF(B1560="","",IFERROR(MONTH(B1560),""))</f>
        <v/>
      </c>
      <c r="L1560" s="5">
        <f>IF(COUNTA(A1560:J1560)=0,"",IF(E1560="","Mangler motkonto",IF((F1560="")=(G1560=""),"Fyll ut enten Inn eller Ut",IF(OR(IFERROR(INDEX('Kontoplan'!$D$3:$D$302,MATCH(D1560,'Kontoplan'!$H$3:$H$302,0))="Støttes ikke",FALSE),IFERROR(INDEX('Kontoplan'!$D$3:$D$302,MATCH(E1560,'Kontoplan'!$H$3:$H$302,0))="Støttes ikke",FALSE)),"Kontoen støttes ikke",IF(IFERROR(AND(A1560&gt;1,COUNTIF($A$3:$A$2002,A1560-1)=0),FALSE),"Nummeret hopper over",IF(OR(NOT(ISNUMBER(B1560)),B1560&lt;DATE(2027,1,1),B1560&gt;DATE(2027,12,31)),"Datoen er ikke i 2027",""))))))</f>
        <v/>
      </c>
    </row>
    <row r="1561">
      <c r="A1561" s="17" t="n"/>
      <c r="B1561" s="9" t="n"/>
      <c r="C1561" s="8" t="n"/>
      <c r="D1561" s="8" t="n"/>
      <c r="E1561" s="8" t="n"/>
      <c r="F1561" s="14" t="n"/>
      <c r="G1561" s="14" t="n"/>
      <c r="H1561" s="8" t="n"/>
      <c r="I1561" s="8" t="n"/>
      <c r="J1561" s="8" t="n"/>
      <c r="K1561" s="18">
        <f>IF(B1561="","",IFERROR(MONTH(B1561),""))</f>
        <v/>
      </c>
      <c r="L1561" s="5">
        <f>IF(COUNTA(A1561:J1561)=0,"",IF(E1561="","Mangler motkonto",IF((F1561="")=(G1561=""),"Fyll ut enten Inn eller Ut",IF(OR(IFERROR(INDEX('Kontoplan'!$D$3:$D$302,MATCH(D1561,'Kontoplan'!$H$3:$H$302,0))="Støttes ikke",FALSE),IFERROR(INDEX('Kontoplan'!$D$3:$D$302,MATCH(E1561,'Kontoplan'!$H$3:$H$302,0))="Støttes ikke",FALSE)),"Kontoen støttes ikke",IF(IFERROR(AND(A1561&gt;1,COUNTIF($A$3:$A$2002,A1561-1)=0),FALSE),"Nummeret hopper over",IF(OR(NOT(ISNUMBER(B1561)),B1561&lt;DATE(2027,1,1),B1561&gt;DATE(2027,12,31)),"Datoen er ikke i 2027",""))))))</f>
        <v/>
      </c>
    </row>
    <row r="1562">
      <c r="A1562" s="17" t="n"/>
      <c r="B1562" s="9" t="n"/>
      <c r="C1562" s="8" t="n"/>
      <c r="D1562" s="8" t="n"/>
      <c r="E1562" s="8" t="n"/>
      <c r="F1562" s="14" t="n"/>
      <c r="G1562" s="14" t="n"/>
      <c r="H1562" s="8" t="n"/>
      <c r="I1562" s="8" t="n"/>
      <c r="J1562" s="8" t="n"/>
      <c r="K1562" s="18">
        <f>IF(B1562="","",IFERROR(MONTH(B1562),""))</f>
        <v/>
      </c>
      <c r="L1562" s="5">
        <f>IF(COUNTA(A1562:J1562)=0,"",IF(E1562="","Mangler motkonto",IF((F1562="")=(G1562=""),"Fyll ut enten Inn eller Ut",IF(OR(IFERROR(INDEX('Kontoplan'!$D$3:$D$302,MATCH(D1562,'Kontoplan'!$H$3:$H$302,0))="Støttes ikke",FALSE),IFERROR(INDEX('Kontoplan'!$D$3:$D$302,MATCH(E1562,'Kontoplan'!$H$3:$H$302,0))="Støttes ikke",FALSE)),"Kontoen støttes ikke",IF(IFERROR(AND(A1562&gt;1,COUNTIF($A$3:$A$2002,A1562-1)=0),FALSE),"Nummeret hopper over",IF(OR(NOT(ISNUMBER(B1562)),B1562&lt;DATE(2027,1,1),B1562&gt;DATE(2027,12,31)),"Datoen er ikke i 2027",""))))))</f>
        <v/>
      </c>
    </row>
    <row r="1563">
      <c r="A1563" s="17" t="n"/>
      <c r="B1563" s="9" t="n"/>
      <c r="C1563" s="8" t="n"/>
      <c r="D1563" s="8" t="n"/>
      <c r="E1563" s="8" t="n"/>
      <c r="F1563" s="14" t="n"/>
      <c r="G1563" s="14" t="n"/>
      <c r="H1563" s="8" t="n"/>
      <c r="I1563" s="8" t="n"/>
      <c r="J1563" s="8" t="n"/>
      <c r="K1563" s="18">
        <f>IF(B1563="","",IFERROR(MONTH(B1563),""))</f>
        <v/>
      </c>
      <c r="L1563" s="5">
        <f>IF(COUNTA(A1563:J1563)=0,"",IF(E1563="","Mangler motkonto",IF((F1563="")=(G1563=""),"Fyll ut enten Inn eller Ut",IF(OR(IFERROR(INDEX('Kontoplan'!$D$3:$D$302,MATCH(D1563,'Kontoplan'!$H$3:$H$302,0))="Støttes ikke",FALSE),IFERROR(INDEX('Kontoplan'!$D$3:$D$302,MATCH(E1563,'Kontoplan'!$H$3:$H$302,0))="Støttes ikke",FALSE)),"Kontoen støttes ikke",IF(IFERROR(AND(A1563&gt;1,COUNTIF($A$3:$A$2002,A1563-1)=0),FALSE),"Nummeret hopper over",IF(OR(NOT(ISNUMBER(B1563)),B1563&lt;DATE(2027,1,1),B1563&gt;DATE(2027,12,31)),"Datoen er ikke i 2027",""))))))</f>
        <v/>
      </c>
    </row>
    <row r="1564">
      <c r="A1564" s="17" t="n"/>
      <c r="B1564" s="9" t="n"/>
      <c r="C1564" s="8" t="n"/>
      <c r="D1564" s="8" t="n"/>
      <c r="E1564" s="8" t="n"/>
      <c r="F1564" s="14" t="n"/>
      <c r="G1564" s="14" t="n"/>
      <c r="H1564" s="8" t="n"/>
      <c r="I1564" s="8" t="n"/>
      <c r="J1564" s="8" t="n"/>
      <c r="K1564" s="18">
        <f>IF(B1564="","",IFERROR(MONTH(B1564),""))</f>
        <v/>
      </c>
      <c r="L1564" s="5">
        <f>IF(COUNTA(A1564:J1564)=0,"",IF(E1564="","Mangler motkonto",IF((F1564="")=(G1564=""),"Fyll ut enten Inn eller Ut",IF(OR(IFERROR(INDEX('Kontoplan'!$D$3:$D$302,MATCH(D1564,'Kontoplan'!$H$3:$H$302,0))="Støttes ikke",FALSE),IFERROR(INDEX('Kontoplan'!$D$3:$D$302,MATCH(E1564,'Kontoplan'!$H$3:$H$302,0))="Støttes ikke",FALSE)),"Kontoen støttes ikke",IF(IFERROR(AND(A1564&gt;1,COUNTIF($A$3:$A$2002,A1564-1)=0),FALSE),"Nummeret hopper over",IF(OR(NOT(ISNUMBER(B1564)),B1564&lt;DATE(2027,1,1),B1564&gt;DATE(2027,12,31)),"Datoen er ikke i 2027",""))))))</f>
        <v/>
      </c>
    </row>
    <row r="1565">
      <c r="A1565" s="17" t="n"/>
      <c r="B1565" s="9" t="n"/>
      <c r="C1565" s="8" t="n"/>
      <c r="D1565" s="8" t="n"/>
      <c r="E1565" s="8" t="n"/>
      <c r="F1565" s="14" t="n"/>
      <c r="G1565" s="14" t="n"/>
      <c r="H1565" s="8" t="n"/>
      <c r="I1565" s="8" t="n"/>
      <c r="J1565" s="8" t="n"/>
      <c r="K1565" s="18">
        <f>IF(B1565="","",IFERROR(MONTH(B1565),""))</f>
        <v/>
      </c>
      <c r="L1565" s="5">
        <f>IF(COUNTA(A1565:J1565)=0,"",IF(E1565="","Mangler motkonto",IF((F1565="")=(G1565=""),"Fyll ut enten Inn eller Ut",IF(OR(IFERROR(INDEX('Kontoplan'!$D$3:$D$302,MATCH(D1565,'Kontoplan'!$H$3:$H$302,0))="Støttes ikke",FALSE),IFERROR(INDEX('Kontoplan'!$D$3:$D$302,MATCH(E1565,'Kontoplan'!$H$3:$H$302,0))="Støttes ikke",FALSE)),"Kontoen støttes ikke",IF(IFERROR(AND(A1565&gt;1,COUNTIF($A$3:$A$2002,A1565-1)=0),FALSE),"Nummeret hopper over",IF(OR(NOT(ISNUMBER(B1565)),B1565&lt;DATE(2027,1,1),B1565&gt;DATE(2027,12,31)),"Datoen er ikke i 2027",""))))))</f>
        <v/>
      </c>
    </row>
    <row r="1566">
      <c r="A1566" s="17" t="n"/>
      <c r="B1566" s="9" t="n"/>
      <c r="C1566" s="8" t="n"/>
      <c r="D1566" s="8" t="n"/>
      <c r="E1566" s="8" t="n"/>
      <c r="F1566" s="14" t="n"/>
      <c r="G1566" s="14" t="n"/>
      <c r="H1566" s="8" t="n"/>
      <c r="I1566" s="8" t="n"/>
      <c r="J1566" s="8" t="n"/>
      <c r="K1566" s="18">
        <f>IF(B1566="","",IFERROR(MONTH(B1566),""))</f>
        <v/>
      </c>
      <c r="L1566" s="5">
        <f>IF(COUNTA(A1566:J1566)=0,"",IF(E1566="","Mangler motkonto",IF((F1566="")=(G1566=""),"Fyll ut enten Inn eller Ut",IF(OR(IFERROR(INDEX('Kontoplan'!$D$3:$D$302,MATCH(D1566,'Kontoplan'!$H$3:$H$302,0))="Støttes ikke",FALSE),IFERROR(INDEX('Kontoplan'!$D$3:$D$302,MATCH(E1566,'Kontoplan'!$H$3:$H$302,0))="Støttes ikke",FALSE)),"Kontoen støttes ikke",IF(IFERROR(AND(A1566&gt;1,COUNTIF($A$3:$A$2002,A1566-1)=0),FALSE),"Nummeret hopper over",IF(OR(NOT(ISNUMBER(B1566)),B1566&lt;DATE(2027,1,1),B1566&gt;DATE(2027,12,31)),"Datoen er ikke i 2027",""))))))</f>
        <v/>
      </c>
    </row>
    <row r="1567">
      <c r="A1567" s="17" t="n"/>
      <c r="B1567" s="9" t="n"/>
      <c r="C1567" s="8" t="n"/>
      <c r="D1567" s="8" t="n"/>
      <c r="E1567" s="8" t="n"/>
      <c r="F1567" s="14" t="n"/>
      <c r="G1567" s="14" t="n"/>
      <c r="H1567" s="8" t="n"/>
      <c r="I1567" s="8" t="n"/>
      <c r="J1567" s="8" t="n"/>
      <c r="K1567" s="18">
        <f>IF(B1567="","",IFERROR(MONTH(B1567),""))</f>
        <v/>
      </c>
      <c r="L1567" s="5">
        <f>IF(COUNTA(A1567:J1567)=0,"",IF(E1567="","Mangler motkonto",IF((F1567="")=(G1567=""),"Fyll ut enten Inn eller Ut",IF(OR(IFERROR(INDEX('Kontoplan'!$D$3:$D$302,MATCH(D1567,'Kontoplan'!$H$3:$H$302,0))="Støttes ikke",FALSE),IFERROR(INDEX('Kontoplan'!$D$3:$D$302,MATCH(E1567,'Kontoplan'!$H$3:$H$302,0))="Støttes ikke",FALSE)),"Kontoen støttes ikke",IF(IFERROR(AND(A1567&gt;1,COUNTIF($A$3:$A$2002,A1567-1)=0),FALSE),"Nummeret hopper over",IF(OR(NOT(ISNUMBER(B1567)),B1567&lt;DATE(2027,1,1),B1567&gt;DATE(2027,12,31)),"Datoen er ikke i 2027",""))))))</f>
        <v/>
      </c>
    </row>
    <row r="1568">
      <c r="A1568" s="17" t="n"/>
      <c r="B1568" s="9" t="n"/>
      <c r="C1568" s="8" t="n"/>
      <c r="D1568" s="8" t="n"/>
      <c r="E1568" s="8" t="n"/>
      <c r="F1568" s="14" t="n"/>
      <c r="G1568" s="14" t="n"/>
      <c r="H1568" s="8" t="n"/>
      <c r="I1568" s="8" t="n"/>
      <c r="J1568" s="8" t="n"/>
      <c r="K1568" s="18">
        <f>IF(B1568="","",IFERROR(MONTH(B1568),""))</f>
        <v/>
      </c>
      <c r="L1568" s="5">
        <f>IF(COUNTA(A1568:J1568)=0,"",IF(E1568="","Mangler motkonto",IF((F1568="")=(G1568=""),"Fyll ut enten Inn eller Ut",IF(OR(IFERROR(INDEX('Kontoplan'!$D$3:$D$302,MATCH(D1568,'Kontoplan'!$H$3:$H$302,0))="Støttes ikke",FALSE),IFERROR(INDEX('Kontoplan'!$D$3:$D$302,MATCH(E1568,'Kontoplan'!$H$3:$H$302,0))="Støttes ikke",FALSE)),"Kontoen støttes ikke",IF(IFERROR(AND(A1568&gt;1,COUNTIF($A$3:$A$2002,A1568-1)=0),FALSE),"Nummeret hopper over",IF(OR(NOT(ISNUMBER(B1568)),B1568&lt;DATE(2027,1,1),B1568&gt;DATE(2027,12,31)),"Datoen er ikke i 2027",""))))))</f>
        <v/>
      </c>
    </row>
    <row r="1569">
      <c r="A1569" s="17" t="n"/>
      <c r="B1569" s="9" t="n"/>
      <c r="C1569" s="8" t="n"/>
      <c r="D1569" s="8" t="n"/>
      <c r="E1569" s="8" t="n"/>
      <c r="F1569" s="14" t="n"/>
      <c r="G1569" s="14" t="n"/>
      <c r="H1569" s="8" t="n"/>
      <c r="I1569" s="8" t="n"/>
      <c r="J1569" s="8" t="n"/>
      <c r="K1569" s="18">
        <f>IF(B1569="","",IFERROR(MONTH(B1569),""))</f>
        <v/>
      </c>
      <c r="L1569" s="5">
        <f>IF(COUNTA(A1569:J1569)=0,"",IF(E1569="","Mangler motkonto",IF((F1569="")=(G1569=""),"Fyll ut enten Inn eller Ut",IF(OR(IFERROR(INDEX('Kontoplan'!$D$3:$D$302,MATCH(D1569,'Kontoplan'!$H$3:$H$302,0))="Støttes ikke",FALSE),IFERROR(INDEX('Kontoplan'!$D$3:$D$302,MATCH(E1569,'Kontoplan'!$H$3:$H$302,0))="Støttes ikke",FALSE)),"Kontoen støttes ikke",IF(IFERROR(AND(A1569&gt;1,COUNTIF($A$3:$A$2002,A1569-1)=0),FALSE),"Nummeret hopper over",IF(OR(NOT(ISNUMBER(B1569)),B1569&lt;DATE(2027,1,1),B1569&gt;DATE(2027,12,31)),"Datoen er ikke i 2027",""))))))</f>
        <v/>
      </c>
    </row>
    <row r="1570">
      <c r="A1570" s="17" t="n"/>
      <c r="B1570" s="9" t="n"/>
      <c r="C1570" s="8" t="n"/>
      <c r="D1570" s="8" t="n"/>
      <c r="E1570" s="8" t="n"/>
      <c r="F1570" s="14" t="n"/>
      <c r="G1570" s="14" t="n"/>
      <c r="H1570" s="8" t="n"/>
      <c r="I1570" s="8" t="n"/>
      <c r="J1570" s="8" t="n"/>
      <c r="K1570" s="18">
        <f>IF(B1570="","",IFERROR(MONTH(B1570),""))</f>
        <v/>
      </c>
      <c r="L1570" s="5">
        <f>IF(COUNTA(A1570:J1570)=0,"",IF(E1570="","Mangler motkonto",IF((F1570="")=(G1570=""),"Fyll ut enten Inn eller Ut",IF(OR(IFERROR(INDEX('Kontoplan'!$D$3:$D$302,MATCH(D1570,'Kontoplan'!$H$3:$H$302,0))="Støttes ikke",FALSE),IFERROR(INDEX('Kontoplan'!$D$3:$D$302,MATCH(E1570,'Kontoplan'!$H$3:$H$302,0))="Støttes ikke",FALSE)),"Kontoen støttes ikke",IF(IFERROR(AND(A1570&gt;1,COUNTIF($A$3:$A$2002,A1570-1)=0),FALSE),"Nummeret hopper over",IF(OR(NOT(ISNUMBER(B1570)),B1570&lt;DATE(2027,1,1),B1570&gt;DATE(2027,12,31)),"Datoen er ikke i 2027",""))))))</f>
        <v/>
      </c>
    </row>
    <row r="1571">
      <c r="A1571" s="17" t="n"/>
      <c r="B1571" s="9" t="n"/>
      <c r="C1571" s="8" t="n"/>
      <c r="D1571" s="8" t="n"/>
      <c r="E1571" s="8" t="n"/>
      <c r="F1571" s="14" t="n"/>
      <c r="G1571" s="14" t="n"/>
      <c r="H1571" s="8" t="n"/>
      <c r="I1571" s="8" t="n"/>
      <c r="J1571" s="8" t="n"/>
      <c r="K1571" s="18">
        <f>IF(B1571="","",IFERROR(MONTH(B1571),""))</f>
        <v/>
      </c>
      <c r="L1571" s="5">
        <f>IF(COUNTA(A1571:J1571)=0,"",IF(E1571="","Mangler motkonto",IF((F1571="")=(G1571=""),"Fyll ut enten Inn eller Ut",IF(OR(IFERROR(INDEX('Kontoplan'!$D$3:$D$302,MATCH(D1571,'Kontoplan'!$H$3:$H$302,0))="Støttes ikke",FALSE),IFERROR(INDEX('Kontoplan'!$D$3:$D$302,MATCH(E1571,'Kontoplan'!$H$3:$H$302,0))="Støttes ikke",FALSE)),"Kontoen støttes ikke",IF(IFERROR(AND(A1571&gt;1,COUNTIF($A$3:$A$2002,A1571-1)=0),FALSE),"Nummeret hopper over",IF(OR(NOT(ISNUMBER(B1571)),B1571&lt;DATE(2027,1,1),B1571&gt;DATE(2027,12,31)),"Datoen er ikke i 2027",""))))))</f>
        <v/>
      </c>
    </row>
    <row r="1572">
      <c r="A1572" s="17" t="n"/>
      <c r="B1572" s="9" t="n"/>
      <c r="C1572" s="8" t="n"/>
      <c r="D1572" s="8" t="n"/>
      <c r="E1572" s="8" t="n"/>
      <c r="F1572" s="14" t="n"/>
      <c r="G1572" s="14" t="n"/>
      <c r="H1572" s="8" t="n"/>
      <c r="I1572" s="8" t="n"/>
      <c r="J1572" s="8" t="n"/>
      <c r="K1572" s="18">
        <f>IF(B1572="","",IFERROR(MONTH(B1572),""))</f>
        <v/>
      </c>
      <c r="L1572" s="5">
        <f>IF(COUNTA(A1572:J1572)=0,"",IF(E1572="","Mangler motkonto",IF((F1572="")=(G1572=""),"Fyll ut enten Inn eller Ut",IF(OR(IFERROR(INDEX('Kontoplan'!$D$3:$D$302,MATCH(D1572,'Kontoplan'!$H$3:$H$302,0))="Støttes ikke",FALSE),IFERROR(INDEX('Kontoplan'!$D$3:$D$302,MATCH(E1572,'Kontoplan'!$H$3:$H$302,0))="Støttes ikke",FALSE)),"Kontoen støttes ikke",IF(IFERROR(AND(A1572&gt;1,COUNTIF($A$3:$A$2002,A1572-1)=0),FALSE),"Nummeret hopper over",IF(OR(NOT(ISNUMBER(B1572)),B1572&lt;DATE(2027,1,1),B1572&gt;DATE(2027,12,31)),"Datoen er ikke i 2027",""))))))</f>
        <v/>
      </c>
    </row>
    <row r="1573">
      <c r="A1573" s="17" t="n"/>
      <c r="B1573" s="9" t="n"/>
      <c r="C1573" s="8" t="n"/>
      <c r="D1573" s="8" t="n"/>
      <c r="E1573" s="8" t="n"/>
      <c r="F1573" s="14" t="n"/>
      <c r="G1573" s="14" t="n"/>
      <c r="H1573" s="8" t="n"/>
      <c r="I1573" s="8" t="n"/>
      <c r="J1573" s="8" t="n"/>
      <c r="K1573" s="18">
        <f>IF(B1573="","",IFERROR(MONTH(B1573),""))</f>
        <v/>
      </c>
      <c r="L1573" s="5">
        <f>IF(COUNTA(A1573:J1573)=0,"",IF(E1573="","Mangler motkonto",IF((F1573="")=(G1573=""),"Fyll ut enten Inn eller Ut",IF(OR(IFERROR(INDEX('Kontoplan'!$D$3:$D$302,MATCH(D1573,'Kontoplan'!$H$3:$H$302,0))="Støttes ikke",FALSE),IFERROR(INDEX('Kontoplan'!$D$3:$D$302,MATCH(E1573,'Kontoplan'!$H$3:$H$302,0))="Støttes ikke",FALSE)),"Kontoen støttes ikke",IF(IFERROR(AND(A1573&gt;1,COUNTIF($A$3:$A$2002,A1573-1)=0),FALSE),"Nummeret hopper over",IF(OR(NOT(ISNUMBER(B1573)),B1573&lt;DATE(2027,1,1),B1573&gt;DATE(2027,12,31)),"Datoen er ikke i 2027",""))))))</f>
        <v/>
      </c>
    </row>
    <row r="1574">
      <c r="A1574" s="17" t="n"/>
      <c r="B1574" s="9" t="n"/>
      <c r="C1574" s="8" t="n"/>
      <c r="D1574" s="8" t="n"/>
      <c r="E1574" s="8" t="n"/>
      <c r="F1574" s="14" t="n"/>
      <c r="G1574" s="14" t="n"/>
      <c r="H1574" s="8" t="n"/>
      <c r="I1574" s="8" t="n"/>
      <c r="J1574" s="8" t="n"/>
      <c r="K1574" s="18">
        <f>IF(B1574="","",IFERROR(MONTH(B1574),""))</f>
        <v/>
      </c>
      <c r="L1574" s="5">
        <f>IF(COUNTA(A1574:J1574)=0,"",IF(E1574="","Mangler motkonto",IF((F1574="")=(G1574=""),"Fyll ut enten Inn eller Ut",IF(OR(IFERROR(INDEX('Kontoplan'!$D$3:$D$302,MATCH(D1574,'Kontoplan'!$H$3:$H$302,0))="Støttes ikke",FALSE),IFERROR(INDEX('Kontoplan'!$D$3:$D$302,MATCH(E1574,'Kontoplan'!$H$3:$H$302,0))="Støttes ikke",FALSE)),"Kontoen støttes ikke",IF(IFERROR(AND(A1574&gt;1,COUNTIF($A$3:$A$2002,A1574-1)=0),FALSE),"Nummeret hopper over",IF(OR(NOT(ISNUMBER(B1574)),B1574&lt;DATE(2027,1,1),B1574&gt;DATE(2027,12,31)),"Datoen er ikke i 2027",""))))))</f>
        <v/>
      </c>
    </row>
    <row r="1575">
      <c r="A1575" s="17" t="n"/>
      <c r="B1575" s="9" t="n"/>
      <c r="C1575" s="8" t="n"/>
      <c r="D1575" s="8" t="n"/>
      <c r="E1575" s="8" t="n"/>
      <c r="F1575" s="14" t="n"/>
      <c r="G1575" s="14" t="n"/>
      <c r="H1575" s="8" t="n"/>
      <c r="I1575" s="8" t="n"/>
      <c r="J1575" s="8" t="n"/>
      <c r="K1575" s="18">
        <f>IF(B1575="","",IFERROR(MONTH(B1575),""))</f>
        <v/>
      </c>
      <c r="L1575" s="5">
        <f>IF(COUNTA(A1575:J1575)=0,"",IF(E1575="","Mangler motkonto",IF((F1575="")=(G1575=""),"Fyll ut enten Inn eller Ut",IF(OR(IFERROR(INDEX('Kontoplan'!$D$3:$D$302,MATCH(D1575,'Kontoplan'!$H$3:$H$302,0))="Støttes ikke",FALSE),IFERROR(INDEX('Kontoplan'!$D$3:$D$302,MATCH(E1575,'Kontoplan'!$H$3:$H$302,0))="Støttes ikke",FALSE)),"Kontoen støttes ikke",IF(IFERROR(AND(A1575&gt;1,COUNTIF($A$3:$A$2002,A1575-1)=0),FALSE),"Nummeret hopper over",IF(OR(NOT(ISNUMBER(B1575)),B1575&lt;DATE(2027,1,1),B1575&gt;DATE(2027,12,31)),"Datoen er ikke i 2027",""))))))</f>
        <v/>
      </c>
    </row>
    <row r="1576">
      <c r="A1576" s="17" t="n"/>
      <c r="B1576" s="9" t="n"/>
      <c r="C1576" s="8" t="n"/>
      <c r="D1576" s="8" t="n"/>
      <c r="E1576" s="8" t="n"/>
      <c r="F1576" s="14" t="n"/>
      <c r="G1576" s="14" t="n"/>
      <c r="H1576" s="8" t="n"/>
      <c r="I1576" s="8" t="n"/>
      <c r="J1576" s="8" t="n"/>
      <c r="K1576" s="18">
        <f>IF(B1576="","",IFERROR(MONTH(B1576),""))</f>
        <v/>
      </c>
      <c r="L1576" s="5">
        <f>IF(COUNTA(A1576:J1576)=0,"",IF(E1576="","Mangler motkonto",IF((F1576="")=(G1576=""),"Fyll ut enten Inn eller Ut",IF(OR(IFERROR(INDEX('Kontoplan'!$D$3:$D$302,MATCH(D1576,'Kontoplan'!$H$3:$H$302,0))="Støttes ikke",FALSE),IFERROR(INDEX('Kontoplan'!$D$3:$D$302,MATCH(E1576,'Kontoplan'!$H$3:$H$302,0))="Støttes ikke",FALSE)),"Kontoen støttes ikke",IF(IFERROR(AND(A1576&gt;1,COUNTIF($A$3:$A$2002,A1576-1)=0),FALSE),"Nummeret hopper over",IF(OR(NOT(ISNUMBER(B1576)),B1576&lt;DATE(2027,1,1),B1576&gt;DATE(2027,12,31)),"Datoen er ikke i 2027",""))))))</f>
        <v/>
      </c>
    </row>
    <row r="1577">
      <c r="A1577" s="17" t="n"/>
      <c r="B1577" s="9" t="n"/>
      <c r="C1577" s="8" t="n"/>
      <c r="D1577" s="8" t="n"/>
      <c r="E1577" s="8" t="n"/>
      <c r="F1577" s="14" t="n"/>
      <c r="G1577" s="14" t="n"/>
      <c r="H1577" s="8" t="n"/>
      <c r="I1577" s="8" t="n"/>
      <c r="J1577" s="8" t="n"/>
      <c r="K1577" s="18">
        <f>IF(B1577="","",IFERROR(MONTH(B1577),""))</f>
        <v/>
      </c>
      <c r="L1577" s="5">
        <f>IF(COUNTA(A1577:J1577)=0,"",IF(E1577="","Mangler motkonto",IF((F1577="")=(G1577=""),"Fyll ut enten Inn eller Ut",IF(OR(IFERROR(INDEX('Kontoplan'!$D$3:$D$302,MATCH(D1577,'Kontoplan'!$H$3:$H$302,0))="Støttes ikke",FALSE),IFERROR(INDEX('Kontoplan'!$D$3:$D$302,MATCH(E1577,'Kontoplan'!$H$3:$H$302,0))="Støttes ikke",FALSE)),"Kontoen støttes ikke",IF(IFERROR(AND(A1577&gt;1,COUNTIF($A$3:$A$2002,A1577-1)=0),FALSE),"Nummeret hopper over",IF(OR(NOT(ISNUMBER(B1577)),B1577&lt;DATE(2027,1,1),B1577&gt;DATE(2027,12,31)),"Datoen er ikke i 2027",""))))))</f>
        <v/>
      </c>
    </row>
    <row r="1578">
      <c r="A1578" s="17" t="n"/>
      <c r="B1578" s="9" t="n"/>
      <c r="C1578" s="8" t="n"/>
      <c r="D1578" s="8" t="n"/>
      <c r="E1578" s="8" t="n"/>
      <c r="F1578" s="14" t="n"/>
      <c r="G1578" s="14" t="n"/>
      <c r="H1578" s="8" t="n"/>
      <c r="I1578" s="8" t="n"/>
      <c r="J1578" s="8" t="n"/>
      <c r="K1578" s="18">
        <f>IF(B1578="","",IFERROR(MONTH(B1578),""))</f>
        <v/>
      </c>
      <c r="L1578" s="5">
        <f>IF(COUNTA(A1578:J1578)=0,"",IF(E1578="","Mangler motkonto",IF((F1578="")=(G1578=""),"Fyll ut enten Inn eller Ut",IF(OR(IFERROR(INDEX('Kontoplan'!$D$3:$D$302,MATCH(D1578,'Kontoplan'!$H$3:$H$302,0))="Støttes ikke",FALSE),IFERROR(INDEX('Kontoplan'!$D$3:$D$302,MATCH(E1578,'Kontoplan'!$H$3:$H$302,0))="Støttes ikke",FALSE)),"Kontoen støttes ikke",IF(IFERROR(AND(A1578&gt;1,COUNTIF($A$3:$A$2002,A1578-1)=0),FALSE),"Nummeret hopper over",IF(OR(NOT(ISNUMBER(B1578)),B1578&lt;DATE(2027,1,1),B1578&gt;DATE(2027,12,31)),"Datoen er ikke i 2027",""))))))</f>
        <v/>
      </c>
    </row>
    <row r="1579">
      <c r="A1579" s="17" t="n"/>
      <c r="B1579" s="9" t="n"/>
      <c r="C1579" s="8" t="n"/>
      <c r="D1579" s="8" t="n"/>
      <c r="E1579" s="8" t="n"/>
      <c r="F1579" s="14" t="n"/>
      <c r="G1579" s="14" t="n"/>
      <c r="H1579" s="8" t="n"/>
      <c r="I1579" s="8" t="n"/>
      <c r="J1579" s="8" t="n"/>
      <c r="K1579" s="18">
        <f>IF(B1579="","",IFERROR(MONTH(B1579),""))</f>
        <v/>
      </c>
      <c r="L1579" s="5">
        <f>IF(COUNTA(A1579:J1579)=0,"",IF(E1579="","Mangler motkonto",IF((F1579="")=(G1579=""),"Fyll ut enten Inn eller Ut",IF(OR(IFERROR(INDEX('Kontoplan'!$D$3:$D$302,MATCH(D1579,'Kontoplan'!$H$3:$H$302,0))="Støttes ikke",FALSE),IFERROR(INDEX('Kontoplan'!$D$3:$D$302,MATCH(E1579,'Kontoplan'!$H$3:$H$302,0))="Støttes ikke",FALSE)),"Kontoen støttes ikke",IF(IFERROR(AND(A1579&gt;1,COUNTIF($A$3:$A$2002,A1579-1)=0),FALSE),"Nummeret hopper over",IF(OR(NOT(ISNUMBER(B1579)),B1579&lt;DATE(2027,1,1),B1579&gt;DATE(2027,12,31)),"Datoen er ikke i 2027",""))))))</f>
        <v/>
      </c>
    </row>
    <row r="1580">
      <c r="A1580" s="17" t="n"/>
      <c r="B1580" s="9" t="n"/>
      <c r="C1580" s="8" t="n"/>
      <c r="D1580" s="8" t="n"/>
      <c r="E1580" s="8" t="n"/>
      <c r="F1580" s="14" t="n"/>
      <c r="G1580" s="14" t="n"/>
      <c r="H1580" s="8" t="n"/>
      <c r="I1580" s="8" t="n"/>
      <c r="J1580" s="8" t="n"/>
      <c r="K1580" s="18">
        <f>IF(B1580="","",IFERROR(MONTH(B1580),""))</f>
        <v/>
      </c>
      <c r="L1580" s="5">
        <f>IF(COUNTA(A1580:J1580)=0,"",IF(E1580="","Mangler motkonto",IF((F1580="")=(G1580=""),"Fyll ut enten Inn eller Ut",IF(OR(IFERROR(INDEX('Kontoplan'!$D$3:$D$302,MATCH(D1580,'Kontoplan'!$H$3:$H$302,0))="Støttes ikke",FALSE),IFERROR(INDEX('Kontoplan'!$D$3:$D$302,MATCH(E1580,'Kontoplan'!$H$3:$H$302,0))="Støttes ikke",FALSE)),"Kontoen støttes ikke",IF(IFERROR(AND(A1580&gt;1,COUNTIF($A$3:$A$2002,A1580-1)=0),FALSE),"Nummeret hopper over",IF(OR(NOT(ISNUMBER(B1580)),B1580&lt;DATE(2027,1,1),B1580&gt;DATE(2027,12,31)),"Datoen er ikke i 2027",""))))))</f>
        <v/>
      </c>
    </row>
    <row r="1581">
      <c r="A1581" s="17" t="n"/>
      <c r="B1581" s="9" t="n"/>
      <c r="C1581" s="8" t="n"/>
      <c r="D1581" s="8" t="n"/>
      <c r="E1581" s="8" t="n"/>
      <c r="F1581" s="14" t="n"/>
      <c r="G1581" s="14" t="n"/>
      <c r="H1581" s="8" t="n"/>
      <c r="I1581" s="8" t="n"/>
      <c r="J1581" s="8" t="n"/>
      <c r="K1581" s="18">
        <f>IF(B1581="","",IFERROR(MONTH(B1581),""))</f>
        <v/>
      </c>
      <c r="L1581" s="5">
        <f>IF(COUNTA(A1581:J1581)=0,"",IF(E1581="","Mangler motkonto",IF((F1581="")=(G1581=""),"Fyll ut enten Inn eller Ut",IF(OR(IFERROR(INDEX('Kontoplan'!$D$3:$D$302,MATCH(D1581,'Kontoplan'!$H$3:$H$302,0))="Støttes ikke",FALSE),IFERROR(INDEX('Kontoplan'!$D$3:$D$302,MATCH(E1581,'Kontoplan'!$H$3:$H$302,0))="Støttes ikke",FALSE)),"Kontoen støttes ikke",IF(IFERROR(AND(A1581&gt;1,COUNTIF($A$3:$A$2002,A1581-1)=0),FALSE),"Nummeret hopper over",IF(OR(NOT(ISNUMBER(B1581)),B1581&lt;DATE(2027,1,1),B1581&gt;DATE(2027,12,31)),"Datoen er ikke i 2027",""))))))</f>
        <v/>
      </c>
    </row>
    <row r="1582">
      <c r="A1582" s="17" t="n"/>
      <c r="B1582" s="9" t="n"/>
      <c r="C1582" s="8" t="n"/>
      <c r="D1582" s="8" t="n"/>
      <c r="E1582" s="8" t="n"/>
      <c r="F1582" s="14" t="n"/>
      <c r="G1582" s="14" t="n"/>
      <c r="H1582" s="8" t="n"/>
      <c r="I1582" s="8" t="n"/>
      <c r="J1582" s="8" t="n"/>
      <c r="K1582" s="18">
        <f>IF(B1582="","",IFERROR(MONTH(B1582),""))</f>
        <v/>
      </c>
      <c r="L1582" s="5">
        <f>IF(COUNTA(A1582:J1582)=0,"",IF(E1582="","Mangler motkonto",IF((F1582="")=(G1582=""),"Fyll ut enten Inn eller Ut",IF(OR(IFERROR(INDEX('Kontoplan'!$D$3:$D$302,MATCH(D1582,'Kontoplan'!$H$3:$H$302,0))="Støttes ikke",FALSE),IFERROR(INDEX('Kontoplan'!$D$3:$D$302,MATCH(E1582,'Kontoplan'!$H$3:$H$302,0))="Støttes ikke",FALSE)),"Kontoen støttes ikke",IF(IFERROR(AND(A1582&gt;1,COUNTIF($A$3:$A$2002,A1582-1)=0),FALSE),"Nummeret hopper over",IF(OR(NOT(ISNUMBER(B1582)),B1582&lt;DATE(2027,1,1),B1582&gt;DATE(2027,12,31)),"Datoen er ikke i 2027",""))))))</f>
        <v/>
      </c>
    </row>
    <row r="1583">
      <c r="A1583" s="17" t="n"/>
      <c r="B1583" s="9" t="n"/>
      <c r="C1583" s="8" t="n"/>
      <c r="D1583" s="8" t="n"/>
      <c r="E1583" s="8" t="n"/>
      <c r="F1583" s="14" t="n"/>
      <c r="G1583" s="14" t="n"/>
      <c r="H1583" s="8" t="n"/>
      <c r="I1583" s="8" t="n"/>
      <c r="J1583" s="8" t="n"/>
      <c r="K1583" s="18">
        <f>IF(B1583="","",IFERROR(MONTH(B1583),""))</f>
        <v/>
      </c>
      <c r="L1583" s="5">
        <f>IF(COUNTA(A1583:J1583)=0,"",IF(E1583="","Mangler motkonto",IF((F1583="")=(G1583=""),"Fyll ut enten Inn eller Ut",IF(OR(IFERROR(INDEX('Kontoplan'!$D$3:$D$302,MATCH(D1583,'Kontoplan'!$H$3:$H$302,0))="Støttes ikke",FALSE),IFERROR(INDEX('Kontoplan'!$D$3:$D$302,MATCH(E1583,'Kontoplan'!$H$3:$H$302,0))="Støttes ikke",FALSE)),"Kontoen støttes ikke",IF(IFERROR(AND(A1583&gt;1,COUNTIF($A$3:$A$2002,A1583-1)=0),FALSE),"Nummeret hopper over",IF(OR(NOT(ISNUMBER(B1583)),B1583&lt;DATE(2027,1,1),B1583&gt;DATE(2027,12,31)),"Datoen er ikke i 2027",""))))))</f>
        <v/>
      </c>
    </row>
    <row r="1584">
      <c r="A1584" s="17" t="n"/>
      <c r="B1584" s="9" t="n"/>
      <c r="C1584" s="8" t="n"/>
      <c r="D1584" s="8" t="n"/>
      <c r="E1584" s="8" t="n"/>
      <c r="F1584" s="14" t="n"/>
      <c r="G1584" s="14" t="n"/>
      <c r="H1584" s="8" t="n"/>
      <c r="I1584" s="8" t="n"/>
      <c r="J1584" s="8" t="n"/>
      <c r="K1584" s="18">
        <f>IF(B1584="","",IFERROR(MONTH(B1584),""))</f>
        <v/>
      </c>
      <c r="L1584" s="5">
        <f>IF(COUNTA(A1584:J1584)=0,"",IF(E1584="","Mangler motkonto",IF((F1584="")=(G1584=""),"Fyll ut enten Inn eller Ut",IF(OR(IFERROR(INDEX('Kontoplan'!$D$3:$D$302,MATCH(D1584,'Kontoplan'!$H$3:$H$302,0))="Støttes ikke",FALSE),IFERROR(INDEX('Kontoplan'!$D$3:$D$302,MATCH(E1584,'Kontoplan'!$H$3:$H$302,0))="Støttes ikke",FALSE)),"Kontoen støttes ikke",IF(IFERROR(AND(A1584&gt;1,COUNTIF($A$3:$A$2002,A1584-1)=0),FALSE),"Nummeret hopper over",IF(OR(NOT(ISNUMBER(B1584)),B1584&lt;DATE(2027,1,1),B1584&gt;DATE(2027,12,31)),"Datoen er ikke i 2027",""))))))</f>
        <v/>
      </c>
    </row>
    <row r="1585">
      <c r="A1585" s="17" t="n"/>
      <c r="B1585" s="9" t="n"/>
      <c r="C1585" s="8" t="n"/>
      <c r="D1585" s="8" t="n"/>
      <c r="E1585" s="8" t="n"/>
      <c r="F1585" s="14" t="n"/>
      <c r="G1585" s="14" t="n"/>
      <c r="H1585" s="8" t="n"/>
      <c r="I1585" s="8" t="n"/>
      <c r="J1585" s="8" t="n"/>
      <c r="K1585" s="18">
        <f>IF(B1585="","",IFERROR(MONTH(B1585),""))</f>
        <v/>
      </c>
      <c r="L1585" s="5">
        <f>IF(COUNTA(A1585:J1585)=0,"",IF(E1585="","Mangler motkonto",IF((F1585="")=(G1585=""),"Fyll ut enten Inn eller Ut",IF(OR(IFERROR(INDEX('Kontoplan'!$D$3:$D$302,MATCH(D1585,'Kontoplan'!$H$3:$H$302,0))="Støttes ikke",FALSE),IFERROR(INDEX('Kontoplan'!$D$3:$D$302,MATCH(E1585,'Kontoplan'!$H$3:$H$302,0))="Støttes ikke",FALSE)),"Kontoen støttes ikke",IF(IFERROR(AND(A1585&gt;1,COUNTIF($A$3:$A$2002,A1585-1)=0),FALSE),"Nummeret hopper over",IF(OR(NOT(ISNUMBER(B1585)),B1585&lt;DATE(2027,1,1),B1585&gt;DATE(2027,12,31)),"Datoen er ikke i 2027",""))))))</f>
        <v/>
      </c>
    </row>
    <row r="1586">
      <c r="A1586" s="17" t="n"/>
      <c r="B1586" s="9" t="n"/>
      <c r="C1586" s="8" t="n"/>
      <c r="D1586" s="8" t="n"/>
      <c r="E1586" s="8" t="n"/>
      <c r="F1586" s="14" t="n"/>
      <c r="G1586" s="14" t="n"/>
      <c r="H1586" s="8" t="n"/>
      <c r="I1586" s="8" t="n"/>
      <c r="J1586" s="8" t="n"/>
      <c r="K1586" s="18">
        <f>IF(B1586="","",IFERROR(MONTH(B1586),""))</f>
        <v/>
      </c>
      <c r="L1586" s="5">
        <f>IF(COUNTA(A1586:J1586)=0,"",IF(E1586="","Mangler motkonto",IF((F1586="")=(G1586=""),"Fyll ut enten Inn eller Ut",IF(OR(IFERROR(INDEX('Kontoplan'!$D$3:$D$302,MATCH(D1586,'Kontoplan'!$H$3:$H$302,0))="Støttes ikke",FALSE),IFERROR(INDEX('Kontoplan'!$D$3:$D$302,MATCH(E1586,'Kontoplan'!$H$3:$H$302,0))="Støttes ikke",FALSE)),"Kontoen støttes ikke",IF(IFERROR(AND(A1586&gt;1,COUNTIF($A$3:$A$2002,A1586-1)=0),FALSE),"Nummeret hopper over",IF(OR(NOT(ISNUMBER(B1586)),B1586&lt;DATE(2027,1,1),B1586&gt;DATE(2027,12,31)),"Datoen er ikke i 2027",""))))))</f>
        <v/>
      </c>
    </row>
    <row r="1587">
      <c r="A1587" s="17" t="n"/>
      <c r="B1587" s="9" t="n"/>
      <c r="C1587" s="8" t="n"/>
      <c r="D1587" s="8" t="n"/>
      <c r="E1587" s="8" t="n"/>
      <c r="F1587" s="14" t="n"/>
      <c r="G1587" s="14" t="n"/>
      <c r="H1587" s="8" t="n"/>
      <c r="I1587" s="8" t="n"/>
      <c r="J1587" s="8" t="n"/>
      <c r="K1587" s="18">
        <f>IF(B1587="","",IFERROR(MONTH(B1587),""))</f>
        <v/>
      </c>
      <c r="L1587" s="5">
        <f>IF(COUNTA(A1587:J1587)=0,"",IF(E1587="","Mangler motkonto",IF((F1587="")=(G1587=""),"Fyll ut enten Inn eller Ut",IF(OR(IFERROR(INDEX('Kontoplan'!$D$3:$D$302,MATCH(D1587,'Kontoplan'!$H$3:$H$302,0))="Støttes ikke",FALSE),IFERROR(INDEX('Kontoplan'!$D$3:$D$302,MATCH(E1587,'Kontoplan'!$H$3:$H$302,0))="Støttes ikke",FALSE)),"Kontoen støttes ikke",IF(IFERROR(AND(A1587&gt;1,COUNTIF($A$3:$A$2002,A1587-1)=0),FALSE),"Nummeret hopper over",IF(OR(NOT(ISNUMBER(B1587)),B1587&lt;DATE(2027,1,1),B1587&gt;DATE(2027,12,31)),"Datoen er ikke i 2027",""))))))</f>
        <v/>
      </c>
    </row>
    <row r="1588">
      <c r="A1588" s="17" t="n"/>
      <c r="B1588" s="9" t="n"/>
      <c r="C1588" s="8" t="n"/>
      <c r="D1588" s="8" t="n"/>
      <c r="E1588" s="8" t="n"/>
      <c r="F1588" s="14" t="n"/>
      <c r="G1588" s="14" t="n"/>
      <c r="H1588" s="8" t="n"/>
      <c r="I1588" s="8" t="n"/>
      <c r="J1588" s="8" t="n"/>
      <c r="K1588" s="18">
        <f>IF(B1588="","",IFERROR(MONTH(B1588),""))</f>
        <v/>
      </c>
      <c r="L1588" s="5">
        <f>IF(COUNTA(A1588:J1588)=0,"",IF(E1588="","Mangler motkonto",IF((F1588="")=(G1588=""),"Fyll ut enten Inn eller Ut",IF(OR(IFERROR(INDEX('Kontoplan'!$D$3:$D$302,MATCH(D1588,'Kontoplan'!$H$3:$H$302,0))="Støttes ikke",FALSE),IFERROR(INDEX('Kontoplan'!$D$3:$D$302,MATCH(E1588,'Kontoplan'!$H$3:$H$302,0))="Støttes ikke",FALSE)),"Kontoen støttes ikke",IF(IFERROR(AND(A1588&gt;1,COUNTIF($A$3:$A$2002,A1588-1)=0),FALSE),"Nummeret hopper over",IF(OR(NOT(ISNUMBER(B1588)),B1588&lt;DATE(2027,1,1),B1588&gt;DATE(2027,12,31)),"Datoen er ikke i 2027",""))))))</f>
        <v/>
      </c>
    </row>
    <row r="1589">
      <c r="A1589" s="17" t="n"/>
      <c r="B1589" s="9" t="n"/>
      <c r="C1589" s="8" t="n"/>
      <c r="D1589" s="8" t="n"/>
      <c r="E1589" s="8" t="n"/>
      <c r="F1589" s="14" t="n"/>
      <c r="G1589" s="14" t="n"/>
      <c r="H1589" s="8" t="n"/>
      <c r="I1589" s="8" t="n"/>
      <c r="J1589" s="8" t="n"/>
      <c r="K1589" s="18">
        <f>IF(B1589="","",IFERROR(MONTH(B1589),""))</f>
        <v/>
      </c>
      <c r="L1589" s="5">
        <f>IF(COUNTA(A1589:J1589)=0,"",IF(E1589="","Mangler motkonto",IF((F1589="")=(G1589=""),"Fyll ut enten Inn eller Ut",IF(OR(IFERROR(INDEX('Kontoplan'!$D$3:$D$302,MATCH(D1589,'Kontoplan'!$H$3:$H$302,0))="Støttes ikke",FALSE),IFERROR(INDEX('Kontoplan'!$D$3:$D$302,MATCH(E1589,'Kontoplan'!$H$3:$H$302,0))="Støttes ikke",FALSE)),"Kontoen støttes ikke",IF(IFERROR(AND(A1589&gt;1,COUNTIF($A$3:$A$2002,A1589-1)=0),FALSE),"Nummeret hopper over",IF(OR(NOT(ISNUMBER(B1589)),B1589&lt;DATE(2027,1,1),B1589&gt;DATE(2027,12,31)),"Datoen er ikke i 2027",""))))))</f>
        <v/>
      </c>
    </row>
    <row r="1590">
      <c r="A1590" s="17" t="n"/>
      <c r="B1590" s="9" t="n"/>
      <c r="C1590" s="8" t="n"/>
      <c r="D1590" s="8" t="n"/>
      <c r="E1590" s="8" t="n"/>
      <c r="F1590" s="14" t="n"/>
      <c r="G1590" s="14" t="n"/>
      <c r="H1590" s="8" t="n"/>
      <c r="I1590" s="8" t="n"/>
      <c r="J1590" s="8" t="n"/>
      <c r="K1590" s="18">
        <f>IF(B1590="","",IFERROR(MONTH(B1590),""))</f>
        <v/>
      </c>
      <c r="L1590" s="5">
        <f>IF(COUNTA(A1590:J1590)=0,"",IF(E1590="","Mangler motkonto",IF((F1590="")=(G1590=""),"Fyll ut enten Inn eller Ut",IF(OR(IFERROR(INDEX('Kontoplan'!$D$3:$D$302,MATCH(D1590,'Kontoplan'!$H$3:$H$302,0))="Støttes ikke",FALSE),IFERROR(INDEX('Kontoplan'!$D$3:$D$302,MATCH(E1590,'Kontoplan'!$H$3:$H$302,0))="Støttes ikke",FALSE)),"Kontoen støttes ikke",IF(IFERROR(AND(A1590&gt;1,COUNTIF($A$3:$A$2002,A1590-1)=0),FALSE),"Nummeret hopper over",IF(OR(NOT(ISNUMBER(B1590)),B1590&lt;DATE(2027,1,1),B1590&gt;DATE(2027,12,31)),"Datoen er ikke i 2027",""))))))</f>
        <v/>
      </c>
    </row>
    <row r="1591">
      <c r="A1591" s="17" t="n"/>
      <c r="B1591" s="9" t="n"/>
      <c r="C1591" s="8" t="n"/>
      <c r="D1591" s="8" t="n"/>
      <c r="E1591" s="8" t="n"/>
      <c r="F1591" s="14" t="n"/>
      <c r="G1591" s="14" t="n"/>
      <c r="H1591" s="8" t="n"/>
      <c r="I1591" s="8" t="n"/>
      <c r="J1591" s="8" t="n"/>
      <c r="K1591" s="18">
        <f>IF(B1591="","",IFERROR(MONTH(B1591),""))</f>
        <v/>
      </c>
      <c r="L1591" s="5">
        <f>IF(COUNTA(A1591:J1591)=0,"",IF(E1591="","Mangler motkonto",IF((F1591="")=(G1591=""),"Fyll ut enten Inn eller Ut",IF(OR(IFERROR(INDEX('Kontoplan'!$D$3:$D$302,MATCH(D1591,'Kontoplan'!$H$3:$H$302,0))="Støttes ikke",FALSE),IFERROR(INDEX('Kontoplan'!$D$3:$D$302,MATCH(E1591,'Kontoplan'!$H$3:$H$302,0))="Støttes ikke",FALSE)),"Kontoen støttes ikke",IF(IFERROR(AND(A1591&gt;1,COUNTIF($A$3:$A$2002,A1591-1)=0),FALSE),"Nummeret hopper over",IF(OR(NOT(ISNUMBER(B1591)),B1591&lt;DATE(2027,1,1),B1591&gt;DATE(2027,12,31)),"Datoen er ikke i 2027",""))))))</f>
        <v/>
      </c>
    </row>
    <row r="1592">
      <c r="A1592" s="17" t="n"/>
      <c r="B1592" s="9" t="n"/>
      <c r="C1592" s="8" t="n"/>
      <c r="D1592" s="8" t="n"/>
      <c r="E1592" s="8" t="n"/>
      <c r="F1592" s="14" t="n"/>
      <c r="G1592" s="14" t="n"/>
      <c r="H1592" s="8" t="n"/>
      <c r="I1592" s="8" t="n"/>
      <c r="J1592" s="8" t="n"/>
      <c r="K1592" s="18">
        <f>IF(B1592="","",IFERROR(MONTH(B1592),""))</f>
        <v/>
      </c>
      <c r="L1592" s="5">
        <f>IF(COUNTA(A1592:J1592)=0,"",IF(E1592="","Mangler motkonto",IF((F1592="")=(G1592=""),"Fyll ut enten Inn eller Ut",IF(OR(IFERROR(INDEX('Kontoplan'!$D$3:$D$302,MATCH(D1592,'Kontoplan'!$H$3:$H$302,0))="Støttes ikke",FALSE),IFERROR(INDEX('Kontoplan'!$D$3:$D$302,MATCH(E1592,'Kontoplan'!$H$3:$H$302,0))="Støttes ikke",FALSE)),"Kontoen støttes ikke",IF(IFERROR(AND(A1592&gt;1,COUNTIF($A$3:$A$2002,A1592-1)=0),FALSE),"Nummeret hopper over",IF(OR(NOT(ISNUMBER(B1592)),B1592&lt;DATE(2027,1,1),B1592&gt;DATE(2027,12,31)),"Datoen er ikke i 2027",""))))))</f>
        <v/>
      </c>
    </row>
    <row r="1593">
      <c r="A1593" s="17" t="n"/>
      <c r="B1593" s="9" t="n"/>
      <c r="C1593" s="8" t="n"/>
      <c r="D1593" s="8" t="n"/>
      <c r="E1593" s="8" t="n"/>
      <c r="F1593" s="14" t="n"/>
      <c r="G1593" s="14" t="n"/>
      <c r="H1593" s="8" t="n"/>
      <c r="I1593" s="8" t="n"/>
      <c r="J1593" s="8" t="n"/>
      <c r="K1593" s="18">
        <f>IF(B1593="","",IFERROR(MONTH(B1593),""))</f>
        <v/>
      </c>
      <c r="L1593" s="5">
        <f>IF(COUNTA(A1593:J1593)=0,"",IF(E1593="","Mangler motkonto",IF((F1593="")=(G1593=""),"Fyll ut enten Inn eller Ut",IF(OR(IFERROR(INDEX('Kontoplan'!$D$3:$D$302,MATCH(D1593,'Kontoplan'!$H$3:$H$302,0))="Støttes ikke",FALSE),IFERROR(INDEX('Kontoplan'!$D$3:$D$302,MATCH(E1593,'Kontoplan'!$H$3:$H$302,0))="Støttes ikke",FALSE)),"Kontoen støttes ikke",IF(IFERROR(AND(A1593&gt;1,COUNTIF($A$3:$A$2002,A1593-1)=0),FALSE),"Nummeret hopper over",IF(OR(NOT(ISNUMBER(B1593)),B1593&lt;DATE(2027,1,1),B1593&gt;DATE(2027,12,31)),"Datoen er ikke i 2027",""))))))</f>
        <v/>
      </c>
    </row>
    <row r="1594">
      <c r="A1594" s="17" t="n"/>
      <c r="B1594" s="9" t="n"/>
      <c r="C1594" s="8" t="n"/>
      <c r="D1594" s="8" t="n"/>
      <c r="E1594" s="8" t="n"/>
      <c r="F1594" s="14" t="n"/>
      <c r="G1594" s="14" t="n"/>
      <c r="H1594" s="8" t="n"/>
      <c r="I1594" s="8" t="n"/>
      <c r="J1594" s="8" t="n"/>
      <c r="K1594" s="18">
        <f>IF(B1594="","",IFERROR(MONTH(B1594),""))</f>
        <v/>
      </c>
      <c r="L1594" s="5">
        <f>IF(COUNTA(A1594:J1594)=0,"",IF(E1594="","Mangler motkonto",IF((F1594="")=(G1594=""),"Fyll ut enten Inn eller Ut",IF(OR(IFERROR(INDEX('Kontoplan'!$D$3:$D$302,MATCH(D1594,'Kontoplan'!$H$3:$H$302,0))="Støttes ikke",FALSE),IFERROR(INDEX('Kontoplan'!$D$3:$D$302,MATCH(E1594,'Kontoplan'!$H$3:$H$302,0))="Støttes ikke",FALSE)),"Kontoen støttes ikke",IF(IFERROR(AND(A1594&gt;1,COUNTIF($A$3:$A$2002,A1594-1)=0),FALSE),"Nummeret hopper over",IF(OR(NOT(ISNUMBER(B1594)),B1594&lt;DATE(2027,1,1),B1594&gt;DATE(2027,12,31)),"Datoen er ikke i 2027",""))))))</f>
        <v/>
      </c>
    </row>
    <row r="1595">
      <c r="A1595" s="17" t="n"/>
      <c r="B1595" s="9" t="n"/>
      <c r="C1595" s="8" t="n"/>
      <c r="D1595" s="8" t="n"/>
      <c r="E1595" s="8" t="n"/>
      <c r="F1595" s="14" t="n"/>
      <c r="G1595" s="14" t="n"/>
      <c r="H1595" s="8" t="n"/>
      <c r="I1595" s="8" t="n"/>
      <c r="J1595" s="8" t="n"/>
      <c r="K1595" s="18">
        <f>IF(B1595="","",IFERROR(MONTH(B1595),""))</f>
        <v/>
      </c>
      <c r="L1595" s="5">
        <f>IF(COUNTA(A1595:J1595)=0,"",IF(E1595="","Mangler motkonto",IF((F1595="")=(G1595=""),"Fyll ut enten Inn eller Ut",IF(OR(IFERROR(INDEX('Kontoplan'!$D$3:$D$302,MATCH(D1595,'Kontoplan'!$H$3:$H$302,0))="Støttes ikke",FALSE),IFERROR(INDEX('Kontoplan'!$D$3:$D$302,MATCH(E1595,'Kontoplan'!$H$3:$H$302,0))="Støttes ikke",FALSE)),"Kontoen støttes ikke",IF(IFERROR(AND(A1595&gt;1,COUNTIF($A$3:$A$2002,A1595-1)=0),FALSE),"Nummeret hopper over",IF(OR(NOT(ISNUMBER(B1595)),B1595&lt;DATE(2027,1,1),B1595&gt;DATE(2027,12,31)),"Datoen er ikke i 2027",""))))))</f>
        <v/>
      </c>
    </row>
    <row r="1596">
      <c r="A1596" s="17" t="n"/>
      <c r="B1596" s="9" t="n"/>
      <c r="C1596" s="8" t="n"/>
      <c r="D1596" s="8" t="n"/>
      <c r="E1596" s="8" t="n"/>
      <c r="F1596" s="14" t="n"/>
      <c r="G1596" s="14" t="n"/>
      <c r="H1596" s="8" t="n"/>
      <c r="I1596" s="8" t="n"/>
      <c r="J1596" s="8" t="n"/>
      <c r="K1596" s="18">
        <f>IF(B1596="","",IFERROR(MONTH(B1596),""))</f>
        <v/>
      </c>
      <c r="L1596" s="5">
        <f>IF(COUNTA(A1596:J1596)=0,"",IF(E1596="","Mangler motkonto",IF((F1596="")=(G1596=""),"Fyll ut enten Inn eller Ut",IF(OR(IFERROR(INDEX('Kontoplan'!$D$3:$D$302,MATCH(D1596,'Kontoplan'!$H$3:$H$302,0))="Støttes ikke",FALSE),IFERROR(INDEX('Kontoplan'!$D$3:$D$302,MATCH(E1596,'Kontoplan'!$H$3:$H$302,0))="Støttes ikke",FALSE)),"Kontoen støttes ikke",IF(IFERROR(AND(A1596&gt;1,COUNTIF($A$3:$A$2002,A1596-1)=0),FALSE),"Nummeret hopper over",IF(OR(NOT(ISNUMBER(B1596)),B1596&lt;DATE(2027,1,1),B1596&gt;DATE(2027,12,31)),"Datoen er ikke i 2027",""))))))</f>
        <v/>
      </c>
    </row>
    <row r="1597">
      <c r="A1597" s="17" t="n"/>
      <c r="B1597" s="9" t="n"/>
      <c r="C1597" s="8" t="n"/>
      <c r="D1597" s="8" t="n"/>
      <c r="E1597" s="8" t="n"/>
      <c r="F1597" s="14" t="n"/>
      <c r="G1597" s="14" t="n"/>
      <c r="H1597" s="8" t="n"/>
      <c r="I1597" s="8" t="n"/>
      <c r="J1597" s="8" t="n"/>
      <c r="K1597" s="18">
        <f>IF(B1597="","",IFERROR(MONTH(B1597),""))</f>
        <v/>
      </c>
      <c r="L1597" s="5">
        <f>IF(COUNTA(A1597:J1597)=0,"",IF(E1597="","Mangler motkonto",IF((F1597="")=(G1597=""),"Fyll ut enten Inn eller Ut",IF(OR(IFERROR(INDEX('Kontoplan'!$D$3:$D$302,MATCH(D1597,'Kontoplan'!$H$3:$H$302,0))="Støttes ikke",FALSE),IFERROR(INDEX('Kontoplan'!$D$3:$D$302,MATCH(E1597,'Kontoplan'!$H$3:$H$302,0))="Støttes ikke",FALSE)),"Kontoen støttes ikke",IF(IFERROR(AND(A1597&gt;1,COUNTIF($A$3:$A$2002,A1597-1)=0),FALSE),"Nummeret hopper over",IF(OR(NOT(ISNUMBER(B1597)),B1597&lt;DATE(2027,1,1),B1597&gt;DATE(2027,12,31)),"Datoen er ikke i 2027",""))))))</f>
        <v/>
      </c>
    </row>
    <row r="1598">
      <c r="A1598" s="17" t="n"/>
      <c r="B1598" s="9" t="n"/>
      <c r="C1598" s="8" t="n"/>
      <c r="D1598" s="8" t="n"/>
      <c r="E1598" s="8" t="n"/>
      <c r="F1598" s="14" t="n"/>
      <c r="G1598" s="14" t="n"/>
      <c r="H1598" s="8" t="n"/>
      <c r="I1598" s="8" t="n"/>
      <c r="J1598" s="8" t="n"/>
      <c r="K1598" s="18">
        <f>IF(B1598="","",IFERROR(MONTH(B1598),""))</f>
        <v/>
      </c>
      <c r="L1598" s="5">
        <f>IF(COUNTA(A1598:J1598)=0,"",IF(E1598="","Mangler motkonto",IF((F1598="")=(G1598=""),"Fyll ut enten Inn eller Ut",IF(OR(IFERROR(INDEX('Kontoplan'!$D$3:$D$302,MATCH(D1598,'Kontoplan'!$H$3:$H$302,0))="Støttes ikke",FALSE),IFERROR(INDEX('Kontoplan'!$D$3:$D$302,MATCH(E1598,'Kontoplan'!$H$3:$H$302,0))="Støttes ikke",FALSE)),"Kontoen støttes ikke",IF(IFERROR(AND(A1598&gt;1,COUNTIF($A$3:$A$2002,A1598-1)=0),FALSE),"Nummeret hopper over",IF(OR(NOT(ISNUMBER(B1598)),B1598&lt;DATE(2027,1,1),B1598&gt;DATE(2027,12,31)),"Datoen er ikke i 2027",""))))))</f>
        <v/>
      </c>
    </row>
    <row r="1599">
      <c r="A1599" s="17" t="n"/>
      <c r="B1599" s="9" t="n"/>
      <c r="C1599" s="8" t="n"/>
      <c r="D1599" s="8" t="n"/>
      <c r="E1599" s="8" t="n"/>
      <c r="F1599" s="14" t="n"/>
      <c r="G1599" s="14" t="n"/>
      <c r="H1599" s="8" t="n"/>
      <c r="I1599" s="8" t="n"/>
      <c r="J1599" s="8" t="n"/>
      <c r="K1599" s="18">
        <f>IF(B1599="","",IFERROR(MONTH(B1599),""))</f>
        <v/>
      </c>
      <c r="L1599" s="5">
        <f>IF(COUNTA(A1599:J1599)=0,"",IF(E1599="","Mangler motkonto",IF((F1599="")=(G1599=""),"Fyll ut enten Inn eller Ut",IF(OR(IFERROR(INDEX('Kontoplan'!$D$3:$D$302,MATCH(D1599,'Kontoplan'!$H$3:$H$302,0))="Støttes ikke",FALSE),IFERROR(INDEX('Kontoplan'!$D$3:$D$302,MATCH(E1599,'Kontoplan'!$H$3:$H$302,0))="Støttes ikke",FALSE)),"Kontoen støttes ikke",IF(IFERROR(AND(A1599&gt;1,COUNTIF($A$3:$A$2002,A1599-1)=0),FALSE),"Nummeret hopper over",IF(OR(NOT(ISNUMBER(B1599)),B1599&lt;DATE(2027,1,1),B1599&gt;DATE(2027,12,31)),"Datoen er ikke i 2027",""))))))</f>
        <v/>
      </c>
    </row>
    <row r="1600">
      <c r="A1600" s="17" t="n"/>
      <c r="B1600" s="9" t="n"/>
      <c r="C1600" s="8" t="n"/>
      <c r="D1600" s="8" t="n"/>
      <c r="E1600" s="8" t="n"/>
      <c r="F1600" s="14" t="n"/>
      <c r="G1600" s="14" t="n"/>
      <c r="H1600" s="8" t="n"/>
      <c r="I1600" s="8" t="n"/>
      <c r="J1600" s="8" t="n"/>
      <c r="K1600" s="18">
        <f>IF(B1600="","",IFERROR(MONTH(B1600),""))</f>
        <v/>
      </c>
      <c r="L1600" s="5">
        <f>IF(COUNTA(A1600:J1600)=0,"",IF(E1600="","Mangler motkonto",IF((F1600="")=(G1600=""),"Fyll ut enten Inn eller Ut",IF(OR(IFERROR(INDEX('Kontoplan'!$D$3:$D$302,MATCH(D1600,'Kontoplan'!$H$3:$H$302,0))="Støttes ikke",FALSE),IFERROR(INDEX('Kontoplan'!$D$3:$D$302,MATCH(E1600,'Kontoplan'!$H$3:$H$302,0))="Støttes ikke",FALSE)),"Kontoen støttes ikke",IF(IFERROR(AND(A1600&gt;1,COUNTIF($A$3:$A$2002,A1600-1)=0),FALSE),"Nummeret hopper over",IF(OR(NOT(ISNUMBER(B1600)),B1600&lt;DATE(2027,1,1),B1600&gt;DATE(2027,12,31)),"Datoen er ikke i 2027",""))))))</f>
        <v/>
      </c>
    </row>
    <row r="1601">
      <c r="A1601" s="17" t="n"/>
      <c r="B1601" s="9" t="n"/>
      <c r="C1601" s="8" t="n"/>
      <c r="D1601" s="8" t="n"/>
      <c r="E1601" s="8" t="n"/>
      <c r="F1601" s="14" t="n"/>
      <c r="G1601" s="14" t="n"/>
      <c r="H1601" s="8" t="n"/>
      <c r="I1601" s="8" t="n"/>
      <c r="J1601" s="8" t="n"/>
      <c r="K1601" s="18">
        <f>IF(B1601="","",IFERROR(MONTH(B1601),""))</f>
        <v/>
      </c>
      <c r="L1601" s="5">
        <f>IF(COUNTA(A1601:J1601)=0,"",IF(E1601="","Mangler motkonto",IF((F1601="")=(G1601=""),"Fyll ut enten Inn eller Ut",IF(OR(IFERROR(INDEX('Kontoplan'!$D$3:$D$302,MATCH(D1601,'Kontoplan'!$H$3:$H$302,0))="Støttes ikke",FALSE),IFERROR(INDEX('Kontoplan'!$D$3:$D$302,MATCH(E1601,'Kontoplan'!$H$3:$H$302,0))="Støttes ikke",FALSE)),"Kontoen støttes ikke",IF(IFERROR(AND(A1601&gt;1,COUNTIF($A$3:$A$2002,A1601-1)=0),FALSE),"Nummeret hopper over",IF(OR(NOT(ISNUMBER(B1601)),B1601&lt;DATE(2027,1,1),B1601&gt;DATE(2027,12,31)),"Datoen er ikke i 2027",""))))))</f>
        <v/>
      </c>
    </row>
    <row r="1602">
      <c r="A1602" s="17" t="n"/>
      <c r="B1602" s="9" t="n"/>
      <c r="C1602" s="8" t="n"/>
      <c r="D1602" s="8" t="n"/>
      <c r="E1602" s="8" t="n"/>
      <c r="F1602" s="14" t="n"/>
      <c r="G1602" s="14" t="n"/>
      <c r="H1602" s="8" t="n"/>
      <c r="I1602" s="8" t="n"/>
      <c r="J1602" s="8" t="n"/>
      <c r="K1602" s="18">
        <f>IF(B1602="","",IFERROR(MONTH(B1602),""))</f>
        <v/>
      </c>
      <c r="L1602" s="5">
        <f>IF(COUNTA(A1602:J1602)=0,"",IF(E1602="","Mangler motkonto",IF((F1602="")=(G1602=""),"Fyll ut enten Inn eller Ut",IF(OR(IFERROR(INDEX('Kontoplan'!$D$3:$D$302,MATCH(D1602,'Kontoplan'!$H$3:$H$302,0))="Støttes ikke",FALSE),IFERROR(INDEX('Kontoplan'!$D$3:$D$302,MATCH(E1602,'Kontoplan'!$H$3:$H$302,0))="Støttes ikke",FALSE)),"Kontoen støttes ikke",IF(IFERROR(AND(A1602&gt;1,COUNTIF($A$3:$A$2002,A1602-1)=0),FALSE),"Nummeret hopper over",IF(OR(NOT(ISNUMBER(B1602)),B1602&lt;DATE(2027,1,1),B1602&gt;DATE(2027,12,31)),"Datoen er ikke i 2027",""))))))</f>
        <v/>
      </c>
    </row>
    <row r="1603">
      <c r="A1603" s="17" t="n"/>
      <c r="B1603" s="9" t="n"/>
      <c r="C1603" s="8" t="n"/>
      <c r="D1603" s="8" t="n"/>
      <c r="E1603" s="8" t="n"/>
      <c r="F1603" s="14" t="n"/>
      <c r="G1603" s="14" t="n"/>
      <c r="H1603" s="8" t="n"/>
      <c r="I1603" s="8" t="n"/>
      <c r="J1603" s="8" t="n"/>
      <c r="K1603" s="18">
        <f>IF(B1603="","",IFERROR(MONTH(B1603),""))</f>
        <v/>
      </c>
      <c r="L1603" s="5">
        <f>IF(COUNTA(A1603:J1603)=0,"",IF(E1603="","Mangler motkonto",IF((F1603="")=(G1603=""),"Fyll ut enten Inn eller Ut",IF(OR(IFERROR(INDEX('Kontoplan'!$D$3:$D$302,MATCH(D1603,'Kontoplan'!$H$3:$H$302,0))="Støttes ikke",FALSE),IFERROR(INDEX('Kontoplan'!$D$3:$D$302,MATCH(E1603,'Kontoplan'!$H$3:$H$302,0))="Støttes ikke",FALSE)),"Kontoen støttes ikke",IF(IFERROR(AND(A1603&gt;1,COUNTIF($A$3:$A$2002,A1603-1)=0),FALSE),"Nummeret hopper over",IF(OR(NOT(ISNUMBER(B1603)),B1603&lt;DATE(2027,1,1),B1603&gt;DATE(2027,12,31)),"Datoen er ikke i 2027",""))))))</f>
        <v/>
      </c>
    </row>
    <row r="1604">
      <c r="A1604" s="17" t="n"/>
      <c r="B1604" s="9" t="n"/>
      <c r="C1604" s="8" t="n"/>
      <c r="D1604" s="8" t="n"/>
      <c r="E1604" s="8" t="n"/>
      <c r="F1604" s="14" t="n"/>
      <c r="G1604" s="14" t="n"/>
      <c r="H1604" s="8" t="n"/>
      <c r="I1604" s="8" t="n"/>
      <c r="J1604" s="8" t="n"/>
      <c r="K1604" s="18">
        <f>IF(B1604="","",IFERROR(MONTH(B1604),""))</f>
        <v/>
      </c>
      <c r="L1604" s="5">
        <f>IF(COUNTA(A1604:J1604)=0,"",IF(E1604="","Mangler motkonto",IF((F1604="")=(G1604=""),"Fyll ut enten Inn eller Ut",IF(OR(IFERROR(INDEX('Kontoplan'!$D$3:$D$302,MATCH(D1604,'Kontoplan'!$H$3:$H$302,0))="Støttes ikke",FALSE),IFERROR(INDEX('Kontoplan'!$D$3:$D$302,MATCH(E1604,'Kontoplan'!$H$3:$H$302,0))="Støttes ikke",FALSE)),"Kontoen støttes ikke",IF(IFERROR(AND(A1604&gt;1,COUNTIF($A$3:$A$2002,A1604-1)=0),FALSE),"Nummeret hopper over",IF(OR(NOT(ISNUMBER(B1604)),B1604&lt;DATE(2027,1,1),B1604&gt;DATE(2027,12,31)),"Datoen er ikke i 2027",""))))))</f>
        <v/>
      </c>
    </row>
    <row r="1605">
      <c r="A1605" s="17" t="n"/>
      <c r="B1605" s="9" t="n"/>
      <c r="C1605" s="8" t="n"/>
      <c r="D1605" s="8" t="n"/>
      <c r="E1605" s="8" t="n"/>
      <c r="F1605" s="14" t="n"/>
      <c r="G1605" s="14" t="n"/>
      <c r="H1605" s="8" t="n"/>
      <c r="I1605" s="8" t="n"/>
      <c r="J1605" s="8" t="n"/>
      <c r="K1605" s="18">
        <f>IF(B1605="","",IFERROR(MONTH(B1605),""))</f>
        <v/>
      </c>
      <c r="L1605" s="5">
        <f>IF(COUNTA(A1605:J1605)=0,"",IF(E1605="","Mangler motkonto",IF((F1605="")=(G1605=""),"Fyll ut enten Inn eller Ut",IF(OR(IFERROR(INDEX('Kontoplan'!$D$3:$D$302,MATCH(D1605,'Kontoplan'!$H$3:$H$302,0))="Støttes ikke",FALSE),IFERROR(INDEX('Kontoplan'!$D$3:$D$302,MATCH(E1605,'Kontoplan'!$H$3:$H$302,0))="Støttes ikke",FALSE)),"Kontoen støttes ikke",IF(IFERROR(AND(A1605&gt;1,COUNTIF($A$3:$A$2002,A1605-1)=0),FALSE),"Nummeret hopper over",IF(OR(NOT(ISNUMBER(B1605)),B1605&lt;DATE(2027,1,1),B1605&gt;DATE(2027,12,31)),"Datoen er ikke i 2027",""))))))</f>
        <v/>
      </c>
    </row>
    <row r="1606">
      <c r="A1606" s="17" t="n"/>
      <c r="B1606" s="9" t="n"/>
      <c r="C1606" s="8" t="n"/>
      <c r="D1606" s="8" t="n"/>
      <c r="E1606" s="8" t="n"/>
      <c r="F1606" s="14" t="n"/>
      <c r="G1606" s="14" t="n"/>
      <c r="H1606" s="8" t="n"/>
      <c r="I1606" s="8" t="n"/>
      <c r="J1606" s="8" t="n"/>
      <c r="K1606" s="18">
        <f>IF(B1606="","",IFERROR(MONTH(B1606),""))</f>
        <v/>
      </c>
      <c r="L1606" s="5">
        <f>IF(COUNTA(A1606:J1606)=0,"",IF(E1606="","Mangler motkonto",IF((F1606="")=(G1606=""),"Fyll ut enten Inn eller Ut",IF(OR(IFERROR(INDEX('Kontoplan'!$D$3:$D$302,MATCH(D1606,'Kontoplan'!$H$3:$H$302,0))="Støttes ikke",FALSE),IFERROR(INDEX('Kontoplan'!$D$3:$D$302,MATCH(E1606,'Kontoplan'!$H$3:$H$302,0))="Støttes ikke",FALSE)),"Kontoen støttes ikke",IF(IFERROR(AND(A1606&gt;1,COUNTIF($A$3:$A$2002,A1606-1)=0),FALSE),"Nummeret hopper over",IF(OR(NOT(ISNUMBER(B1606)),B1606&lt;DATE(2027,1,1),B1606&gt;DATE(2027,12,31)),"Datoen er ikke i 2027",""))))))</f>
        <v/>
      </c>
    </row>
    <row r="1607">
      <c r="A1607" s="17" t="n"/>
      <c r="B1607" s="9" t="n"/>
      <c r="C1607" s="8" t="n"/>
      <c r="D1607" s="8" t="n"/>
      <c r="E1607" s="8" t="n"/>
      <c r="F1607" s="14" t="n"/>
      <c r="G1607" s="14" t="n"/>
      <c r="H1607" s="8" t="n"/>
      <c r="I1607" s="8" t="n"/>
      <c r="J1607" s="8" t="n"/>
      <c r="K1607" s="18">
        <f>IF(B1607="","",IFERROR(MONTH(B1607),""))</f>
        <v/>
      </c>
      <c r="L1607" s="5">
        <f>IF(COUNTA(A1607:J1607)=0,"",IF(E1607="","Mangler motkonto",IF((F1607="")=(G1607=""),"Fyll ut enten Inn eller Ut",IF(OR(IFERROR(INDEX('Kontoplan'!$D$3:$D$302,MATCH(D1607,'Kontoplan'!$H$3:$H$302,0))="Støttes ikke",FALSE),IFERROR(INDEX('Kontoplan'!$D$3:$D$302,MATCH(E1607,'Kontoplan'!$H$3:$H$302,0))="Støttes ikke",FALSE)),"Kontoen støttes ikke",IF(IFERROR(AND(A1607&gt;1,COUNTIF($A$3:$A$2002,A1607-1)=0),FALSE),"Nummeret hopper over",IF(OR(NOT(ISNUMBER(B1607)),B1607&lt;DATE(2027,1,1),B1607&gt;DATE(2027,12,31)),"Datoen er ikke i 2027",""))))))</f>
        <v/>
      </c>
    </row>
    <row r="1608">
      <c r="A1608" s="17" t="n"/>
      <c r="B1608" s="9" t="n"/>
      <c r="C1608" s="8" t="n"/>
      <c r="D1608" s="8" t="n"/>
      <c r="E1608" s="8" t="n"/>
      <c r="F1608" s="14" t="n"/>
      <c r="G1608" s="14" t="n"/>
      <c r="H1608" s="8" t="n"/>
      <c r="I1608" s="8" t="n"/>
      <c r="J1608" s="8" t="n"/>
      <c r="K1608" s="18">
        <f>IF(B1608="","",IFERROR(MONTH(B1608),""))</f>
        <v/>
      </c>
      <c r="L1608" s="5">
        <f>IF(COUNTA(A1608:J1608)=0,"",IF(E1608="","Mangler motkonto",IF((F1608="")=(G1608=""),"Fyll ut enten Inn eller Ut",IF(OR(IFERROR(INDEX('Kontoplan'!$D$3:$D$302,MATCH(D1608,'Kontoplan'!$H$3:$H$302,0))="Støttes ikke",FALSE),IFERROR(INDEX('Kontoplan'!$D$3:$D$302,MATCH(E1608,'Kontoplan'!$H$3:$H$302,0))="Støttes ikke",FALSE)),"Kontoen støttes ikke",IF(IFERROR(AND(A1608&gt;1,COUNTIF($A$3:$A$2002,A1608-1)=0),FALSE),"Nummeret hopper over",IF(OR(NOT(ISNUMBER(B1608)),B1608&lt;DATE(2027,1,1),B1608&gt;DATE(2027,12,31)),"Datoen er ikke i 2027",""))))))</f>
        <v/>
      </c>
    </row>
    <row r="1609">
      <c r="A1609" s="17" t="n"/>
      <c r="B1609" s="9" t="n"/>
      <c r="C1609" s="8" t="n"/>
      <c r="D1609" s="8" t="n"/>
      <c r="E1609" s="8" t="n"/>
      <c r="F1609" s="14" t="n"/>
      <c r="G1609" s="14" t="n"/>
      <c r="H1609" s="8" t="n"/>
      <c r="I1609" s="8" t="n"/>
      <c r="J1609" s="8" t="n"/>
      <c r="K1609" s="18">
        <f>IF(B1609="","",IFERROR(MONTH(B1609),""))</f>
        <v/>
      </c>
      <c r="L1609" s="5">
        <f>IF(COUNTA(A1609:J1609)=0,"",IF(E1609="","Mangler motkonto",IF((F1609="")=(G1609=""),"Fyll ut enten Inn eller Ut",IF(OR(IFERROR(INDEX('Kontoplan'!$D$3:$D$302,MATCH(D1609,'Kontoplan'!$H$3:$H$302,0))="Støttes ikke",FALSE),IFERROR(INDEX('Kontoplan'!$D$3:$D$302,MATCH(E1609,'Kontoplan'!$H$3:$H$302,0))="Støttes ikke",FALSE)),"Kontoen støttes ikke",IF(IFERROR(AND(A1609&gt;1,COUNTIF($A$3:$A$2002,A1609-1)=0),FALSE),"Nummeret hopper over",IF(OR(NOT(ISNUMBER(B1609)),B1609&lt;DATE(2027,1,1),B1609&gt;DATE(2027,12,31)),"Datoen er ikke i 2027",""))))))</f>
        <v/>
      </c>
    </row>
    <row r="1610">
      <c r="A1610" s="17" t="n"/>
      <c r="B1610" s="9" t="n"/>
      <c r="C1610" s="8" t="n"/>
      <c r="D1610" s="8" t="n"/>
      <c r="E1610" s="8" t="n"/>
      <c r="F1610" s="14" t="n"/>
      <c r="G1610" s="14" t="n"/>
      <c r="H1610" s="8" t="n"/>
      <c r="I1610" s="8" t="n"/>
      <c r="J1610" s="8" t="n"/>
      <c r="K1610" s="18">
        <f>IF(B1610="","",IFERROR(MONTH(B1610),""))</f>
        <v/>
      </c>
      <c r="L1610" s="5">
        <f>IF(COUNTA(A1610:J1610)=0,"",IF(E1610="","Mangler motkonto",IF((F1610="")=(G1610=""),"Fyll ut enten Inn eller Ut",IF(OR(IFERROR(INDEX('Kontoplan'!$D$3:$D$302,MATCH(D1610,'Kontoplan'!$H$3:$H$302,0))="Støttes ikke",FALSE),IFERROR(INDEX('Kontoplan'!$D$3:$D$302,MATCH(E1610,'Kontoplan'!$H$3:$H$302,0))="Støttes ikke",FALSE)),"Kontoen støttes ikke",IF(IFERROR(AND(A1610&gt;1,COUNTIF($A$3:$A$2002,A1610-1)=0),FALSE),"Nummeret hopper over",IF(OR(NOT(ISNUMBER(B1610)),B1610&lt;DATE(2027,1,1),B1610&gt;DATE(2027,12,31)),"Datoen er ikke i 2027",""))))))</f>
        <v/>
      </c>
    </row>
    <row r="1611">
      <c r="A1611" s="17" t="n"/>
      <c r="B1611" s="9" t="n"/>
      <c r="C1611" s="8" t="n"/>
      <c r="D1611" s="8" t="n"/>
      <c r="E1611" s="8" t="n"/>
      <c r="F1611" s="14" t="n"/>
      <c r="G1611" s="14" t="n"/>
      <c r="H1611" s="8" t="n"/>
      <c r="I1611" s="8" t="n"/>
      <c r="J1611" s="8" t="n"/>
      <c r="K1611" s="18">
        <f>IF(B1611="","",IFERROR(MONTH(B1611),""))</f>
        <v/>
      </c>
      <c r="L1611" s="5">
        <f>IF(COUNTA(A1611:J1611)=0,"",IF(E1611="","Mangler motkonto",IF((F1611="")=(G1611=""),"Fyll ut enten Inn eller Ut",IF(OR(IFERROR(INDEX('Kontoplan'!$D$3:$D$302,MATCH(D1611,'Kontoplan'!$H$3:$H$302,0))="Støttes ikke",FALSE),IFERROR(INDEX('Kontoplan'!$D$3:$D$302,MATCH(E1611,'Kontoplan'!$H$3:$H$302,0))="Støttes ikke",FALSE)),"Kontoen støttes ikke",IF(IFERROR(AND(A1611&gt;1,COUNTIF($A$3:$A$2002,A1611-1)=0),FALSE),"Nummeret hopper over",IF(OR(NOT(ISNUMBER(B1611)),B1611&lt;DATE(2027,1,1),B1611&gt;DATE(2027,12,31)),"Datoen er ikke i 2027",""))))))</f>
        <v/>
      </c>
    </row>
    <row r="1612">
      <c r="A1612" s="17" t="n"/>
      <c r="B1612" s="9" t="n"/>
      <c r="C1612" s="8" t="n"/>
      <c r="D1612" s="8" t="n"/>
      <c r="E1612" s="8" t="n"/>
      <c r="F1612" s="14" t="n"/>
      <c r="G1612" s="14" t="n"/>
      <c r="H1612" s="8" t="n"/>
      <c r="I1612" s="8" t="n"/>
      <c r="J1612" s="8" t="n"/>
      <c r="K1612" s="18">
        <f>IF(B1612="","",IFERROR(MONTH(B1612),""))</f>
        <v/>
      </c>
      <c r="L1612" s="5">
        <f>IF(COUNTA(A1612:J1612)=0,"",IF(E1612="","Mangler motkonto",IF((F1612="")=(G1612=""),"Fyll ut enten Inn eller Ut",IF(OR(IFERROR(INDEX('Kontoplan'!$D$3:$D$302,MATCH(D1612,'Kontoplan'!$H$3:$H$302,0))="Støttes ikke",FALSE),IFERROR(INDEX('Kontoplan'!$D$3:$D$302,MATCH(E1612,'Kontoplan'!$H$3:$H$302,0))="Støttes ikke",FALSE)),"Kontoen støttes ikke",IF(IFERROR(AND(A1612&gt;1,COUNTIF($A$3:$A$2002,A1612-1)=0),FALSE),"Nummeret hopper over",IF(OR(NOT(ISNUMBER(B1612)),B1612&lt;DATE(2027,1,1),B1612&gt;DATE(2027,12,31)),"Datoen er ikke i 2027",""))))))</f>
        <v/>
      </c>
    </row>
    <row r="1613">
      <c r="A1613" s="17" t="n"/>
      <c r="B1613" s="9" t="n"/>
      <c r="C1613" s="8" t="n"/>
      <c r="D1613" s="8" t="n"/>
      <c r="E1613" s="8" t="n"/>
      <c r="F1613" s="14" t="n"/>
      <c r="G1613" s="14" t="n"/>
      <c r="H1613" s="8" t="n"/>
      <c r="I1613" s="8" t="n"/>
      <c r="J1613" s="8" t="n"/>
      <c r="K1613" s="18">
        <f>IF(B1613="","",IFERROR(MONTH(B1613),""))</f>
        <v/>
      </c>
      <c r="L1613" s="5">
        <f>IF(COUNTA(A1613:J1613)=0,"",IF(E1613="","Mangler motkonto",IF((F1613="")=(G1613=""),"Fyll ut enten Inn eller Ut",IF(OR(IFERROR(INDEX('Kontoplan'!$D$3:$D$302,MATCH(D1613,'Kontoplan'!$H$3:$H$302,0))="Støttes ikke",FALSE),IFERROR(INDEX('Kontoplan'!$D$3:$D$302,MATCH(E1613,'Kontoplan'!$H$3:$H$302,0))="Støttes ikke",FALSE)),"Kontoen støttes ikke",IF(IFERROR(AND(A1613&gt;1,COUNTIF($A$3:$A$2002,A1613-1)=0),FALSE),"Nummeret hopper over",IF(OR(NOT(ISNUMBER(B1613)),B1613&lt;DATE(2027,1,1),B1613&gt;DATE(2027,12,31)),"Datoen er ikke i 2027",""))))))</f>
        <v/>
      </c>
    </row>
    <row r="1614">
      <c r="A1614" s="17" t="n"/>
      <c r="B1614" s="9" t="n"/>
      <c r="C1614" s="8" t="n"/>
      <c r="D1614" s="8" t="n"/>
      <c r="E1614" s="8" t="n"/>
      <c r="F1614" s="14" t="n"/>
      <c r="G1614" s="14" t="n"/>
      <c r="H1614" s="8" t="n"/>
      <c r="I1614" s="8" t="n"/>
      <c r="J1614" s="8" t="n"/>
      <c r="K1614" s="18">
        <f>IF(B1614="","",IFERROR(MONTH(B1614),""))</f>
        <v/>
      </c>
      <c r="L1614" s="5">
        <f>IF(COUNTA(A1614:J1614)=0,"",IF(E1614="","Mangler motkonto",IF((F1614="")=(G1614=""),"Fyll ut enten Inn eller Ut",IF(OR(IFERROR(INDEX('Kontoplan'!$D$3:$D$302,MATCH(D1614,'Kontoplan'!$H$3:$H$302,0))="Støttes ikke",FALSE),IFERROR(INDEX('Kontoplan'!$D$3:$D$302,MATCH(E1614,'Kontoplan'!$H$3:$H$302,0))="Støttes ikke",FALSE)),"Kontoen støttes ikke",IF(IFERROR(AND(A1614&gt;1,COUNTIF($A$3:$A$2002,A1614-1)=0),FALSE),"Nummeret hopper over",IF(OR(NOT(ISNUMBER(B1614)),B1614&lt;DATE(2027,1,1),B1614&gt;DATE(2027,12,31)),"Datoen er ikke i 2027",""))))))</f>
        <v/>
      </c>
    </row>
    <row r="1615">
      <c r="A1615" s="17" t="n"/>
      <c r="B1615" s="9" t="n"/>
      <c r="C1615" s="8" t="n"/>
      <c r="D1615" s="8" t="n"/>
      <c r="E1615" s="8" t="n"/>
      <c r="F1615" s="14" t="n"/>
      <c r="G1615" s="14" t="n"/>
      <c r="H1615" s="8" t="n"/>
      <c r="I1615" s="8" t="n"/>
      <c r="J1615" s="8" t="n"/>
      <c r="K1615" s="18">
        <f>IF(B1615="","",IFERROR(MONTH(B1615),""))</f>
        <v/>
      </c>
      <c r="L1615" s="5">
        <f>IF(COUNTA(A1615:J1615)=0,"",IF(E1615="","Mangler motkonto",IF((F1615="")=(G1615=""),"Fyll ut enten Inn eller Ut",IF(OR(IFERROR(INDEX('Kontoplan'!$D$3:$D$302,MATCH(D1615,'Kontoplan'!$H$3:$H$302,0))="Støttes ikke",FALSE),IFERROR(INDEX('Kontoplan'!$D$3:$D$302,MATCH(E1615,'Kontoplan'!$H$3:$H$302,0))="Støttes ikke",FALSE)),"Kontoen støttes ikke",IF(IFERROR(AND(A1615&gt;1,COUNTIF($A$3:$A$2002,A1615-1)=0),FALSE),"Nummeret hopper over",IF(OR(NOT(ISNUMBER(B1615)),B1615&lt;DATE(2027,1,1),B1615&gt;DATE(2027,12,31)),"Datoen er ikke i 2027",""))))))</f>
        <v/>
      </c>
    </row>
    <row r="1616">
      <c r="A1616" s="17" t="n"/>
      <c r="B1616" s="9" t="n"/>
      <c r="C1616" s="8" t="n"/>
      <c r="D1616" s="8" t="n"/>
      <c r="E1616" s="8" t="n"/>
      <c r="F1616" s="14" t="n"/>
      <c r="G1616" s="14" t="n"/>
      <c r="H1616" s="8" t="n"/>
      <c r="I1616" s="8" t="n"/>
      <c r="J1616" s="8" t="n"/>
      <c r="K1616" s="18">
        <f>IF(B1616="","",IFERROR(MONTH(B1616),""))</f>
        <v/>
      </c>
      <c r="L1616" s="5">
        <f>IF(COUNTA(A1616:J1616)=0,"",IF(E1616="","Mangler motkonto",IF((F1616="")=(G1616=""),"Fyll ut enten Inn eller Ut",IF(OR(IFERROR(INDEX('Kontoplan'!$D$3:$D$302,MATCH(D1616,'Kontoplan'!$H$3:$H$302,0))="Støttes ikke",FALSE),IFERROR(INDEX('Kontoplan'!$D$3:$D$302,MATCH(E1616,'Kontoplan'!$H$3:$H$302,0))="Støttes ikke",FALSE)),"Kontoen støttes ikke",IF(IFERROR(AND(A1616&gt;1,COUNTIF($A$3:$A$2002,A1616-1)=0),FALSE),"Nummeret hopper over",IF(OR(NOT(ISNUMBER(B1616)),B1616&lt;DATE(2027,1,1),B1616&gt;DATE(2027,12,31)),"Datoen er ikke i 2027",""))))))</f>
        <v/>
      </c>
    </row>
    <row r="1617">
      <c r="A1617" s="17" t="n"/>
      <c r="B1617" s="9" t="n"/>
      <c r="C1617" s="8" t="n"/>
      <c r="D1617" s="8" t="n"/>
      <c r="E1617" s="8" t="n"/>
      <c r="F1617" s="14" t="n"/>
      <c r="G1617" s="14" t="n"/>
      <c r="H1617" s="8" t="n"/>
      <c r="I1617" s="8" t="n"/>
      <c r="J1617" s="8" t="n"/>
      <c r="K1617" s="18">
        <f>IF(B1617="","",IFERROR(MONTH(B1617),""))</f>
        <v/>
      </c>
      <c r="L1617" s="5">
        <f>IF(COUNTA(A1617:J1617)=0,"",IF(E1617="","Mangler motkonto",IF((F1617="")=(G1617=""),"Fyll ut enten Inn eller Ut",IF(OR(IFERROR(INDEX('Kontoplan'!$D$3:$D$302,MATCH(D1617,'Kontoplan'!$H$3:$H$302,0))="Støttes ikke",FALSE),IFERROR(INDEX('Kontoplan'!$D$3:$D$302,MATCH(E1617,'Kontoplan'!$H$3:$H$302,0))="Støttes ikke",FALSE)),"Kontoen støttes ikke",IF(IFERROR(AND(A1617&gt;1,COUNTIF($A$3:$A$2002,A1617-1)=0),FALSE),"Nummeret hopper over",IF(OR(NOT(ISNUMBER(B1617)),B1617&lt;DATE(2027,1,1),B1617&gt;DATE(2027,12,31)),"Datoen er ikke i 2027",""))))))</f>
        <v/>
      </c>
    </row>
    <row r="1618">
      <c r="A1618" s="17" t="n"/>
      <c r="B1618" s="9" t="n"/>
      <c r="C1618" s="8" t="n"/>
      <c r="D1618" s="8" t="n"/>
      <c r="E1618" s="8" t="n"/>
      <c r="F1618" s="14" t="n"/>
      <c r="G1618" s="14" t="n"/>
      <c r="H1618" s="8" t="n"/>
      <c r="I1618" s="8" t="n"/>
      <c r="J1618" s="8" t="n"/>
      <c r="K1618" s="18">
        <f>IF(B1618="","",IFERROR(MONTH(B1618),""))</f>
        <v/>
      </c>
      <c r="L1618" s="5">
        <f>IF(COUNTA(A1618:J1618)=0,"",IF(E1618="","Mangler motkonto",IF((F1618="")=(G1618=""),"Fyll ut enten Inn eller Ut",IF(OR(IFERROR(INDEX('Kontoplan'!$D$3:$D$302,MATCH(D1618,'Kontoplan'!$H$3:$H$302,0))="Støttes ikke",FALSE),IFERROR(INDEX('Kontoplan'!$D$3:$D$302,MATCH(E1618,'Kontoplan'!$H$3:$H$302,0))="Støttes ikke",FALSE)),"Kontoen støttes ikke",IF(IFERROR(AND(A1618&gt;1,COUNTIF($A$3:$A$2002,A1618-1)=0),FALSE),"Nummeret hopper over",IF(OR(NOT(ISNUMBER(B1618)),B1618&lt;DATE(2027,1,1),B1618&gt;DATE(2027,12,31)),"Datoen er ikke i 2027",""))))))</f>
        <v/>
      </c>
    </row>
    <row r="1619">
      <c r="A1619" s="17" t="n"/>
      <c r="B1619" s="9" t="n"/>
      <c r="C1619" s="8" t="n"/>
      <c r="D1619" s="8" t="n"/>
      <c r="E1619" s="8" t="n"/>
      <c r="F1619" s="14" t="n"/>
      <c r="G1619" s="14" t="n"/>
      <c r="H1619" s="8" t="n"/>
      <c r="I1619" s="8" t="n"/>
      <c r="J1619" s="8" t="n"/>
      <c r="K1619" s="18">
        <f>IF(B1619="","",IFERROR(MONTH(B1619),""))</f>
        <v/>
      </c>
      <c r="L1619" s="5">
        <f>IF(COUNTA(A1619:J1619)=0,"",IF(E1619="","Mangler motkonto",IF((F1619="")=(G1619=""),"Fyll ut enten Inn eller Ut",IF(OR(IFERROR(INDEX('Kontoplan'!$D$3:$D$302,MATCH(D1619,'Kontoplan'!$H$3:$H$302,0))="Støttes ikke",FALSE),IFERROR(INDEX('Kontoplan'!$D$3:$D$302,MATCH(E1619,'Kontoplan'!$H$3:$H$302,0))="Støttes ikke",FALSE)),"Kontoen støttes ikke",IF(IFERROR(AND(A1619&gt;1,COUNTIF($A$3:$A$2002,A1619-1)=0),FALSE),"Nummeret hopper over",IF(OR(NOT(ISNUMBER(B1619)),B1619&lt;DATE(2027,1,1),B1619&gt;DATE(2027,12,31)),"Datoen er ikke i 2027",""))))))</f>
        <v/>
      </c>
    </row>
    <row r="1620">
      <c r="A1620" s="17" t="n"/>
      <c r="B1620" s="9" t="n"/>
      <c r="C1620" s="8" t="n"/>
      <c r="D1620" s="8" t="n"/>
      <c r="E1620" s="8" t="n"/>
      <c r="F1620" s="14" t="n"/>
      <c r="G1620" s="14" t="n"/>
      <c r="H1620" s="8" t="n"/>
      <c r="I1620" s="8" t="n"/>
      <c r="J1620" s="8" t="n"/>
      <c r="K1620" s="18">
        <f>IF(B1620="","",IFERROR(MONTH(B1620),""))</f>
        <v/>
      </c>
      <c r="L1620" s="5">
        <f>IF(COUNTA(A1620:J1620)=0,"",IF(E1620="","Mangler motkonto",IF((F1620="")=(G1620=""),"Fyll ut enten Inn eller Ut",IF(OR(IFERROR(INDEX('Kontoplan'!$D$3:$D$302,MATCH(D1620,'Kontoplan'!$H$3:$H$302,0))="Støttes ikke",FALSE),IFERROR(INDEX('Kontoplan'!$D$3:$D$302,MATCH(E1620,'Kontoplan'!$H$3:$H$302,0))="Støttes ikke",FALSE)),"Kontoen støttes ikke",IF(IFERROR(AND(A1620&gt;1,COUNTIF($A$3:$A$2002,A1620-1)=0),FALSE),"Nummeret hopper over",IF(OR(NOT(ISNUMBER(B1620)),B1620&lt;DATE(2027,1,1),B1620&gt;DATE(2027,12,31)),"Datoen er ikke i 2027",""))))))</f>
        <v/>
      </c>
    </row>
    <row r="1621">
      <c r="A1621" s="17" t="n"/>
      <c r="B1621" s="9" t="n"/>
      <c r="C1621" s="8" t="n"/>
      <c r="D1621" s="8" t="n"/>
      <c r="E1621" s="8" t="n"/>
      <c r="F1621" s="14" t="n"/>
      <c r="G1621" s="14" t="n"/>
      <c r="H1621" s="8" t="n"/>
      <c r="I1621" s="8" t="n"/>
      <c r="J1621" s="8" t="n"/>
      <c r="K1621" s="18">
        <f>IF(B1621="","",IFERROR(MONTH(B1621),""))</f>
        <v/>
      </c>
      <c r="L1621" s="5">
        <f>IF(COUNTA(A1621:J1621)=0,"",IF(E1621="","Mangler motkonto",IF((F1621="")=(G1621=""),"Fyll ut enten Inn eller Ut",IF(OR(IFERROR(INDEX('Kontoplan'!$D$3:$D$302,MATCH(D1621,'Kontoplan'!$H$3:$H$302,0))="Støttes ikke",FALSE),IFERROR(INDEX('Kontoplan'!$D$3:$D$302,MATCH(E1621,'Kontoplan'!$H$3:$H$302,0))="Støttes ikke",FALSE)),"Kontoen støttes ikke",IF(IFERROR(AND(A1621&gt;1,COUNTIF($A$3:$A$2002,A1621-1)=0),FALSE),"Nummeret hopper over",IF(OR(NOT(ISNUMBER(B1621)),B1621&lt;DATE(2027,1,1),B1621&gt;DATE(2027,12,31)),"Datoen er ikke i 2027",""))))))</f>
        <v/>
      </c>
    </row>
    <row r="1622">
      <c r="A1622" s="17" t="n"/>
      <c r="B1622" s="9" t="n"/>
      <c r="C1622" s="8" t="n"/>
      <c r="D1622" s="8" t="n"/>
      <c r="E1622" s="8" t="n"/>
      <c r="F1622" s="14" t="n"/>
      <c r="G1622" s="14" t="n"/>
      <c r="H1622" s="8" t="n"/>
      <c r="I1622" s="8" t="n"/>
      <c r="J1622" s="8" t="n"/>
      <c r="K1622" s="18">
        <f>IF(B1622="","",IFERROR(MONTH(B1622),""))</f>
        <v/>
      </c>
      <c r="L1622" s="5">
        <f>IF(COUNTA(A1622:J1622)=0,"",IF(E1622="","Mangler motkonto",IF((F1622="")=(G1622=""),"Fyll ut enten Inn eller Ut",IF(OR(IFERROR(INDEX('Kontoplan'!$D$3:$D$302,MATCH(D1622,'Kontoplan'!$H$3:$H$302,0))="Støttes ikke",FALSE),IFERROR(INDEX('Kontoplan'!$D$3:$D$302,MATCH(E1622,'Kontoplan'!$H$3:$H$302,0))="Støttes ikke",FALSE)),"Kontoen støttes ikke",IF(IFERROR(AND(A1622&gt;1,COUNTIF($A$3:$A$2002,A1622-1)=0),FALSE),"Nummeret hopper over",IF(OR(NOT(ISNUMBER(B1622)),B1622&lt;DATE(2027,1,1),B1622&gt;DATE(2027,12,31)),"Datoen er ikke i 2027",""))))))</f>
        <v/>
      </c>
    </row>
    <row r="1623">
      <c r="A1623" s="17" t="n"/>
      <c r="B1623" s="9" t="n"/>
      <c r="C1623" s="8" t="n"/>
      <c r="D1623" s="8" t="n"/>
      <c r="E1623" s="8" t="n"/>
      <c r="F1623" s="14" t="n"/>
      <c r="G1623" s="14" t="n"/>
      <c r="H1623" s="8" t="n"/>
      <c r="I1623" s="8" t="n"/>
      <c r="J1623" s="8" t="n"/>
      <c r="K1623" s="18">
        <f>IF(B1623="","",IFERROR(MONTH(B1623),""))</f>
        <v/>
      </c>
      <c r="L1623" s="5">
        <f>IF(COUNTA(A1623:J1623)=0,"",IF(E1623="","Mangler motkonto",IF((F1623="")=(G1623=""),"Fyll ut enten Inn eller Ut",IF(OR(IFERROR(INDEX('Kontoplan'!$D$3:$D$302,MATCH(D1623,'Kontoplan'!$H$3:$H$302,0))="Støttes ikke",FALSE),IFERROR(INDEX('Kontoplan'!$D$3:$D$302,MATCH(E1623,'Kontoplan'!$H$3:$H$302,0))="Støttes ikke",FALSE)),"Kontoen støttes ikke",IF(IFERROR(AND(A1623&gt;1,COUNTIF($A$3:$A$2002,A1623-1)=0),FALSE),"Nummeret hopper over",IF(OR(NOT(ISNUMBER(B1623)),B1623&lt;DATE(2027,1,1),B1623&gt;DATE(2027,12,31)),"Datoen er ikke i 2027",""))))))</f>
        <v/>
      </c>
    </row>
    <row r="1624">
      <c r="A1624" s="17" t="n"/>
      <c r="B1624" s="9" t="n"/>
      <c r="C1624" s="8" t="n"/>
      <c r="D1624" s="8" t="n"/>
      <c r="E1624" s="8" t="n"/>
      <c r="F1624" s="14" t="n"/>
      <c r="G1624" s="14" t="n"/>
      <c r="H1624" s="8" t="n"/>
      <c r="I1624" s="8" t="n"/>
      <c r="J1624" s="8" t="n"/>
      <c r="K1624" s="18">
        <f>IF(B1624="","",IFERROR(MONTH(B1624),""))</f>
        <v/>
      </c>
      <c r="L1624" s="5">
        <f>IF(COUNTA(A1624:J1624)=0,"",IF(E1624="","Mangler motkonto",IF((F1624="")=(G1624=""),"Fyll ut enten Inn eller Ut",IF(OR(IFERROR(INDEX('Kontoplan'!$D$3:$D$302,MATCH(D1624,'Kontoplan'!$H$3:$H$302,0))="Støttes ikke",FALSE),IFERROR(INDEX('Kontoplan'!$D$3:$D$302,MATCH(E1624,'Kontoplan'!$H$3:$H$302,0))="Støttes ikke",FALSE)),"Kontoen støttes ikke",IF(IFERROR(AND(A1624&gt;1,COUNTIF($A$3:$A$2002,A1624-1)=0),FALSE),"Nummeret hopper over",IF(OR(NOT(ISNUMBER(B1624)),B1624&lt;DATE(2027,1,1),B1624&gt;DATE(2027,12,31)),"Datoen er ikke i 2027",""))))))</f>
        <v/>
      </c>
    </row>
    <row r="1625">
      <c r="A1625" s="17" t="n"/>
      <c r="B1625" s="9" t="n"/>
      <c r="C1625" s="8" t="n"/>
      <c r="D1625" s="8" t="n"/>
      <c r="E1625" s="8" t="n"/>
      <c r="F1625" s="14" t="n"/>
      <c r="G1625" s="14" t="n"/>
      <c r="H1625" s="8" t="n"/>
      <c r="I1625" s="8" t="n"/>
      <c r="J1625" s="8" t="n"/>
      <c r="K1625" s="18">
        <f>IF(B1625="","",IFERROR(MONTH(B1625),""))</f>
        <v/>
      </c>
      <c r="L1625" s="5">
        <f>IF(COUNTA(A1625:J1625)=0,"",IF(E1625="","Mangler motkonto",IF((F1625="")=(G1625=""),"Fyll ut enten Inn eller Ut",IF(OR(IFERROR(INDEX('Kontoplan'!$D$3:$D$302,MATCH(D1625,'Kontoplan'!$H$3:$H$302,0))="Støttes ikke",FALSE),IFERROR(INDEX('Kontoplan'!$D$3:$D$302,MATCH(E1625,'Kontoplan'!$H$3:$H$302,0))="Støttes ikke",FALSE)),"Kontoen støttes ikke",IF(IFERROR(AND(A1625&gt;1,COUNTIF($A$3:$A$2002,A1625-1)=0),FALSE),"Nummeret hopper over",IF(OR(NOT(ISNUMBER(B1625)),B1625&lt;DATE(2027,1,1),B1625&gt;DATE(2027,12,31)),"Datoen er ikke i 2027",""))))))</f>
        <v/>
      </c>
    </row>
    <row r="1626">
      <c r="A1626" s="17" t="n"/>
      <c r="B1626" s="9" t="n"/>
      <c r="C1626" s="8" t="n"/>
      <c r="D1626" s="8" t="n"/>
      <c r="E1626" s="8" t="n"/>
      <c r="F1626" s="14" t="n"/>
      <c r="G1626" s="14" t="n"/>
      <c r="H1626" s="8" t="n"/>
      <c r="I1626" s="8" t="n"/>
      <c r="J1626" s="8" t="n"/>
      <c r="K1626" s="18">
        <f>IF(B1626="","",IFERROR(MONTH(B1626),""))</f>
        <v/>
      </c>
      <c r="L1626" s="5">
        <f>IF(COUNTA(A1626:J1626)=0,"",IF(E1626="","Mangler motkonto",IF((F1626="")=(G1626=""),"Fyll ut enten Inn eller Ut",IF(OR(IFERROR(INDEX('Kontoplan'!$D$3:$D$302,MATCH(D1626,'Kontoplan'!$H$3:$H$302,0))="Støttes ikke",FALSE),IFERROR(INDEX('Kontoplan'!$D$3:$D$302,MATCH(E1626,'Kontoplan'!$H$3:$H$302,0))="Støttes ikke",FALSE)),"Kontoen støttes ikke",IF(IFERROR(AND(A1626&gt;1,COUNTIF($A$3:$A$2002,A1626-1)=0),FALSE),"Nummeret hopper over",IF(OR(NOT(ISNUMBER(B1626)),B1626&lt;DATE(2027,1,1),B1626&gt;DATE(2027,12,31)),"Datoen er ikke i 2027",""))))))</f>
        <v/>
      </c>
    </row>
    <row r="1627">
      <c r="A1627" s="17" t="n"/>
      <c r="B1627" s="9" t="n"/>
      <c r="C1627" s="8" t="n"/>
      <c r="D1627" s="8" t="n"/>
      <c r="E1627" s="8" t="n"/>
      <c r="F1627" s="14" t="n"/>
      <c r="G1627" s="14" t="n"/>
      <c r="H1627" s="8" t="n"/>
      <c r="I1627" s="8" t="n"/>
      <c r="J1627" s="8" t="n"/>
      <c r="K1627" s="18">
        <f>IF(B1627="","",IFERROR(MONTH(B1627),""))</f>
        <v/>
      </c>
      <c r="L1627" s="5">
        <f>IF(COUNTA(A1627:J1627)=0,"",IF(E1627="","Mangler motkonto",IF((F1627="")=(G1627=""),"Fyll ut enten Inn eller Ut",IF(OR(IFERROR(INDEX('Kontoplan'!$D$3:$D$302,MATCH(D1627,'Kontoplan'!$H$3:$H$302,0))="Støttes ikke",FALSE),IFERROR(INDEX('Kontoplan'!$D$3:$D$302,MATCH(E1627,'Kontoplan'!$H$3:$H$302,0))="Støttes ikke",FALSE)),"Kontoen støttes ikke",IF(IFERROR(AND(A1627&gt;1,COUNTIF($A$3:$A$2002,A1627-1)=0),FALSE),"Nummeret hopper over",IF(OR(NOT(ISNUMBER(B1627)),B1627&lt;DATE(2027,1,1),B1627&gt;DATE(2027,12,31)),"Datoen er ikke i 2027",""))))))</f>
        <v/>
      </c>
    </row>
    <row r="1628">
      <c r="A1628" s="17" t="n"/>
      <c r="B1628" s="9" t="n"/>
      <c r="C1628" s="8" t="n"/>
      <c r="D1628" s="8" t="n"/>
      <c r="E1628" s="8" t="n"/>
      <c r="F1628" s="14" t="n"/>
      <c r="G1628" s="14" t="n"/>
      <c r="H1628" s="8" t="n"/>
      <c r="I1628" s="8" t="n"/>
      <c r="J1628" s="8" t="n"/>
      <c r="K1628" s="18">
        <f>IF(B1628="","",IFERROR(MONTH(B1628),""))</f>
        <v/>
      </c>
      <c r="L1628" s="5">
        <f>IF(COUNTA(A1628:J1628)=0,"",IF(E1628="","Mangler motkonto",IF((F1628="")=(G1628=""),"Fyll ut enten Inn eller Ut",IF(OR(IFERROR(INDEX('Kontoplan'!$D$3:$D$302,MATCH(D1628,'Kontoplan'!$H$3:$H$302,0))="Støttes ikke",FALSE),IFERROR(INDEX('Kontoplan'!$D$3:$D$302,MATCH(E1628,'Kontoplan'!$H$3:$H$302,0))="Støttes ikke",FALSE)),"Kontoen støttes ikke",IF(IFERROR(AND(A1628&gt;1,COUNTIF($A$3:$A$2002,A1628-1)=0),FALSE),"Nummeret hopper over",IF(OR(NOT(ISNUMBER(B1628)),B1628&lt;DATE(2027,1,1),B1628&gt;DATE(2027,12,31)),"Datoen er ikke i 2027",""))))))</f>
        <v/>
      </c>
    </row>
    <row r="1629">
      <c r="A1629" s="17" t="n"/>
      <c r="B1629" s="9" t="n"/>
      <c r="C1629" s="8" t="n"/>
      <c r="D1629" s="8" t="n"/>
      <c r="E1629" s="8" t="n"/>
      <c r="F1629" s="14" t="n"/>
      <c r="G1629" s="14" t="n"/>
      <c r="H1629" s="8" t="n"/>
      <c r="I1629" s="8" t="n"/>
      <c r="J1629" s="8" t="n"/>
      <c r="K1629" s="18">
        <f>IF(B1629="","",IFERROR(MONTH(B1629),""))</f>
        <v/>
      </c>
      <c r="L1629" s="5">
        <f>IF(COUNTA(A1629:J1629)=0,"",IF(E1629="","Mangler motkonto",IF((F1629="")=(G1629=""),"Fyll ut enten Inn eller Ut",IF(OR(IFERROR(INDEX('Kontoplan'!$D$3:$D$302,MATCH(D1629,'Kontoplan'!$H$3:$H$302,0))="Støttes ikke",FALSE),IFERROR(INDEX('Kontoplan'!$D$3:$D$302,MATCH(E1629,'Kontoplan'!$H$3:$H$302,0))="Støttes ikke",FALSE)),"Kontoen støttes ikke",IF(IFERROR(AND(A1629&gt;1,COUNTIF($A$3:$A$2002,A1629-1)=0),FALSE),"Nummeret hopper over",IF(OR(NOT(ISNUMBER(B1629)),B1629&lt;DATE(2027,1,1),B1629&gt;DATE(2027,12,31)),"Datoen er ikke i 2027",""))))))</f>
        <v/>
      </c>
    </row>
    <row r="1630">
      <c r="A1630" s="17" t="n"/>
      <c r="B1630" s="9" t="n"/>
      <c r="C1630" s="8" t="n"/>
      <c r="D1630" s="8" t="n"/>
      <c r="E1630" s="8" t="n"/>
      <c r="F1630" s="14" t="n"/>
      <c r="G1630" s="14" t="n"/>
      <c r="H1630" s="8" t="n"/>
      <c r="I1630" s="8" t="n"/>
      <c r="J1630" s="8" t="n"/>
      <c r="K1630" s="18">
        <f>IF(B1630="","",IFERROR(MONTH(B1630),""))</f>
        <v/>
      </c>
      <c r="L1630" s="5">
        <f>IF(COUNTA(A1630:J1630)=0,"",IF(E1630="","Mangler motkonto",IF((F1630="")=(G1630=""),"Fyll ut enten Inn eller Ut",IF(OR(IFERROR(INDEX('Kontoplan'!$D$3:$D$302,MATCH(D1630,'Kontoplan'!$H$3:$H$302,0))="Støttes ikke",FALSE),IFERROR(INDEX('Kontoplan'!$D$3:$D$302,MATCH(E1630,'Kontoplan'!$H$3:$H$302,0))="Støttes ikke",FALSE)),"Kontoen støttes ikke",IF(IFERROR(AND(A1630&gt;1,COUNTIF($A$3:$A$2002,A1630-1)=0),FALSE),"Nummeret hopper over",IF(OR(NOT(ISNUMBER(B1630)),B1630&lt;DATE(2027,1,1),B1630&gt;DATE(2027,12,31)),"Datoen er ikke i 2027",""))))))</f>
        <v/>
      </c>
    </row>
    <row r="1631">
      <c r="A1631" s="17" t="n"/>
      <c r="B1631" s="9" t="n"/>
      <c r="C1631" s="8" t="n"/>
      <c r="D1631" s="8" t="n"/>
      <c r="E1631" s="8" t="n"/>
      <c r="F1631" s="14" t="n"/>
      <c r="G1631" s="14" t="n"/>
      <c r="H1631" s="8" t="n"/>
      <c r="I1631" s="8" t="n"/>
      <c r="J1631" s="8" t="n"/>
      <c r="K1631" s="18">
        <f>IF(B1631="","",IFERROR(MONTH(B1631),""))</f>
        <v/>
      </c>
      <c r="L1631" s="5">
        <f>IF(COUNTA(A1631:J1631)=0,"",IF(E1631="","Mangler motkonto",IF((F1631="")=(G1631=""),"Fyll ut enten Inn eller Ut",IF(OR(IFERROR(INDEX('Kontoplan'!$D$3:$D$302,MATCH(D1631,'Kontoplan'!$H$3:$H$302,0))="Støttes ikke",FALSE),IFERROR(INDEX('Kontoplan'!$D$3:$D$302,MATCH(E1631,'Kontoplan'!$H$3:$H$302,0))="Støttes ikke",FALSE)),"Kontoen støttes ikke",IF(IFERROR(AND(A1631&gt;1,COUNTIF($A$3:$A$2002,A1631-1)=0),FALSE),"Nummeret hopper over",IF(OR(NOT(ISNUMBER(B1631)),B1631&lt;DATE(2027,1,1),B1631&gt;DATE(2027,12,31)),"Datoen er ikke i 2027",""))))))</f>
        <v/>
      </c>
    </row>
    <row r="1632">
      <c r="A1632" s="17" t="n"/>
      <c r="B1632" s="9" t="n"/>
      <c r="C1632" s="8" t="n"/>
      <c r="D1632" s="8" t="n"/>
      <c r="E1632" s="8" t="n"/>
      <c r="F1632" s="14" t="n"/>
      <c r="G1632" s="14" t="n"/>
      <c r="H1632" s="8" t="n"/>
      <c r="I1632" s="8" t="n"/>
      <c r="J1632" s="8" t="n"/>
      <c r="K1632" s="18">
        <f>IF(B1632="","",IFERROR(MONTH(B1632),""))</f>
        <v/>
      </c>
      <c r="L1632" s="5">
        <f>IF(COUNTA(A1632:J1632)=0,"",IF(E1632="","Mangler motkonto",IF((F1632="")=(G1632=""),"Fyll ut enten Inn eller Ut",IF(OR(IFERROR(INDEX('Kontoplan'!$D$3:$D$302,MATCH(D1632,'Kontoplan'!$H$3:$H$302,0))="Støttes ikke",FALSE),IFERROR(INDEX('Kontoplan'!$D$3:$D$302,MATCH(E1632,'Kontoplan'!$H$3:$H$302,0))="Støttes ikke",FALSE)),"Kontoen støttes ikke",IF(IFERROR(AND(A1632&gt;1,COUNTIF($A$3:$A$2002,A1632-1)=0),FALSE),"Nummeret hopper over",IF(OR(NOT(ISNUMBER(B1632)),B1632&lt;DATE(2027,1,1),B1632&gt;DATE(2027,12,31)),"Datoen er ikke i 2027",""))))))</f>
        <v/>
      </c>
    </row>
    <row r="1633">
      <c r="A1633" s="17" t="n"/>
      <c r="B1633" s="9" t="n"/>
      <c r="C1633" s="8" t="n"/>
      <c r="D1633" s="8" t="n"/>
      <c r="E1633" s="8" t="n"/>
      <c r="F1633" s="14" t="n"/>
      <c r="G1633" s="14" t="n"/>
      <c r="H1633" s="8" t="n"/>
      <c r="I1633" s="8" t="n"/>
      <c r="J1633" s="8" t="n"/>
      <c r="K1633" s="18">
        <f>IF(B1633="","",IFERROR(MONTH(B1633),""))</f>
        <v/>
      </c>
      <c r="L1633" s="5">
        <f>IF(COUNTA(A1633:J1633)=0,"",IF(E1633="","Mangler motkonto",IF((F1633="")=(G1633=""),"Fyll ut enten Inn eller Ut",IF(OR(IFERROR(INDEX('Kontoplan'!$D$3:$D$302,MATCH(D1633,'Kontoplan'!$H$3:$H$302,0))="Støttes ikke",FALSE),IFERROR(INDEX('Kontoplan'!$D$3:$D$302,MATCH(E1633,'Kontoplan'!$H$3:$H$302,0))="Støttes ikke",FALSE)),"Kontoen støttes ikke",IF(IFERROR(AND(A1633&gt;1,COUNTIF($A$3:$A$2002,A1633-1)=0),FALSE),"Nummeret hopper over",IF(OR(NOT(ISNUMBER(B1633)),B1633&lt;DATE(2027,1,1),B1633&gt;DATE(2027,12,31)),"Datoen er ikke i 2027",""))))))</f>
        <v/>
      </c>
    </row>
    <row r="1634">
      <c r="A1634" s="17" t="n"/>
      <c r="B1634" s="9" t="n"/>
      <c r="C1634" s="8" t="n"/>
      <c r="D1634" s="8" t="n"/>
      <c r="E1634" s="8" t="n"/>
      <c r="F1634" s="14" t="n"/>
      <c r="G1634" s="14" t="n"/>
      <c r="H1634" s="8" t="n"/>
      <c r="I1634" s="8" t="n"/>
      <c r="J1634" s="8" t="n"/>
      <c r="K1634" s="18">
        <f>IF(B1634="","",IFERROR(MONTH(B1634),""))</f>
        <v/>
      </c>
      <c r="L1634" s="5">
        <f>IF(COUNTA(A1634:J1634)=0,"",IF(E1634="","Mangler motkonto",IF((F1634="")=(G1634=""),"Fyll ut enten Inn eller Ut",IF(OR(IFERROR(INDEX('Kontoplan'!$D$3:$D$302,MATCH(D1634,'Kontoplan'!$H$3:$H$302,0))="Støttes ikke",FALSE),IFERROR(INDEX('Kontoplan'!$D$3:$D$302,MATCH(E1634,'Kontoplan'!$H$3:$H$302,0))="Støttes ikke",FALSE)),"Kontoen støttes ikke",IF(IFERROR(AND(A1634&gt;1,COUNTIF($A$3:$A$2002,A1634-1)=0),FALSE),"Nummeret hopper over",IF(OR(NOT(ISNUMBER(B1634)),B1634&lt;DATE(2027,1,1),B1634&gt;DATE(2027,12,31)),"Datoen er ikke i 2027",""))))))</f>
        <v/>
      </c>
    </row>
    <row r="1635">
      <c r="A1635" s="17" t="n"/>
      <c r="B1635" s="9" t="n"/>
      <c r="C1635" s="8" t="n"/>
      <c r="D1635" s="8" t="n"/>
      <c r="E1635" s="8" t="n"/>
      <c r="F1635" s="14" t="n"/>
      <c r="G1635" s="14" t="n"/>
      <c r="H1635" s="8" t="n"/>
      <c r="I1635" s="8" t="n"/>
      <c r="J1635" s="8" t="n"/>
      <c r="K1635" s="18">
        <f>IF(B1635="","",IFERROR(MONTH(B1635),""))</f>
        <v/>
      </c>
      <c r="L1635" s="5">
        <f>IF(COUNTA(A1635:J1635)=0,"",IF(E1635="","Mangler motkonto",IF((F1635="")=(G1635=""),"Fyll ut enten Inn eller Ut",IF(OR(IFERROR(INDEX('Kontoplan'!$D$3:$D$302,MATCH(D1635,'Kontoplan'!$H$3:$H$302,0))="Støttes ikke",FALSE),IFERROR(INDEX('Kontoplan'!$D$3:$D$302,MATCH(E1635,'Kontoplan'!$H$3:$H$302,0))="Støttes ikke",FALSE)),"Kontoen støttes ikke",IF(IFERROR(AND(A1635&gt;1,COUNTIF($A$3:$A$2002,A1635-1)=0),FALSE),"Nummeret hopper over",IF(OR(NOT(ISNUMBER(B1635)),B1635&lt;DATE(2027,1,1),B1635&gt;DATE(2027,12,31)),"Datoen er ikke i 2027",""))))))</f>
        <v/>
      </c>
    </row>
    <row r="1636">
      <c r="A1636" s="17" t="n"/>
      <c r="B1636" s="9" t="n"/>
      <c r="C1636" s="8" t="n"/>
      <c r="D1636" s="8" t="n"/>
      <c r="E1636" s="8" t="n"/>
      <c r="F1636" s="14" t="n"/>
      <c r="G1636" s="14" t="n"/>
      <c r="H1636" s="8" t="n"/>
      <c r="I1636" s="8" t="n"/>
      <c r="J1636" s="8" t="n"/>
      <c r="K1636" s="18">
        <f>IF(B1636="","",IFERROR(MONTH(B1636),""))</f>
        <v/>
      </c>
      <c r="L1636" s="5">
        <f>IF(COUNTA(A1636:J1636)=0,"",IF(E1636="","Mangler motkonto",IF((F1636="")=(G1636=""),"Fyll ut enten Inn eller Ut",IF(OR(IFERROR(INDEX('Kontoplan'!$D$3:$D$302,MATCH(D1636,'Kontoplan'!$H$3:$H$302,0))="Støttes ikke",FALSE),IFERROR(INDEX('Kontoplan'!$D$3:$D$302,MATCH(E1636,'Kontoplan'!$H$3:$H$302,0))="Støttes ikke",FALSE)),"Kontoen støttes ikke",IF(IFERROR(AND(A1636&gt;1,COUNTIF($A$3:$A$2002,A1636-1)=0),FALSE),"Nummeret hopper over",IF(OR(NOT(ISNUMBER(B1636)),B1636&lt;DATE(2027,1,1),B1636&gt;DATE(2027,12,31)),"Datoen er ikke i 2027",""))))))</f>
        <v/>
      </c>
    </row>
    <row r="1637">
      <c r="A1637" s="17" t="n"/>
      <c r="B1637" s="9" t="n"/>
      <c r="C1637" s="8" t="n"/>
      <c r="D1637" s="8" t="n"/>
      <c r="E1637" s="8" t="n"/>
      <c r="F1637" s="14" t="n"/>
      <c r="G1637" s="14" t="n"/>
      <c r="H1637" s="8" t="n"/>
      <c r="I1637" s="8" t="n"/>
      <c r="J1637" s="8" t="n"/>
      <c r="K1637" s="18">
        <f>IF(B1637="","",IFERROR(MONTH(B1637),""))</f>
        <v/>
      </c>
      <c r="L1637" s="5">
        <f>IF(COUNTA(A1637:J1637)=0,"",IF(E1637="","Mangler motkonto",IF((F1637="")=(G1637=""),"Fyll ut enten Inn eller Ut",IF(OR(IFERROR(INDEX('Kontoplan'!$D$3:$D$302,MATCH(D1637,'Kontoplan'!$H$3:$H$302,0))="Støttes ikke",FALSE),IFERROR(INDEX('Kontoplan'!$D$3:$D$302,MATCH(E1637,'Kontoplan'!$H$3:$H$302,0))="Støttes ikke",FALSE)),"Kontoen støttes ikke",IF(IFERROR(AND(A1637&gt;1,COUNTIF($A$3:$A$2002,A1637-1)=0),FALSE),"Nummeret hopper over",IF(OR(NOT(ISNUMBER(B1637)),B1637&lt;DATE(2027,1,1),B1637&gt;DATE(2027,12,31)),"Datoen er ikke i 2027",""))))))</f>
        <v/>
      </c>
    </row>
    <row r="1638">
      <c r="A1638" s="17" t="n"/>
      <c r="B1638" s="9" t="n"/>
      <c r="C1638" s="8" t="n"/>
      <c r="D1638" s="8" t="n"/>
      <c r="E1638" s="8" t="n"/>
      <c r="F1638" s="14" t="n"/>
      <c r="G1638" s="14" t="n"/>
      <c r="H1638" s="8" t="n"/>
      <c r="I1638" s="8" t="n"/>
      <c r="J1638" s="8" t="n"/>
      <c r="K1638" s="18">
        <f>IF(B1638="","",IFERROR(MONTH(B1638),""))</f>
        <v/>
      </c>
      <c r="L1638" s="5">
        <f>IF(COUNTA(A1638:J1638)=0,"",IF(E1638="","Mangler motkonto",IF((F1638="")=(G1638=""),"Fyll ut enten Inn eller Ut",IF(OR(IFERROR(INDEX('Kontoplan'!$D$3:$D$302,MATCH(D1638,'Kontoplan'!$H$3:$H$302,0))="Støttes ikke",FALSE),IFERROR(INDEX('Kontoplan'!$D$3:$D$302,MATCH(E1638,'Kontoplan'!$H$3:$H$302,0))="Støttes ikke",FALSE)),"Kontoen støttes ikke",IF(IFERROR(AND(A1638&gt;1,COUNTIF($A$3:$A$2002,A1638-1)=0),FALSE),"Nummeret hopper over",IF(OR(NOT(ISNUMBER(B1638)),B1638&lt;DATE(2027,1,1),B1638&gt;DATE(2027,12,31)),"Datoen er ikke i 2027",""))))))</f>
        <v/>
      </c>
    </row>
    <row r="1639">
      <c r="A1639" s="17" t="n"/>
      <c r="B1639" s="9" t="n"/>
      <c r="C1639" s="8" t="n"/>
      <c r="D1639" s="8" t="n"/>
      <c r="E1639" s="8" t="n"/>
      <c r="F1639" s="14" t="n"/>
      <c r="G1639" s="14" t="n"/>
      <c r="H1639" s="8" t="n"/>
      <c r="I1639" s="8" t="n"/>
      <c r="J1639" s="8" t="n"/>
      <c r="K1639" s="18">
        <f>IF(B1639="","",IFERROR(MONTH(B1639),""))</f>
        <v/>
      </c>
      <c r="L1639" s="5">
        <f>IF(COUNTA(A1639:J1639)=0,"",IF(E1639="","Mangler motkonto",IF((F1639="")=(G1639=""),"Fyll ut enten Inn eller Ut",IF(OR(IFERROR(INDEX('Kontoplan'!$D$3:$D$302,MATCH(D1639,'Kontoplan'!$H$3:$H$302,0))="Støttes ikke",FALSE),IFERROR(INDEX('Kontoplan'!$D$3:$D$302,MATCH(E1639,'Kontoplan'!$H$3:$H$302,0))="Støttes ikke",FALSE)),"Kontoen støttes ikke",IF(IFERROR(AND(A1639&gt;1,COUNTIF($A$3:$A$2002,A1639-1)=0),FALSE),"Nummeret hopper over",IF(OR(NOT(ISNUMBER(B1639)),B1639&lt;DATE(2027,1,1),B1639&gt;DATE(2027,12,31)),"Datoen er ikke i 2027",""))))))</f>
        <v/>
      </c>
    </row>
    <row r="1640">
      <c r="A1640" s="17" t="n"/>
      <c r="B1640" s="9" t="n"/>
      <c r="C1640" s="8" t="n"/>
      <c r="D1640" s="8" t="n"/>
      <c r="E1640" s="8" t="n"/>
      <c r="F1640" s="14" t="n"/>
      <c r="G1640" s="14" t="n"/>
      <c r="H1640" s="8" t="n"/>
      <c r="I1640" s="8" t="n"/>
      <c r="J1640" s="8" t="n"/>
      <c r="K1640" s="18">
        <f>IF(B1640="","",IFERROR(MONTH(B1640),""))</f>
        <v/>
      </c>
      <c r="L1640" s="5">
        <f>IF(COUNTA(A1640:J1640)=0,"",IF(E1640="","Mangler motkonto",IF((F1640="")=(G1640=""),"Fyll ut enten Inn eller Ut",IF(OR(IFERROR(INDEX('Kontoplan'!$D$3:$D$302,MATCH(D1640,'Kontoplan'!$H$3:$H$302,0))="Støttes ikke",FALSE),IFERROR(INDEX('Kontoplan'!$D$3:$D$302,MATCH(E1640,'Kontoplan'!$H$3:$H$302,0))="Støttes ikke",FALSE)),"Kontoen støttes ikke",IF(IFERROR(AND(A1640&gt;1,COUNTIF($A$3:$A$2002,A1640-1)=0),FALSE),"Nummeret hopper over",IF(OR(NOT(ISNUMBER(B1640)),B1640&lt;DATE(2027,1,1),B1640&gt;DATE(2027,12,31)),"Datoen er ikke i 2027",""))))))</f>
        <v/>
      </c>
    </row>
    <row r="1641">
      <c r="A1641" s="17" t="n"/>
      <c r="B1641" s="9" t="n"/>
      <c r="C1641" s="8" t="n"/>
      <c r="D1641" s="8" t="n"/>
      <c r="E1641" s="8" t="n"/>
      <c r="F1641" s="14" t="n"/>
      <c r="G1641" s="14" t="n"/>
      <c r="H1641" s="8" t="n"/>
      <c r="I1641" s="8" t="n"/>
      <c r="J1641" s="8" t="n"/>
      <c r="K1641" s="18">
        <f>IF(B1641="","",IFERROR(MONTH(B1641),""))</f>
        <v/>
      </c>
      <c r="L1641" s="5">
        <f>IF(COUNTA(A1641:J1641)=0,"",IF(E1641="","Mangler motkonto",IF((F1641="")=(G1641=""),"Fyll ut enten Inn eller Ut",IF(OR(IFERROR(INDEX('Kontoplan'!$D$3:$D$302,MATCH(D1641,'Kontoplan'!$H$3:$H$302,0))="Støttes ikke",FALSE),IFERROR(INDEX('Kontoplan'!$D$3:$D$302,MATCH(E1641,'Kontoplan'!$H$3:$H$302,0))="Støttes ikke",FALSE)),"Kontoen støttes ikke",IF(IFERROR(AND(A1641&gt;1,COUNTIF($A$3:$A$2002,A1641-1)=0),FALSE),"Nummeret hopper over",IF(OR(NOT(ISNUMBER(B1641)),B1641&lt;DATE(2027,1,1),B1641&gt;DATE(2027,12,31)),"Datoen er ikke i 2027",""))))))</f>
        <v/>
      </c>
    </row>
    <row r="1642">
      <c r="A1642" s="17" t="n"/>
      <c r="B1642" s="9" t="n"/>
      <c r="C1642" s="8" t="n"/>
      <c r="D1642" s="8" t="n"/>
      <c r="E1642" s="8" t="n"/>
      <c r="F1642" s="14" t="n"/>
      <c r="G1642" s="14" t="n"/>
      <c r="H1642" s="8" t="n"/>
      <c r="I1642" s="8" t="n"/>
      <c r="J1642" s="8" t="n"/>
      <c r="K1642" s="18">
        <f>IF(B1642="","",IFERROR(MONTH(B1642),""))</f>
        <v/>
      </c>
      <c r="L1642" s="5">
        <f>IF(COUNTA(A1642:J1642)=0,"",IF(E1642="","Mangler motkonto",IF((F1642="")=(G1642=""),"Fyll ut enten Inn eller Ut",IF(OR(IFERROR(INDEX('Kontoplan'!$D$3:$D$302,MATCH(D1642,'Kontoplan'!$H$3:$H$302,0))="Støttes ikke",FALSE),IFERROR(INDEX('Kontoplan'!$D$3:$D$302,MATCH(E1642,'Kontoplan'!$H$3:$H$302,0))="Støttes ikke",FALSE)),"Kontoen støttes ikke",IF(IFERROR(AND(A1642&gt;1,COUNTIF($A$3:$A$2002,A1642-1)=0),FALSE),"Nummeret hopper over",IF(OR(NOT(ISNUMBER(B1642)),B1642&lt;DATE(2027,1,1),B1642&gt;DATE(2027,12,31)),"Datoen er ikke i 2027",""))))))</f>
        <v/>
      </c>
    </row>
    <row r="1643">
      <c r="A1643" s="17" t="n"/>
      <c r="B1643" s="9" t="n"/>
      <c r="C1643" s="8" t="n"/>
      <c r="D1643" s="8" t="n"/>
      <c r="E1643" s="8" t="n"/>
      <c r="F1643" s="14" t="n"/>
      <c r="G1643" s="14" t="n"/>
      <c r="H1643" s="8" t="n"/>
      <c r="I1643" s="8" t="n"/>
      <c r="J1643" s="8" t="n"/>
      <c r="K1643" s="18">
        <f>IF(B1643="","",IFERROR(MONTH(B1643),""))</f>
        <v/>
      </c>
      <c r="L1643" s="5">
        <f>IF(COUNTA(A1643:J1643)=0,"",IF(E1643="","Mangler motkonto",IF((F1643="")=(G1643=""),"Fyll ut enten Inn eller Ut",IF(OR(IFERROR(INDEX('Kontoplan'!$D$3:$D$302,MATCH(D1643,'Kontoplan'!$H$3:$H$302,0))="Støttes ikke",FALSE),IFERROR(INDEX('Kontoplan'!$D$3:$D$302,MATCH(E1643,'Kontoplan'!$H$3:$H$302,0))="Støttes ikke",FALSE)),"Kontoen støttes ikke",IF(IFERROR(AND(A1643&gt;1,COUNTIF($A$3:$A$2002,A1643-1)=0),FALSE),"Nummeret hopper over",IF(OR(NOT(ISNUMBER(B1643)),B1643&lt;DATE(2027,1,1),B1643&gt;DATE(2027,12,31)),"Datoen er ikke i 2027",""))))))</f>
        <v/>
      </c>
    </row>
    <row r="1644">
      <c r="A1644" s="17" t="n"/>
      <c r="B1644" s="9" t="n"/>
      <c r="C1644" s="8" t="n"/>
      <c r="D1644" s="8" t="n"/>
      <c r="E1644" s="8" t="n"/>
      <c r="F1644" s="14" t="n"/>
      <c r="G1644" s="14" t="n"/>
      <c r="H1644" s="8" t="n"/>
      <c r="I1644" s="8" t="n"/>
      <c r="J1644" s="8" t="n"/>
      <c r="K1644" s="18">
        <f>IF(B1644="","",IFERROR(MONTH(B1644),""))</f>
        <v/>
      </c>
      <c r="L1644" s="5">
        <f>IF(COUNTA(A1644:J1644)=0,"",IF(E1644="","Mangler motkonto",IF((F1644="")=(G1644=""),"Fyll ut enten Inn eller Ut",IF(OR(IFERROR(INDEX('Kontoplan'!$D$3:$D$302,MATCH(D1644,'Kontoplan'!$H$3:$H$302,0))="Støttes ikke",FALSE),IFERROR(INDEX('Kontoplan'!$D$3:$D$302,MATCH(E1644,'Kontoplan'!$H$3:$H$302,0))="Støttes ikke",FALSE)),"Kontoen støttes ikke",IF(IFERROR(AND(A1644&gt;1,COUNTIF($A$3:$A$2002,A1644-1)=0),FALSE),"Nummeret hopper over",IF(OR(NOT(ISNUMBER(B1644)),B1644&lt;DATE(2027,1,1),B1644&gt;DATE(2027,12,31)),"Datoen er ikke i 2027",""))))))</f>
        <v/>
      </c>
    </row>
    <row r="1645">
      <c r="A1645" s="17" t="n"/>
      <c r="B1645" s="9" t="n"/>
      <c r="C1645" s="8" t="n"/>
      <c r="D1645" s="8" t="n"/>
      <c r="E1645" s="8" t="n"/>
      <c r="F1645" s="14" t="n"/>
      <c r="G1645" s="14" t="n"/>
      <c r="H1645" s="8" t="n"/>
      <c r="I1645" s="8" t="n"/>
      <c r="J1645" s="8" t="n"/>
      <c r="K1645" s="18">
        <f>IF(B1645="","",IFERROR(MONTH(B1645),""))</f>
        <v/>
      </c>
      <c r="L1645" s="5">
        <f>IF(COUNTA(A1645:J1645)=0,"",IF(E1645="","Mangler motkonto",IF((F1645="")=(G1645=""),"Fyll ut enten Inn eller Ut",IF(OR(IFERROR(INDEX('Kontoplan'!$D$3:$D$302,MATCH(D1645,'Kontoplan'!$H$3:$H$302,0))="Støttes ikke",FALSE),IFERROR(INDEX('Kontoplan'!$D$3:$D$302,MATCH(E1645,'Kontoplan'!$H$3:$H$302,0))="Støttes ikke",FALSE)),"Kontoen støttes ikke",IF(IFERROR(AND(A1645&gt;1,COUNTIF($A$3:$A$2002,A1645-1)=0),FALSE),"Nummeret hopper over",IF(OR(NOT(ISNUMBER(B1645)),B1645&lt;DATE(2027,1,1),B1645&gt;DATE(2027,12,31)),"Datoen er ikke i 2027",""))))))</f>
        <v/>
      </c>
    </row>
    <row r="1646">
      <c r="A1646" s="17" t="n"/>
      <c r="B1646" s="9" t="n"/>
      <c r="C1646" s="8" t="n"/>
      <c r="D1646" s="8" t="n"/>
      <c r="E1646" s="8" t="n"/>
      <c r="F1646" s="14" t="n"/>
      <c r="G1646" s="14" t="n"/>
      <c r="H1646" s="8" t="n"/>
      <c r="I1646" s="8" t="n"/>
      <c r="J1646" s="8" t="n"/>
      <c r="K1646" s="18">
        <f>IF(B1646="","",IFERROR(MONTH(B1646),""))</f>
        <v/>
      </c>
      <c r="L1646" s="5">
        <f>IF(COUNTA(A1646:J1646)=0,"",IF(E1646="","Mangler motkonto",IF((F1646="")=(G1646=""),"Fyll ut enten Inn eller Ut",IF(OR(IFERROR(INDEX('Kontoplan'!$D$3:$D$302,MATCH(D1646,'Kontoplan'!$H$3:$H$302,0))="Støttes ikke",FALSE),IFERROR(INDEX('Kontoplan'!$D$3:$D$302,MATCH(E1646,'Kontoplan'!$H$3:$H$302,0))="Støttes ikke",FALSE)),"Kontoen støttes ikke",IF(IFERROR(AND(A1646&gt;1,COUNTIF($A$3:$A$2002,A1646-1)=0),FALSE),"Nummeret hopper over",IF(OR(NOT(ISNUMBER(B1646)),B1646&lt;DATE(2027,1,1),B1646&gt;DATE(2027,12,31)),"Datoen er ikke i 2027",""))))))</f>
        <v/>
      </c>
    </row>
    <row r="1647">
      <c r="A1647" s="17" t="n"/>
      <c r="B1647" s="9" t="n"/>
      <c r="C1647" s="8" t="n"/>
      <c r="D1647" s="8" t="n"/>
      <c r="E1647" s="8" t="n"/>
      <c r="F1647" s="14" t="n"/>
      <c r="G1647" s="14" t="n"/>
      <c r="H1647" s="8" t="n"/>
      <c r="I1647" s="8" t="n"/>
      <c r="J1647" s="8" t="n"/>
      <c r="K1647" s="18">
        <f>IF(B1647="","",IFERROR(MONTH(B1647),""))</f>
        <v/>
      </c>
      <c r="L1647" s="5">
        <f>IF(COUNTA(A1647:J1647)=0,"",IF(E1647="","Mangler motkonto",IF((F1647="")=(G1647=""),"Fyll ut enten Inn eller Ut",IF(OR(IFERROR(INDEX('Kontoplan'!$D$3:$D$302,MATCH(D1647,'Kontoplan'!$H$3:$H$302,0))="Støttes ikke",FALSE),IFERROR(INDEX('Kontoplan'!$D$3:$D$302,MATCH(E1647,'Kontoplan'!$H$3:$H$302,0))="Støttes ikke",FALSE)),"Kontoen støttes ikke",IF(IFERROR(AND(A1647&gt;1,COUNTIF($A$3:$A$2002,A1647-1)=0),FALSE),"Nummeret hopper over",IF(OR(NOT(ISNUMBER(B1647)),B1647&lt;DATE(2027,1,1),B1647&gt;DATE(2027,12,31)),"Datoen er ikke i 2027",""))))))</f>
        <v/>
      </c>
    </row>
    <row r="1648">
      <c r="A1648" s="17" t="n"/>
      <c r="B1648" s="9" t="n"/>
      <c r="C1648" s="8" t="n"/>
      <c r="D1648" s="8" t="n"/>
      <c r="E1648" s="8" t="n"/>
      <c r="F1648" s="14" t="n"/>
      <c r="G1648" s="14" t="n"/>
      <c r="H1648" s="8" t="n"/>
      <c r="I1648" s="8" t="n"/>
      <c r="J1648" s="8" t="n"/>
      <c r="K1648" s="18">
        <f>IF(B1648="","",IFERROR(MONTH(B1648),""))</f>
        <v/>
      </c>
      <c r="L1648" s="5">
        <f>IF(COUNTA(A1648:J1648)=0,"",IF(E1648="","Mangler motkonto",IF((F1648="")=(G1648=""),"Fyll ut enten Inn eller Ut",IF(OR(IFERROR(INDEX('Kontoplan'!$D$3:$D$302,MATCH(D1648,'Kontoplan'!$H$3:$H$302,0))="Støttes ikke",FALSE),IFERROR(INDEX('Kontoplan'!$D$3:$D$302,MATCH(E1648,'Kontoplan'!$H$3:$H$302,0))="Støttes ikke",FALSE)),"Kontoen støttes ikke",IF(IFERROR(AND(A1648&gt;1,COUNTIF($A$3:$A$2002,A1648-1)=0),FALSE),"Nummeret hopper over",IF(OR(NOT(ISNUMBER(B1648)),B1648&lt;DATE(2027,1,1),B1648&gt;DATE(2027,12,31)),"Datoen er ikke i 2027",""))))))</f>
        <v/>
      </c>
    </row>
    <row r="1649">
      <c r="A1649" s="17" t="n"/>
      <c r="B1649" s="9" t="n"/>
      <c r="C1649" s="8" t="n"/>
      <c r="D1649" s="8" t="n"/>
      <c r="E1649" s="8" t="n"/>
      <c r="F1649" s="14" t="n"/>
      <c r="G1649" s="14" t="n"/>
      <c r="H1649" s="8" t="n"/>
      <c r="I1649" s="8" t="n"/>
      <c r="J1649" s="8" t="n"/>
      <c r="K1649" s="18">
        <f>IF(B1649="","",IFERROR(MONTH(B1649),""))</f>
        <v/>
      </c>
      <c r="L1649" s="5">
        <f>IF(COUNTA(A1649:J1649)=0,"",IF(E1649="","Mangler motkonto",IF((F1649="")=(G1649=""),"Fyll ut enten Inn eller Ut",IF(OR(IFERROR(INDEX('Kontoplan'!$D$3:$D$302,MATCH(D1649,'Kontoplan'!$H$3:$H$302,0))="Støttes ikke",FALSE),IFERROR(INDEX('Kontoplan'!$D$3:$D$302,MATCH(E1649,'Kontoplan'!$H$3:$H$302,0))="Støttes ikke",FALSE)),"Kontoen støttes ikke",IF(IFERROR(AND(A1649&gt;1,COUNTIF($A$3:$A$2002,A1649-1)=0),FALSE),"Nummeret hopper over",IF(OR(NOT(ISNUMBER(B1649)),B1649&lt;DATE(2027,1,1),B1649&gt;DATE(2027,12,31)),"Datoen er ikke i 2027",""))))))</f>
        <v/>
      </c>
    </row>
    <row r="1650">
      <c r="A1650" s="17" t="n"/>
      <c r="B1650" s="9" t="n"/>
      <c r="C1650" s="8" t="n"/>
      <c r="D1650" s="8" t="n"/>
      <c r="E1650" s="8" t="n"/>
      <c r="F1650" s="14" t="n"/>
      <c r="G1650" s="14" t="n"/>
      <c r="H1650" s="8" t="n"/>
      <c r="I1650" s="8" t="n"/>
      <c r="J1650" s="8" t="n"/>
      <c r="K1650" s="18">
        <f>IF(B1650="","",IFERROR(MONTH(B1650),""))</f>
        <v/>
      </c>
      <c r="L1650" s="5">
        <f>IF(COUNTA(A1650:J1650)=0,"",IF(E1650="","Mangler motkonto",IF((F1650="")=(G1650=""),"Fyll ut enten Inn eller Ut",IF(OR(IFERROR(INDEX('Kontoplan'!$D$3:$D$302,MATCH(D1650,'Kontoplan'!$H$3:$H$302,0))="Støttes ikke",FALSE),IFERROR(INDEX('Kontoplan'!$D$3:$D$302,MATCH(E1650,'Kontoplan'!$H$3:$H$302,0))="Støttes ikke",FALSE)),"Kontoen støttes ikke",IF(IFERROR(AND(A1650&gt;1,COUNTIF($A$3:$A$2002,A1650-1)=0),FALSE),"Nummeret hopper over",IF(OR(NOT(ISNUMBER(B1650)),B1650&lt;DATE(2027,1,1),B1650&gt;DATE(2027,12,31)),"Datoen er ikke i 2027",""))))))</f>
        <v/>
      </c>
    </row>
    <row r="1651">
      <c r="A1651" s="17" t="n"/>
      <c r="B1651" s="9" t="n"/>
      <c r="C1651" s="8" t="n"/>
      <c r="D1651" s="8" t="n"/>
      <c r="E1651" s="8" t="n"/>
      <c r="F1651" s="14" t="n"/>
      <c r="G1651" s="14" t="n"/>
      <c r="H1651" s="8" t="n"/>
      <c r="I1651" s="8" t="n"/>
      <c r="J1651" s="8" t="n"/>
      <c r="K1651" s="18">
        <f>IF(B1651="","",IFERROR(MONTH(B1651),""))</f>
        <v/>
      </c>
      <c r="L1651" s="5">
        <f>IF(COUNTA(A1651:J1651)=0,"",IF(E1651="","Mangler motkonto",IF((F1651="")=(G1651=""),"Fyll ut enten Inn eller Ut",IF(OR(IFERROR(INDEX('Kontoplan'!$D$3:$D$302,MATCH(D1651,'Kontoplan'!$H$3:$H$302,0))="Støttes ikke",FALSE),IFERROR(INDEX('Kontoplan'!$D$3:$D$302,MATCH(E1651,'Kontoplan'!$H$3:$H$302,0))="Støttes ikke",FALSE)),"Kontoen støttes ikke",IF(IFERROR(AND(A1651&gt;1,COUNTIF($A$3:$A$2002,A1651-1)=0),FALSE),"Nummeret hopper over",IF(OR(NOT(ISNUMBER(B1651)),B1651&lt;DATE(2027,1,1),B1651&gt;DATE(2027,12,31)),"Datoen er ikke i 2027",""))))))</f>
        <v/>
      </c>
    </row>
    <row r="1652">
      <c r="A1652" s="17" t="n"/>
      <c r="B1652" s="9" t="n"/>
      <c r="C1652" s="8" t="n"/>
      <c r="D1652" s="8" t="n"/>
      <c r="E1652" s="8" t="n"/>
      <c r="F1652" s="14" t="n"/>
      <c r="G1652" s="14" t="n"/>
      <c r="H1652" s="8" t="n"/>
      <c r="I1652" s="8" t="n"/>
      <c r="J1652" s="8" t="n"/>
      <c r="K1652" s="18">
        <f>IF(B1652="","",IFERROR(MONTH(B1652),""))</f>
        <v/>
      </c>
      <c r="L1652" s="5">
        <f>IF(COUNTA(A1652:J1652)=0,"",IF(E1652="","Mangler motkonto",IF((F1652="")=(G1652=""),"Fyll ut enten Inn eller Ut",IF(OR(IFERROR(INDEX('Kontoplan'!$D$3:$D$302,MATCH(D1652,'Kontoplan'!$H$3:$H$302,0))="Støttes ikke",FALSE),IFERROR(INDEX('Kontoplan'!$D$3:$D$302,MATCH(E1652,'Kontoplan'!$H$3:$H$302,0))="Støttes ikke",FALSE)),"Kontoen støttes ikke",IF(IFERROR(AND(A1652&gt;1,COUNTIF($A$3:$A$2002,A1652-1)=0),FALSE),"Nummeret hopper over",IF(OR(NOT(ISNUMBER(B1652)),B1652&lt;DATE(2027,1,1),B1652&gt;DATE(2027,12,31)),"Datoen er ikke i 2027",""))))))</f>
        <v/>
      </c>
    </row>
    <row r="1653">
      <c r="A1653" s="17" t="n"/>
      <c r="B1653" s="9" t="n"/>
      <c r="C1653" s="8" t="n"/>
      <c r="D1653" s="8" t="n"/>
      <c r="E1653" s="8" t="n"/>
      <c r="F1653" s="14" t="n"/>
      <c r="G1653" s="14" t="n"/>
      <c r="H1653" s="8" t="n"/>
      <c r="I1653" s="8" t="n"/>
      <c r="J1653" s="8" t="n"/>
      <c r="K1653" s="18">
        <f>IF(B1653="","",IFERROR(MONTH(B1653),""))</f>
        <v/>
      </c>
      <c r="L1653" s="5">
        <f>IF(COUNTA(A1653:J1653)=0,"",IF(E1653="","Mangler motkonto",IF((F1653="")=(G1653=""),"Fyll ut enten Inn eller Ut",IF(OR(IFERROR(INDEX('Kontoplan'!$D$3:$D$302,MATCH(D1653,'Kontoplan'!$H$3:$H$302,0))="Støttes ikke",FALSE),IFERROR(INDEX('Kontoplan'!$D$3:$D$302,MATCH(E1653,'Kontoplan'!$H$3:$H$302,0))="Støttes ikke",FALSE)),"Kontoen støttes ikke",IF(IFERROR(AND(A1653&gt;1,COUNTIF($A$3:$A$2002,A1653-1)=0),FALSE),"Nummeret hopper over",IF(OR(NOT(ISNUMBER(B1653)),B1653&lt;DATE(2027,1,1),B1653&gt;DATE(2027,12,31)),"Datoen er ikke i 2027",""))))))</f>
        <v/>
      </c>
    </row>
    <row r="1654">
      <c r="A1654" s="17" t="n"/>
      <c r="B1654" s="9" t="n"/>
      <c r="C1654" s="8" t="n"/>
      <c r="D1654" s="8" t="n"/>
      <c r="E1654" s="8" t="n"/>
      <c r="F1654" s="14" t="n"/>
      <c r="G1654" s="14" t="n"/>
      <c r="H1654" s="8" t="n"/>
      <c r="I1654" s="8" t="n"/>
      <c r="J1654" s="8" t="n"/>
      <c r="K1654" s="18">
        <f>IF(B1654="","",IFERROR(MONTH(B1654),""))</f>
        <v/>
      </c>
      <c r="L1654" s="5">
        <f>IF(COUNTA(A1654:J1654)=0,"",IF(E1654="","Mangler motkonto",IF((F1654="")=(G1654=""),"Fyll ut enten Inn eller Ut",IF(OR(IFERROR(INDEX('Kontoplan'!$D$3:$D$302,MATCH(D1654,'Kontoplan'!$H$3:$H$302,0))="Støttes ikke",FALSE),IFERROR(INDEX('Kontoplan'!$D$3:$D$302,MATCH(E1654,'Kontoplan'!$H$3:$H$302,0))="Støttes ikke",FALSE)),"Kontoen støttes ikke",IF(IFERROR(AND(A1654&gt;1,COUNTIF($A$3:$A$2002,A1654-1)=0),FALSE),"Nummeret hopper over",IF(OR(NOT(ISNUMBER(B1654)),B1654&lt;DATE(2027,1,1),B1654&gt;DATE(2027,12,31)),"Datoen er ikke i 2027",""))))))</f>
        <v/>
      </c>
    </row>
    <row r="1655">
      <c r="A1655" s="17" t="n"/>
      <c r="B1655" s="9" t="n"/>
      <c r="C1655" s="8" t="n"/>
      <c r="D1655" s="8" t="n"/>
      <c r="E1655" s="8" t="n"/>
      <c r="F1655" s="14" t="n"/>
      <c r="G1655" s="14" t="n"/>
      <c r="H1655" s="8" t="n"/>
      <c r="I1655" s="8" t="n"/>
      <c r="J1655" s="8" t="n"/>
      <c r="K1655" s="18">
        <f>IF(B1655="","",IFERROR(MONTH(B1655),""))</f>
        <v/>
      </c>
      <c r="L1655" s="5">
        <f>IF(COUNTA(A1655:J1655)=0,"",IF(E1655="","Mangler motkonto",IF((F1655="")=(G1655=""),"Fyll ut enten Inn eller Ut",IF(OR(IFERROR(INDEX('Kontoplan'!$D$3:$D$302,MATCH(D1655,'Kontoplan'!$H$3:$H$302,0))="Støttes ikke",FALSE),IFERROR(INDEX('Kontoplan'!$D$3:$D$302,MATCH(E1655,'Kontoplan'!$H$3:$H$302,0))="Støttes ikke",FALSE)),"Kontoen støttes ikke",IF(IFERROR(AND(A1655&gt;1,COUNTIF($A$3:$A$2002,A1655-1)=0),FALSE),"Nummeret hopper over",IF(OR(NOT(ISNUMBER(B1655)),B1655&lt;DATE(2027,1,1),B1655&gt;DATE(2027,12,31)),"Datoen er ikke i 2027",""))))))</f>
        <v/>
      </c>
    </row>
    <row r="1656">
      <c r="A1656" s="17" t="n"/>
      <c r="B1656" s="9" t="n"/>
      <c r="C1656" s="8" t="n"/>
      <c r="D1656" s="8" t="n"/>
      <c r="E1656" s="8" t="n"/>
      <c r="F1656" s="14" t="n"/>
      <c r="G1656" s="14" t="n"/>
      <c r="H1656" s="8" t="n"/>
      <c r="I1656" s="8" t="n"/>
      <c r="J1656" s="8" t="n"/>
      <c r="K1656" s="18">
        <f>IF(B1656="","",IFERROR(MONTH(B1656),""))</f>
        <v/>
      </c>
      <c r="L1656" s="5">
        <f>IF(COUNTA(A1656:J1656)=0,"",IF(E1656="","Mangler motkonto",IF((F1656="")=(G1656=""),"Fyll ut enten Inn eller Ut",IF(OR(IFERROR(INDEX('Kontoplan'!$D$3:$D$302,MATCH(D1656,'Kontoplan'!$H$3:$H$302,0))="Støttes ikke",FALSE),IFERROR(INDEX('Kontoplan'!$D$3:$D$302,MATCH(E1656,'Kontoplan'!$H$3:$H$302,0))="Støttes ikke",FALSE)),"Kontoen støttes ikke",IF(IFERROR(AND(A1656&gt;1,COUNTIF($A$3:$A$2002,A1656-1)=0),FALSE),"Nummeret hopper over",IF(OR(NOT(ISNUMBER(B1656)),B1656&lt;DATE(2027,1,1),B1656&gt;DATE(2027,12,31)),"Datoen er ikke i 2027",""))))))</f>
        <v/>
      </c>
    </row>
    <row r="1657">
      <c r="A1657" s="17" t="n"/>
      <c r="B1657" s="9" t="n"/>
      <c r="C1657" s="8" t="n"/>
      <c r="D1657" s="8" t="n"/>
      <c r="E1657" s="8" t="n"/>
      <c r="F1657" s="14" t="n"/>
      <c r="G1657" s="14" t="n"/>
      <c r="H1657" s="8" t="n"/>
      <c r="I1657" s="8" t="n"/>
      <c r="J1657" s="8" t="n"/>
      <c r="K1657" s="18">
        <f>IF(B1657="","",IFERROR(MONTH(B1657),""))</f>
        <v/>
      </c>
      <c r="L1657" s="5">
        <f>IF(COUNTA(A1657:J1657)=0,"",IF(E1657="","Mangler motkonto",IF((F1657="")=(G1657=""),"Fyll ut enten Inn eller Ut",IF(OR(IFERROR(INDEX('Kontoplan'!$D$3:$D$302,MATCH(D1657,'Kontoplan'!$H$3:$H$302,0))="Støttes ikke",FALSE),IFERROR(INDEX('Kontoplan'!$D$3:$D$302,MATCH(E1657,'Kontoplan'!$H$3:$H$302,0))="Støttes ikke",FALSE)),"Kontoen støttes ikke",IF(IFERROR(AND(A1657&gt;1,COUNTIF($A$3:$A$2002,A1657-1)=0),FALSE),"Nummeret hopper over",IF(OR(NOT(ISNUMBER(B1657)),B1657&lt;DATE(2027,1,1),B1657&gt;DATE(2027,12,31)),"Datoen er ikke i 2027",""))))))</f>
        <v/>
      </c>
    </row>
    <row r="1658">
      <c r="A1658" s="17" t="n"/>
      <c r="B1658" s="9" t="n"/>
      <c r="C1658" s="8" t="n"/>
      <c r="D1658" s="8" t="n"/>
      <c r="E1658" s="8" t="n"/>
      <c r="F1658" s="14" t="n"/>
      <c r="G1658" s="14" t="n"/>
      <c r="H1658" s="8" t="n"/>
      <c r="I1658" s="8" t="n"/>
      <c r="J1658" s="8" t="n"/>
      <c r="K1658" s="18">
        <f>IF(B1658="","",IFERROR(MONTH(B1658),""))</f>
        <v/>
      </c>
      <c r="L1658" s="5">
        <f>IF(COUNTA(A1658:J1658)=0,"",IF(E1658="","Mangler motkonto",IF((F1658="")=(G1658=""),"Fyll ut enten Inn eller Ut",IF(OR(IFERROR(INDEX('Kontoplan'!$D$3:$D$302,MATCH(D1658,'Kontoplan'!$H$3:$H$302,0))="Støttes ikke",FALSE),IFERROR(INDEX('Kontoplan'!$D$3:$D$302,MATCH(E1658,'Kontoplan'!$H$3:$H$302,0))="Støttes ikke",FALSE)),"Kontoen støttes ikke",IF(IFERROR(AND(A1658&gt;1,COUNTIF($A$3:$A$2002,A1658-1)=0),FALSE),"Nummeret hopper over",IF(OR(NOT(ISNUMBER(B1658)),B1658&lt;DATE(2027,1,1),B1658&gt;DATE(2027,12,31)),"Datoen er ikke i 2027",""))))))</f>
        <v/>
      </c>
    </row>
    <row r="1659">
      <c r="A1659" s="17" t="n"/>
      <c r="B1659" s="9" t="n"/>
      <c r="C1659" s="8" t="n"/>
      <c r="D1659" s="8" t="n"/>
      <c r="E1659" s="8" t="n"/>
      <c r="F1659" s="14" t="n"/>
      <c r="G1659" s="14" t="n"/>
      <c r="H1659" s="8" t="n"/>
      <c r="I1659" s="8" t="n"/>
      <c r="J1659" s="8" t="n"/>
      <c r="K1659" s="18">
        <f>IF(B1659="","",IFERROR(MONTH(B1659),""))</f>
        <v/>
      </c>
      <c r="L1659" s="5">
        <f>IF(COUNTA(A1659:J1659)=0,"",IF(E1659="","Mangler motkonto",IF((F1659="")=(G1659=""),"Fyll ut enten Inn eller Ut",IF(OR(IFERROR(INDEX('Kontoplan'!$D$3:$D$302,MATCH(D1659,'Kontoplan'!$H$3:$H$302,0))="Støttes ikke",FALSE),IFERROR(INDEX('Kontoplan'!$D$3:$D$302,MATCH(E1659,'Kontoplan'!$H$3:$H$302,0))="Støttes ikke",FALSE)),"Kontoen støttes ikke",IF(IFERROR(AND(A1659&gt;1,COUNTIF($A$3:$A$2002,A1659-1)=0),FALSE),"Nummeret hopper over",IF(OR(NOT(ISNUMBER(B1659)),B1659&lt;DATE(2027,1,1),B1659&gt;DATE(2027,12,31)),"Datoen er ikke i 2027",""))))))</f>
        <v/>
      </c>
    </row>
    <row r="1660">
      <c r="A1660" s="17" t="n"/>
      <c r="B1660" s="9" t="n"/>
      <c r="C1660" s="8" t="n"/>
      <c r="D1660" s="8" t="n"/>
      <c r="E1660" s="8" t="n"/>
      <c r="F1660" s="14" t="n"/>
      <c r="G1660" s="14" t="n"/>
      <c r="H1660" s="8" t="n"/>
      <c r="I1660" s="8" t="n"/>
      <c r="J1660" s="8" t="n"/>
      <c r="K1660" s="18">
        <f>IF(B1660="","",IFERROR(MONTH(B1660),""))</f>
        <v/>
      </c>
      <c r="L1660" s="5">
        <f>IF(COUNTA(A1660:J1660)=0,"",IF(E1660="","Mangler motkonto",IF((F1660="")=(G1660=""),"Fyll ut enten Inn eller Ut",IF(OR(IFERROR(INDEX('Kontoplan'!$D$3:$D$302,MATCH(D1660,'Kontoplan'!$H$3:$H$302,0))="Støttes ikke",FALSE),IFERROR(INDEX('Kontoplan'!$D$3:$D$302,MATCH(E1660,'Kontoplan'!$H$3:$H$302,0))="Støttes ikke",FALSE)),"Kontoen støttes ikke",IF(IFERROR(AND(A1660&gt;1,COUNTIF($A$3:$A$2002,A1660-1)=0),FALSE),"Nummeret hopper over",IF(OR(NOT(ISNUMBER(B1660)),B1660&lt;DATE(2027,1,1),B1660&gt;DATE(2027,12,31)),"Datoen er ikke i 2027",""))))))</f>
        <v/>
      </c>
    </row>
    <row r="1661">
      <c r="A1661" s="17" t="n"/>
      <c r="B1661" s="9" t="n"/>
      <c r="C1661" s="8" t="n"/>
      <c r="D1661" s="8" t="n"/>
      <c r="E1661" s="8" t="n"/>
      <c r="F1661" s="14" t="n"/>
      <c r="G1661" s="14" t="n"/>
      <c r="H1661" s="8" t="n"/>
      <c r="I1661" s="8" t="n"/>
      <c r="J1661" s="8" t="n"/>
      <c r="K1661" s="18">
        <f>IF(B1661="","",IFERROR(MONTH(B1661),""))</f>
        <v/>
      </c>
      <c r="L1661" s="5">
        <f>IF(COUNTA(A1661:J1661)=0,"",IF(E1661="","Mangler motkonto",IF((F1661="")=(G1661=""),"Fyll ut enten Inn eller Ut",IF(OR(IFERROR(INDEX('Kontoplan'!$D$3:$D$302,MATCH(D1661,'Kontoplan'!$H$3:$H$302,0))="Støttes ikke",FALSE),IFERROR(INDEX('Kontoplan'!$D$3:$D$302,MATCH(E1661,'Kontoplan'!$H$3:$H$302,0))="Støttes ikke",FALSE)),"Kontoen støttes ikke",IF(IFERROR(AND(A1661&gt;1,COUNTIF($A$3:$A$2002,A1661-1)=0),FALSE),"Nummeret hopper over",IF(OR(NOT(ISNUMBER(B1661)),B1661&lt;DATE(2027,1,1),B1661&gt;DATE(2027,12,31)),"Datoen er ikke i 2027",""))))))</f>
        <v/>
      </c>
    </row>
    <row r="1662">
      <c r="A1662" s="17" t="n"/>
      <c r="B1662" s="9" t="n"/>
      <c r="C1662" s="8" t="n"/>
      <c r="D1662" s="8" t="n"/>
      <c r="E1662" s="8" t="n"/>
      <c r="F1662" s="14" t="n"/>
      <c r="G1662" s="14" t="n"/>
      <c r="H1662" s="8" t="n"/>
      <c r="I1662" s="8" t="n"/>
      <c r="J1662" s="8" t="n"/>
      <c r="K1662" s="18">
        <f>IF(B1662="","",IFERROR(MONTH(B1662),""))</f>
        <v/>
      </c>
      <c r="L1662" s="5">
        <f>IF(COUNTA(A1662:J1662)=0,"",IF(E1662="","Mangler motkonto",IF((F1662="")=(G1662=""),"Fyll ut enten Inn eller Ut",IF(OR(IFERROR(INDEX('Kontoplan'!$D$3:$D$302,MATCH(D1662,'Kontoplan'!$H$3:$H$302,0))="Støttes ikke",FALSE),IFERROR(INDEX('Kontoplan'!$D$3:$D$302,MATCH(E1662,'Kontoplan'!$H$3:$H$302,0))="Støttes ikke",FALSE)),"Kontoen støttes ikke",IF(IFERROR(AND(A1662&gt;1,COUNTIF($A$3:$A$2002,A1662-1)=0),FALSE),"Nummeret hopper over",IF(OR(NOT(ISNUMBER(B1662)),B1662&lt;DATE(2027,1,1),B1662&gt;DATE(2027,12,31)),"Datoen er ikke i 2027",""))))))</f>
        <v/>
      </c>
    </row>
    <row r="1663">
      <c r="A1663" s="17" t="n"/>
      <c r="B1663" s="9" t="n"/>
      <c r="C1663" s="8" t="n"/>
      <c r="D1663" s="8" t="n"/>
      <c r="E1663" s="8" t="n"/>
      <c r="F1663" s="14" t="n"/>
      <c r="G1663" s="14" t="n"/>
      <c r="H1663" s="8" t="n"/>
      <c r="I1663" s="8" t="n"/>
      <c r="J1663" s="8" t="n"/>
      <c r="K1663" s="18">
        <f>IF(B1663="","",IFERROR(MONTH(B1663),""))</f>
        <v/>
      </c>
      <c r="L1663" s="5">
        <f>IF(COUNTA(A1663:J1663)=0,"",IF(E1663="","Mangler motkonto",IF((F1663="")=(G1663=""),"Fyll ut enten Inn eller Ut",IF(OR(IFERROR(INDEX('Kontoplan'!$D$3:$D$302,MATCH(D1663,'Kontoplan'!$H$3:$H$302,0))="Støttes ikke",FALSE),IFERROR(INDEX('Kontoplan'!$D$3:$D$302,MATCH(E1663,'Kontoplan'!$H$3:$H$302,0))="Støttes ikke",FALSE)),"Kontoen støttes ikke",IF(IFERROR(AND(A1663&gt;1,COUNTIF($A$3:$A$2002,A1663-1)=0),FALSE),"Nummeret hopper over",IF(OR(NOT(ISNUMBER(B1663)),B1663&lt;DATE(2027,1,1),B1663&gt;DATE(2027,12,31)),"Datoen er ikke i 2027",""))))))</f>
        <v/>
      </c>
    </row>
    <row r="1664">
      <c r="A1664" s="17" t="n"/>
      <c r="B1664" s="9" t="n"/>
      <c r="C1664" s="8" t="n"/>
      <c r="D1664" s="8" t="n"/>
      <c r="E1664" s="8" t="n"/>
      <c r="F1664" s="14" t="n"/>
      <c r="G1664" s="14" t="n"/>
      <c r="H1664" s="8" t="n"/>
      <c r="I1664" s="8" t="n"/>
      <c r="J1664" s="8" t="n"/>
      <c r="K1664" s="18">
        <f>IF(B1664="","",IFERROR(MONTH(B1664),""))</f>
        <v/>
      </c>
      <c r="L1664" s="5">
        <f>IF(COUNTA(A1664:J1664)=0,"",IF(E1664="","Mangler motkonto",IF((F1664="")=(G1664=""),"Fyll ut enten Inn eller Ut",IF(OR(IFERROR(INDEX('Kontoplan'!$D$3:$D$302,MATCH(D1664,'Kontoplan'!$H$3:$H$302,0))="Støttes ikke",FALSE),IFERROR(INDEX('Kontoplan'!$D$3:$D$302,MATCH(E1664,'Kontoplan'!$H$3:$H$302,0))="Støttes ikke",FALSE)),"Kontoen støttes ikke",IF(IFERROR(AND(A1664&gt;1,COUNTIF($A$3:$A$2002,A1664-1)=0),FALSE),"Nummeret hopper over",IF(OR(NOT(ISNUMBER(B1664)),B1664&lt;DATE(2027,1,1),B1664&gt;DATE(2027,12,31)),"Datoen er ikke i 2027",""))))))</f>
        <v/>
      </c>
    </row>
    <row r="1665">
      <c r="A1665" s="17" t="n"/>
      <c r="B1665" s="9" t="n"/>
      <c r="C1665" s="8" t="n"/>
      <c r="D1665" s="8" t="n"/>
      <c r="E1665" s="8" t="n"/>
      <c r="F1665" s="14" t="n"/>
      <c r="G1665" s="14" t="n"/>
      <c r="H1665" s="8" t="n"/>
      <c r="I1665" s="8" t="n"/>
      <c r="J1665" s="8" t="n"/>
      <c r="K1665" s="18">
        <f>IF(B1665="","",IFERROR(MONTH(B1665),""))</f>
        <v/>
      </c>
      <c r="L1665" s="5">
        <f>IF(COUNTA(A1665:J1665)=0,"",IF(E1665="","Mangler motkonto",IF((F1665="")=(G1665=""),"Fyll ut enten Inn eller Ut",IF(OR(IFERROR(INDEX('Kontoplan'!$D$3:$D$302,MATCH(D1665,'Kontoplan'!$H$3:$H$302,0))="Støttes ikke",FALSE),IFERROR(INDEX('Kontoplan'!$D$3:$D$302,MATCH(E1665,'Kontoplan'!$H$3:$H$302,0))="Støttes ikke",FALSE)),"Kontoen støttes ikke",IF(IFERROR(AND(A1665&gt;1,COUNTIF($A$3:$A$2002,A1665-1)=0),FALSE),"Nummeret hopper over",IF(OR(NOT(ISNUMBER(B1665)),B1665&lt;DATE(2027,1,1),B1665&gt;DATE(2027,12,31)),"Datoen er ikke i 2027",""))))))</f>
        <v/>
      </c>
    </row>
    <row r="1666">
      <c r="A1666" s="17" t="n"/>
      <c r="B1666" s="9" t="n"/>
      <c r="C1666" s="8" t="n"/>
      <c r="D1666" s="8" t="n"/>
      <c r="E1666" s="8" t="n"/>
      <c r="F1666" s="14" t="n"/>
      <c r="G1666" s="14" t="n"/>
      <c r="H1666" s="8" t="n"/>
      <c r="I1666" s="8" t="n"/>
      <c r="J1666" s="8" t="n"/>
      <c r="K1666" s="18">
        <f>IF(B1666="","",IFERROR(MONTH(B1666),""))</f>
        <v/>
      </c>
      <c r="L1666" s="5">
        <f>IF(COUNTA(A1666:J1666)=0,"",IF(E1666="","Mangler motkonto",IF((F1666="")=(G1666=""),"Fyll ut enten Inn eller Ut",IF(OR(IFERROR(INDEX('Kontoplan'!$D$3:$D$302,MATCH(D1666,'Kontoplan'!$H$3:$H$302,0))="Støttes ikke",FALSE),IFERROR(INDEX('Kontoplan'!$D$3:$D$302,MATCH(E1666,'Kontoplan'!$H$3:$H$302,0))="Støttes ikke",FALSE)),"Kontoen støttes ikke",IF(IFERROR(AND(A1666&gt;1,COUNTIF($A$3:$A$2002,A1666-1)=0),FALSE),"Nummeret hopper over",IF(OR(NOT(ISNUMBER(B1666)),B1666&lt;DATE(2027,1,1),B1666&gt;DATE(2027,12,31)),"Datoen er ikke i 2027",""))))))</f>
        <v/>
      </c>
    </row>
    <row r="1667">
      <c r="A1667" s="17" t="n"/>
      <c r="B1667" s="9" t="n"/>
      <c r="C1667" s="8" t="n"/>
      <c r="D1667" s="8" t="n"/>
      <c r="E1667" s="8" t="n"/>
      <c r="F1667" s="14" t="n"/>
      <c r="G1667" s="14" t="n"/>
      <c r="H1667" s="8" t="n"/>
      <c r="I1667" s="8" t="n"/>
      <c r="J1667" s="8" t="n"/>
      <c r="K1667" s="18">
        <f>IF(B1667="","",IFERROR(MONTH(B1667),""))</f>
        <v/>
      </c>
      <c r="L1667" s="5">
        <f>IF(COUNTA(A1667:J1667)=0,"",IF(E1667="","Mangler motkonto",IF((F1667="")=(G1667=""),"Fyll ut enten Inn eller Ut",IF(OR(IFERROR(INDEX('Kontoplan'!$D$3:$D$302,MATCH(D1667,'Kontoplan'!$H$3:$H$302,0))="Støttes ikke",FALSE),IFERROR(INDEX('Kontoplan'!$D$3:$D$302,MATCH(E1667,'Kontoplan'!$H$3:$H$302,0))="Støttes ikke",FALSE)),"Kontoen støttes ikke",IF(IFERROR(AND(A1667&gt;1,COUNTIF($A$3:$A$2002,A1667-1)=0),FALSE),"Nummeret hopper over",IF(OR(NOT(ISNUMBER(B1667)),B1667&lt;DATE(2027,1,1),B1667&gt;DATE(2027,12,31)),"Datoen er ikke i 2027",""))))))</f>
        <v/>
      </c>
    </row>
    <row r="1668">
      <c r="A1668" s="17" t="n"/>
      <c r="B1668" s="9" t="n"/>
      <c r="C1668" s="8" t="n"/>
      <c r="D1668" s="8" t="n"/>
      <c r="E1668" s="8" t="n"/>
      <c r="F1668" s="14" t="n"/>
      <c r="G1668" s="14" t="n"/>
      <c r="H1668" s="8" t="n"/>
      <c r="I1668" s="8" t="n"/>
      <c r="J1668" s="8" t="n"/>
      <c r="K1668" s="18">
        <f>IF(B1668="","",IFERROR(MONTH(B1668),""))</f>
        <v/>
      </c>
      <c r="L1668" s="5">
        <f>IF(COUNTA(A1668:J1668)=0,"",IF(E1668="","Mangler motkonto",IF((F1668="")=(G1668=""),"Fyll ut enten Inn eller Ut",IF(OR(IFERROR(INDEX('Kontoplan'!$D$3:$D$302,MATCH(D1668,'Kontoplan'!$H$3:$H$302,0))="Støttes ikke",FALSE),IFERROR(INDEX('Kontoplan'!$D$3:$D$302,MATCH(E1668,'Kontoplan'!$H$3:$H$302,0))="Støttes ikke",FALSE)),"Kontoen støttes ikke",IF(IFERROR(AND(A1668&gt;1,COUNTIF($A$3:$A$2002,A1668-1)=0),FALSE),"Nummeret hopper over",IF(OR(NOT(ISNUMBER(B1668)),B1668&lt;DATE(2027,1,1),B1668&gt;DATE(2027,12,31)),"Datoen er ikke i 2027",""))))))</f>
        <v/>
      </c>
    </row>
    <row r="1669">
      <c r="A1669" s="17" t="n"/>
      <c r="B1669" s="9" t="n"/>
      <c r="C1669" s="8" t="n"/>
      <c r="D1669" s="8" t="n"/>
      <c r="E1669" s="8" t="n"/>
      <c r="F1669" s="14" t="n"/>
      <c r="G1669" s="14" t="n"/>
      <c r="H1669" s="8" t="n"/>
      <c r="I1669" s="8" t="n"/>
      <c r="J1669" s="8" t="n"/>
      <c r="K1669" s="18">
        <f>IF(B1669="","",IFERROR(MONTH(B1669),""))</f>
        <v/>
      </c>
      <c r="L1669" s="5">
        <f>IF(COUNTA(A1669:J1669)=0,"",IF(E1669="","Mangler motkonto",IF((F1669="")=(G1669=""),"Fyll ut enten Inn eller Ut",IF(OR(IFERROR(INDEX('Kontoplan'!$D$3:$D$302,MATCH(D1669,'Kontoplan'!$H$3:$H$302,0))="Støttes ikke",FALSE),IFERROR(INDEX('Kontoplan'!$D$3:$D$302,MATCH(E1669,'Kontoplan'!$H$3:$H$302,0))="Støttes ikke",FALSE)),"Kontoen støttes ikke",IF(IFERROR(AND(A1669&gt;1,COUNTIF($A$3:$A$2002,A1669-1)=0),FALSE),"Nummeret hopper over",IF(OR(NOT(ISNUMBER(B1669)),B1669&lt;DATE(2027,1,1),B1669&gt;DATE(2027,12,31)),"Datoen er ikke i 2027",""))))))</f>
        <v/>
      </c>
    </row>
    <row r="1670">
      <c r="A1670" s="17" t="n"/>
      <c r="B1670" s="9" t="n"/>
      <c r="C1670" s="8" t="n"/>
      <c r="D1670" s="8" t="n"/>
      <c r="E1670" s="8" t="n"/>
      <c r="F1670" s="14" t="n"/>
      <c r="G1670" s="14" t="n"/>
      <c r="H1670" s="8" t="n"/>
      <c r="I1670" s="8" t="n"/>
      <c r="J1670" s="8" t="n"/>
      <c r="K1670" s="18">
        <f>IF(B1670="","",IFERROR(MONTH(B1670),""))</f>
        <v/>
      </c>
      <c r="L1670" s="5">
        <f>IF(COUNTA(A1670:J1670)=0,"",IF(E1670="","Mangler motkonto",IF((F1670="")=(G1670=""),"Fyll ut enten Inn eller Ut",IF(OR(IFERROR(INDEX('Kontoplan'!$D$3:$D$302,MATCH(D1670,'Kontoplan'!$H$3:$H$302,0))="Støttes ikke",FALSE),IFERROR(INDEX('Kontoplan'!$D$3:$D$302,MATCH(E1670,'Kontoplan'!$H$3:$H$302,0))="Støttes ikke",FALSE)),"Kontoen støttes ikke",IF(IFERROR(AND(A1670&gt;1,COUNTIF($A$3:$A$2002,A1670-1)=0),FALSE),"Nummeret hopper over",IF(OR(NOT(ISNUMBER(B1670)),B1670&lt;DATE(2027,1,1),B1670&gt;DATE(2027,12,31)),"Datoen er ikke i 2027",""))))))</f>
        <v/>
      </c>
    </row>
    <row r="1671">
      <c r="A1671" s="17" t="n"/>
      <c r="B1671" s="9" t="n"/>
      <c r="C1671" s="8" t="n"/>
      <c r="D1671" s="8" t="n"/>
      <c r="E1671" s="8" t="n"/>
      <c r="F1671" s="14" t="n"/>
      <c r="G1671" s="14" t="n"/>
      <c r="H1671" s="8" t="n"/>
      <c r="I1671" s="8" t="n"/>
      <c r="J1671" s="8" t="n"/>
      <c r="K1671" s="18">
        <f>IF(B1671="","",IFERROR(MONTH(B1671),""))</f>
        <v/>
      </c>
      <c r="L1671" s="5">
        <f>IF(COUNTA(A1671:J1671)=0,"",IF(E1671="","Mangler motkonto",IF((F1671="")=(G1671=""),"Fyll ut enten Inn eller Ut",IF(OR(IFERROR(INDEX('Kontoplan'!$D$3:$D$302,MATCH(D1671,'Kontoplan'!$H$3:$H$302,0))="Støttes ikke",FALSE),IFERROR(INDEX('Kontoplan'!$D$3:$D$302,MATCH(E1671,'Kontoplan'!$H$3:$H$302,0))="Støttes ikke",FALSE)),"Kontoen støttes ikke",IF(IFERROR(AND(A1671&gt;1,COUNTIF($A$3:$A$2002,A1671-1)=0),FALSE),"Nummeret hopper over",IF(OR(NOT(ISNUMBER(B1671)),B1671&lt;DATE(2027,1,1),B1671&gt;DATE(2027,12,31)),"Datoen er ikke i 2027",""))))))</f>
        <v/>
      </c>
    </row>
    <row r="1672">
      <c r="A1672" s="17" t="n"/>
      <c r="B1672" s="9" t="n"/>
      <c r="C1672" s="8" t="n"/>
      <c r="D1672" s="8" t="n"/>
      <c r="E1672" s="8" t="n"/>
      <c r="F1672" s="14" t="n"/>
      <c r="G1672" s="14" t="n"/>
      <c r="H1672" s="8" t="n"/>
      <c r="I1672" s="8" t="n"/>
      <c r="J1672" s="8" t="n"/>
      <c r="K1672" s="18">
        <f>IF(B1672="","",IFERROR(MONTH(B1672),""))</f>
        <v/>
      </c>
      <c r="L1672" s="5">
        <f>IF(COUNTA(A1672:J1672)=0,"",IF(E1672="","Mangler motkonto",IF((F1672="")=(G1672=""),"Fyll ut enten Inn eller Ut",IF(OR(IFERROR(INDEX('Kontoplan'!$D$3:$D$302,MATCH(D1672,'Kontoplan'!$H$3:$H$302,0))="Støttes ikke",FALSE),IFERROR(INDEX('Kontoplan'!$D$3:$D$302,MATCH(E1672,'Kontoplan'!$H$3:$H$302,0))="Støttes ikke",FALSE)),"Kontoen støttes ikke",IF(IFERROR(AND(A1672&gt;1,COUNTIF($A$3:$A$2002,A1672-1)=0),FALSE),"Nummeret hopper over",IF(OR(NOT(ISNUMBER(B1672)),B1672&lt;DATE(2027,1,1),B1672&gt;DATE(2027,12,31)),"Datoen er ikke i 2027",""))))))</f>
        <v/>
      </c>
    </row>
    <row r="1673">
      <c r="A1673" s="17" t="n"/>
      <c r="B1673" s="9" t="n"/>
      <c r="C1673" s="8" t="n"/>
      <c r="D1673" s="8" t="n"/>
      <c r="E1673" s="8" t="n"/>
      <c r="F1673" s="14" t="n"/>
      <c r="G1673" s="14" t="n"/>
      <c r="H1673" s="8" t="n"/>
      <c r="I1673" s="8" t="n"/>
      <c r="J1673" s="8" t="n"/>
      <c r="K1673" s="18">
        <f>IF(B1673="","",IFERROR(MONTH(B1673),""))</f>
        <v/>
      </c>
      <c r="L1673" s="5">
        <f>IF(COUNTA(A1673:J1673)=0,"",IF(E1673="","Mangler motkonto",IF((F1673="")=(G1673=""),"Fyll ut enten Inn eller Ut",IF(OR(IFERROR(INDEX('Kontoplan'!$D$3:$D$302,MATCH(D1673,'Kontoplan'!$H$3:$H$302,0))="Støttes ikke",FALSE),IFERROR(INDEX('Kontoplan'!$D$3:$D$302,MATCH(E1673,'Kontoplan'!$H$3:$H$302,0))="Støttes ikke",FALSE)),"Kontoen støttes ikke",IF(IFERROR(AND(A1673&gt;1,COUNTIF($A$3:$A$2002,A1673-1)=0),FALSE),"Nummeret hopper over",IF(OR(NOT(ISNUMBER(B1673)),B1673&lt;DATE(2027,1,1),B1673&gt;DATE(2027,12,31)),"Datoen er ikke i 2027",""))))))</f>
        <v/>
      </c>
    </row>
    <row r="1674">
      <c r="A1674" s="17" t="n"/>
      <c r="B1674" s="9" t="n"/>
      <c r="C1674" s="8" t="n"/>
      <c r="D1674" s="8" t="n"/>
      <c r="E1674" s="8" t="n"/>
      <c r="F1674" s="14" t="n"/>
      <c r="G1674" s="14" t="n"/>
      <c r="H1674" s="8" t="n"/>
      <c r="I1674" s="8" t="n"/>
      <c r="J1674" s="8" t="n"/>
      <c r="K1674" s="18">
        <f>IF(B1674="","",IFERROR(MONTH(B1674),""))</f>
        <v/>
      </c>
      <c r="L1674" s="5">
        <f>IF(COUNTA(A1674:J1674)=0,"",IF(E1674="","Mangler motkonto",IF((F1674="")=(G1674=""),"Fyll ut enten Inn eller Ut",IF(OR(IFERROR(INDEX('Kontoplan'!$D$3:$D$302,MATCH(D1674,'Kontoplan'!$H$3:$H$302,0))="Støttes ikke",FALSE),IFERROR(INDEX('Kontoplan'!$D$3:$D$302,MATCH(E1674,'Kontoplan'!$H$3:$H$302,0))="Støttes ikke",FALSE)),"Kontoen støttes ikke",IF(IFERROR(AND(A1674&gt;1,COUNTIF($A$3:$A$2002,A1674-1)=0),FALSE),"Nummeret hopper over",IF(OR(NOT(ISNUMBER(B1674)),B1674&lt;DATE(2027,1,1),B1674&gt;DATE(2027,12,31)),"Datoen er ikke i 2027",""))))))</f>
        <v/>
      </c>
    </row>
    <row r="1675">
      <c r="A1675" s="17" t="n"/>
      <c r="B1675" s="9" t="n"/>
      <c r="C1675" s="8" t="n"/>
      <c r="D1675" s="8" t="n"/>
      <c r="E1675" s="8" t="n"/>
      <c r="F1675" s="14" t="n"/>
      <c r="G1675" s="14" t="n"/>
      <c r="H1675" s="8" t="n"/>
      <c r="I1675" s="8" t="n"/>
      <c r="J1675" s="8" t="n"/>
      <c r="K1675" s="18">
        <f>IF(B1675="","",IFERROR(MONTH(B1675),""))</f>
        <v/>
      </c>
      <c r="L1675" s="5">
        <f>IF(COUNTA(A1675:J1675)=0,"",IF(E1675="","Mangler motkonto",IF((F1675="")=(G1675=""),"Fyll ut enten Inn eller Ut",IF(OR(IFERROR(INDEX('Kontoplan'!$D$3:$D$302,MATCH(D1675,'Kontoplan'!$H$3:$H$302,0))="Støttes ikke",FALSE),IFERROR(INDEX('Kontoplan'!$D$3:$D$302,MATCH(E1675,'Kontoplan'!$H$3:$H$302,0))="Støttes ikke",FALSE)),"Kontoen støttes ikke",IF(IFERROR(AND(A1675&gt;1,COUNTIF($A$3:$A$2002,A1675-1)=0),FALSE),"Nummeret hopper over",IF(OR(NOT(ISNUMBER(B1675)),B1675&lt;DATE(2027,1,1),B1675&gt;DATE(2027,12,31)),"Datoen er ikke i 2027",""))))))</f>
        <v/>
      </c>
    </row>
    <row r="1676">
      <c r="A1676" s="17" t="n"/>
      <c r="B1676" s="9" t="n"/>
      <c r="C1676" s="8" t="n"/>
      <c r="D1676" s="8" t="n"/>
      <c r="E1676" s="8" t="n"/>
      <c r="F1676" s="14" t="n"/>
      <c r="G1676" s="14" t="n"/>
      <c r="H1676" s="8" t="n"/>
      <c r="I1676" s="8" t="n"/>
      <c r="J1676" s="8" t="n"/>
      <c r="K1676" s="18">
        <f>IF(B1676="","",IFERROR(MONTH(B1676),""))</f>
        <v/>
      </c>
      <c r="L1676" s="5">
        <f>IF(COUNTA(A1676:J1676)=0,"",IF(E1676="","Mangler motkonto",IF((F1676="")=(G1676=""),"Fyll ut enten Inn eller Ut",IF(OR(IFERROR(INDEX('Kontoplan'!$D$3:$D$302,MATCH(D1676,'Kontoplan'!$H$3:$H$302,0))="Støttes ikke",FALSE),IFERROR(INDEX('Kontoplan'!$D$3:$D$302,MATCH(E1676,'Kontoplan'!$H$3:$H$302,0))="Støttes ikke",FALSE)),"Kontoen støttes ikke",IF(IFERROR(AND(A1676&gt;1,COUNTIF($A$3:$A$2002,A1676-1)=0),FALSE),"Nummeret hopper over",IF(OR(NOT(ISNUMBER(B1676)),B1676&lt;DATE(2027,1,1),B1676&gt;DATE(2027,12,31)),"Datoen er ikke i 2027",""))))))</f>
        <v/>
      </c>
    </row>
    <row r="1677">
      <c r="A1677" s="17" t="n"/>
      <c r="B1677" s="9" t="n"/>
      <c r="C1677" s="8" t="n"/>
      <c r="D1677" s="8" t="n"/>
      <c r="E1677" s="8" t="n"/>
      <c r="F1677" s="14" t="n"/>
      <c r="G1677" s="14" t="n"/>
      <c r="H1677" s="8" t="n"/>
      <c r="I1677" s="8" t="n"/>
      <c r="J1677" s="8" t="n"/>
      <c r="K1677" s="18">
        <f>IF(B1677="","",IFERROR(MONTH(B1677),""))</f>
        <v/>
      </c>
      <c r="L1677" s="5">
        <f>IF(COUNTA(A1677:J1677)=0,"",IF(E1677="","Mangler motkonto",IF((F1677="")=(G1677=""),"Fyll ut enten Inn eller Ut",IF(OR(IFERROR(INDEX('Kontoplan'!$D$3:$D$302,MATCH(D1677,'Kontoplan'!$H$3:$H$302,0))="Støttes ikke",FALSE),IFERROR(INDEX('Kontoplan'!$D$3:$D$302,MATCH(E1677,'Kontoplan'!$H$3:$H$302,0))="Støttes ikke",FALSE)),"Kontoen støttes ikke",IF(IFERROR(AND(A1677&gt;1,COUNTIF($A$3:$A$2002,A1677-1)=0),FALSE),"Nummeret hopper over",IF(OR(NOT(ISNUMBER(B1677)),B1677&lt;DATE(2027,1,1),B1677&gt;DATE(2027,12,31)),"Datoen er ikke i 2027",""))))))</f>
        <v/>
      </c>
    </row>
    <row r="1678">
      <c r="A1678" s="17" t="n"/>
      <c r="B1678" s="9" t="n"/>
      <c r="C1678" s="8" t="n"/>
      <c r="D1678" s="8" t="n"/>
      <c r="E1678" s="8" t="n"/>
      <c r="F1678" s="14" t="n"/>
      <c r="G1678" s="14" t="n"/>
      <c r="H1678" s="8" t="n"/>
      <c r="I1678" s="8" t="n"/>
      <c r="J1678" s="8" t="n"/>
      <c r="K1678" s="18">
        <f>IF(B1678="","",IFERROR(MONTH(B1678),""))</f>
        <v/>
      </c>
      <c r="L1678" s="5">
        <f>IF(COUNTA(A1678:J1678)=0,"",IF(E1678="","Mangler motkonto",IF((F1678="")=(G1678=""),"Fyll ut enten Inn eller Ut",IF(OR(IFERROR(INDEX('Kontoplan'!$D$3:$D$302,MATCH(D1678,'Kontoplan'!$H$3:$H$302,0))="Støttes ikke",FALSE),IFERROR(INDEX('Kontoplan'!$D$3:$D$302,MATCH(E1678,'Kontoplan'!$H$3:$H$302,0))="Støttes ikke",FALSE)),"Kontoen støttes ikke",IF(IFERROR(AND(A1678&gt;1,COUNTIF($A$3:$A$2002,A1678-1)=0),FALSE),"Nummeret hopper over",IF(OR(NOT(ISNUMBER(B1678)),B1678&lt;DATE(2027,1,1),B1678&gt;DATE(2027,12,31)),"Datoen er ikke i 2027",""))))))</f>
        <v/>
      </c>
    </row>
    <row r="1679">
      <c r="A1679" s="17" t="n"/>
      <c r="B1679" s="9" t="n"/>
      <c r="C1679" s="8" t="n"/>
      <c r="D1679" s="8" t="n"/>
      <c r="E1679" s="8" t="n"/>
      <c r="F1679" s="14" t="n"/>
      <c r="G1679" s="14" t="n"/>
      <c r="H1679" s="8" t="n"/>
      <c r="I1679" s="8" t="n"/>
      <c r="J1679" s="8" t="n"/>
      <c r="K1679" s="18">
        <f>IF(B1679="","",IFERROR(MONTH(B1679),""))</f>
        <v/>
      </c>
      <c r="L1679" s="5">
        <f>IF(COUNTA(A1679:J1679)=0,"",IF(E1679="","Mangler motkonto",IF((F1679="")=(G1679=""),"Fyll ut enten Inn eller Ut",IF(OR(IFERROR(INDEX('Kontoplan'!$D$3:$D$302,MATCH(D1679,'Kontoplan'!$H$3:$H$302,0))="Støttes ikke",FALSE),IFERROR(INDEX('Kontoplan'!$D$3:$D$302,MATCH(E1679,'Kontoplan'!$H$3:$H$302,0))="Støttes ikke",FALSE)),"Kontoen støttes ikke",IF(IFERROR(AND(A1679&gt;1,COUNTIF($A$3:$A$2002,A1679-1)=0),FALSE),"Nummeret hopper over",IF(OR(NOT(ISNUMBER(B1679)),B1679&lt;DATE(2027,1,1),B1679&gt;DATE(2027,12,31)),"Datoen er ikke i 2027",""))))))</f>
        <v/>
      </c>
    </row>
    <row r="1680">
      <c r="A1680" s="17" t="n"/>
      <c r="B1680" s="9" t="n"/>
      <c r="C1680" s="8" t="n"/>
      <c r="D1680" s="8" t="n"/>
      <c r="E1680" s="8" t="n"/>
      <c r="F1680" s="14" t="n"/>
      <c r="G1680" s="14" t="n"/>
      <c r="H1680" s="8" t="n"/>
      <c r="I1680" s="8" t="n"/>
      <c r="J1680" s="8" t="n"/>
      <c r="K1680" s="18">
        <f>IF(B1680="","",IFERROR(MONTH(B1680),""))</f>
        <v/>
      </c>
      <c r="L1680" s="5">
        <f>IF(COUNTA(A1680:J1680)=0,"",IF(E1680="","Mangler motkonto",IF((F1680="")=(G1680=""),"Fyll ut enten Inn eller Ut",IF(OR(IFERROR(INDEX('Kontoplan'!$D$3:$D$302,MATCH(D1680,'Kontoplan'!$H$3:$H$302,0))="Støttes ikke",FALSE),IFERROR(INDEX('Kontoplan'!$D$3:$D$302,MATCH(E1680,'Kontoplan'!$H$3:$H$302,0))="Støttes ikke",FALSE)),"Kontoen støttes ikke",IF(IFERROR(AND(A1680&gt;1,COUNTIF($A$3:$A$2002,A1680-1)=0),FALSE),"Nummeret hopper over",IF(OR(NOT(ISNUMBER(B1680)),B1680&lt;DATE(2027,1,1),B1680&gt;DATE(2027,12,31)),"Datoen er ikke i 2027",""))))))</f>
        <v/>
      </c>
    </row>
    <row r="1681">
      <c r="A1681" s="17" t="n"/>
      <c r="B1681" s="9" t="n"/>
      <c r="C1681" s="8" t="n"/>
      <c r="D1681" s="8" t="n"/>
      <c r="E1681" s="8" t="n"/>
      <c r="F1681" s="14" t="n"/>
      <c r="G1681" s="14" t="n"/>
      <c r="H1681" s="8" t="n"/>
      <c r="I1681" s="8" t="n"/>
      <c r="J1681" s="8" t="n"/>
      <c r="K1681" s="18">
        <f>IF(B1681="","",IFERROR(MONTH(B1681),""))</f>
        <v/>
      </c>
      <c r="L1681" s="5">
        <f>IF(COUNTA(A1681:J1681)=0,"",IF(E1681="","Mangler motkonto",IF((F1681="")=(G1681=""),"Fyll ut enten Inn eller Ut",IF(OR(IFERROR(INDEX('Kontoplan'!$D$3:$D$302,MATCH(D1681,'Kontoplan'!$H$3:$H$302,0))="Støttes ikke",FALSE),IFERROR(INDEX('Kontoplan'!$D$3:$D$302,MATCH(E1681,'Kontoplan'!$H$3:$H$302,0))="Støttes ikke",FALSE)),"Kontoen støttes ikke",IF(IFERROR(AND(A1681&gt;1,COUNTIF($A$3:$A$2002,A1681-1)=0),FALSE),"Nummeret hopper over",IF(OR(NOT(ISNUMBER(B1681)),B1681&lt;DATE(2027,1,1),B1681&gt;DATE(2027,12,31)),"Datoen er ikke i 2027",""))))))</f>
        <v/>
      </c>
    </row>
    <row r="1682">
      <c r="A1682" s="17" t="n"/>
      <c r="B1682" s="9" t="n"/>
      <c r="C1682" s="8" t="n"/>
      <c r="D1682" s="8" t="n"/>
      <c r="E1682" s="8" t="n"/>
      <c r="F1682" s="14" t="n"/>
      <c r="G1682" s="14" t="n"/>
      <c r="H1682" s="8" t="n"/>
      <c r="I1682" s="8" t="n"/>
      <c r="J1682" s="8" t="n"/>
      <c r="K1682" s="18">
        <f>IF(B1682="","",IFERROR(MONTH(B1682),""))</f>
        <v/>
      </c>
      <c r="L1682" s="5">
        <f>IF(COUNTA(A1682:J1682)=0,"",IF(E1682="","Mangler motkonto",IF((F1682="")=(G1682=""),"Fyll ut enten Inn eller Ut",IF(OR(IFERROR(INDEX('Kontoplan'!$D$3:$D$302,MATCH(D1682,'Kontoplan'!$H$3:$H$302,0))="Støttes ikke",FALSE),IFERROR(INDEX('Kontoplan'!$D$3:$D$302,MATCH(E1682,'Kontoplan'!$H$3:$H$302,0))="Støttes ikke",FALSE)),"Kontoen støttes ikke",IF(IFERROR(AND(A1682&gt;1,COUNTIF($A$3:$A$2002,A1682-1)=0),FALSE),"Nummeret hopper over",IF(OR(NOT(ISNUMBER(B1682)),B1682&lt;DATE(2027,1,1),B1682&gt;DATE(2027,12,31)),"Datoen er ikke i 2027",""))))))</f>
        <v/>
      </c>
    </row>
    <row r="1683">
      <c r="A1683" s="17" t="n"/>
      <c r="B1683" s="9" t="n"/>
      <c r="C1683" s="8" t="n"/>
      <c r="D1683" s="8" t="n"/>
      <c r="E1683" s="8" t="n"/>
      <c r="F1683" s="14" t="n"/>
      <c r="G1683" s="14" t="n"/>
      <c r="H1683" s="8" t="n"/>
      <c r="I1683" s="8" t="n"/>
      <c r="J1683" s="8" t="n"/>
      <c r="K1683" s="18">
        <f>IF(B1683="","",IFERROR(MONTH(B1683),""))</f>
        <v/>
      </c>
      <c r="L1683" s="5">
        <f>IF(COUNTA(A1683:J1683)=0,"",IF(E1683="","Mangler motkonto",IF((F1683="")=(G1683=""),"Fyll ut enten Inn eller Ut",IF(OR(IFERROR(INDEX('Kontoplan'!$D$3:$D$302,MATCH(D1683,'Kontoplan'!$H$3:$H$302,0))="Støttes ikke",FALSE),IFERROR(INDEX('Kontoplan'!$D$3:$D$302,MATCH(E1683,'Kontoplan'!$H$3:$H$302,0))="Støttes ikke",FALSE)),"Kontoen støttes ikke",IF(IFERROR(AND(A1683&gt;1,COUNTIF($A$3:$A$2002,A1683-1)=0),FALSE),"Nummeret hopper over",IF(OR(NOT(ISNUMBER(B1683)),B1683&lt;DATE(2027,1,1),B1683&gt;DATE(2027,12,31)),"Datoen er ikke i 2027",""))))))</f>
        <v/>
      </c>
    </row>
    <row r="1684">
      <c r="A1684" s="17" t="n"/>
      <c r="B1684" s="9" t="n"/>
      <c r="C1684" s="8" t="n"/>
      <c r="D1684" s="8" t="n"/>
      <c r="E1684" s="8" t="n"/>
      <c r="F1684" s="14" t="n"/>
      <c r="G1684" s="14" t="n"/>
      <c r="H1684" s="8" t="n"/>
      <c r="I1684" s="8" t="n"/>
      <c r="J1684" s="8" t="n"/>
      <c r="K1684" s="18">
        <f>IF(B1684="","",IFERROR(MONTH(B1684),""))</f>
        <v/>
      </c>
      <c r="L1684" s="5">
        <f>IF(COUNTA(A1684:J1684)=0,"",IF(E1684="","Mangler motkonto",IF((F1684="")=(G1684=""),"Fyll ut enten Inn eller Ut",IF(OR(IFERROR(INDEX('Kontoplan'!$D$3:$D$302,MATCH(D1684,'Kontoplan'!$H$3:$H$302,0))="Støttes ikke",FALSE),IFERROR(INDEX('Kontoplan'!$D$3:$D$302,MATCH(E1684,'Kontoplan'!$H$3:$H$302,0))="Støttes ikke",FALSE)),"Kontoen støttes ikke",IF(IFERROR(AND(A1684&gt;1,COUNTIF($A$3:$A$2002,A1684-1)=0),FALSE),"Nummeret hopper over",IF(OR(NOT(ISNUMBER(B1684)),B1684&lt;DATE(2027,1,1),B1684&gt;DATE(2027,12,31)),"Datoen er ikke i 2027",""))))))</f>
        <v/>
      </c>
    </row>
    <row r="1685">
      <c r="A1685" s="17" t="n"/>
      <c r="B1685" s="9" t="n"/>
      <c r="C1685" s="8" t="n"/>
      <c r="D1685" s="8" t="n"/>
      <c r="E1685" s="8" t="n"/>
      <c r="F1685" s="14" t="n"/>
      <c r="G1685" s="14" t="n"/>
      <c r="H1685" s="8" t="n"/>
      <c r="I1685" s="8" t="n"/>
      <c r="J1685" s="8" t="n"/>
      <c r="K1685" s="18">
        <f>IF(B1685="","",IFERROR(MONTH(B1685),""))</f>
        <v/>
      </c>
      <c r="L1685" s="5">
        <f>IF(COUNTA(A1685:J1685)=0,"",IF(E1685="","Mangler motkonto",IF((F1685="")=(G1685=""),"Fyll ut enten Inn eller Ut",IF(OR(IFERROR(INDEX('Kontoplan'!$D$3:$D$302,MATCH(D1685,'Kontoplan'!$H$3:$H$302,0))="Støttes ikke",FALSE),IFERROR(INDEX('Kontoplan'!$D$3:$D$302,MATCH(E1685,'Kontoplan'!$H$3:$H$302,0))="Støttes ikke",FALSE)),"Kontoen støttes ikke",IF(IFERROR(AND(A1685&gt;1,COUNTIF($A$3:$A$2002,A1685-1)=0),FALSE),"Nummeret hopper over",IF(OR(NOT(ISNUMBER(B1685)),B1685&lt;DATE(2027,1,1),B1685&gt;DATE(2027,12,31)),"Datoen er ikke i 2027",""))))))</f>
        <v/>
      </c>
    </row>
    <row r="1686">
      <c r="A1686" s="17" t="n"/>
      <c r="B1686" s="9" t="n"/>
      <c r="C1686" s="8" t="n"/>
      <c r="D1686" s="8" t="n"/>
      <c r="E1686" s="8" t="n"/>
      <c r="F1686" s="14" t="n"/>
      <c r="G1686" s="14" t="n"/>
      <c r="H1686" s="8" t="n"/>
      <c r="I1686" s="8" t="n"/>
      <c r="J1686" s="8" t="n"/>
      <c r="K1686" s="18">
        <f>IF(B1686="","",IFERROR(MONTH(B1686),""))</f>
        <v/>
      </c>
      <c r="L1686" s="5">
        <f>IF(COUNTA(A1686:J1686)=0,"",IF(E1686="","Mangler motkonto",IF((F1686="")=(G1686=""),"Fyll ut enten Inn eller Ut",IF(OR(IFERROR(INDEX('Kontoplan'!$D$3:$D$302,MATCH(D1686,'Kontoplan'!$H$3:$H$302,0))="Støttes ikke",FALSE),IFERROR(INDEX('Kontoplan'!$D$3:$D$302,MATCH(E1686,'Kontoplan'!$H$3:$H$302,0))="Støttes ikke",FALSE)),"Kontoen støttes ikke",IF(IFERROR(AND(A1686&gt;1,COUNTIF($A$3:$A$2002,A1686-1)=0),FALSE),"Nummeret hopper over",IF(OR(NOT(ISNUMBER(B1686)),B1686&lt;DATE(2027,1,1),B1686&gt;DATE(2027,12,31)),"Datoen er ikke i 2027",""))))))</f>
        <v/>
      </c>
    </row>
    <row r="1687">
      <c r="A1687" s="17" t="n"/>
      <c r="B1687" s="9" t="n"/>
      <c r="C1687" s="8" t="n"/>
      <c r="D1687" s="8" t="n"/>
      <c r="E1687" s="8" t="n"/>
      <c r="F1687" s="14" t="n"/>
      <c r="G1687" s="14" t="n"/>
      <c r="H1687" s="8" t="n"/>
      <c r="I1687" s="8" t="n"/>
      <c r="J1687" s="8" t="n"/>
      <c r="K1687" s="18">
        <f>IF(B1687="","",IFERROR(MONTH(B1687),""))</f>
        <v/>
      </c>
      <c r="L1687" s="5">
        <f>IF(COUNTA(A1687:J1687)=0,"",IF(E1687="","Mangler motkonto",IF((F1687="")=(G1687=""),"Fyll ut enten Inn eller Ut",IF(OR(IFERROR(INDEX('Kontoplan'!$D$3:$D$302,MATCH(D1687,'Kontoplan'!$H$3:$H$302,0))="Støttes ikke",FALSE),IFERROR(INDEX('Kontoplan'!$D$3:$D$302,MATCH(E1687,'Kontoplan'!$H$3:$H$302,0))="Støttes ikke",FALSE)),"Kontoen støttes ikke",IF(IFERROR(AND(A1687&gt;1,COUNTIF($A$3:$A$2002,A1687-1)=0),FALSE),"Nummeret hopper over",IF(OR(NOT(ISNUMBER(B1687)),B1687&lt;DATE(2027,1,1),B1687&gt;DATE(2027,12,31)),"Datoen er ikke i 2027",""))))))</f>
        <v/>
      </c>
    </row>
    <row r="1688">
      <c r="A1688" s="17" t="n"/>
      <c r="B1688" s="9" t="n"/>
      <c r="C1688" s="8" t="n"/>
      <c r="D1688" s="8" t="n"/>
      <c r="E1688" s="8" t="n"/>
      <c r="F1688" s="14" t="n"/>
      <c r="G1688" s="14" t="n"/>
      <c r="H1688" s="8" t="n"/>
      <c r="I1688" s="8" t="n"/>
      <c r="J1688" s="8" t="n"/>
      <c r="K1688" s="18">
        <f>IF(B1688="","",IFERROR(MONTH(B1688),""))</f>
        <v/>
      </c>
      <c r="L1688" s="5">
        <f>IF(COUNTA(A1688:J1688)=0,"",IF(E1688="","Mangler motkonto",IF((F1688="")=(G1688=""),"Fyll ut enten Inn eller Ut",IF(OR(IFERROR(INDEX('Kontoplan'!$D$3:$D$302,MATCH(D1688,'Kontoplan'!$H$3:$H$302,0))="Støttes ikke",FALSE),IFERROR(INDEX('Kontoplan'!$D$3:$D$302,MATCH(E1688,'Kontoplan'!$H$3:$H$302,0))="Støttes ikke",FALSE)),"Kontoen støttes ikke",IF(IFERROR(AND(A1688&gt;1,COUNTIF($A$3:$A$2002,A1688-1)=0),FALSE),"Nummeret hopper over",IF(OR(NOT(ISNUMBER(B1688)),B1688&lt;DATE(2027,1,1),B1688&gt;DATE(2027,12,31)),"Datoen er ikke i 2027",""))))))</f>
        <v/>
      </c>
    </row>
    <row r="1689">
      <c r="A1689" s="17" t="n"/>
      <c r="B1689" s="9" t="n"/>
      <c r="C1689" s="8" t="n"/>
      <c r="D1689" s="8" t="n"/>
      <c r="E1689" s="8" t="n"/>
      <c r="F1689" s="14" t="n"/>
      <c r="G1689" s="14" t="n"/>
      <c r="H1689" s="8" t="n"/>
      <c r="I1689" s="8" t="n"/>
      <c r="J1689" s="8" t="n"/>
      <c r="K1689" s="18">
        <f>IF(B1689="","",IFERROR(MONTH(B1689),""))</f>
        <v/>
      </c>
      <c r="L1689" s="5">
        <f>IF(COUNTA(A1689:J1689)=0,"",IF(E1689="","Mangler motkonto",IF((F1689="")=(G1689=""),"Fyll ut enten Inn eller Ut",IF(OR(IFERROR(INDEX('Kontoplan'!$D$3:$D$302,MATCH(D1689,'Kontoplan'!$H$3:$H$302,0))="Støttes ikke",FALSE),IFERROR(INDEX('Kontoplan'!$D$3:$D$302,MATCH(E1689,'Kontoplan'!$H$3:$H$302,0))="Støttes ikke",FALSE)),"Kontoen støttes ikke",IF(IFERROR(AND(A1689&gt;1,COUNTIF($A$3:$A$2002,A1689-1)=0),FALSE),"Nummeret hopper over",IF(OR(NOT(ISNUMBER(B1689)),B1689&lt;DATE(2027,1,1),B1689&gt;DATE(2027,12,31)),"Datoen er ikke i 2027",""))))))</f>
        <v/>
      </c>
    </row>
    <row r="1690">
      <c r="A1690" s="17" t="n"/>
      <c r="B1690" s="9" t="n"/>
      <c r="C1690" s="8" t="n"/>
      <c r="D1690" s="8" t="n"/>
      <c r="E1690" s="8" t="n"/>
      <c r="F1690" s="14" t="n"/>
      <c r="G1690" s="14" t="n"/>
      <c r="H1690" s="8" t="n"/>
      <c r="I1690" s="8" t="n"/>
      <c r="J1690" s="8" t="n"/>
      <c r="K1690" s="18">
        <f>IF(B1690="","",IFERROR(MONTH(B1690),""))</f>
        <v/>
      </c>
      <c r="L1690" s="5">
        <f>IF(COUNTA(A1690:J1690)=0,"",IF(E1690="","Mangler motkonto",IF((F1690="")=(G1690=""),"Fyll ut enten Inn eller Ut",IF(OR(IFERROR(INDEX('Kontoplan'!$D$3:$D$302,MATCH(D1690,'Kontoplan'!$H$3:$H$302,0))="Støttes ikke",FALSE),IFERROR(INDEX('Kontoplan'!$D$3:$D$302,MATCH(E1690,'Kontoplan'!$H$3:$H$302,0))="Støttes ikke",FALSE)),"Kontoen støttes ikke",IF(IFERROR(AND(A1690&gt;1,COUNTIF($A$3:$A$2002,A1690-1)=0),FALSE),"Nummeret hopper over",IF(OR(NOT(ISNUMBER(B1690)),B1690&lt;DATE(2027,1,1),B1690&gt;DATE(2027,12,31)),"Datoen er ikke i 2027",""))))))</f>
        <v/>
      </c>
    </row>
    <row r="1691">
      <c r="A1691" s="17" t="n"/>
      <c r="B1691" s="9" t="n"/>
      <c r="C1691" s="8" t="n"/>
      <c r="D1691" s="8" t="n"/>
      <c r="E1691" s="8" t="n"/>
      <c r="F1691" s="14" t="n"/>
      <c r="G1691" s="14" t="n"/>
      <c r="H1691" s="8" t="n"/>
      <c r="I1691" s="8" t="n"/>
      <c r="J1691" s="8" t="n"/>
      <c r="K1691" s="18">
        <f>IF(B1691="","",IFERROR(MONTH(B1691),""))</f>
        <v/>
      </c>
      <c r="L1691" s="5">
        <f>IF(COUNTA(A1691:J1691)=0,"",IF(E1691="","Mangler motkonto",IF((F1691="")=(G1691=""),"Fyll ut enten Inn eller Ut",IF(OR(IFERROR(INDEX('Kontoplan'!$D$3:$D$302,MATCH(D1691,'Kontoplan'!$H$3:$H$302,0))="Støttes ikke",FALSE),IFERROR(INDEX('Kontoplan'!$D$3:$D$302,MATCH(E1691,'Kontoplan'!$H$3:$H$302,0))="Støttes ikke",FALSE)),"Kontoen støttes ikke",IF(IFERROR(AND(A1691&gt;1,COUNTIF($A$3:$A$2002,A1691-1)=0),FALSE),"Nummeret hopper over",IF(OR(NOT(ISNUMBER(B1691)),B1691&lt;DATE(2027,1,1),B1691&gt;DATE(2027,12,31)),"Datoen er ikke i 2027",""))))))</f>
        <v/>
      </c>
    </row>
    <row r="1692">
      <c r="A1692" s="17" t="n"/>
      <c r="B1692" s="9" t="n"/>
      <c r="C1692" s="8" t="n"/>
      <c r="D1692" s="8" t="n"/>
      <c r="E1692" s="8" t="n"/>
      <c r="F1692" s="14" t="n"/>
      <c r="G1692" s="14" t="n"/>
      <c r="H1692" s="8" t="n"/>
      <c r="I1692" s="8" t="n"/>
      <c r="J1692" s="8" t="n"/>
      <c r="K1692" s="18">
        <f>IF(B1692="","",IFERROR(MONTH(B1692),""))</f>
        <v/>
      </c>
      <c r="L1692" s="5">
        <f>IF(COUNTA(A1692:J1692)=0,"",IF(E1692="","Mangler motkonto",IF((F1692="")=(G1692=""),"Fyll ut enten Inn eller Ut",IF(OR(IFERROR(INDEX('Kontoplan'!$D$3:$D$302,MATCH(D1692,'Kontoplan'!$H$3:$H$302,0))="Støttes ikke",FALSE),IFERROR(INDEX('Kontoplan'!$D$3:$D$302,MATCH(E1692,'Kontoplan'!$H$3:$H$302,0))="Støttes ikke",FALSE)),"Kontoen støttes ikke",IF(IFERROR(AND(A1692&gt;1,COUNTIF($A$3:$A$2002,A1692-1)=0),FALSE),"Nummeret hopper over",IF(OR(NOT(ISNUMBER(B1692)),B1692&lt;DATE(2027,1,1),B1692&gt;DATE(2027,12,31)),"Datoen er ikke i 2027",""))))))</f>
        <v/>
      </c>
    </row>
    <row r="1693">
      <c r="A1693" s="17" t="n"/>
      <c r="B1693" s="9" t="n"/>
      <c r="C1693" s="8" t="n"/>
      <c r="D1693" s="8" t="n"/>
      <c r="E1693" s="8" t="n"/>
      <c r="F1693" s="14" t="n"/>
      <c r="G1693" s="14" t="n"/>
      <c r="H1693" s="8" t="n"/>
      <c r="I1693" s="8" t="n"/>
      <c r="J1693" s="8" t="n"/>
      <c r="K1693" s="18">
        <f>IF(B1693="","",IFERROR(MONTH(B1693),""))</f>
        <v/>
      </c>
      <c r="L1693" s="5">
        <f>IF(COUNTA(A1693:J1693)=0,"",IF(E1693="","Mangler motkonto",IF((F1693="")=(G1693=""),"Fyll ut enten Inn eller Ut",IF(OR(IFERROR(INDEX('Kontoplan'!$D$3:$D$302,MATCH(D1693,'Kontoplan'!$H$3:$H$302,0))="Støttes ikke",FALSE),IFERROR(INDEX('Kontoplan'!$D$3:$D$302,MATCH(E1693,'Kontoplan'!$H$3:$H$302,0))="Støttes ikke",FALSE)),"Kontoen støttes ikke",IF(IFERROR(AND(A1693&gt;1,COUNTIF($A$3:$A$2002,A1693-1)=0),FALSE),"Nummeret hopper over",IF(OR(NOT(ISNUMBER(B1693)),B1693&lt;DATE(2027,1,1),B1693&gt;DATE(2027,12,31)),"Datoen er ikke i 2027",""))))))</f>
        <v/>
      </c>
    </row>
    <row r="1694">
      <c r="A1694" s="17" t="n"/>
      <c r="B1694" s="9" t="n"/>
      <c r="C1694" s="8" t="n"/>
      <c r="D1694" s="8" t="n"/>
      <c r="E1694" s="8" t="n"/>
      <c r="F1694" s="14" t="n"/>
      <c r="G1694" s="14" t="n"/>
      <c r="H1694" s="8" t="n"/>
      <c r="I1694" s="8" t="n"/>
      <c r="J1694" s="8" t="n"/>
      <c r="K1694" s="18">
        <f>IF(B1694="","",IFERROR(MONTH(B1694),""))</f>
        <v/>
      </c>
      <c r="L1694" s="5">
        <f>IF(COUNTA(A1694:J1694)=0,"",IF(E1694="","Mangler motkonto",IF((F1694="")=(G1694=""),"Fyll ut enten Inn eller Ut",IF(OR(IFERROR(INDEX('Kontoplan'!$D$3:$D$302,MATCH(D1694,'Kontoplan'!$H$3:$H$302,0))="Støttes ikke",FALSE),IFERROR(INDEX('Kontoplan'!$D$3:$D$302,MATCH(E1694,'Kontoplan'!$H$3:$H$302,0))="Støttes ikke",FALSE)),"Kontoen støttes ikke",IF(IFERROR(AND(A1694&gt;1,COUNTIF($A$3:$A$2002,A1694-1)=0),FALSE),"Nummeret hopper over",IF(OR(NOT(ISNUMBER(B1694)),B1694&lt;DATE(2027,1,1),B1694&gt;DATE(2027,12,31)),"Datoen er ikke i 2027",""))))))</f>
        <v/>
      </c>
    </row>
    <row r="1695">
      <c r="A1695" s="17" t="n"/>
      <c r="B1695" s="9" t="n"/>
      <c r="C1695" s="8" t="n"/>
      <c r="D1695" s="8" t="n"/>
      <c r="E1695" s="8" t="n"/>
      <c r="F1695" s="14" t="n"/>
      <c r="G1695" s="14" t="n"/>
      <c r="H1695" s="8" t="n"/>
      <c r="I1695" s="8" t="n"/>
      <c r="J1695" s="8" t="n"/>
      <c r="K1695" s="18">
        <f>IF(B1695="","",IFERROR(MONTH(B1695),""))</f>
        <v/>
      </c>
      <c r="L1695" s="5">
        <f>IF(COUNTA(A1695:J1695)=0,"",IF(E1695="","Mangler motkonto",IF((F1695="")=(G1695=""),"Fyll ut enten Inn eller Ut",IF(OR(IFERROR(INDEX('Kontoplan'!$D$3:$D$302,MATCH(D1695,'Kontoplan'!$H$3:$H$302,0))="Støttes ikke",FALSE),IFERROR(INDEX('Kontoplan'!$D$3:$D$302,MATCH(E1695,'Kontoplan'!$H$3:$H$302,0))="Støttes ikke",FALSE)),"Kontoen støttes ikke",IF(IFERROR(AND(A1695&gt;1,COUNTIF($A$3:$A$2002,A1695-1)=0),FALSE),"Nummeret hopper over",IF(OR(NOT(ISNUMBER(B1695)),B1695&lt;DATE(2027,1,1),B1695&gt;DATE(2027,12,31)),"Datoen er ikke i 2027",""))))))</f>
        <v/>
      </c>
    </row>
    <row r="1696">
      <c r="A1696" s="17" t="n"/>
      <c r="B1696" s="9" t="n"/>
      <c r="C1696" s="8" t="n"/>
      <c r="D1696" s="8" t="n"/>
      <c r="E1696" s="8" t="n"/>
      <c r="F1696" s="14" t="n"/>
      <c r="G1696" s="14" t="n"/>
      <c r="H1696" s="8" t="n"/>
      <c r="I1696" s="8" t="n"/>
      <c r="J1696" s="8" t="n"/>
      <c r="K1696" s="18">
        <f>IF(B1696="","",IFERROR(MONTH(B1696),""))</f>
        <v/>
      </c>
      <c r="L1696" s="5">
        <f>IF(COUNTA(A1696:J1696)=0,"",IF(E1696="","Mangler motkonto",IF((F1696="")=(G1696=""),"Fyll ut enten Inn eller Ut",IF(OR(IFERROR(INDEX('Kontoplan'!$D$3:$D$302,MATCH(D1696,'Kontoplan'!$H$3:$H$302,0))="Støttes ikke",FALSE),IFERROR(INDEX('Kontoplan'!$D$3:$D$302,MATCH(E1696,'Kontoplan'!$H$3:$H$302,0))="Støttes ikke",FALSE)),"Kontoen støttes ikke",IF(IFERROR(AND(A1696&gt;1,COUNTIF($A$3:$A$2002,A1696-1)=0),FALSE),"Nummeret hopper over",IF(OR(NOT(ISNUMBER(B1696)),B1696&lt;DATE(2027,1,1),B1696&gt;DATE(2027,12,31)),"Datoen er ikke i 2027",""))))))</f>
        <v/>
      </c>
    </row>
    <row r="1697">
      <c r="A1697" s="17" t="n"/>
      <c r="B1697" s="9" t="n"/>
      <c r="C1697" s="8" t="n"/>
      <c r="D1697" s="8" t="n"/>
      <c r="E1697" s="8" t="n"/>
      <c r="F1697" s="14" t="n"/>
      <c r="G1697" s="14" t="n"/>
      <c r="H1697" s="8" t="n"/>
      <c r="I1697" s="8" t="n"/>
      <c r="J1697" s="8" t="n"/>
      <c r="K1697" s="18">
        <f>IF(B1697="","",IFERROR(MONTH(B1697),""))</f>
        <v/>
      </c>
      <c r="L1697" s="5">
        <f>IF(COUNTA(A1697:J1697)=0,"",IF(E1697="","Mangler motkonto",IF((F1697="")=(G1697=""),"Fyll ut enten Inn eller Ut",IF(OR(IFERROR(INDEX('Kontoplan'!$D$3:$D$302,MATCH(D1697,'Kontoplan'!$H$3:$H$302,0))="Støttes ikke",FALSE),IFERROR(INDEX('Kontoplan'!$D$3:$D$302,MATCH(E1697,'Kontoplan'!$H$3:$H$302,0))="Støttes ikke",FALSE)),"Kontoen støttes ikke",IF(IFERROR(AND(A1697&gt;1,COUNTIF($A$3:$A$2002,A1697-1)=0),FALSE),"Nummeret hopper over",IF(OR(NOT(ISNUMBER(B1697)),B1697&lt;DATE(2027,1,1),B1697&gt;DATE(2027,12,31)),"Datoen er ikke i 2027",""))))))</f>
        <v/>
      </c>
    </row>
    <row r="1698">
      <c r="A1698" s="17" t="n"/>
      <c r="B1698" s="9" t="n"/>
      <c r="C1698" s="8" t="n"/>
      <c r="D1698" s="8" t="n"/>
      <c r="E1698" s="8" t="n"/>
      <c r="F1698" s="14" t="n"/>
      <c r="G1698" s="14" t="n"/>
      <c r="H1698" s="8" t="n"/>
      <c r="I1698" s="8" t="n"/>
      <c r="J1698" s="8" t="n"/>
      <c r="K1698" s="18">
        <f>IF(B1698="","",IFERROR(MONTH(B1698),""))</f>
        <v/>
      </c>
      <c r="L1698" s="5">
        <f>IF(COUNTA(A1698:J1698)=0,"",IF(E1698="","Mangler motkonto",IF((F1698="")=(G1698=""),"Fyll ut enten Inn eller Ut",IF(OR(IFERROR(INDEX('Kontoplan'!$D$3:$D$302,MATCH(D1698,'Kontoplan'!$H$3:$H$302,0))="Støttes ikke",FALSE),IFERROR(INDEX('Kontoplan'!$D$3:$D$302,MATCH(E1698,'Kontoplan'!$H$3:$H$302,0))="Støttes ikke",FALSE)),"Kontoen støttes ikke",IF(IFERROR(AND(A1698&gt;1,COUNTIF($A$3:$A$2002,A1698-1)=0),FALSE),"Nummeret hopper over",IF(OR(NOT(ISNUMBER(B1698)),B1698&lt;DATE(2027,1,1),B1698&gt;DATE(2027,12,31)),"Datoen er ikke i 2027",""))))))</f>
        <v/>
      </c>
    </row>
    <row r="1699">
      <c r="A1699" s="17" t="n"/>
      <c r="B1699" s="9" t="n"/>
      <c r="C1699" s="8" t="n"/>
      <c r="D1699" s="8" t="n"/>
      <c r="E1699" s="8" t="n"/>
      <c r="F1699" s="14" t="n"/>
      <c r="G1699" s="14" t="n"/>
      <c r="H1699" s="8" t="n"/>
      <c r="I1699" s="8" t="n"/>
      <c r="J1699" s="8" t="n"/>
      <c r="K1699" s="18">
        <f>IF(B1699="","",IFERROR(MONTH(B1699),""))</f>
        <v/>
      </c>
      <c r="L1699" s="5">
        <f>IF(COUNTA(A1699:J1699)=0,"",IF(E1699="","Mangler motkonto",IF((F1699="")=(G1699=""),"Fyll ut enten Inn eller Ut",IF(OR(IFERROR(INDEX('Kontoplan'!$D$3:$D$302,MATCH(D1699,'Kontoplan'!$H$3:$H$302,0))="Støttes ikke",FALSE),IFERROR(INDEX('Kontoplan'!$D$3:$D$302,MATCH(E1699,'Kontoplan'!$H$3:$H$302,0))="Støttes ikke",FALSE)),"Kontoen støttes ikke",IF(IFERROR(AND(A1699&gt;1,COUNTIF($A$3:$A$2002,A1699-1)=0),FALSE),"Nummeret hopper over",IF(OR(NOT(ISNUMBER(B1699)),B1699&lt;DATE(2027,1,1),B1699&gt;DATE(2027,12,31)),"Datoen er ikke i 2027",""))))))</f>
        <v/>
      </c>
    </row>
    <row r="1700">
      <c r="A1700" s="17" t="n"/>
      <c r="B1700" s="9" t="n"/>
      <c r="C1700" s="8" t="n"/>
      <c r="D1700" s="8" t="n"/>
      <c r="E1700" s="8" t="n"/>
      <c r="F1700" s="14" t="n"/>
      <c r="G1700" s="14" t="n"/>
      <c r="H1700" s="8" t="n"/>
      <c r="I1700" s="8" t="n"/>
      <c r="J1700" s="8" t="n"/>
      <c r="K1700" s="18">
        <f>IF(B1700="","",IFERROR(MONTH(B1700),""))</f>
        <v/>
      </c>
      <c r="L1700" s="5">
        <f>IF(COUNTA(A1700:J1700)=0,"",IF(E1700="","Mangler motkonto",IF((F1700="")=(G1700=""),"Fyll ut enten Inn eller Ut",IF(OR(IFERROR(INDEX('Kontoplan'!$D$3:$D$302,MATCH(D1700,'Kontoplan'!$H$3:$H$302,0))="Støttes ikke",FALSE),IFERROR(INDEX('Kontoplan'!$D$3:$D$302,MATCH(E1700,'Kontoplan'!$H$3:$H$302,0))="Støttes ikke",FALSE)),"Kontoen støttes ikke",IF(IFERROR(AND(A1700&gt;1,COUNTIF($A$3:$A$2002,A1700-1)=0),FALSE),"Nummeret hopper over",IF(OR(NOT(ISNUMBER(B1700)),B1700&lt;DATE(2027,1,1),B1700&gt;DATE(2027,12,31)),"Datoen er ikke i 2027",""))))))</f>
        <v/>
      </c>
    </row>
    <row r="1701">
      <c r="A1701" s="17" t="n"/>
      <c r="B1701" s="9" t="n"/>
      <c r="C1701" s="8" t="n"/>
      <c r="D1701" s="8" t="n"/>
      <c r="E1701" s="8" t="n"/>
      <c r="F1701" s="14" t="n"/>
      <c r="G1701" s="14" t="n"/>
      <c r="H1701" s="8" t="n"/>
      <c r="I1701" s="8" t="n"/>
      <c r="J1701" s="8" t="n"/>
      <c r="K1701" s="18">
        <f>IF(B1701="","",IFERROR(MONTH(B1701),""))</f>
        <v/>
      </c>
      <c r="L1701" s="5">
        <f>IF(COUNTA(A1701:J1701)=0,"",IF(E1701="","Mangler motkonto",IF((F1701="")=(G1701=""),"Fyll ut enten Inn eller Ut",IF(OR(IFERROR(INDEX('Kontoplan'!$D$3:$D$302,MATCH(D1701,'Kontoplan'!$H$3:$H$302,0))="Støttes ikke",FALSE),IFERROR(INDEX('Kontoplan'!$D$3:$D$302,MATCH(E1701,'Kontoplan'!$H$3:$H$302,0))="Støttes ikke",FALSE)),"Kontoen støttes ikke",IF(IFERROR(AND(A1701&gt;1,COUNTIF($A$3:$A$2002,A1701-1)=0),FALSE),"Nummeret hopper over",IF(OR(NOT(ISNUMBER(B1701)),B1701&lt;DATE(2027,1,1),B1701&gt;DATE(2027,12,31)),"Datoen er ikke i 2027",""))))))</f>
        <v/>
      </c>
    </row>
    <row r="1702">
      <c r="A1702" s="17" t="n"/>
      <c r="B1702" s="9" t="n"/>
      <c r="C1702" s="8" t="n"/>
      <c r="D1702" s="8" t="n"/>
      <c r="E1702" s="8" t="n"/>
      <c r="F1702" s="14" t="n"/>
      <c r="G1702" s="14" t="n"/>
      <c r="H1702" s="8" t="n"/>
      <c r="I1702" s="8" t="n"/>
      <c r="J1702" s="8" t="n"/>
      <c r="K1702" s="18">
        <f>IF(B1702="","",IFERROR(MONTH(B1702),""))</f>
        <v/>
      </c>
      <c r="L1702" s="5">
        <f>IF(COUNTA(A1702:J1702)=0,"",IF(E1702="","Mangler motkonto",IF((F1702="")=(G1702=""),"Fyll ut enten Inn eller Ut",IF(OR(IFERROR(INDEX('Kontoplan'!$D$3:$D$302,MATCH(D1702,'Kontoplan'!$H$3:$H$302,0))="Støttes ikke",FALSE),IFERROR(INDEX('Kontoplan'!$D$3:$D$302,MATCH(E1702,'Kontoplan'!$H$3:$H$302,0))="Støttes ikke",FALSE)),"Kontoen støttes ikke",IF(IFERROR(AND(A1702&gt;1,COUNTIF($A$3:$A$2002,A1702-1)=0),FALSE),"Nummeret hopper over",IF(OR(NOT(ISNUMBER(B1702)),B1702&lt;DATE(2027,1,1),B1702&gt;DATE(2027,12,31)),"Datoen er ikke i 2027",""))))))</f>
        <v/>
      </c>
    </row>
    <row r="1703">
      <c r="A1703" s="17" t="n"/>
      <c r="B1703" s="9" t="n"/>
      <c r="C1703" s="8" t="n"/>
      <c r="D1703" s="8" t="n"/>
      <c r="E1703" s="8" t="n"/>
      <c r="F1703" s="14" t="n"/>
      <c r="G1703" s="14" t="n"/>
      <c r="H1703" s="8" t="n"/>
      <c r="I1703" s="8" t="n"/>
      <c r="J1703" s="8" t="n"/>
      <c r="K1703" s="18">
        <f>IF(B1703="","",IFERROR(MONTH(B1703),""))</f>
        <v/>
      </c>
      <c r="L1703" s="5">
        <f>IF(COUNTA(A1703:J1703)=0,"",IF(E1703="","Mangler motkonto",IF((F1703="")=(G1703=""),"Fyll ut enten Inn eller Ut",IF(OR(IFERROR(INDEX('Kontoplan'!$D$3:$D$302,MATCH(D1703,'Kontoplan'!$H$3:$H$302,0))="Støttes ikke",FALSE),IFERROR(INDEX('Kontoplan'!$D$3:$D$302,MATCH(E1703,'Kontoplan'!$H$3:$H$302,0))="Støttes ikke",FALSE)),"Kontoen støttes ikke",IF(IFERROR(AND(A1703&gt;1,COUNTIF($A$3:$A$2002,A1703-1)=0),FALSE),"Nummeret hopper over",IF(OR(NOT(ISNUMBER(B1703)),B1703&lt;DATE(2027,1,1),B1703&gt;DATE(2027,12,31)),"Datoen er ikke i 2027",""))))))</f>
        <v/>
      </c>
    </row>
    <row r="1704">
      <c r="A1704" s="17" t="n"/>
      <c r="B1704" s="9" t="n"/>
      <c r="C1704" s="8" t="n"/>
      <c r="D1704" s="8" t="n"/>
      <c r="E1704" s="8" t="n"/>
      <c r="F1704" s="14" t="n"/>
      <c r="G1704" s="14" t="n"/>
      <c r="H1704" s="8" t="n"/>
      <c r="I1704" s="8" t="n"/>
      <c r="J1704" s="8" t="n"/>
      <c r="K1704" s="18">
        <f>IF(B1704="","",IFERROR(MONTH(B1704),""))</f>
        <v/>
      </c>
      <c r="L1704" s="5">
        <f>IF(COUNTA(A1704:J1704)=0,"",IF(E1704="","Mangler motkonto",IF((F1704="")=(G1704=""),"Fyll ut enten Inn eller Ut",IF(OR(IFERROR(INDEX('Kontoplan'!$D$3:$D$302,MATCH(D1704,'Kontoplan'!$H$3:$H$302,0))="Støttes ikke",FALSE),IFERROR(INDEX('Kontoplan'!$D$3:$D$302,MATCH(E1704,'Kontoplan'!$H$3:$H$302,0))="Støttes ikke",FALSE)),"Kontoen støttes ikke",IF(IFERROR(AND(A1704&gt;1,COUNTIF($A$3:$A$2002,A1704-1)=0),FALSE),"Nummeret hopper over",IF(OR(NOT(ISNUMBER(B1704)),B1704&lt;DATE(2027,1,1),B1704&gt;DATE(2027,12,31)),"Datoen er ikke i 2027",""))))))</f>
        <v/>
      </c>
    </row>
    <row r="1705">
      <c r="A1705" s="17" t="n"/>
      <c r="B1705" s="9" t="n"/>
      <c r="C1705" s="8" t="n"/>
      <c r="D1705" s="8" t="n"/>
      <c r="E1705" s="8" t="n"/>
      <c r="F1705" s="14" t="n"/>
      <c r="G1705" s="14" t="n"/>
      <c r="H1705" s="8" t="n"/>
      <c r="I1705" s="8" t="n"/>
      <c r="J1705" s="8" t="n"/>
      <c r="K1705" s="18">
        <f>IF(B1705="","",IFERROR(MONTH(B1705),""))</f>
        <v/>
      </c>
      <c r="L1705" s="5">
        <f>IF(COUNTA(A1705:J1705)=0,"",IF(E1705="","Mangler motkonto",IF((F1705="")=(G1705=""),"Fyll ut enten Inn eller Ut",IF(OR(IFERROR(INDEX('Kontoplan'!$D$3:$D$302,MATCH(D1705,'Kontoplan'!$H$3:$H$302,0))="Støttes ikke",FALSE),IFERROR(INDEX('Kontoplan'!$D$3:$D$302,MATCH(E1705,'Kontoplan'!$H$3:$H$302,0))="Støttes ikke",FALSE)),"Kontoen støttes ikke",IF(IFERROR(AND(A1705&gt;1,COUNTIF($A$3:$A$2002,A1705-1)=0),FALSE),"Nummeret hopper over",IF(OR(NOT(ISNUMBER(B1705)),B1705&lt;DATE(2027,1,1),B1705&gt;DATE(2027,12,31)),"Datoen er ikke i 2027",""))))))</f>
        <v/>
      </c>
    </row>
    <row r="1706">
      <c r="A1706" s="17" t="n"/>
      <c r="B1706" s="9" t="n"/>
      <c r="C1706" s="8" t="n"/>
      <c r="D1706" s="8" t="n"/>
      <c r="E1706" s="8" t="n"/>
      <c r="F1706" s="14" t="n"/>
      <c r="G1706" s="14" t="n"/>
      <c r="H1706" s="8" t="n"/>
      <c r="I1706" s="8" t="n"/>
      <c r="J1706" s="8" t="n"/>
      <c r="K1706" s="18">
        <f>IF(B1706="","",IFERROR(MONTH(B1706),""))</f>
        <v/>
      </c>
      <c r="L1706" s="5">
        <f>IF(COUNTA(A1706:J1706)=0,"",IF(E1706="","Mangler motkonto",IF((F1706="")=(G1706=""),"Fyll ut enten Inn eller Ut",IF(OR(IFERROR(INDEX('Kontoplan'!$D$3:$D$302,MATCH(D1706,'Kontoplan'!$H$3:$H$302,0))="Støttes ikke",FALSE),IFERROR(INDEX('Kontoplan'!$D$3:$D$302,MATCH(E1706,'Kontoplan'!$H$3:$H$302,0))="Støttes ikke",FALSE)),"Kontoen støttes ikke",IF(IFERROR(AND(A1706&gt;1,COUNTIF($A$3:$A$2002,A1706-1)=0),FALSE),"Nummeret hopper over",IF(OR(NOT(ISNUMBER(B1706)),B1706&lt;DATE(2027,1,1),B1706&gt;DATE(2027,12,31)),"Datoen er ikke i 2027",""))))))</f>
        <v/>
      </c>
    </row>
    <row r="1707">
      <c r="A1707" s="17" t="n"/>
      <c r="B1707" s="9" t="n"/>
      <c r="C1707" s="8" t="n"/>
      <c r="D1707" s="8" t="n"/>
      <c r="E1707" s="8" t="n"/>
      <c r="F1707" s="14" t="n"/>
      <c r="G1707" s="14" t="n"/>
      <c r="H1707" s="8" t="n"/>
      <c r="I1707" s="8" t="n"/>
      <c r="J1707" s="8" t="n"/>
      <c r="K1707" s="18">
        <f>IF(B1707="","",IFERROR(MONTH(B1707),""))</f>
        <v/>
      </c>
      <c r="L1707" s="5">
        <f>IF(COUNTA(A1707:J1707)=0,"",IF(E1707="","Mangler motkonto",IF((F1707="")=(G1707=""),"Fyll ut enten Inn eller Ut",IF(OR(IFERROR(INDEX('Kontoplan'!$D$3:$D$302,MATCH(D1707,'Kontoplan'!$H$3:$H$302,0))="Støttes ikke",FALSE),IFERROR(INDEX('Kontoplan'!$D$3:$D$302,MATCH(E1707,'Kontoplan'!$H$3:$H$302,0))="Støttes ikke",FALSE)),"Kontoen støttes ikke",IF(IFERROR(AND(A1707&gt;1,COUNTIF($A$3:$A$2002,A1707-1)=0),FALSE),"Nummeret hopper over",IF(OR(NOT(ISNUMBER(B1707)),B1707&lt;DATE(2027,1,1),B1707&gt;DATE(2027,12,31)),"Datoen er ikke i 2027",""))))))</f>
        <v/>
      </c>
    </row>
    <row r="1708">
      <c r="A1708" s="17" t="n"/>
      <c r="B1708" s="9" t="n"/>
      <c r="C1708" s="8" t="n"/>
      <c r="D1708" s="8" t="n"/>
      <c r="E1708" s="8" t="n"/>
      <c r="F1708" s="14" t="n"/>
      <c r="G1708" s="14" t="n"/>
      <c r="H1708" s="8" t="n"/>
      <c r="I1708" s="8" t="n"/>
      <c r="J1708" s="8" t="n"/>
      <c r="K1708" s="18">
        <f>IF(B1708="","",IFERROR(MONTH(B1708),""))</f>
        <v/>
      </c>
      <c r="L1708" s="5">
        <f>IF(COUNTA(A1708:J1708)=0,"",IF(E1708="","Mangler motkonto",IF((F1708="")=(G1708=""),"Fyll ut enten Inn eller Ut",IF(OR(IFERROR(INDEX('Kontoplan'!$D$3:$D$302,MATCH(D1708,'Kontoplan'!$H$3:$H$302,0))="Støttes ikke",FALSE),IFERROR(INDEX('Kontoplan'!$D$3:$D$302,MATCH(E1708,'Kontoplan'!$H$3:$H$302,0))="Støttes ikke",FALSE)),"Kontoen støttes ikke",IF(IFERROR(AND(A1708&gt;1,COUNTIF($A$3:$A$2002,A1708-1)=0),FALSE),"Nummeret hopper over",IF(OR(NOT(ISNUMBER(B1708)),B1708&lt;DATE(2027,1,1),B1708&gt;DATE(2027,12,31)),"Datoen er ikke i 2027",""))))))</f>
        <v/>
      </c>
    </row>
    <row r="1709">
      <c r="A1709" s="17" t="n"/>
      <c r="B1709" s="9" t="n"/>
      <c r="C1709" s="8" t="n"/>
      <c r="D1709" s="8" t="n"/>
      <c r="E1709" s="8" t="n"/>
      <c r="F1709" s="14" t="n"/>
      <c r="G1709" s="14" t="n"/>
      <c r="H1709" s="8" t="n"/>
      <c r="I1709" s="8" t="n"/>
      <c r="J1709" s="8" t="n"/>
      <c r="K1709" s="18">
        <f>IF(B1709="","",IFERROR(MONTH(B1709),""))</f>
        <v/>
      </c>
      <c r="L1709" s="5">
        <f>IF(COUNTA(A1709:J1709)=0,"",IF(E1709="","Mangler motkonto",IF((F1709="")=(G1709=""),"Fyll ut enten Inn eller Ut",IF(OR(IFERROR(INDEX('Kontoplan'!$D$3:$D$302,MATCH(D1709,'Kontoplan'!$H$3:$H$302,0))="Støttes ikke",FALSE),IFERROR(INDEX('Kontoplan'!$D$3:$D$302,MATCH(E1709,'Kontoplan'!$H$3:$H$302,0))="Støttes ikke",FALSE)),"Kontoen støttes ikke",IF(IFERROR(AND(A1709&gt;1,COUNTIF($A$3:$A$2002,A1709-1)=0),FALSE),"Nummeret hopper over",IF(OR(NOT(ISNUMBER(B1709)),B1709&lt;DATE(2027,1,1),B1709&gt;DATE(2027,12,31)),"Datoen er ikke i 2027",""))))))</f>
        <v/>
      </c>
    </row>
    <row r="1710">
      <c r="A1710" s="17" t="n"/>
      <c r="B1710" s="9" t="n"/>
      <c r="C1710" s="8" t="n"/>
      <c r="D1710" s="8" t="n"/>
      <c r="E1710" s="8" t="n"/>
      <c r="F1710" s="14" t="n"/>
      <c r="G1710" s="14" t="n"/>
      <c r="H1710" s="8" t="n"/>
      <c r="I1710" s="8" t="n"/>
      <c r="J1710" s="8" t="n"/>
      <c r="K1710" s="18">
        <f>IF(B1710="","",IFERROR(MONTH(B1710),""))</f>
        <v/>
      </c>
      <c r="L1710" s="5">
        <f>IF(COUNTA(A1710:J1710)=0,"",IF(E1710="","Mangler motkonto",IF((F1710="")=(G1710=""),"Fyll ut enten Inn eller Ut",IF(OR(IFERROR(INDEX('Kontoplan'!$D$3:$D$302,MATCH(D1710,'Kontoplan'!$H$3:$H$302,0))="Støttes ikke",FALSE),IFERROR(INDEX('Kontoplan'!$D$3:$D$302,MATCH(E1710,'Kontoplan'!$H$3:$H$302,0))="Støttes ikke",FALSE)),"Kontoen støttes ikke",IF(IFERROR(AND(A1710&gt;1,COUNTIF($A$3:$A$2002,A1710-1)=0),FALSE),"Nummeret hopper over",IF(OR(NOT(ISNUMBER(B1710)),B1710&lt;DATE(2027,1,1),B1710&gt;DATE(2027,12,31)),"Datoen er ikke i 2027",""))))))</f>
        <v/>
      </c>
    </row>
    <row r="1711">
      <c r="A1711" s="17" t="n"/>
      <c r="B1711" s="9" t="n"/>
      <c r="C1711" s="8" t="n"/>
      <c r="D1711" s="8" t="n"/>
      <c r="E1711" s="8" t="n"/>
      <c r="F1711" s="14" t="n"/>
      <c r="G1711" s="14" t="n"/>
      <c r="H1711" s="8" t="n"/>
      <c r="I1711" s="8" t="n"/>
      <c r="J1711" s="8" t="n"/>
      <c r="K1711" s="18">
        <f>IF(B1711="","",IFERROR(MONTH(B1711),""))</f>
        <v/>
      </c>
      <c r="L1711" s="5">
        <f>IF(COUNTA(A1711:J1711)=0,"",IF(E1711="","Mangler motkonto",IF((F1711="")=(G1711=""),"Fyll ut enten Inn eller Ut",IF(OR(IFERROR(INDEX('Kontoplan'!$D$3:$D$302,MATCH(D1711,'Kontoplan'!$H$3:$H$302,0))="Støttes ikke",FALSE),IFERROR(INDEX('Kontoplan'!$D$3:$D$302,MATCH(E1711,'Kontoplan'!$H$3:$H$302,0))="Støttes ikke",FALSE)),"Kontoen støttes ikke",IF(IFERROR(AND(A1711&gt;1,COUNTIF($A$3:$A$2002,A1711-1)=0),FALSE),"Nummeret hopper over",IF(OR(NOT(ISNUMBER(B1711)),B1711&lt;DATE(2027,1,1),B1711&gt;DATE(2027,12,31)),"Datoen er ikke i 2027",""))))))</f>
        <v/>
      </c>
    </row>
    <row r="1712">
      <c r="A1712" s="17" t="n"/>
      <c r="B1712" s="9" t="n"/>
      <c r="C1712" s="8" t="n"/>
      <c r="D1712" s="8" t="n"/>
      <c r="E1712" s="8" t="n"/>
      <c r="F1712" s="14" t="n"/>
      <c r="G1712" s="14" t="n"/>
      <c r="H1712" s="8" t="n"/>
      <c r="I1712" s="8" t="n"/>
      <c r="J1712" s="8" t="n"/>
      <c r="K1712" s="18">
        <f>IF(B1712="","",IFERROR(MONTH(B1712),""))</f>
        <v/>
      </c>
      <c r="L1712" s="5">
        <f>IF(COUNTA(A1712:J1712)=0,"",IF(E1712="","Mangler motkonto",IF((F1712="")=(G1712=""),"Fyll ut enten Inn eller Ut",IF(OR(IFERROR(INDEX('Kontoplan'!$D$3:$D$302,MATCH(D1712,'Kontoplan'!$H$3:$H$302,0))="Støttes ikke",FALSE),IFERROR(INDEX('Kontoplan'!$D$3:$D$302,MATCH(E1712,'Kontoplan'!$H$3:$H$302,0))="Støttes ikke",FALSE)),"Kontoen støttes ikke",IF(IFERROR(AND(A1712&gt;1,COUNTIF($A$3:$A$2002,A1712-1)=0),FALSE),"Nummeret hopper over",IF(OR(NOT(ISNUMBER(B1712)),B1712&lt;DATE(2027,1,1),B1712&gt;DATE(2027,12,31)),"Datoen er ikke i 2027",""))))))</f>
        <v/>
      </c>
    </row>
    <row r="1713">
      <c r="A1713" s="17" t="n"/>
      <c r="B1713" s="9" t="n"/>
      <c r="C1713" s="8" t="n"/>
      <c r="D1713" s="8" t="n"/>
      <c r="E1713" s="8" t="n"/>
      <c r="F1713" s="14" t="n"/>
      <c r="G1713" s="14" t="n"/>
      <c r="H1713" s="8" t="n"/>
      <c r="I1713" s="8" t="n"/>
      <c r="J1713" s="8" t="n"/>
      <c r="K1713" s="18">
        <f>IF(B1713="","",IFERROR(MONTH(B1713),""))</f>
        <v/>
      </c>
      <c r="L1713" s="5">
        <f>IF(COUNTA(A1713:J1713)=0,"",IF(E1713="","Mangler motkonto",IF((F1713="")=(G1713=""),"Fyll ut enten Inn eller Ut",IF(OR(IFERROR(INDEX('Kontoplan'!$D$3:$D$302,MATCH(D1713,'Kontoplan'!$H$3:$H$302,0))="Støttes ikke",FALSE),IFERROR(INDEX('Kontoplan'!$D$3:$D$302,MATCH(E1713,'Kontoplan'!$H$3:$H$302,0))="Støttes ikke",FALSE)),"Kontoen støttes ikke",IF(IFERROR(AND(A1713&gt;1,COUNTIF($A$3:$A$2002,A1713-1)=0),FALSE),"Nummeret hopper over",IF(OR(NOT(ISNUMBER(B1713)),B1713&lt;DATE(2027,1,1),B1713&gt;DATE(2027,12,31)),"Datoen er ikke i 2027",""))))))</f>
        <v/>
      </c>
    </row>
    <row r="1714">
      <c r="A1714" s="17" t="n"/>
      <c r="B1714" s="9" t="n"/>
      <c r="C1714" s="8" t="n"/>
      <c r="D1714" s="8" t="n"/>
      <c r="E1714" s="8" t="n"/>
      <c r="F1714" s="14" t="n"/>
      <c r="G1714" s="14" t="n"/>
      <c r="H1714" s="8" t="n"/>
      <c r="I1714" s="8" t="n"/>
      <c r="J1714" s="8" t="n"/>
      <c r="K1714" s="18">
        <f>IF(B1714="","",IFERROR(MONTH(B1714),""))</f>
        <v/>
      </c>
      <c r="L1714" s="5">
        <f>IF(COUNTA(A1714:J1714)=0,"",IF(E1714="","Mangler motkonto",IF((F1714="")=(G1714=""),"Fyll ut enten Inn eller Ut",IF(OR(IFERROR(INDEX('Kontoplan'!$D$3:$D$302,MATCH(D1714,'Kontoplan'!$H$3:$H$302,0))="Støttes ikke",FALSE),IFERROR(INDEX('Kontoplan'!$D$3:$D$302,MATCH(E1714,'Kontoplan'!$H$3:$H$302,0))="Støttes ikke",FALSE)),"Kontoen støttes ikke",IF(IFERROR(AND(A1714&gt;1,COUNTIF($A$3:$A$2002,A1714-1)=0),FALSE),"Nummeret hopper over",IF(OR(NOT(ISNUMBER(B1714)),B1714&lt;DATE(2027,1,1),B1714&gt;DATE(2027,12,31)),"Datoen er ikke i 2027",""))))))</f>
        <v/>
      </c>
    </row>
    <row r="1715">
      <c r="A1715" s="17" t="n"/>
      <c r="B1715" s="9" t="n"/>
      <c r="C1715" s="8" t="n"/>
      <c r="D1715" s="8" t="n"/>
      <c r="E1715" s="8" t="n"/>
      <c r="F1715" s="14" t="n"/>
      <c r="G1715" s="14" t="n"/>
      <c r="H1715" s="8" t="n"/>
      <c r="I1715" s="8" t="n"/>
      <c r="J1715" s="8" t="n"/>
      <c r="K1715" s="18">
        <f>IF(B1715="","",IFERROR(MONTH(B1715),""))</f>
        <v/>
      </c>
      <c r="L1715" s="5">
        <f>IF(COUNTA(A1715:J1715)=0,"",IF(E1715="","Mangler motkonto",IF((F1715="")=(G1715=""),"Fyll ut enten Inn eller Ut",IF(OR(IFERROR(INDEX('Kontoplan'!$D$3:$D$302,MATCH(D1715,'Kontoplan'!$H$3:$H$302,0))="Støttes ikke",FALSE),IFERROR(INDEX('Kontoplan'!$D$3:$D$302,MATCH(E1715,'Kontoplan'!$H$3:$H$302,0))="Støttes ikke",FALSE)),"Kontoen støttes ikke",IF(IFERROR(AND(A1715&gt;1,COUNTIF($A$3:$A$2002,A1715-1)=0),FALSE),"Nummeret hopper over",IF(OR(NOT(ISNUMBER(B1715)),B1715&lt;DATE(2027,1,1),B1715&gt;DATE(2027,12,31)),"Datoen er ikke i 2027",""))))))</f>
        <v/>
      </c>
    </row>
    <row r="1716">
      <c r="A1716" s="17" t="n"/>
      <c r="B1716" s="9" t="n"/>
      <c r="C1716" s="8" t="n"/>
      <c r="D1716" s="8" t="n"/>
      <c r="E1716" s="8" t="n"/>
      <c r="F1716" s="14" t="n"/>
      <c r="G1716" s="14" t="n"/>
      <c r="H1716" s="8" t="n"/>
      <c r="I1716" s="8" t="n"/>
      <c r="J1716" s="8" t="n"/>
      <c r="K1716" s="18">
        <f>IF(B1716="","",IFERROR(MONTH(B1716),""))</f>
        <v/>
      </c>
      <c r="L1716" s="5">
        <f>IF(COUNTA(A1716:J1716)=0,"",IF(E1716="","Mangler motkonto",IF((F1716="")=(G1716=""),"Fyll ut enten Inn eller Ut",IF(OR(IFERROR(INDEX('Kontoplan'!$D$3:$D$302,MATCH(D1716,'Kontoplan'!$H$3:$H$302,0))="Støttes ikke",FALSE),IFERROR(INDEX('Kontoplan'!$D$3:$D$302,MATCH(E1716,'Kontoplan'!$H$3:$H$302,0))="Støttes ikke",FALSE)),"Kontoen støttes ikke",IF(IFERROR(AND(A1716&gt;1,COUNTIF($A$3:$A$2002,A1716-1)=0),FALSE),"Nummeret hopper over",IF(OR(NOT(ISNUMBER(B1716)),B1716&lt;DATE(2027,1,1),B1716&gt;DATE(2027,12,31)),"Datoen er ikke i 2027",""))))))</f>
        <v/>
      </c>
    </row>
    <row r="1717">
      <c r="A1717" s="17" t="n"/>
      <c r="B1717" s="9" t="n"/>
      <c r="C1717" s="8" t="n"/>
      <c r="D1717" s="8" t="n"/>
      <c r="E1717" s="8" t="n"/>
      <c r="F1717" s="14" t="n"/>
      <c r="G1717" s="14" t="n"/>
      <c r="H1717" s="8" t="n"/>
      <c r="I1717" s="8" t="n"/>
      <c r="J1717" s="8" t="n"/>
      <c r="K1717" s="18">
        <f>IF(B1717="","",IFERROR(MONTH(B1717),""))</f>
        <v/>
      </c>
      <c r="L1717" s="5">
        <f>IF(COUNTA(A1717:J1717)=0,"",IF(E1717="","Mangler motkonto",IF((F1717="")=(G1717=""),"Fyll ut enten Inn eller Ut",IF(OR(IFERROR(INDEX('Kontoplan'!$D$3:$D$302,MATCH(D1717,'Kontoplan'!$H$3:$H$302,0))="Støttes ikke",FALSE),IFERROR(INDEX('Kontoplan'!$D$3:$D$302,MATCH(E1717,'Kontoplan'!$H$3:$H$302,0))="Støttes ikke",FALSE)),"Kontoen støttes ikke",IF(IFERROR(AND(A1717&gt;1,COUNTIF($A$3:$A$2002,A1717-1)=0),FALSE),"Nummeret hopper over",IF(OR(NOT(ISNUMBER(B1717)),B1717&lt;DATE(2027,1,1),B1717&gt;DATE(2027,12,31)),"Datoen er ikke i 2027",""))))))</f>
        <v/>
      </c>
    </row>
    <row r="1718">
      <c r="A1718" s="17" t="n"/>
      <c r="B1718" s="9" t="n"/>
      <c r="C1718" s="8" t="n"/>
      <c r="D1718" s="8" t="n"/>
      <c r="E1718" s="8" t="n"/>
      <c r="F1718" s="14" t="n"/>
      <c r="G1718" s="14" t="n"/>
      <c r="H1718" s="8" t="n"/>
      <c r="I1718" s="8" t="n"/>
      <c r="J1718" s="8" t="n"/>
      <c r="K1718" s="18">
        <f>IF(B1718="","",IFERROR(MONTH(B1718),""))</f>
        <v/>
      </c>
      <c r="L1718" s="5">
        <f>IF(COUNTA(A1718:J1718)=0,"",IF(E1718="","Mangler motkonto",IF((F1718="")=(G1718=""),"Fyll ut enten Inn eller Ut",IF(OR(IFERROR(INDEX('Kontoplan'!$D$3:$D$302,MATCH(D1718,'Kontoplan'!$H$3:$H$302,0))="Støttes ikke",FALSE),IFERROR(INDEX('Kontoplan'!$D$3:$D$302,MATCH(E1718,'Kontoplan'!$H$3:$H$302,0))="Støttes ikke",FALSE)),"Kontoen støttes ikke",IF(IFERROR(AND(A1718&gt;1,COUNTIF($A$3:$A$2002,A1718-1)=0),FALSE),"Nummeret hopper over",IF(OR(NOT(ISNUMBER(B1718)),B1718&lt;DATE(2027,1,1),B1718&gt;DATE(2027,12,31)),"Datoen er ikke i 2027",""))))))</f>
        <v/>
      </c>
    </row>
    <row r="1719">
      <c r="A1719" s="17" t="n"/>
      <c r="B1719" s="9" t="n"/>
      <c r="C1719" s="8" t="n"/>
      <c r="D1719" s="8" t="n"/>
      <c r="E1719" s="8" t="n"/>
      <c r="F1719" s="14" t="n"/>
      <c r="G1719" s="14" t="n"/>
      <c r="H1719" s="8" t="n"/>
      <c r="I1719" s="8" t="n"/>
      <c r="J1719" s="8" t="n"/>
      <c r="K1719" s="18">
        <f>IF(B1719="","",IFERROR(MONTH(B1719),""))</f>
        <v/>
      </c>
      <c r="L1719" s="5">
        <f>IF(COUNTA(A1719:J1719)=0,"",IF(E1719="","Mangler motkonto",IF((F1719="")=(G1719=""),"Fyll ut enten Inn eller Ut",IF(OR(IFERROR(INDEX('Kontoplan'!$D$3:$D$302,MATCH(D1719,'Kontoplan'!$H$3:$H$302,0))="Støttes ikke",FALSE),IFERROR(INDEX('Kontoplan'!$D$3:$D$302,MATCH(E1719,'Kontoplan'!$H$3:$H$302,0))="Støttes ikke",FALSE)),"Kontoen støttes ikke",IF(IFERROR(AND(A1719&gt;1,COUNTIF($A$3:$A$2002,A1719-1)=0),FALSE),"Nummeret hopper over",IF(OR(NOT(ISNUMBER(B1719)),B1719&lt;DATE(2027,1,1),B1719&gt;DATE(2027,12,31)),"Datoen er ikke i 2027",""))))))</f>
        <v/>
      </c>
    </row>
    <row r="1720">
      <c r="A1720" s="17" t="n"/>
      <c r="B1720" s="9" t="n"/>
      <c r="C1720" s="8" t="n"/>
      <c r="D1720" s="8" t="n"/>
      <c r="E1720" s="8" t="n"/>
      <c r="F1720" s="14" t="n"/>
      <c r="G1720" s="14" t="n"/>
      <c r="H1720" s="8" t="n"/>
      <c r="I1720" s="8" t="n"/>
      <c r="J1720" s="8" t="n"/>
      <c r="K1720" s="18">
        <f>IF(B1720="","",IFERROR(MONTH(B1720),""))</f>
        <v/>
      </c>
      <c r="L1720" s="5">
        <f>IF(COUNTA(A1720:J1720)=0,"",IF(E1720="","Mangler motkonto",IF((F1720="")=(G1720=""),"Fyll ut enten Inn eller Ut",IF(OR(IFERROR(INDEX('Kontoplan'!$D$3:$D$302,MATCH(D1720,'Kontoplan'!$H$3:$H$302,0))="Støttes ikke",FALSE),IFERROR(INDEX('Kontoplan'!$D$3:$D$302,MATCH(E1720,'Kontoplan'!$H$3:$H$302,0))="Støttes ikke",FALSE)),"Kontoen støttes ikke",IF(IFERROR(AND(A1720&gt;1,COUNTIF($A$3:$A$2002,A1720-1)=0),FALSE),"Nummeret hopper over",IF(OR(NOT(ISNUMBER(B1720)),B1720&lt;DATE(2027,1,1),B1720&gt;DATE(2027,12,31)),"Datoen er ikke i 2027",""))))))</f>
        <v/>
      </c>
    </row>
    <row r="1721">
      <c r="A1721" s="17" t="n"/>
      <c r="B1721" s="9" t="n"/>
      <c r="C1721" s="8" t="n"/>
      <c r="D1721" s="8" t="n"/>
      <c r="E1721" s="8" t="n"/>
      <c r="F1721" s="14" t="n"/>
      <c r="G1721" s="14" t="n"/>
      <c r="H1721" s="8" t="n"/>
      <c r="I1721" s="8" t="n"/>
      <c r="J1721" s="8" t="n"/>
      <c r="K1721" s="18">
        <f>IF(B1721="","",IFERROR(MONTH(B1721),""))</f>
        <v/>
      </c>
      <c r="L1721" s="5">
        <f>IF(COUNTA(A1721:J1721)=0,"",IF(E1721="","Mangler motkonto",IF((F1721="")=(G1721=""),"Fyll ut enten Inn eller Ut",IF(OR(IFERROR(INDEX('Kontoplan'!$D$3:$D$302,MATCH(D1721,'Kontoplan'!$H$3:$H$302,0))="Støttes ikke",FALSE),IFERROR(INDEX('Kontoplan'!$D$3:$D$302,MATCH(E1721,'Kontoplan'!$H$3:$H$302,0))="Støttes ikke",FALSE)),"Kontoen støttes ikke",IF(IFERROR(AND(A1721&gt;1,COUNTIF($A$3:$A$2002,A1721-1)=0),FALSE),"Nummeret hopper over",IF(OR(NOT(ISNUMBER(B1721)),B1721&lt;DATE(2027,1,1),B1721&gt;DATE(2027,12,31)),"Datoen er ikke i 2027",""))))))</f>
        <v/>
      </c>
    </row>
    <row r="1722">
      <c r="A1722" s="17" t="n"/>
      <c r="B1722" s="9" t="n"/>
      <c r="C1722" s="8" t="n"/>
      <c r="D1722" s="8" t="n"/>
      <c r="E1722" s="8" t="n"/>
      <c r="F1722" s="14" t="n"/>
      <c r="G1722" s="14" t="n"/>
      <c r="H1722" s="8" t="n"/>
      <c r="I1722" s="8" t="n"/>
      <c r="J1722" s="8" t="n"/>
      <c r="K1722" s="18">
        <f>IF(B1722="","",IFERROR(MONTH(B1722),""))</f>
        <v/>
      </c>
      <c r="L1722" s="5">
        <f>IF(COUNTA(A1722:J1722)=0,"",IF(E1722="","Mangler motkonto",IF((F1722="")=(G1722=""),"Fyll ut enten Inn eller Ut",IF(OR(IFERROR(INDEX('Kontoplan'!$D$3:$D$302,MATCH(D1722,'Kontoplan'!$H$3:$H$302,0))="Støttes ikke",FALSE),IFERROR(INDEX('Kontoplan'!$D$3:$D$302,MATCH(E1722,'Kontoplan'!$H$3:$H$302,0))="Støttes ikke",FALSE)),"Kontoen støttes ikke",IF(IFERROR(AND(A1722&gt;1,COUNTIF($A$3:$A$2002,A1722-1)=0),FALSE),"Nummeret hopper over",IF(OR(NOT(ISNUMBER(B1722)),B1722&lt;DATE(2027,1,1),B1722&gt;DATE(2027,12,31)),"Datoen er ikke i 2027",""))))))</f>
        <v/>
      </c>
    </row>
    <row r="1723">
      <c r="A1723" s="17" t="n"/>
      <c r="B1723" s="9" t="n"/>
      <c r="C1723" s="8" t="n"/>
      <c r="D1723" s="8" t="n"/>
      <c r="E1723" s="8" t="n"/>
      <c r="F1723" s="14" t="n"/>
      <c r="G1723" s="14" t="n"/>
      <c r="H1723" s="8" t="n"/>
      <c r="I1723" s="8" t="n"/>
      <c r="J1723" s="8" t="n"/>
      <c r="K1723" s="18">
        <f>IF(B1723="","",IFERROR(MONTH(B1723),""))</f>
        <v/>
      </c>
      <c r="L1723" s="5">
        <f>IF(COUNTA(A1723:J1723)=0,"",IF(E1723="","Mangler motkonto",IF((F1723="")=(G1723=""),"Fyll ut enten Inn eller Ut",IF(OR(IFERROR(INDEX('Kontoplan'!$D$3:$D$302,MATCH(D1723,'Kontoplan'!$H$3:$H$302,0))="Støttes ikke",FALSE),IFERROR(INDEX('Kontoplan'!$D$3:$D$302,MATCH(E1723,'Kontoplan'!$H$3:$H$302,0))="Støttes ikke",FALSE)),"Kontoen støttes ikke",IF(IFERROR(AND(A1723&gt;1,COUNTIF($A$3:$A$2002,A1723-1)=0),FALSE),"Nummeret hopper over",IF(OR(NOT(ISNUMBER(B1723)),B1723&lt;DATE(2027,1,1),B1723&gt;DATE(2027,12,31)),"Datoen er ikke i 2027",""))))))</f>
        <v/>
      </c>
    </row>
    <row r="1724">
      <c r="A1724" s="17" t="n"/>
      <c r="B1724" s="9" t="n"/>
      <c r="C1724" s="8" t="n"/>
      <c r="D1724" s="8" t="n"/>
      <c r="E1724" s="8" t="n"/>
      <c r="F1724" s="14" t="n"/>
      <c r="G1724" s="14" t="n"/>
      <c r="H1724" s="8" t="n"/>
      <c r="I1724" s="8" t="n"/>
      <c r="J1724" s="8" t="n"/>
      <c r="K1724" s="18">
        <f>IF(B1724="","",IFERROR(MONTH(B1724),""))</f>
        <v/>
      </c>
      <c r="L1724" s="5">
        <f>IF(COUNTA(A1724:J1724)=0,"",IF(E1724="","Mangler motkonto",IF((F1724="")=(G1724=""),"Fyll ut enten Inn eller Ut",IF(OR(IFERROR(INDEX('Kontoplan'!$D$3:$D$302,MATCH(D1724,'Kontoplan'!$H$3:$H$302,0))="Støttes ikke",FALSE),IFERROR(INDEX('Kontoplan'!$D$3:$D$302,MATCH(E1724,'Kontoplan'!$H$3:$H$302,0))="Støttes ikke",FALSE)),"Kontoen støttes ikke",IF(IFERROR(AND(A1724&gt;1,COUNTIF($A$3:$A$2002,A1724-1)=0),FALSE),"Nummeret hopper over",IF(OR(NOT(ISNUMBER(B1724)),B1724&lt;DATE(2027,1,1),B1724&gt;DATE(2027,12,31)),"Datoen er ikke i 2027",""))))))</f>
        <v/>
      </c>
    </row>
    <row r="1725">
      <c r="A1725" s="17" t="n"/>
      <c r="B1725" s="9" t="n"/>
      <c r="C1725" s="8" t="n"/>
      <c r="D1725" s="8" t="n"/>
      <c r="E1725" s="8" t="n"/>
      <c r="F1725" s="14" t="n"/>
      <c r="G1725" s="14" t="n"/>
      <c r="H1725" s="8" t="n"/>
      <c r="I1725" s="8" t="n"/>
      <c r="J1725" s="8" t="n"/>
      <c r="K1725" s="18">
        <f>IF(B1725="","",IFERROR(MONTH(B1725),""))</f>
        <v/>
      </c>
      <c r="L1725" s="5">
        <f>IF(COUNTA(A1725:J1725)=0,"",IF(E1725="","Mangler motkonto",IF((F1725="")=(G1725=""),"Fyll ut enten Inn eller Ut",IF(OR(IFERROR(INDEX('Kontoplan'!$D$3:$D$302,MATCH(D1725,'Kontoplan'!$H$3:$H$302,0))="Støttes ikke",FALSE),IFERROR(INDEX('Kontoplan'!$D$3:$D$302,MATCH(E1725,'Kontoplan'!$H$3:$H$302,0))="Støttes ikke",FALSE)),"Kontoen støttes ikke",IF(IFERROR(AND(A1725&gt;1,COUNTIF($A$3:$A$2002,A1725-1)=0),FALSE),"Nummeret hopper over",IF(OR(NOT(ISNUMBER(B1725)),B1725&lt;DATE(2027,1,1),B1725&gt;DATE(2027,12,31)),"Datoen er ikke i 2027",""))))))</f>
        <v/>
      </c>
    </row>
    <row r="1726">
      <c r="A1726" s="17" t="n"/>
      <c r="B1726" s="9" t="n"/>
      <c r="C1726" s="8" t="n"/>
      <c r="D1726" s="8" t="n"/>
      <c r="E1726" s="8" t="n"/>
      <c r="F1726" s="14" t="n"/>
      <c r="G1726" s="14" t="n"/>
      <c r="H1726" s="8" t="n"/>
      <c r="I1726" s="8" t="n"/>
      <c r="J1726" s="8" t="n"/>
      <c r="K1726" s="18">
        <f>IF(B1726="","",IFERROR(MONTH(B1726),""))</f>
        <v/>
      </c>
      <c r="L1726" s="5">
        <f>IF(COUNTA(A1726:J1726)=0,"",IF(E1726="","Mangler motkonto",IF((F1726="")=(G1726=""),"Fyll ut enten Inn eller Ut",IF(OR(IFERROR(INDEX('Kontoplan'!$D$3:$D$302,MATCH(D1726,'Kontoplan'!$H$3:$H$302,0))="Støttes ikke",FALSE),IFERROR(INDEX('Kontoplan'!$D$3:$D$302,MATCH(E1726,'Kontoplan'!$H$3:$H$302,0))="Støttes ikke",FALSE)),"Kontoen støttes ikke",IF(IFERROR(AND(A1726&gt;1,COUNTIF($A$3:$A$2002,A1726-1)=0),FALSE),"Nummeret hopper over",IF(OR(NOT(ISNUMBER(B1726)),B1726&lt;DATE(2027,1,1),B1726&gt;DATE(2027,12,31)),"Datoen er ikke i 2027",""))))))</f>
        <v/>
      </c>
    </row>
    <row r="1727">
      <c r="A1727" s="17" t="n"/>
      <c r="B1727" s="9" t="n"/>
      <c r="C1727" s="8" t="n"/>
      <c r="D1727" s="8" t="n"/>
      <c r="E1727" s="8" t="n"/>
      <c r="F1727" s="14" t="n"/>
      <c r="G1727" s="14" t="n"/>
      <c r="H1727" s="8" t="n"/>
      <c r="I1727" s="8" t="n"/>
      <c r="J1727" s="8" t="n"/>
      <c r="K1727" s="18">
        <f>IF(B1727="","",IFERROR(MONTH(B1727),""))</f>
        <v/>
      </c>
      <c r="L1727" s="5">
        <f>IF(COUNTA(A1727:J1727)=0,"",IF(E1727="","Mangler motkonto",IF((F1727="")=(G1727=""),"Fyll ut enten Inn eller Ut",IF(OR(IFERROR(INDEX('Kontoplan'!$D$3:$D$302,MATCH(D1727,'Kontoplan'!$H$3:$H$302,0))="Støttes ikke",FALSE),IFERROR(INDEX('Kontoplan'!$D$3:$D$302,MATCH(E1727,'Kontoplan'!$H$3:$H$302,0))="Støttes ikke",FALSE)),"Kontoen støttes ikke",IF(IFERROR(AND(A1727&gt;1,COUNTIF($A$3:$A$2002,A1727-1)=0),FALSE),"Nummeret hopper over",IF(OR(NOT(ISNUMBER(B1727)),B1727&lt;DATE(2027,1,1),B1727&gt;DATE(2027,12,31)),"Datoen er ikke i 2027",""))))))</f>
        <v/>
      </c>
    </row>
    <row r="1728">
      <c r="A1728" s="17" t="n"/>
      <c r="B1728" s="9" t="n"/>
      <c r="C1728" s="8" t="n"/>
      <c r="D1728" s="8" t="n"/>
      <c r="E1728" s="8" t="n"/>
      <c r="F1728" s="14" t="n"/>
      <c r="G1728" s="14" t="n"/>
      <c r="H1728" s="8" t="n"/>
      <c r="I1728" s="8" t="n"/>
      <c r="J1728" s="8" t="n"/>
      <c r="K1728" s="18">
        <f>IF(B1728="","",IFERROR(MONTH(B1728),""))</f>
        <v/>
      </c>
      <c r="L1728" s="5">
        <f>IF(COUNTA(A1728:J1728)=0,"",IF(E1728="","Mangler motkonto",IF((F1728="")=(G1728=""),"Fyll ut enten Inn eller Ut",IF(OR(IFERROR(INDEX('Kontoplan'!$D$3:$D$302,MATCH(D1728,'Kontoplan'!$H$3:$H$302,0))="Støttes ikke",FALSE),IFERROR(INDEX('Kontoplan'!$D$3:$D$302,MATCH(E1728,'Kontoplan'!$H$3:$H$302,0))="Støttes ikke",FALSE)),"Kontoen støttes ikke",IF(IFERROR(AND(A1728&gt;1,COUNTIF($A$3:$A$2002,A1728-1)=0),FALSE),"Nummeret hopper over",IF(OR(NOT(ISNUMBER(B1728)),B1728&lt;DATE(2027,1,1),B1728&gt;DATE(2027,12,31)),"Datoen er ikke i 2027",""))))))</f>
        <v/>
      </c>
    </row>
    <row r="1729">
      <c r="A1729" s="17" t="n"/>
      <c r="B1729" s="9" t="n"/>
      <c r="C1729" s="8" t="n"/>
      <c r="D1729" s="8" t="n"/>
      <c r="E1729" s="8" t="n"/>
      <c r="F1729" s="14" t="n"/>
      <c r="G1729" s="14" t="n"/>
      <c r="H1729" s="8" t="n"/>
      <c r="I1729" s="8" t="n"/>
      <c r="J1729" s="8" t="n"/>
      <c r="K1729" s="18">
        <f>IF(B1729="","",IFERROR(MONTH(B1729),""))</f>
        <v/>
      </c>
      <c r="L1729" s="5">
        <f>IF(COUNTA(A1729:J1729)=0,"",IF(E1729="","Mangler motkonto",IF((F1729="")=(G1729=""),"Fyll ut enten Inn eller Ut",IF(OR(IFERROR(INDEX('Kontoplan'!$D$3:$D$302,MATCH(D1729,'Kontoplan'!$H$3:$H$302,0))="Støttes ikke",FALSE),IFERROR(INDEX('Kontoplan'!$D$3:$D$302,MATCH(E1729,'Kontoplan'!$H$3:$H$302,0))="Støttes ikke",FALSE)),"Kontoen støttes ikke",IF(IFERROR(AND(A1729&gt;1,COUNTIF($A$3:$A$2002,A1729-1)=0),FALSE),"Nummeret hopper over",IF(OR(NOT(ISNUMBER(B1729)),B1729&lt;DATE(2027,1,1),B1729&gt;DATE(2027,12,31)),"Datoen er ikke i 2027",""))))))</f>
        <v/>
      </c>
    </row>
    <row r="1730">
      <c r="A1730" s="17" t="n"/>
      <c r="B1730" s="9" t="n"/>
      <c r="C1730" s="8" t="n"/>
      <c r="D1730" s="8" t="n"/>
      <c r="E1730" s="8" t="n"/>
      <c r="F1730" s="14" t="n"/>
      <c r="G1730" s="14" t="n"/>
      <c r="H1730" s="8" t="n"/>
      <c r="I1730" s="8" t="n"/>
      <c r="J1730" s="8" t="n"/>
      <c r="K1730" s="18">
        <f>IF(B1730="","",IFERROR(MONTH(B1730),""))</f>
        <v/>
      </c>
      <c r="L1730" s="5">
        <f>IF(COUNTA(A1730:J1730)=0,"",IF(E1730="","Mangler motkonto",IF((F1730="")=(G1730=""),"Fyll ut enten Inn eller Ut",IF(OR(IFERROR(INDEX('Kontoplan'!$D$3:$D$302,MATCH(D1730,'Kontoplan'!$H$3:$H$302,0))="Støttes ikke",FALSE),IFERROR(INDEX('Kontoplan'!$D$3:$D$302,MATCH(E1730,'Kontoplan'!$H$3:$H$302,0))="Støttes ikke",FALSE)),"Kontoen støttes ikke",IF(IFERROR(AND(A1730&gt;1,COUNTIF($A$3:$A$2002,A1730-1)=0),FALSE),"Nummeret hopper over",IF(OR(NOT(ISNUMBER(B1730)),B1730&lt;DATE(2027,1,1),B1730&gt;DATE(2027,12,31)),"Datoen er ikke i 2027",""))))))</f>
        <v/>
      </c>
    </row>
    <row r="1731">
      <c r="A1731" s="17" t="n"/>
      <c r="B1731" s="9" t="n"/>
      <c r="C1731" s="8" t="n"/>
      <c r="D1731" s="8" t="n"/>
      <c r="E1731" s="8" t="n"/>
      <c r="F1731" s="14" t="n"/>
      <c r="G1731" s="14" t="n"/>
      <c r="H1731" s="8" t="n"/>
      <c r="I1731" s="8" t="n"/>
      <c r="J1731" s="8" t="n"/>
      <c r="K1731" s="18">
        <f>IF(B1731="","",IFERROR(MONTH(B1731),""))</f>
        <v/>
      </c>
      <c r="L1731" s="5">
        <f>IF(COUNTA(A1731:J1731)=0,"",IF(E1731="","Mangler motkonto",IF((F1731="")=(G1731=""),"Fyll ut enten Inn eller Ut",IF(OR(IFERROR(INDEX('Kontoplan'!$D$3:$D$302,MATCH(D1731,'Kontoplan'!$H$3:$H$302,0))="Støttes ikke",FALSE),IFERROR(INDEX('Kontoplan'!$D$3:$D$302,MATCH(E1731,'Kontoplan'!$H$3:$H$302,0))="Støttes ikke",FALSE)),"Kontoen støttes ikke",IF(IFERROR(AND(A1731&gt;1,COUNTIF($A$3:$A$2002,A1731-1)=0),FALSE),"Nummeret hopper over",IF(OR(NOT(ISNUMBER(B1731)),B1731&lt;DATE(2027,1,1),B1731&gt;DATE(2027,12,31)),"Datoen er ikke i 2027",""))))))</f>
        <v/>
      </c>
    </row>
    <row r="1732">
      <c r="A1732" s="17" t="n"/>
      <c r="B1732" s="9" t="n"/>
      <c r="C1732" s="8" t="n"/>
      <c r="D1732" s="8" t="n"/>
      <c r="E1732" s="8" t="n"/>
      <c r="F1732" s="14" t="n"/>
      <c r="G1732" s="14" t="n"/>
      <c r="H1732" s="8" t="n"/>
      <c r="I1732" s="8" t="n"/>
      <c r="J1732" s="8" t="n"/>
      <c r="K1732" s="18">
        <f>IF(B1732="","",IFERROR(MONTH(B1732),""))</f>
        <v/>
      </c>
      <c r="L1732" s="5">
        <f>IF(COUNTA(A1732:J1732)=0,"",IF(E1732="","Mangler motkonto",IF((F1732="")=(G1732=""),"Fyll ut enten Inn eller Ut",IF(OR(IFERROR(INDEX('Kontoplan'!$D$3:$D$302,MATCH(D1732,'Kontoplan'!$H$3:$H$302,0))="Støttes ikke",FALSE),IFERROR(INDEX('Kontoplan'!$D$3:$D$302,MATCH(E1732,'Kontoplan'!$H$3:$H$302,0))="Støttes ikke",FALSE)),"Kontoen støttes ikke",IF(IFERROR(AND(A1732&gt;1,COUNTIF($A$3:$A$2002,A1732-1)=0),FALSE),"Nummeret hopper over",IF(OR(NOT(ISNUMBER(B1732)),B1732&lt;DATE(2027,1,1),B1732&gt;DATE(2027,12,31)),"Datoen er ikke i 2027",""))))))</f>
        <v/>
      </c>
    </row>
    <row r="1733">
      <c r="A1733" s="17" t="n"/>
      <c r="B1733" s="9" t="n"/>
      <c r="C1733" s="8" t="n"/>
      <c r="D1733" s="8" t="n"/>
      <c r="E1733" s="8" t="n"/>
      <c r="F1733" s="14" t="n"/>
      <c r="G1733" s="14" t="n"/>
      <c r="H1733" s="8" t="n"/>
      <c r="I1733" s="8" t="n"/>
      <c r="J1733" s="8" t="n"/>
      <c r="K1733" s="18">
        <f>IF(B1733="","",IFERROR(MONTH(B1733),""))</f>
        <v/>
      </c>
      <c r="L1733" s="5">
        <f>IF(COUNTA(A1733:J1733)=0,"",IF(E1733="","Mangler motkonto",IF((F1733="")=(G1733=""),"Fyll ut enten Inn eller Ut",IF(OR(IFERROR(INDEX('Kontoplan'!$D$3:$D$302,MATCH(D1733,'Kontoplan'!$H$3:$H$302,0))="Støttes ikke",FALSE),IFERROR(INDEX('Kontoplan'!$D$3:$D$302,MATCH(E1733,'Kontoplan'!$H$3:$H$302,0))="Støttes ikke",FALSE)),"Kontoen støttes ikke",IF(IFERROR(AND(A1733&gt;1,COUNTIF($A$3:$A$2002,A1733-1)=0),FALSE),"Nummeret hopper over",IF(OR(NOT(ISNUMBER(B1733)),B1733&lt;DATE(2027,1,1),B1733&gt;DATE(2027,12,31)),"Datoen er ikke i 2027",""))))))</f>
        <v/>
      </c>
    </row>
    <row r="1734">
      <c r="A1734" s="17" t="n"/>
      <c r="B1734" s="9" t="n"/>
      <c r="C1734" s="8" t="n"/>
      <c r="D1734" s="8" t="n"/>
      <c r="E1734" s="8" t="n"/>
      <c r="F1734" s="14" t="n"/>
      <c r="G1734" s="14" t="n"/>
      <c r="H1734" s="8" t="n"/>
      <c r="I1734" s="8" t="n"/>
      <c r="J1734" s="8" t="n"/>
      <c r="K1734" s="18">
        <f>IF(B1734="","",IFERROR(MONTH(B1734),""))</f>
        <v/>
      </c>
      <c r="L1734" s="5">
        <f>IF(COUNTA(A1734:J1734)=0,"",IF(E1734="","Mangler motkonto",IF((F1734="")=(G1734=""),"Fyll ut enten Inn eller Ut",IF(OR(IFERROR(INDEX('Kontoplan'!$D$3:$D$302,MATCH(D1734,'Kontoplan'!$H$3:$H$302,0))="Støttes ikke",FALSE),IFERROR(INDEX('Kontoplan'!$D$3:$D$302,MATCH(E1734,'Kontoplan'!$H$3:$H$302,0))="Støttes ikke",FALSE)),"Kontoen støttes ikke",IF(IFERROR(AND(A1734&gt;1,COUNTIF($A$3:$A$2002,A1734-1)=0),FALSE),"Nummeret hopper over",IF(OR(NOT(ISNUMBER(B1734)),B1734&lt;DATE(2027,1,1),B1734&gt;DATE(2027,12,31)),"Datoen er ikke i 2027",""))))))</f>
        <v/>
      </c>
    </row>
    <row r="1735">
      <c r="A1735" s="17" t="n"/>
      <c r="B1735" s="9" t="n"/>
      <c r="C1735" s="8" t="n"/>
      <c r="D1735" s="8" t="n"/>
      <c r="E1735" s="8" t="n"/>
      <c r="F1735" s="14" t="n"/>
      <c r="G1735" s="14" t="n"/>
      <c r="H1735" s="8" t="n"/>
      <c r="I1735" s="8" t="n"/>
      <c r="J1735" s="8" t="n"/>
      <c r="K1735" s="18">
        <f>IF(B1735="","",IFERROR(MONTH(B1735),""))</f>
        <v/>
      </c>
      <c r="L1735" s="5">
        <f>IF(COUNTA(A1735:J1735)=0,"",IF(E1735="","Mangler motkonto",IF((F1735="")=(G1735=""),"Fyll ut enten Inn eller Ut",IF(OR(IFERROR(INDEX('Kontoplan'!$D$3:$D$302,MATCH(D1735,'Kontoplan'!$H$3:$H$302,0))="Støttes ikke",FALSE),IFERROR(INDEX('Kontoplan'!$D$3:$D$302,MATCH(E1735,'Kontoplan'!$H$3:$H$302,0))="Støttes ikke",FALSE)),"Kontoen støttes ikke",IF(IFERROR(AND(A1735&gt;1,COUNTIF($A$3:$A$2002,A1735-1)=0),FALSE),"Nummeret hopper over",IF(OR(NOT(ISNUMBER(B1735)),B1735&lt;DATE(2027,1,1),B1735&gt;DATE(2027,12,31)),"Datoen er ikke i 2027",""))))))</f>
        <v/>
      </c>
    </row>
    <row r="1736">
      <c r="A1736" s="17" t="n"/>
      <c r="B1736" s="9" t="n"/>
      <c r="C1736" s="8" t="n"/>
      <c r="D1736" s="8" t="n"/>
      <c r="E1736" s="8" t="n"/>
      <c r="F1736" s="14" t="n"/>
      <c r="G1736" s="14" t="n"/>
      <c r="H1736" s="8" t="n"/>
      <c r="I1736" s="8" t="n"/>
      <c r="J1736" s="8" t="n"/>
      <c r="K1736" s="18">
        <f>IF(B1736="","",IFERROR(MONTH(B1736),""))</f>
        <v/>
      </c>
      <c r="L1736" s="5">
        <f>IF(COUNTA(A1736:J1736)=0,"",IF(E1736="","Mangler motkonto",IF((F1736="")=(G1736=""),"Fyll ut enten Inn eller Ut",IF(OR(IFERROR(INDEX('Kontoplan'!$D$3:$D$302,MATCH(D1736,'Kontoplan'!$H$3:$H$302,0))="Støttes ikke",FALSE),IFERROR(INDEX('Kontoplan'!$D$3:$D$302,MATCH(E1736,'Kontoplan'!$H$3:$H$302,0))="Støttes ikke",FALSE)),"Kontoen støttes ikke",IF(IFERROR(AND(A1736&gt;1,COUNTIF($A$3:$A$2002,A1736-1)=0),FALSE),"Nummeret hopper over",IF(OR(NOT(ISNUMBER(B1736)),B1736&lt;DATE(2027,1,1),B1736&gt;DATE(2027,12,31)),"Datoen er ikke i 2027",""))))))</f>
        <v/>
      </c>
    </row>
    <row r="1737">
      <c r="A1737" s="17" t="n"/>
      <c r="B1737" s="9" t="n"/>
      <c r="C1737" s="8" t="n"/>
      <c r="D1737" s="8" t="n"/>
      <c r="E1737" s="8" t="n"/>
      <c r="F1737" s="14" t="n"/>
      <c r="G1737" s="14" t="n"/>
      <c r="H1737" s="8" t="n"/>
      <c r="I1737" s="8" t="n"/>
      <c r="J1737" s="8" t="n"/>
      <c r="K1737" s="18">
        <f>IF(B1737="","",IFERROR(MONTH(B1737),""))</f>
        <v/>
      </c>
      <c r="L1737" s="5">
        <f>IF(COUNTA(A1737:J1737)=0,"",IF(E1737="","Mangler motkonto",IF((F1737="")=(G1737=""),"Fyll ut enten Inn eller Ut",IF(OR(IFERROR(INDEX('Kontoplan'!$D$3:$D$302,MATCH(D1737,'Kontoplan'!$H$3:$H$302,0))="Støttes ikke",FALSE),IFERROR(INDEX('Kontoplan'!$D$3:$D$302,MATCH(E1737,'Kontoplan'!$H$3:$H$302,0))="Støttes ikke",FALSE)),"Kontoen støttes ikke",IF(IFERROR(AND(A1737&gt;1,COUNTIF($A$3:$A$2002,A1737-1)=0),FALSE),"Nummeret hopper over",IF(OR(NOT(ISNUMBER(B1737)),B1737&lt;DATE(2027,1,1),B1737&gt;DATE(2027,12,31)),"Datoen er ikke i 2027",""))))))</f>
        <v/>
      </c>
    </row>
    <row r="1738">
      <c r="A1738" s="17" t="n"/>
      <c r="B1738" s="9" t="n"/>
      <c r="C1738" s="8" t="n"/>
      <c r="D1738" s="8" t="n"/>
      <c r="E1738" s="8" t="n"/>
      <c r="F1738" s="14" t="n"/>
      <c r="G1738" s="14" t="n"/>
      <c r="H1738" s="8" t="n"/>
      <c r="I1738" s="8" t="n"/>
      <c r="J1738" s="8" t="n"/>
      <c r="K1738" s="18">
        <f>IF(B1738="","",IFERROR(MONTH(B1738),""))</f>
        <v/>
      </c>
      <c r="L1738" s="5">
        <f>IF(COUNTA(A1738:J1738)=0,"",IF(E1738="","Mangler motkonto",IF((F1738="")=(G1738=""),"Fyll ut enten Inn eller Ut",IF(OR(IFERROR(INDEX('Kontoplan'!$D$3:$D$302,MATCH(D1738,'Kontoplan'!$H$3:$H$302,0))="Støttes ikke",FALSE),IFERROR(INDEX('Kontoplan'!$D$3:$D$302,MATCH(E1738,'Kontoplan'!$H$3:$H$302,0))="Støttes ikke",FALSE)),"Kontoen støttes ikke",IF(IFERROR(AND(A1738&gt;1,COUNTIF($A$3:$A$2002,A1738-1)=0),FALSE),"Nummeret hopper over",IF(OR(NOT(ISNUMBER(B1738)),B1738&lt;DATE(2027,1,1),B1738&gt;DATE(2027,12,31)),"Datoen er ikke i 2027",""))))))</f>
        <v/>
      </c>
    </row>
    <row r="1739">
      <c r="A1739" s="17" t="n"/>
      <c r="B1739" s="9" t="n"/>
      <c r="C1739" s="8" t="n"/>
      <c r="D1739" s="8" t="n"/>
      <c r="E1739" s="8" t="n"/>
      <c r="F1739" s="14" t="n"/>
      <c r="G1739" s="14" t="n"/>
      <c r="H1739" s="8" t="n"/>
      <c r="I1739" s="8" t="n"/>
      <c r="J1739" s="8" t="n"/>
      <c r="K1739" s="18">
        <f>IF(B1739="","",IFERROR(MONTH(B1739),""))</f>
        <v/>
      </c>
      <c r="L1739" s="5">
        <f>IF(COUNTA(A1739:J1739)=0,"",IF(E1739="","Mangler motkonto",IF((F1739="")=(G1739=""),"Fyll ut enten Inn eller Ut",IF(OR(IFERROR(INDEX('Kontoplan'!$D$3:$D$302,MATCH(D1739,'Kontoplan'!$H$3:$H$302,0))="Støttes ikke",FALSE),IFERROR(INDEX('Kontoplan'!$D$3:$D$302,MATCH(E1739,'Kontoplan'!$H$3:$H$302,0))="Støttes ikke",FALSE)),"Kontoen støttes ikke",IF(IFERROR(AND(A1739&gt;1,COUNTIF($A$3:$A$2002,A1739-1)=0),FALSE),"Nummeret hopper over",IF(OR(NOT(ISNUMBER(B1739)),B1739&lt;DATE(2027,1,1),B1739&gt;DATE(2027,12,31)),"Datoen er ikke i 2027",""))))))</f>
        <v/>
      </c>
    </row>
    <row r="1740">
      <c r="A1740" s="17" t="n"/>
      <c r="B1740" s="9" t="n"/>
      <c r="C1740" s="8" t="n"/>
      <c r="D1740" s="8" t="n"/>
      <c r="E1740" s="8" t="n"/>
      <c r="F1740" s="14" t="n"/>
      <c r="G1740" s="14" t="n"/>
      <c r="H1740" s="8" t="n"/>
      <c r="I1740" s="8" t="n"/>
      <c r="J1740" s="8" t="n"/>
      <c r="K1740" s="18">
        <f>IF(B1740="","",IFERROR(MONTH(B1740),""))</f>
        <v/>
      </c>
      <c r="L1740" s="5">
        <f>IF(COUNTA(A1740:J1740)=0,"",IF(E1740="","Mangler motkonto",IF((F1740="")=(G1740=""),"Fyll ut enten Inn eller Ut",IF(OR(IFERROR(INDEX('Kontoplan'!$D$3:$D$302,MATCH(D1740,'Kontoplan'!$H$3:$H$302,0))="Støttes ikke",FALSE),IFERROR(INDEX('Kontoplan'!$D$3:$D$302,MATCH(E1740,'Kontoplan'!$H$3:$H$302,0))="Støttes ikke",FALSE)),"Kontoen støttes ikke",IF(IFERROR(AND(A1740&gt;1,COUNTIF($A$3:$A$2002,A1740-1)=0),FALSE),"Nummeret hopper over",IF(OR(NOT(ISNUMBER(B1740)),B1740&lt;DATE(2027,1,1),B1740&gt;DATE(2027,12,31)),"Datoen er ikke i 2027",""))))))</f>
        <v/>
      </c>
    </row>
    <row r="1741">
      <c r="A1741" s="17" t="n"/>
      <c r="B1741" s="9" t="n"/>
      <c r="C1741" s="8" t="n"/>
      <c r="D1741" s="8" t="n"/>
      <c r="E1741" s="8" t="n"/>
      <c r="F1741" s="14" t="n"/>
      <c r="G1741" s="14" t="n"/>
      <c r="H1741" s="8" t="n"/>
      <c r="I1741" s="8" t="n"/>
      <c r="J1741" s="8" t="n"/>
      <c r="K1741" s="18">
        <f>IF(B1741="","",IFERROR(MONTH(B1741),""))</f>
        <v/>
      </c>
      <c r="L1741" s="5">
        <f>IF(COUNTA(A1741:J1741)=0,"",IF(E1741="","Mangler motkonto",IF((F1741="")=(G1741=""),"Fyll ut enten Inn eller Ut",IF(OR(IFERROR(INDEX('Kontoplan'!$D$3:$D$302,MATCH(D1741,'Kontoplan'!$H$3:$H$302,0))="Støttes ikke",FALSE),IFERROR(INDEX('Kontoplan'!$D$3:$D$302,MATCH(E1741,'Kontoplan'!$H$3:$H$302,0))="Støttes ikke",FALSE)),"Kontoen støttes ikke",IF(IFERROR(AND(A1741&gt;1,COUNTIF($A$3:$A$2002,A1741-1)=0),FALSE),"Nummeret hopper over",IF(OR(NOT(ISNUMBER(B1741)),B1741&lt;DATE(2027,1,1),B1741&gt;DATE(2027,12,31)),"Datoen er ikke i 2027",""))))))</f>
        <v/>
      </c>
    </row>
    <row r="1742">
      <c r="A1742" s="17" t="n"/>
      <c r="B1742" s="9" t="n"/>
      <c r="C1742" s="8" t="n"/>
      <c r="D1742" s="8" t="n"/>
      <c r="E1742" s="8" t="n"/>
      <c r="F1742" s="14" t="n"/>
      <c r="G1742" s="14" t="n"/>
      <c r="H1742" s="8" t="n"/>
      <c r="I1742" s="8" t="n"/>
      <c r="J1742" s="8" t="n"/>
      <c r="K1742" s="18">
        <f>IF(B1742="","",IFERROR(MONTH(B1742),""))</f>
        <v/>
      </c>
      <c r="L1742" s="5">
        <f>IF(COUNTA(A1742:J1742)=0,"",IF(E1742="","Mangler motkonto",IF((F1742="")=(G1742=""),"Fyll ut enten Inn eller Ut",IF(OR(IFERROR(INDEX('Kontoplan'!$D$3:$D$302,MATCH(D1742,'Kontoplan'!$H$3:$H$302,0))="Støttes ikke",FALSE),IFERROR(INDEX('Kontoplan'!$D$3:$D$302,MATCH(E1742,'Kontoplan'!$H$3:$H$302,0))="Støttes ikke",FALSE)),"Kontoen støttes ikke",IF(IFERROR(AND(A1742&gt;1,COUNTIF($A$3:$A$2002,A1742-1)=0),FALSE),"Nummeret hopper over",IF(OR(NOT(ISNUMBER(B1742)),B1742&lt;DATE(2027,1,1),B1742&gt;DATE(2027,12,31)),"Datoen er ikke i 2027",""))))))</f>
        <v/>
      </c>
    </row>
    <row r="1743">
      <c r="A1743" s="17" t="n"/>
      <c r="B1743" s="9" t="n"/>
      <c r="C1743" s="8" t="n"/>
      <c r="D1743" s="8" t="n"/>
      <c r="E1743" s="8" t="n"/>
      <c r="F1743" s="14" t="n"/>
      <c r="G1743" s="14" t="n"/>
      <c r="H1743" s="8" t="n"/>
      <c r="I1743" s="8" t="n"/>
      <c r="J1743" s="8" t="n"/>
      <c r="K1743" s="18">
        <f>IF(B1743="","",IFERROR(MONTH(B1743),""))</f>
        <v/>
      </c>
      <c r="L1743" s="5">
        <f>IF(COUNTA(A1743:J1743)=0,"",IF(E1743="","Mangler motkonto",IF((F1743="")=(G1743=""),"Fyll ut enten Inn eller Ut",IF(OR(IFERROR(INDEX('Kontoplan'!$D$3:$D$302,MATCH(D1743,'Kontoplan'!$H$3:$H$302,0))="Støttes ikke",FALSE),IFERROR(INDEX('Kontoplan'!$D$3:$D$302,MATCH(E1743,'Kontoplan'!$H$3:$H$302,0))="Støttes ikke",FALSE)),"Kontoen støttes ikke",IF(IFERROR(AND(A1743&gt;1,COUNTIF($A$3:$A$2002,A1743-1)=0),FALSE),"Nummeret hopper over",IF(OR(NOT(ISNUMBER(B1743)),B1743&lt;DATE(2027,1,1),B1743&gt;DATE(2027,12,31)),"Datoen er ikke i 2027",""))))))</f>
        <v/>
      </c>
    </row>
    <row r="1744">
      <c r="A1744" s="17" t="n"/>
      <c r="B1744" s="9" t="n"/>
      <c r="C1744" s="8" t="n"/>
      <c r="D1744" s="8" t="n"/>
      <c r="E1744" s="8" t="n"/>
      <c r="F1744" s="14" t="n"/>
      <c r="G1744" s="14" t="n"/>
      <c r="H1744" s="8" t="n"/>
      <c r="I1744" s="8" t="n"/>
      <c r="J1744" s="8" t="n"/>
      <c r="K1744" s="18">
        <f>IF(B1744="","",IFERROR(MONTH(B1744),""))</f>
        <v/>
      </c>
      <c r="L1744" s="5">
        <f>IF(COUNTA(A1744:J1744)=0,"",IF(E1744="","Mangler motkonto",IF((F1744="")=(G1744=""),"Fyll ut enten Inn eller Ut",IF(OR(IFERROR(INDEX('Kontoplan'!$D$3:$D$302,MATCH(D1744,'Kontoplan'!$H$3:$H$302,0))="Støttes ikke",FALSE),IFERROR(INDEX('Kontoplan'!$D$3:$D$302,MATCH(E1744,'Kontoplan'!$H$3:$H$302,0))="Støttes ikke",FALSE)),"Kontoen støttes ikke",IF(IFERROR(AND(A1744&gt;1,COUNTIF($A$3:$A$2002,A1744-1)=0),FALSE),"Nummeret hopper over",IF(OR(NOT(ISNUMBER(B1744)),B1744&lt;DATE(2027,1,1),B1744&gt;DATE(2027,12,31)),"Datoen er ikke i 2027",""))))))</f>
        <v/>
      </c>
    </row>
    <row r="1745">
      <c r="A1745" s="17" t="n"/>
      <c r="B1745" s="9" t="n"/>
      <c r="C1745" s="8" t="n"/>
      <c r="D1745" s="8" t="n"/>
      <c r="E1745" s="8" t="n"/>
      <c r="F1745" s="14" t="n"/>
      <c r="G1745" s="14" t="n"/>
      <c r="H1745" s="8" t="n"/>
      <c r="I1745" s="8" t="n"/>
      <c r="J1745" s="8" t="n"/>
      <c r="K1745" s="18">
        <f>IF(B1745="","",IFERROR(MONTH(B1745),""))</f>
        <v/>
      </c>
      <c r="L1745" s="5">
        <f>IF(COUNTA(A1745:J1745)=0,"",IF(E1745="","Mangler motkonto",IF((F1745="")=(G1745=""),"Fyll ut enten Inn eller Ut",IF(OR(IFERROR(INDEX('Kontoplan'!$D$3:$D$302,MATCH(D1745,'Kontoplan'!$H$3:$H$302,0))="Støttes ikke",FALSE),IFERROR(INDEX('Kontoplan'!$D$3:$D$302,MATCH(E1745,'Kontoplan'!$H$3:$H$302,0))="Støttes ikke",FALSE)),"Kontoen støttes ikke",IF(IFERROR(AND(A1745&gt;1,COUNTIF($A$3:$A$2002,A1745-1)=0),FALSE),"Nummeret hopper over",IF(OR(NOT(ISNUMBER(B1745)),B1745&lt;DATE(2027,1,1),B1745&gt;DATE(2027,12,31)),"Datoen er ikke i 2027",""))))))</f>
        <v/>
      </c>
    </row>
    <row r="1746">
      <c r="A1746" s="17" t="n"/>
      <c r="B1746" s="9" t="n"/>
      <c r="C1746" s="8" t="n"/>
      <c r="D1746" s="8" t="n"/>
      <c r="E1746" s="8" t="n"/>
      <c r="F1746" s="14" t="n"/>
      <c r="G1746" s="14" t="n"/>
      <c r="H1746" s="8" t="n"/>
      <c r="I1746" s="8" t="n"/>
      <c r="J1746" s="8" t="n"/>
      <c r="K1746" s="18">
        <f>IF(B1746="","",IFERROR(MONTH(B1746),""))</f>
        <v/>
      </c>
      <c r="L1746" s="5">
        <f>IF(COUNTA(A1746:J1746)=0,"",IF(E1746="","Mangler motkonto",IF((F1746="")=(G1746=""),"Fyll ut enten Inn eller Ut",IF(OR(IFERROR(INDEX('Kontoplan'!$D$3:$D$302,MATCH(D1746,'Kontoplan'!$H$3:$H$302,0))="Støttes ikke",FALSE),IFERROR(INDEX('Kontoplan'!$D$3:$D$302,MATCH(E1746,'Kontoplan'!$H$3:$H$302,0))="Støttes ikke",FALSE)),"Kontoen støttes ikke",IF(IFERROR(AND(A1746&gt;1,COUNTIF($A$3:$A$2002,A1746-1)=0),FALSE),"Nummeret hopper over",IF(OR(NOT(ISNUMBER(B1746)),B1746&lt;DATE(2027,1,1),B1746&gt;DATE(2027,12,31)),"Datoen er ikke i 2027",""))))))</f>
        <v/>
      </c>
    </row>
    <row r="1747">
      <c r="A1747" s="17" t="n"/>
      <c r="B1747" s="9" t="n"/>
      <c r="C1747" s="8" t="n"/>
      <c r="D1747" s="8" t="n"/>
      <c r="E1747" s="8" t="n"/>
      <c r="F1747" s="14" t="n"/>
      <c r="G1747" s="14" t="n"/>
      <c r="H1747" s="8" t="n"/>
      <c r="I1747" s="8" t="n"/>
      <c r="J1747" s="8" t="n"/>
      <c r="K1747" s="18">
        <f>IF(B1747="","",IFERROR(MONTH(B1747),""))</f>
        <v/>
      </c>
      <c r="L1747" s="5">
        <f>IF(COUNTA(A1747:J1747)=0,"",IF(E1747="","Mangler motkonto",IF((F1747="")=(G1747=""),"Fyll ut enten Inn eller Ut",IF(OR(IFERROR(INDEX('Kontoplan'!$D$3:$D$302,MATCH(D1747,'Kontoplan'!$H$3:$H$302,0))="Støttes ikke",FALSE),IFERROR(INDEX('Kontoplan'!$D$3:$D$302,MATCH(E1747,'Kontoplan'!$H$3:$H$302,0))="Støttes ikke",FALSE)),"Kontoen støttes ikke",IF(IFERROR(AND(A1747&gt;1,COUNTIF($A$3:$A$2002,A1747-1)=0),FALSE),"Nummeret hopper over",IF(OR(NOT(ISNUMBER(B1747)),B1747&lt;DATE(2027,1,1),B1747&gt;DATE(2027,12,31)),"Datoen er ikke i 2027",""))))))</f>
        <v/>
      </c>
    </row>
    <row r="1748">
      <c r="A1748" s="17" t="n"/>
      <c r="B1748" s="9" t="n"/>
      <c r="C1748" s="8" t="n"/>
      <c r="D1748" s="8" t="n"/>
      <c r="E1748" s="8" t="n"/>
      <c r="F1748" s="14" t="n"/>
      <c r="G1748" s="14" t="n"/>
      <c r="H1748" s="8" t="n"/>
      <c r="I1748" s="8" t="n"/>
      <c r="J1748" s="8" t="n"/>
      <c r="K1748" s="18">
        <f>IF(B1748="","",IFERROR(MONTH(B1748),""))</f>
        <v/>
      </c>
      <c r="L1748" s="5">
        <f>IF(COUNTA(A1748:J1748)=0,"",IF(E1748="","Mangler motkonto",IF((F1748="")=(G1748=""),"Fyll ut enten Inn eller Ut",IF(OR(IFERROR(INDEX('Kontoplan'!$D$3:$D$302,MATCH(D1748,'Kontoplan'!$H$3:$H$302,0))="Støttes ikke",FALSE),IFERROR(INDEX('Kontoplan'!$D$3:$D$302,MATCH(E1748,'Kontoplan'!$H$3:$H$302,0))="Støttes ikke",FALSE)),"Kontoen støttes ikke",IF(IFERROR(AND(A1748&gt;1,COUNTIF($A$3:$A$2002,A1748-1)=0),FALSE),"Nummeret hopper over",IF(OR(NOT(ISNUMBER(B1748)),B1748&lt;DATE(2027,1,1),B1748&gt;DATE(2027,12,31)),"Datoen er ikke i 2027",""))))))</f>
        <v/>
      </c>
    </row>
    <row r="1749">
      <c r="A1749" s="17" t="n"/>
      <c r="B1749" s="9" t="n"/>
      <c r="C1749" s="8" t="n"/>
      <c r="D1749" s="8" t="n"/>
      <c r="E1749" s="8" t="n"/>
      <c r="F1749" s="14" t="n"/>
      <c r="G1749" s="14" t="n"/>
      <c r="H1749" s="8" t="n"/>
      <c r="I1749" s="8" t="n"/>
      <c r="J1749" s="8" t="n"/>
      <c r="K1749" s="18">
        <f>IF(B1749="","",IFERROR(MONTH(B1749),""))</f>
        <v/>
      </c>
      <c r="L1749" s="5">
        <f>IF(COUNTA(A1749:J1749)=0,"",IF(E1749="","Mangler motkonto",IF((F1749="")=(G1749=""),"Fyll ut enten Inn eller Ut",IF(OR(IFERROR(INDEX('Kontoplan'!$D$3:$D$302,MATCH(D1749,'Kontoplan'!$H$3:$H$302,0))="Støttes ikke",FALSE),IFERROR(INDEX('Kontoplan'!$D$3:$D$302,MATCH(E1749,'Kontoplan'!$H$3:$H$302,0))="Støttes ikke",FALSE)),"Kontoen støttes ikke",IF(IFERROR(AND(A1749&gt;1,COUNTIF($A$3:$A$2002,A1749-1)=0),FALSE),"Nummeret hopper over",IF(OR(NOT(ISNUMBER(B1749)),B1749&lt;DATE(2027,1,1),B1749&gt;DATE(2027,12,31)),"Datoen er ikke i 2027",""))))))</f>
        <v/>
      </c>
    </row>
    <row r="1750">
      <c r="A1750" s="17" t="n"/>
      <c r="B1750" s="9" t="n"/>
      <c r="C1750" s="8" t="n"/>
      <c r="D1750" s="8" t="n"/>
      <c r="E1750" s="8" t="n"/>
      <c r="F1750" s="14" t="n"/>
      <c r="G1750" s="14" t="n"/>
      <c r="H1750" s="8" t="n"/>
      <c r="I1750" s="8" t="n"/>
      <c r="J1750" s="8" t="n"/>
      <c r="K1750" s="18">
        <f>IF(B1750="","",IFERROR(MONTH(B1750),""))</f>
        <v/>
      </c>
      <c r="L1750" s="5">
        <f>IF(COUNTA(A1750:J1750)=0,"",IF(E1750="","Mangler motkonto",IF((F1750="")=(G1750=""),"Fyll ut enten Inn eller Ut",IF(OR(IFERROR(INDEX('Kontoplan'!$D$3:$D$302,MATCH(D1750,'Kontoplan'!$H$3:$H$302,0))="Støttes ikke",FALSE),IFERROR(INDEX('Kontoplan'!$D$3:$D$302,MATCH(E1750,'Kontoplan'!$H$3:$H$302,0))="Støttes ikke",FALSE)),"Kontoen støttes ikke",IF(IFERROR(AND(A1750&gt;1,COUNTIF($A$3:$A$2002,A1750-1)=0),FALSE),"Nummeret hopper over",IF(OR(NOT(ISNUMBER(B1750)),B1750&lt;DATE(2027,1,1),B1750&gt;DATE(2027,12,31)),"Datoen er ikke i 2027",""))))))</f>
        <v/>
      </c>
    </row>
    <row r="1751">
      <c r="A1751" s="17" t="n"/>
      <c r="B1751" s="9" t="n"/>
      <c r="C1751" s="8" t="n"/>
      <c r="D1751" s="8" t="n"/>
      <c r="E1751" s="8" t="n"/>
      <c r="F1751" s="14" t="n"/>
      <c r="G1751" s="14" t="n"/>
      <c r="H1751" s="8" t="n"/>
      <c r="I1751" s="8" t="n"/>
      <c r="J1751" s="8" t="n"/>
      <c r="K1751" s="18">
        <f>IF(B1751="","",IFERROR(MONTH(B1751),""))</f>
        <v/>
      </c>
      <c r="L1751" s="5">
        <f>IF(COUNTA(A1751:J1751)=0,"",IF(E1751="","Mangler motkonto",IF((F1751="")=(G1751=""),"Fyll ut enten Inn eller Ut",IF(OR(IFERROR(INDEX('Kontoplan'!$D$3:$D$302,MATCH(D1751,'Kontoplan'!$H$3:$H$302,0))="Støttes ikke",FALSE),IFERROR(INDEX('Kontoplan'!$D$3:$D$302,MATCH(E1751,'Kontoplan'!$H$3:$H$302,0))="Støttes ikke",FALSE)),"Kontoen støttes ikke",IF(IFERROR(AND(A1751&gt;1,COUNTIF($A$3:$A$2002,A1751-1)=0),FALSE),"Nummeret hopper over",IF(OR(NOT(ISNUMBER(B1751)),B1751&lt;DATE(2027,1,1),B1751&gt;DATE(2027,12,31)),"Datoen er ikke i 2027",""))))))</f>
        <v/>
      </c>
    </row>
    <row r="1752">
      <c r="A1752" s="17" t="n"/>
      <c r="B1752" s="9" t="n"/>
      <c r="C1752" s="8" t="n"/>
      <c r="D1752" s="8" t="n"/>
      <c r="E1752" s="8" t="n"/>
      <c r="F1752" s="14" t="n"/>
      <c r="G1752" s="14" t="n"/>
      <c r="H1752" s="8" t="n"/>
      <c r="I1752" s="8" t="n"/>
      <c r="J1752" s="8" t="n"/>
      <c r="K1752" s="18">
        <f>IF(B1752="","",IFERROR(MONTH(B1752),""))</f>
        <v/>
      </c>
      <c r="L1752" s="5">
        <f>IF(COUNTA(A1752:J1752)=0,"",IF(E1752="","Mangler motkonto",IF((F1752="")=(G1752=""),"Fyll ut enten Inn eller Ut",IF(OR(IFERROR(INDEX('Kontoplan'!$D$3:$D$302,MATCH(D1752,'Kontoplan'!$H$3:$H$302,0))="Støttes ikke",FALSE),IFERROR(INDEX('Kontoplan'!$D$3:$D$302,MATCH(E1752,'Kontoplan'!$H$3:$H$302,0))="Støttes ikke",FALSE)),"Kontoen støttes ikke",IF(IFERROR(AND(A1752&gt;1,COUNTIF($A$3:$A$2002,A1752-1)=0),FALSE),"Nummeret hopper over",IF(OR(NOT(ISNUMBER(B1752)),B1752&lt;DATE(2027,1,1),B1752&gt;DATE(2027,12,31)),"Datoen er ikke i 2027",""))))))</f>
        <v/>
      </c>
    </row>
    <row r="1753">
      <c r="A1753" s="17" t="n"/>
      <c r="B1753" s="9" t="n"/>
      <c r="C1753" s="8" t="n"/>
      <c r="D1753" s="8" t="n"/>
      <c r="E1753" s="8" t="n"/>
      <c r="F1753" s="14" t="n"/>
      <c r="G1753" s="14" t="n"/>
      <c r="H1753" s="8" t="n"/>
      <c r="I1753" s="8" t="n"/>
      <c r="J1753" s="8" t="n"/>
      <c r="K1753" s="18">
        <f>IF(B1753="","",IFERROR(MONTH(B1753),""))</f>
        <v/>
      </c>
      <c r="L1753" s="5">
        <f>IF(COUNTA(A1753:J1753)=0,"",IF(E1753="","Mangler motkonto",IF((F1753="")=(G1753=""),"Fyll ut enten Inn eller Ut",IF(OR(IFERROR(INDEX('Kontoplan'!$D$3:$D$302,MATCH(D1753,'Kontoplan'!$H$3:$H$302,0))="Støttes ikke",FALSE),IFERROR(INDEX('Kontoplan'!$D$3:$D$302,MATCH(E1753,'Kontoplan'!$H$3:$H$302,0))="Støttes ikke",FALSE)),"Kontoen støttes ikke",IF(IFERROR(AND(A1753&gt;1,COUNTIF($A$3:$A$2002,A1753-1)=0),FALSE),"Nummeret hopper over",IF(OR(NOT(ISNUMBER(B1753)),B1753&lt;DATE(2027,1,1),B1753&gt;DATE(2027,12,31)),"Datoen er ikke i 2027",""))))))</f>
        <v/>
      </c>
    </row>
    <row r="1754">
      <c r="A1754" s="17" t="n"/>
      <c r="B1754" s="9" t="n"/>
      <c r="C1754" s="8" t="n"/>
      <c r="D1754" s="8" t="n"/>
      <c r="E1754" s="8" t="n"/>
      <c r="F1754" s="14" t="n"/>
      <c r="G1754" s="14" t="n"/>
      <c r="H1754" s="8" t="n"/>
      <c r="I1754" s="8" t="n"/>
      <c r="J1754" s="8" t="n"/>
      <c r="K1754" s="18">
        <f>IF(B1754="","",IFERROR(MONTH(B1754),""))</f>
        <v/>
      </c>
      <c r="L1754" s="5">
        <f>IF(COUNTA(A1754:J1754)=0,"",IF(E1754="","Mangler motkonto",IF((F1754="")=(G1754=""),"Fyll ut enten Inn eller Ut",IF(OR(IFERROR(INDEX('Kontoplan'!$D$3:$D$302,MATCH(D1754,'Kontoplan'!$H$3:$H$302,0))="Støttes ikke",FALSE),IFERROR(INDEX('Kontoplan'!$D$3:$D$302,MATCH(E1754,'Kontoplan'!$H$3:$H$302,0))="Støttes ikke",FALSE)),"Kontoen støttes ikke",IF(IFERROR(AND(A1754&gt;1,COUNTIF($A$3:$A$2002,A1754-1)=0),FALSE),"Nummeret hopper over",IF(OR(NOT(ISNUMBER(B1754)),B1754&lt;DATE(2027,1,1),B1754&gt;DATE(2027,12,31)),"Datoen er ikke i 2027",""))))))</f>
        <v/>
      </c>
    </row>
    <row r="1755">
      <c r="A1755" s="17" t="n"/>
      <c r="B1755" s="9" t="n"/>
      <c r="C1755" s="8" t="n"/>
      <c r="D1755" s="8" t="n"/>
      <c r="E1755" s="8" t="n"/>
      <c r="F1755" s="14" t="n"/>
      <c r="G1755" s="14" t="n"/>
      <c r="H1755" s="8" t="n"/>
      <c r="I1755" s="8" t="n"/>
      <c r="J1755" s="8" t="n"/>
      <c r="K1755" s="18">
        <f>IF(B1755="","",IFERROR(MONTH(B1755),""))</f>
        <v/>
      </c>
      <c r="L1755" s="5">
        <f>IF(COUNTA(A1755:J1755)=0,"",IF(E1755="","Mangler motkonto",IF((F1755="")=(G1755=""),"Fyll ut enten Inn eller Ut",IF(OR(IFERROR(INDEX('Kontoplan'!$D$3:$D$302,MATCH(D1755,'Kontoplan'!$H$3:$H$302,0))="Støttes ikke",FALSE),IFERROR(INDEX('Kontoplan'!$D$3:$D$302,MATCH(E1755,'Kontoplan'!$H$3:$H$302,0))="Støttes ikke",FALSE)),"Kontoen støttes ikke",IF(IFERROR(AND(A1755&gt;1,COUNTIF($A$3:$A$2002,A1755-1)=0),FALSE),"Nummeret hopper over",IF(OR(NOT(ISNUMBER(B1755)),B1755&lt;DATE(2027,1,1),B1755&gt;DATE(2027,12,31)),"Datoen er ikke i 2027",""))))))</f>
        <v/>
      </c>
    </row>
    <row r="1756">
      <c r="A1756" s="17" t="n"/>
      <c r="B1756" s="9" t="n"/>
      <c r="C1756" s="8" t="n"/>
      <c r="D1756" s="8" t="n"/>
      <c r="E1756" s="8" t="n"/>
      <c r="F1756" s="14" t="n"/>
      <c r="G1756" s="14" t="n"/>
      <c r="H1756" s="8" t="n"/>
      <c r="I1756" s="8" t="n"/>
      <c r="J1756" s="8" t="n"/>
      <c r="K1756" s="18">
        <f>IF(B1756="","",IFERROR(MONTH(B1756),""))</f>
        <v/>
      </c>
      <c r="L1756" s="5">
        <f>IF(COUNTA(A1756:J1756)=0,"",IF(E1756="","Mangler motkonto",IF((F1756="")=(G1756=""),"Fyll ut enten Inn eller Ut",IF(OR(IFERROR(INDEX('Kontoplan'!$D$3:$D$302,MATCH(D1756,'Kontoplan'!$H$3:$H$302,0))="Støttes ikke",FALSE),IFERROR(INDEX('Kontoplan'!$D$3:$D$302,MATCH(E1756,'Kontoplan'!$H$3:$H$302,0))="Støttes ikke",FALSE)),"Kontoen støttes ikke",IF(IFERROR(AND(A1756&gt;1,COUNTIF($A$3:$A$2002,A1756-1)=0),FALSE),"Nummeret hopper over",IF(OR(NOT(ISNUMBER(B1756)),B1756&lt;DATE(2027,1,1),B1756&gt;DATE(2027,12,31)),"Datoen er ikke i 2027",""))))))</f>
        <v/>
      </c>
    </row>
    <row r="1757">
      <c r="A1757" s="17" t="n"/>
      <c r="B1757" s="9" t="n"/>
      <c r="C1757" s="8" t="n"/>
      <c r="D1757" s="8" t="n"/>
      <c r="E1757" s="8" t="n"/>
      <c r="F1757" s="14" t="n"/>
      <c r="G1757" s="14" t="n"/>
      <c r="H1757" s="8" t="n"/>
      <c r="I1757" s="8" t="n"/>
      <c r="J1757" s="8" t="n"/>
      <c r="K1757" s="18">
        <f>IF(B1757="","",IFERROR(MONTH(B1757),""))</f>
        <v/>
      </c>
      <c r="L1757" s="5">
        <f>IF(COUNTA(A1757:J1757)=0,"",IF(E1757="","Mangler motkonto",IF((F1757="")=(G1757=""),"Fyll ut enten Inn eller Ut",IF(OR(IFERROR(INDEX('Kontoplan'!$D$3:$D$302,MATCH(D1757,'Kontoplan'!$H$3:$H$302,0))="Støttes ikke",FALSE),IFERROR(INDEX('Kontoplan'!$D$3:$D$302,MATCH(E1757,'Kontoplan'!$H$3:$H$302,0))="Støttes ikke",FALSE)),"Kontoen støttes ikke",IF(IFERROR(AND(A1757&gt;1,COUNTIF($A$3:$A$2002,A1757-1)=0),FALSE),"Nummeret hopper over",IF(OR(NOT(ISNUMBER(B1757)),B1757&lt;DATE(2027,1,1),B1757&gt;DATE(2027,12,31)),"Datoen er ikke i 2027",""))))))</f>
        <v/>
      </c>
    </row>
    <row r="1758">
      <c r="A1758" s="17" t="n"/>
      <c r="B1758" s="9" t="n"/>
      <c r="C1758" s="8" t="n"/>
      <c r="D1758" s="8" t="n"/>
      <c r="E1758" s="8" t="n"/>
      <c r="F1758" s="14" t="n"/>
      <c r="G1758" s="14" t="n"/>
      <c r="H1758" s="8" t="n"/>
      <c r="I1758" s="8" t="n"/>
      <c r="J1758" s="8" t="n"/>
      <c r="K1758" s="18">
        <f>IF(B1758="","",IFERROR(MONTH(B1758),""))</f>
        <v/>
      </c>
      <c r="L1758" s="5">
        <f>IF(COUNTA(A1758:J1758)=0,"",IF(E1758="","Mangler motkonto",IF((F1758="")=(G1758=""),"Fyll ut enten Inn eller Ut",IF(OR(IFERROR(INDEX('Kontoplan'!$D$3:$D$302,MATCH(D1758,'Kontoplan'!$H$3:$H$302,0))="Støttes ikke",FALSE),IFERROR(INDEX('Kontoplan'!$D$3:$D$302,MATCH(E1758,'Kontoplan'!$H$3:$H$302,0))="Støttes ikke",FALSE)),"Kontoen støttes ikke",IF(IFERROR(AND(A1758&gt;1,COUNTIF($A$3:$A$2002,A1758-1)=0),FALSE),"Nummeret hopper over",IF(OR(NOT(ISNUMBER(B1758)),B1758&lt;DATE(2027,1,1),B1758&gt;DATE(2027,12,31)),"Datoen er ikke i 2027",""))))))</f>
        <v/>
      </c>
    </row>
    <row r="1759">
      <c r="A1759" s="17" t="n"/>
      <c r="B1759" s="9" t="n"/>
      <c r="C1759" s="8" t="n"/>
      <c r="D1759" s="8" t="n"/>
      <c r="E1759" s="8" t="n"/>
      <c r="F1759" s="14" t="n"/>
      <c r="G1759" s="14" t="n"/>
      <c r="H1759" s="8" t="n"/>
      <c r="I1759" s="8" t="n"/>
      <c r="J1759" s="8" t="n"/>
      <c r="K1759" s="18">
        <f>IF(B1759="","",IFERROR(MONTH(B1759),""))</f>
        <v/>
      </c>
      <c r="L1759" s="5">
        <f>IF(COUNTA(A1759:J1759)=0,"",IF(E1759="","Mangler motkonto",IF((F1759="")=(G1759=""),"Fyll ut enten Inn eller Ut",IF(OR(IFERROR(INDEX('Kontoplan'!$D$3:$D$302,MATCH(D1759,'Kontoplan'!$H$3:$H$302,0))="Støttes ikke",FALSE),IFERROR(INDEX('Kontoplan'!$D$3:$D$302,MATCH(E1759,'Kontoplan'!$H$3:$H$302,0))="Støttes ikke",FALSE)),"Kontoen støttes ikke",IF(IFERROR(AND(A1759&gt;1,COUNTIF($A$3:$A$2002,A1759-1)=0),FALSE),"Nummeret hopper over",IF(OR(NOT(ISNUMBER(B1759)),B1759&lt;DATE(2027,1,1),B1759&gt;DATE(2027,12,31)),"Datoen er ikke i 2027",""))))))</f>
        <v/>
      </c>
    </row>
    <row r="1760">
      <c r="A1760" s="17" t="n"/>
      <c r="B1760" s="9" t="n"/>
      <c r="C1760" s="8" t="n"/>
      <c r="D1760" s="8" t="n"/>
      <c r="E1760" s="8" t="n"/>
      <c r="F1760" s="14" t="n"/>
      <c r="G1760" s="14" t="n"/>
      <c r="H1760" s="8" t="n"/>
      <c r="I1760" s="8" t="n"/>
      <c r="J1760" s="8" t="n"/>
      <c r="K1760" s="18">
        <f>IF(B1760="","",IFERROR(MONTH(B1760),""))</f>
        <v/>
      </c>
      <c r="L1760" s="5">
        <f>IF(COUNTA(A1760:J1760)=0,"",IF(E1760="","Mangler motkonto",IF((F1760="")=(G1760=""),"Fyll ut enten Inn eller Ut",IF(OR(IFERROR(INDEX('Kontoplan'!$D$3:$D$302,MATCH(D1760,'Kontoplan'!$H$3:$H$302,0))="Støttes ikke",FALSE),IFERROR(INDEX('Kontoplan'!$D$3:$D$302,MATCH(E1760,'Kontoplan'!$H$3:$H$302,0))="Støttes ikke",FALSE)),"Kontoen støttes ikke",IF(IFERROR(AND(A1760&gt;1,COUNTIF($A$3:$A$2002,A1760-1)=0),FALSE),"Nummeret hopper over",IF(OR(NOT(ISNUMBER(B1760)),B1760&lt;DATE(2027,1,1),B1760&gt;DATE(2027,12,31)),"Datoen er ikke i 2027",""))))))</f>
        <v/>
      </c>
    </row>
    <row r="1761">
      <c r="A1761" s="17" t="n"/>
      <c r="B1761" s="9" t="n"/>
      <c r="C1761" s="8" t="n"/>
      <c r="D1761" s="8" t="n"/>
      <c r="E1761" s="8" t="n"/>
      <c r="F1761" s="14" t="n"/>
      <c r="G1761" s="14" t="n"/>
      <c r="H1761" s="8" t="n"/>
      <c r="I1761" s="8" t="n"/>
      <c r="J1761" s="8" t="n"/>
      <c r="K1761" s="18">
        <f>IF(B1761="","",IFERROR(MONTH(B1761),""))</f>
        <v/>
      </c>
      <c r="L1761" s="5">
        <f>IF(COUNTA(A1761:J1761)=0,"",IF(E1761="","Mangler motkonto",IF((F1761="")=(G1761=""),"Fyll ut enten Inn eller Ut",IF(OR(IFERROR(INDEX('Kontoplan'!$D$3:$D$302,MATCH(D1761,'Kontoplan'!$H$3:$H$302,0))="Støttes ikke",FALSE),IFERROR(INDEX('Kontoplan'!$D$3:$D$302,MATCH(E1761,'Kontoplan'!$H$3:$H$302,0))="Støttes ikke",FALSE)),"Kontoen støttes ikke",IF(IFERROR(AND(A1761&gt;1,COUNTIF($A$3:$A$2002,A1761-1)=0),FALSE),"Nummeret hopper over",IF(OR(NOT(ISNUMBER(B1761)),B1761&lt;DATE(2027,1,1),B1761&gt;DATE(2027,12,31)),"Datoen er ikke i 2027",""))))))</f>
        <v/>
      </c>
    </row>
    <row r="1762">
      <c r="A1762" s="17" t="n"/>
      <c r="B1762" s="9" t="n"/>
      <c r="C1762" s="8" t="n"/>
      <c r="D1762" s="8" t="n"/>
      <c r="E1762" s="8" t="n"/>
      <c r="F1762" s="14" t="n"/>
      <c r="G1762" s="14" t="n"/>
      <c r="H1762" s="8" t="n"/>
      <c r="I1762" s="8" t="n"/>
      <c r="J1762" s="8" t="n"/>
      <c r="K1762" s="18">
        <f>IF(B1762="","",IFERROR(MONTH(B1762),""))</f>
        <v/>
      </c>
      <c r="L1762" s="5">
        <f>IF(COUNTA(A1762:J1762)=0,"",IF(E1762="","Mangler motkonto",IF((F1762="")=(G1762=""),"Fyll ut enten Inn eller Ut",IF(OR(IFERROR(INDEX('Kontoplan'!$D$3:$D$302,MATCH(D1762,'Kontoplan'!$H$3:$H$302,0))="Støttes ikke",FALSE),IFERROR(INDEX('Kontoplan'!$D$3:$D$302,MATCH(E1762,'Kontoplan'!$H$3:$H$302,0))="Støttes ikke",FALSE)),"Kontoen støttes ikke",IF(IFERROR(AND(A1762&gt;1,COUNTIF($A$3:$A$2002,A1762-1)=0),FALSE),"Nummeret hopper over",IF(OR(NOT(ISNUMBER(B1762)),B1762&lt;DATE(2027,1,1),B1762&gt;DATE(2027,12,31)),"Datoen er ikke i 2027",""))))))</f>
        <v/>
      </c>
    </row>
    <row r="1763">
      <c r="A1763" s="17" t="n"/>
      <c r="B1763" s="9" t="n"/>
      <c r="C1763" s="8" t="n"/>
      <c r="D1763" s="8" t="n"/>
      <c r="E1763" s="8" t="n"/>
      <c r="F1763" s="14" t="n"/>
      <c r="G1763" s="14" t="n"/>
      <c r="H1763" s="8" t="n"/>
      <c r="I1763" s="8" t="n"/>
      <c r="J1763" s="8" t="n"/>
      <c r="K1763" s="18">
        <f>IF(B1763="","",IFERROR(MONTH(B1763),""))</f>
        <v/>
      </c>
      <c r="L1763" s="5">
        <f>IF(COUNTA(A1763:J1763)=0,"",IF(E1763="","Mangler motkonto",IF((F1763="")=(G1763=""),"Fyll ut enten Inn eller Ut",IF(OR(IFERROR(INDEX('Kontoplan'!$D$3:$D$302,MATCH(D1763,'Kontoplan'!$H$3:$H$302,0))="Støttes ikke",FALSE),IFERROR(INDEX('Kontoplan'!$D$3:$D$302,MATCH(E1763,'Kontoplan'!$H$3:$H$302,0))="Støttes ikke",FALSE)),"Kontoen støttes ikke",IF(IFERROR(AND(A1763&gt;1,COUNTIF($A$3:$A$2002,A1763-1)=0),FALSE),"Nummeret hopper over",IF(OR(NOT(ISNUMBER(B1763)),B1763&lt;DATE(2027,1,1),B1763&gt;DATE(2027,12,31)),"Datoen er ikke i 2027",""))))))</f>
        <v/>
      </c>
    </row>
    <row r="1764">
      <c r="A1764" s="17" t="n"/>
      <c r="B1764" s="9" t="n"/>
      <c r="C1764" s="8" t="n"/>
      <c r="D1764" s="8" t="n"/>
      <c r="E1764" s="8" t="n"/>
      <c r="F1764" s="14" t="n"/>
      <c r="G1764" s="14" t="n"/>
      <c r="H1764" s="8" t="n"/>
      <c r="I1764" s="8" t="n"/>
      <c r="J1764" s="8" t="n"/>
      <c r="K1764" s="18">
        <f>IF(B1764="","",IFERROR(MONTH(B1764),""))</f>
        <v/>
      </c>
      <c r="L1764" s="5">
        <f>IF(COUNTA(A1764:J1764)=0,"",IF(E1764="","Mangler motkonto",IF((F1764="")=(G1764=""),"Fyll ut enten Inn eller Ut",IF(OR(IFERROR(INDEX('Kontoplan'!$D$3:$D$302,MATCH(D1764,'Kontoplan'!$H$3:$H$302,0))="Støttes ikke",FALSE),IFERROR(INDEX('Kontoplan'!$D$3:$D$302,MATCH(E1764,'Kontoplan'!$H$3:$H$302,0))="Støttes ikke",FALSE)),"Kontoen støttes ikke",IF(IFERROR(AND(A1764&gt;1,COUNTIF($A$3:$A$2002,A1764-1)=0),FALSE),"Nummeret hopper over",IF(OR(NOT(ISNUMBER(B1764)),B1764&lt;DATE(2027,1,1),B1764&gt;DATE(2027,12,31)),"Datoen er ikke i 2027",""))))))</f>
        <v/>
      </c>
    </row>
    <row r="1765">
      <c r="A1765" s="17" t="n"/>
      <c r="B1765" s="9" t="n"/>
      <c r="C1765" s="8" t="n"/>
      <c r="D1765" s="8" t="n"/>
      <c r="E1765" s="8" t="n"/>
      <c r="F1765" s="14" t="n"/>
      <c r="G1765" s="14" t="n"/>
      <c r="H1765" s="8" t="n"/>
      <c r="I1765" s="8" t="n"/>
      <c r="J1765" s="8" t="n"/>
      <c r="K1765" s="18">
        <f>IF(B1765="","",IFERROR(MONTH(B1765),""))</f>
        <v/>
      </c>
      <c r="L1765" s="5">
        <f>IF(COUNTA(A1765:J1765)=0,"",IF(E1765="","Mangler motkonto",IF((F1765="")=(G1765=""),"Fyll ut enten Inn eller Ut",IF(OR(IFERROR(INDEX('Kontoplan'!$D$3:$D$302,MATCH(D1765,'Kontoplan'!$H$3:$H$302,0))="Støttes ikke",FALSE),IFERROR(INDEX('Kontoplan'!$D$3:$D$302,MATCH(E1765,'Kontoplan'!$H$3:$H$302,0))="Støttes ikke",FALSE)),"Kontoen støttes ikke",IF(IFERROR(AND(A1765&gt;1,COUNTIF($A$3:$A$2002,A1765-1)=0),FALSE),"Nummeret hopper over",IF(OR(NOT(ISNUMBER(B1765)),B1765&lt;DATE(2027,1,1),B1765&gt;DATE(2027,12,31)),"Datoen er ikke i 2027",""))))))</f>
        <v/>
      </c>
    </row>
    <row r="1766">
      <c r="A1766" s="17" t="n"/>
      <c r="B1766" s="9" t="n"/>
      <c r="C1766" s="8" t="n"/>
      <c r="D1766" s="8" t="n"/>
      <c r="E1766" s="8" t="n"/>
      <c r="F1766" s="14" t="n"/>
      <c r="G1766" s="14" t="n"/>
      <c r="H1766" s="8" t="n"/>
      <c r="I1766" s="8" t="n"/>
      <c r="J1766" s="8" t="n"/>
      <c r="K1766" s="18">
        <f>IF(B1766="","",IFERROR(MONTH(B1766),""))</f>
        <v/>
      </c>
      <c r="L1766" s="5">
        <f>IF(COUNTA(A1766:J1766)=0,"",IF(E1766="","Mangler motkonto",IF((F1766="")=(G1766=""),"Fyll ut enten Inn eller Ut",IF(OR(IFERROR(INDEX('Kontoplan'!$D$3:$D$302,MATCH(D1766,'Kontoplan'!$H$3:$H$302,0))="Støttes ikke",FALSE),IFERROR(INDEX('Kontoplan'!$D$3:$D$302,MATCH(E1766,'Kontoplan'!$H$3:$H$302,0))="Støttes ikke",FALSE)),"Kontoen støttes ikke",IF(IFERROR(AND(A1766&gt;1,COUNTIF($A$3:$A$2002,A1766-1)=0),FALSE),"Nummeret hopper over",IF(OR(NOT(ISNUMBER(B1766)),B1766&lt;DATE(2027,1,1),B1766&gt;DATE(2027,12,31)),"Datoen er ikke i 2027",""))))))</f>
        <v/>
      </c>
    </row>
    <row r="1767">
      <c r="A1767" s="17" t="n"/>
      <c r="B1767" s="9" t="n"/>
      <c r="C1767" s="8" t="n"/>
      <c r="D1767" s="8" t="n"/>
      <c r="E1767" s="8" t="n"/>
      <c r="F1767" s="14" t="n"/>
      <c r="G1767" s="14" t="n"/>
      <c r="H1767" s="8" t="n"/>
      <c r="I1767" s="8" t="n"/>
      <c r="J1767" s="8" t="n"/>
      <c r="K1767" s="18">
        <f>IF(B1767="","",IFERROR(MONTH(B1767),""))</f>
        <v/>
      </c>
      <c r="L1767" s="5">
        <f>IF(COUNTA(A1767:J1767)=0,"",IF(E1767="","Mangler motkonto",IF((F1767="")=(G1767=""),"Fyll ut enten Inn eller Ut",IF(OR(IFERROR(INDEX('Kontoplan'!$D$3:$D$302,MATCH(D1767,'Kontoplan'!$H$3:$H$302,0))="Støttes ikke",FALSE),IFERROR(INDEX('Kontoplan'!$D$3:$D$302,MATCH(E1767,'Kontoplan'!$H$3:$H$302,0))="Støttes ikke",FALSE)),"Kontoen støttes ikke",IF(IFERROR(AND(A1767&gt;1,COUNTIF($A$3:$A$2002,A1767-1)=0),FALSE),"Nummeret hopper over",IF(OR(NOT(ISNUMBER(B1767)),B1767&lt;DATE(2027,1,1),B1767&gt;DATE(2027,12,31)),"Datoen er ikke i 2027",""))))))</f>
        <v/>
      </c>
    </row>
    <row r="1768">
      <c r="A1768" s="17" t="n"/>
      <c r="B1768" s="9" t="n"/>
      <c r="C1768" s="8" t="n"/>
      <c r="D1768" s="8" t="n"/>
      <c r="E1768" s="8" t="n"/>
      <c r="F1768" s="14" t="n"/>
      <c r="G1768" s="14" t="n"/>
      <c r="H1768" s="8" t="n"/>
      <c r="I1768" s="8" t="n"/>
      <c r="J1768" s="8" t="n"/>
      <c r="K1768" s="18">
        <f>IF(B1768="","",IFERROR(MONTH(B1768),""))</f>
        <v/>
      </c>
      <c r="L1768" s="5">
        <f>IF(COUNTA(A1768:J1768)=0,"",IF(E1768="","Mangler motkonto",IF((F1768="")=(G1768=""),"Fyll ut enten Inn eller Ut",IF(OR(IFERROR(INDEX('Kontoplan'!$D$3:$D$302,MATCH(D1768,'Kontoplan'!$H$3:$H$302,0))="Støttes ikke",FALSE),IFERROR(INDEX('Kontoplan'!$D$3:$D$302,MATCH(E1768,'Kontoplan'!$H$3:$H$302,0))="Støttes ikke",FALSE)),"Kontoen støttes ikke",IF(IFERROR(AND(A1768&gt;1,COUNTIF($A$3:$A$2002,A1768-1)=0),FALSE),"Nummeret hopper over",IF(OR(NOT(ISNUMBER(B1768)),B1768&lt;DATE(2027,1,1),B1768&gt;DATE(2027,12,31)),"Datoen er ikke i 2027",""))))))</f>
        <v/>
      </c>
    </row>
    <row r="1769">
      <c r="A1769" s="17" t="n"/>
      <c r="B1769" s="9" t="n"/>
      <c r="C1769" s="8" t="n"/>
      <c r="D1769" s="8" t="n"/>
      <c r="E1769" s="8" t="n"/>
      <c r="F1769" s="14" t="n"/>
      <c r="G1769" s="14" t="n"/>
      <c r="H1769" s="8" t="n"/>
      <c r="I1769" s="8" t="n"/>
      <c r="J1769" s="8" t="n"/>
      <c r="K1769" s="18">
        <f>IF(B1769="","",IFERROR(MONTH(B1769),""))</f>
        <v/>
      </c>
      <c r="L1769" s="5">
        <f>IF(COUNTA(A1769:J1769)=0,"",IF(E1769="","Mangler motkonto",IF((F1769="")=(G1769=""),"Fyll ut enten Inn eller Ut",IF(OR(IFERROR(INDEX('Kontoplan'!$D$3:$D$302,MATCH(D1769,'Kontoplan'!$H$3:$H$302,0))="Støttes ikke",FALSE),IFERROR(INDEX('Kontoplan'!$D$3:$D$302,MATCH(E1769,'Kontoplan'!$H$3:$H$302,0))="Støttes ikke",FALSE)),"Kontoen støttes ikke",IF(IFERROR(AND(A1769&gt;1,COUNTIF($A$3:$A$2002,A1769-1)=0),FALSE),"Nummeret hopper over",IF(OR(NOT(ISNUMBER(B1769)),B1769&lt;DATE(2027,1,1),B1769&gt;DATE(2027,12,31)),"Datoen er ikke i 2027",""))))))</f>
        <v/>
      </c>
    </row>
    <row r="1770">
      <c r="A1770" s="17" t="n"/>
      <c r="B1770" s="9" t="n"/>
      <c r="C1770" s="8" t="n"/>
      <c r="D1770" s="8" t="n"/>
      <c r="E1770" s="8" t="n"/>
      <c r="F1770" s="14" t="n"/>
      <c r="G1770" s="14" t="n"/>
      <c r="H1770" s="8" t="n"/>
      <c r="I1770" s="8" t="n"/>
      <c r="J1770" s="8" t="n"/>
      <c r="K1770" s="18">
        <f>IF(B1770="","",IFERROR(MONTH(B1770),""))</f>
        <v/>
      </c>
      <c r="L1770" s="5">
        <f>IF(COUNTA(A1770:J1770)=0,"",IF(E1770="","Mangler motkonto",IF((F1770="")=(G1770=""),"Fyll ut enten Inn eller Ut",IF(OR(IFERROR(INDEX('Kontoplan'!$D$3:$D$302,MATCH(D1770,'Kontoplan'!$H$3:$H$302,0))="Støttes ikke",FALSE),IFERROR(INDEX('Kontoplan'!$D$3:$D$302,MATCH(E1770,'Kontoplan'!$H$3:$H$302,0))="Støttes ikke",FALSE)),"Kontoen støttes ikke",IF(IFERROR(AND(A1770&gt;1,COUNTIF($A$3:$A$2002,A1770-1)=0),FALSE),"Nummeret hopper over",IF(OR(NOT(ISNUMBER(B1770)),B1770&lt;DATE(2027,1,1),B1770&gt;DATE(2027,12,31)),"Datoen er ikke i 2027",""))))))</f>
        <v/>
      </c>
    </row>
    <row r="1771">
      <c r="A1771" s="17" t="n"/>
      <c r="B1771" s="9" t="n"/>
      <c r="C1771" s="8" t="n"/>
      <c r="D1771" s="8" t="n"/>
      <c r="E1771" s="8" t="n"/>
      <c r="F1771" s="14" t="n"/>
      <c r="G1771" s="14" t="n"/>
      <c r="H1771" s="8" t="n"/>
      <c r="I1771" s="8" t="n"/>
      <c r="J1771" s="8" t="n"/>
      <c r="K1771" s="18">
        <f>IF(B1771="","",IFERROR(MONTH(B1771),""))</f>
        <v/>
      </c>
      <c r="L1771" s="5">
        <f>IF(COUNTA(A1771:J1771)=0,"",IF(E1771="","Mangler motkonto",IF((F1771="")=(G1771=""),"Fyll ut enten Inn eller Ut",IF(OR(IFERROR(INDEX('Kontoplan'!$D$3:$D$302,MATCH(D1771,'Kontoplan'!$H$3:$H$302,0))="Støttes ikke",FALSE),IFERROR(INDEX('Kontoplan'!$D$3:$D$302,MATCH(E1771,'Kontoplan'!$H$3:$H$302,0))="Støttes ikke",FALSE)),"Kontoen støttes ikke",IF(IFERROR(AND(A1771&gt;1,COUNTIF($A$3:$A$2002,A1771-1)=0),FALSE),"Nummeret hopper over",IF(OR(NOT(ISNUMBER(B1771)),B1771&lt;DATE(2027,1,1),B1771&gt;DATE(2027,12,31)),"Datoen er ikke i 2027",""))))))</f>
        <v/>
      </c>
    </row>
    <row r="1772">
      <c r="A1772" s="17" t="n"/>
      <c r="B1772" s="9" t="n"/>
      <c r="C1772" s="8" t="n"/>
      <c r="D1772" s="8" t="n"/>
      <c r="E1772" s="8" t="n"/>
      <c r="F1772" s="14" t="n"/>
      <c r="G1772" s="14" t="n"/>
      <c r="H1772" s="8" t="n"/>
      <c r="I1772" s="8" t="n"/>
      <c r="J1772" s="8" t="n"/>
      <c r="K1772" s="18">
        <f>IF(B1772="","",IFERROR(MONTH(B1772),""))</f>
        <v/>
      </c>
      <c r="L1772" s="5">
        <f>IF(COUNTA(A1772:J1772)=0,"",IF(E1772="","Mangler motkonto",IF((F1772="")=(G1772=""),"Fyll ut enten Inn eller Ut",IF(OR(IFERROR(INDEX('Kontoplan'!$D$3:$D$302,MATCH(D1772,'Kontoplan'!$H$3:$H$302,0))="Støttes ikke",FALSE),IFERROR(INDEX('Kontoplan'!$D$3:$D$302,MATCH(E1772,'Kontoplan'!$H$3:$H$302,0))="Støttes ikke",FALSE)),"Kontoen støttes ikke",IF(IFERROR(AND(A1772&gt;1,COUNTIF($A$3:$A$2002,A1772-1)=0),FALSE),"Nummeret hopper over",IF(OR(NOT(ISNUMBER(B1772)),B1772&lt;DATE(2027,1,1),B1772&gt;DATE(2027,12,31)),"Datoen er ikke i 2027",""))))))</f>
        <v/>
      </c>
    </row>
    <row r="1773">
      <c r="A1773" s="17" t="n"/>
      <c r="B1773" s="9" t="n"/>
      <c r="C1773" s="8" t="n"/>
      <c r="D1773" s="8" t="n"/>
      <c r="E1773" s="8" t="n"/>
      <c r="F1773" s="14" t="n"/>
      <c r="G1773" s="14" t="n"/>
      <c r="H1773" s="8" t="n"/>
      <c r="I1773" s="8" t="n"/>
      <c r="J1773" s="8" t="n"/>
      <c r="K1773" s="18">
        <f>IF(B1773="","",IFERROR(MONTH(B1773),""))</f>
        <v/>
      </c>
      <c r="L1773" s="5">
        <f>IF(COUNTA(A1773:J1773)=0,"",IF(E1773="","Mangler motkonto",IF((F1773="")=(G1773=""),"Fyll ut enten Inn eller Ut",IF(OR(IFERROR(INDEX('Kontoplan'!$D$3:$D$302,MATCH(D1773,'Kontoplan'!$H$3:$H$302,0))="Støttes ikke",FALSE),IFERROR(INDEX('Kontoplan'!$D$3:$D$302,MATCH(E1773,'Kontoplan'!$H$3:$H$302,0))="Støttes ikke",FALSE)),"Kontoen støttes ikke",IF(IFERROR(AND(A1773&gt;1,COUNTIF($A$3:$A$2002,A1773-1)=0),FALSE),"Nummeret hopper over",IF(OR(NOT(ISNUMBER(B1773)),B1773&lt;DATE(2027,1,1),B1773&gt;DATE(2027,12,31)),"Datoen er ikke i 2027",""))))))</f>
        <v/>
      </c>
    </row>
    <row r="1774">
      <c r="A1774" s="17" t="n"/>
      <c r="B1774" s="9" t="n"/>
      <c r="C1774" s="8" t="n"/>
      <c r="D1774" s="8" t="n"/>
      <c r="E1774" s="8" t="n"/>
      <c r="F1774" s="14" t="n"/>
      <c r="G1774" s="14" t="n"/>
      <c r="H1774" s="8" t="n"/>
      <c r="I1774" s="8" t="n"/>
      <c r="J1774" s="8" t="n"/>
      <c r="K1774" s="18">
        <f>IF(B1774="","",IFERROR(MONTH(B1774),""))</f>
        <v/>
      </c>
      <c r="L1774" s="5">
        <f>IF(COUNTA(A1774:J1774)=0,"",IF(E1774="","Mangler motkonto",IF((F1774="")=(G1774=""),"Fyll ut enten Inn eller Ut",IF(OR(IFERROR(INDEX('Kontoplan'!$D$3:$D$302,MATCH(D1774,'Kontoplan'!$H$3:$H$302,0))="Støttes ikke",FALSE),IFERROR(INDEX('Kontoplan'!$D$3:$D$302,MATCH(E1774,'Kontoplan'!$H$3:$H$302,0))="Støttes ikke",FALSE)),"Kontoen støttes ikke",IF(IFERROR(AND(A1774&gt;1,COUNTIF($A$3:$A$2002,A1774-1)=0),FALSE),"Nummeret hopper over",IF(OR(NOT(ISNUMBER(B1774)),B1774&lt;DATE(2027,1,1),B1774&gt;DATE(2027,12,31)),"Datoen er ikke i 2027",""))))))</f>
        <v/>
      </c>
    </row>
    <row r="1775">
      <c r="A1775" s="17" t="n"/>
      <c r="B1775" s="9" t="n"/>
      <c r="C1775" s="8" t="n"/>
      <c r="D1775" s="8" t="n"/>
      <c r="E1775" s="8" t="n"/>
      <c r="F1775" s="14" t="n"/>
      <c r="G1775" s="14" t="n"/>
      <c r="H1775" s="8" t="n"/>
      <c r="I1775" s="8" t="n"/>
      <c r="J1775" s="8" t="n"/>
      <c r="K1775" s="18">
        <f>IF(B1775="","",IFERROR(MONTH(B1775),""))</f>
        <v/>
      </c>
      <c r="L1775" s="5">
        <f>IF(COUNTA(A1775:J1775)=0,"",IF(E1775="","Mangler motkonto",IF((F1775="")=(G1775=""),"Fyll ut enten Inn eller Ut",IF(OR(IFERROR(INDEX('Kontoplan'!$D$3:$D$302,MATCH(D1775,'Kontoplan'!$H$3:$H$302,0))="Støttes ikke",FALSE),IFERROR(INDEX('Kontoplan'!$D$3:$D$302,MATCH(E1775,'Kontoplan'!$H$3:$H$302,0))="Støttes ikke",FALSE)),"Kontoen støttes ikke",IF(IFERROR(AND(A1775&gt;1,COUNTIF($A$3:$A$2002,A1775-1)=0),FALSE),"Nummeret hopper over",IF(OR(NOT(ISNUMBER(B1775)),B1775&lt;DATE(2027,1,1),B1775&gt;DATE(2027,12,31)),"Datoen er ikke i 2027",""))))))</f>
        <v/>
      </c>
    </row>
    <row r="1776">
      <c r="A1776" s="17" t="n"/>
      <c r="B1776" s="9" t="n"/>
      <c r="C1776" s="8" t="n"/>
      <c r="D1776" s="8" t="n"/>
      <c r="E1776" s="8" t="n"/>
      <c r="F1776" s="14" t="n"/>
      <c r="G1776" s="14" t="n"/>
      <c r="H1776" s="8" t="n"/>
      <c r="I1776" s="8" t="n"/>
      <c r="J1776" s="8" t="n"/>
      <c r="K1776" s="18">
        <f>IF(B1776="","",IFERROR(MONTH(B1776),""))</f>
        <v/>
      </c>
      <c r="L1776" s="5">
        <f>IF(COUNTA(A1776:J1776)=0,"",IF(E1776="","Mangler motkonto",IF((F1776="")=(G1776=""),"Fyll ut enten Inn eller Ut",IF(OR(IFERROR(INDEX('Kontoplan'!$D$3:$D$302,MATCH(D1776,'Kontoplan'!$H$3:$H$302,0))="Støttes ikke",FALSE),IFERROR(INDEX('Kontoplan'!$D$3:$D$302,MATCH(E1776,'Kontoplan'!$H$3:$H$302,0))="Støttes ikke",FALSE)),"Kontoen støttes ikke",IF(IFERROR(AND(A1776&gt;1,COUNTIF($A$3:$A$2002,A1776-1)=0),FALSE),"Nummeret hopper over",IF(OR(NOT(ISNUMBER(B1776)),B1776&lt;DATE(2027,1,1),B1776&gt;DATE(2027,12,31)),"Datoen er ikke i 2027",""))))))</f>
        <v/>
      </c>
    </row>
    <row r="1777">
      <c r="A1777" s="17" t="n"/>
      <c r="B1777" s="9" t="n"/>
      <c r="C1777" s="8" t="n"/>
      <c r="D1777" s="8" t="n"/>
      <c r="E1777" s="8" t="n"/>
      <c r="F1777" s="14" t="n"/>
      <c r="G1777" s="14" t="n"/>
      <c r="H1777" s="8" t="n"/>
      <c r="I1777" s="8" t="n"/>
      <c r="J1777" s="8" t="n"/>
      <c r="K1777" s="18">
        <f>IF(B1777="","",IFERROR(MONTH(B1777),""))</f>
        <v/>
      </c>
      <c r="L1777" s="5">
        <f>IF(COUNTA(A1777:J1777)=0,"",IF(E1777="","Mangler motkonto",IF((F1777="")=(G1777=""),"Fyll ut enten Inn eller Ut",IF(OR(IFERROR(INDEX('Kontoplan'!$D$3:$D$302,MATCH(D1777,'Kontoplan'!$H$3:$H$302,0))="Støttes ikke",FALSE),IFERROR(INDEX('Kontoplan'!$D$3:$D$302,MATCH(E1777,'Kontoplan'!$H$3:$H$302,0))="Støttes ikke",FALSE)),"Kontoen støttes ikke",IF(IFERROR(AND(A1777&gt;1,COUNTIF($A$3:$A$2002,A1777-1)=0),FALSE),"Nummeret hopper over",IF(OR(NOT(ISNUMBER(B1777)),B1777&lt;DATE(2027,1,1),B1777&gt;DATE(2027,12,31)),"Datoen er ikke i 2027",""))))))</f>
        <v/>
      </c>
    </row>
    <row r="1778">
      <c r="A1778" s="17" t="n"/>
      <c r="B1778" s="9" t="n"/>
      <c r="C1778" s="8" t="n"/>
      <c r="D1778" s="8" t="n"/>
      <c r="E1778" s="8" t="n"/>
      <c r="F1778" s="14" t="n"/>
      <c r="G1778" s="14" t="n"/>
      <c r="H1778" s="8" t="n"/>
      <c r="I1778" s="8" t="n"/>
      <c r="J1778" s="8" t="n"/>
      <c r="K1778" s="18">
        <f>IF(B1778="","",IFERROR(MONTH(B1778),""))</f>
        <v/>
      </c>
      <c r="L1778" s="5">
        <f>IF(COUNTA(A1778:J1778)=0,"",IF(E1778="","Mangler motkonto",IF((F1778="")=(G1778=""),"Fyll ut enten Inn eller Ut",IF(OR(IFERROR(INDEX('Kontoplan'!$D$3:$D$302,MATCH(D1778,'Kontoplan'!$H$3:$H$302,0))="Støttes ikke",FALSE),IFERROR(INDEX('Kontoplan'!$D$3:$D$302,MATCH(E1778,'Kontoplan'!$H$3:$H$302,0))="Støttes ikke",FALSE)),"Kontoen støttes ikke",IF(IFERROR(AND(A1778&gt;1,COUNTIF($A$3:$A$2002,A1778-1)=0),FALSE),"Nummeret hopper over",IF(OR(NOT(ISNUMBER(B1778)),B1778&lt;DATE(2027,1,1),B1778&gt;DATE(2027,12,31)),"Datoen er ikke i 2027",""))))))</f>
        <v/>
      </c>
    </row>
    <row r="1779">
      <c r="A1779" s="17" t="n"/>
      <c r="B1779" s="9" t="n"/>
      <c r="C1779" s="8" t="n"/>
      <c r="D1779" s="8" t="n"/>
      <c r="E1779" s="8" t="n"/>
      <c r="F1779" s="14" t="n"/>
      <c r="G1779" s="14" t="n"/>
      <c r="H1779" s="8" t="n"/>
      <c r="I1779" s="8" t="n"/>
      <c r="J1779" s="8" t="n"/>
      <c r="K1779" s="18">
        <f>IF(B1779="","",IFERROR(MONTH(B1779),""))</f>
        <v/>
      </c>
      <c r="L1779" s="5">
        <f>IF(COUNTA(A1779:J1779)=0,"",IF(E1779="","Mangler motkonto",IF((F1779="")=(G1779=""),"Fyll ut enten Inn eller Ut",IF(OR(IFERROR(INDEX('Kontoplan'!$D$3:$D$302,MATCH(D1779,'Kontoplan'!$H$3:$H$302,0))="Støttes ikke",FALSE),IFERROR(INDEX('Kontoplan'!$D$3:$D$302,MATCH(E1779,'Kontoplan'!$H$3:$H$302,0))="Støttes ikke",FALSE)),"Kontoen støttes ikke",IF(IFERROR(AND(A1779&gt;1,COUNTIF($A$3:$A$2002,A1779-1)=0),FALSE),"Nummeret hopper over",IF(OR(NOT(ISNUMBER(B1779)),B1779&lt;DATE(2027,1,1),B1779&gt;DATE(2027,12,31)),"Datoen er ikke i 2027",""))))))</f>
        <v/>
      </c>
    </row>
    <row r="1780">
      <c r="A1780" s="17" t="n"/>
      <c r="B1780" s="9" t="n"/>
      <c r="C1780" s="8" t="n"/>
      <c r="D1780" s="8" t="n"/>
      <c r="E1780" s="8" t="n"/>
      <c r="F1780" s="14" t="n"/>
      <c r="G1780" s="14" t="n"/>
      <c r="H1780" s="8" t="n"/>
      <c r="I1780" s="8" t="n"/>
      <c r="J1780" s="8" t="n"/>
      <c r="K1780" s="18">
        <f>IF(B1780="","",IFERROR(MONTH(B1780),""))</f>
        <v/>
      </c>
      <c r="L1780" s="5">
        <f>IF(COUNTA(A1780:J1780)=0,"",IF(E1780="","Mangler motkonto",IF((F1780="")=(G1780=""),"Fyll ut enten Inn eller Ut",IF(OR(IFERROR(INDEX('Kontoplan'!$D$3:$D$302,MATCH(D1780,'Kontoplan'!$H$3:$H$302,0))="Støttes ikke",FALSE),IFERROR(INDEX('Kontoplan'!$D$3:$D$302,MATCH(E1780,'Kontoplan'!$H$3:$H$302,0))="Støttes ikke",FALSE)),"Kontoen støttes ikke",IF(IFERROR(AND(A1780&gt;1,COUNTIF($A$3:$A$2002,A1780-1)=0),FALSE),"Nummeret hopper over",IF(OR(NOT(ISNUMBER(B1780)),B1780&lt;DATE(2027,1,1),B1780&gt;DATE(2027,12,31)),"Datoen er ikke i 2027",""))))))</f>
        <v/>
      </c>
    </row>
    <row r="1781">
      <c r="A1781" s="17" t="n"/>
      <c r="B1781" s="9" t="n"/>
      <c r="C1781" s="8" t="n"/>
      <c r="D1781" s="8" t="n"/>
      <c r="E1781" s="8" t="n"/>
      <c r="F1781" s="14" t="n"/>
      <c r="G1781" s="14" t="n"/>
      <c r="H1781" s="8" t="n"/>
      <c r="I1781" s="8" t="n"/>
      <c r="J1781" s="8" t="n"/>
      <c r="K1781" s="18">
        <f>IF(B1781="","",IFERROR(MONTH(B1781),""))</f>
        <v/>
      </c>
      <c r="L1781" s="5">
        <f>IF(COUNTA(A1781:J1781)=0,"",IF(E1781="","Mangler motkonto",IF((F1781="")=(G1781=""),"Fyll ut enten Inn eller Ut",IF(OR(IFERROR(INDEX('Kontoplan'!$D$3:$D$302,MATCH(D1781,'Kontoplan'!$H$3:$H$302,0))="Støttes ikke",FALSE),IFERROR(INDEX('Kontoplan'!$D$3:$D$302,MATCH(E1781,'Kontoplan'!$H$3:$H$302,0))="Støttes ikke",FALSE)),"Kontoen støttes ikke",IF(IFERROR(AND(A1781&gt;1,COUNTIF($A$3:$A$2002,A1781-1)=0),FALSE),"Nummeret hopper over",IF(OR(NOT(ISNUMBER(B1781)),B1781&lt;DATE(2027,1,1),B1781&gt;DATE(2027,12,31)),"Datoen er ikke i 2027",""))))))</f>
        <v/>
      </c>
    </row>
    <row r="1782">
      <c r="A1782" s="17" t="n"/>
      <c r="B1782" s="9" t="n"/>
      <c r="C1782" s="8" t="n"/>
      <c r="D1782" s="8" t="n"/>
      <c r="E1782" s="8" t="n"/>
      <c r="F1782" s="14" t="n"/>
      <c r="G1782" s="14" t="n"/>
      <c r="H1782" s="8" t="n"/>
      <c r="I1782" s="8" t="n"/>
      <c r="J1782" s="8" t="n"/>
      <c r="K1782" s="18">
        <f>IF(B1782="","",IFERROR(MONTH(B1782),""))</f>
        <v/>
      </c>
      <c r="L1782" s="5">
        <f>IF(COUNTA(A1782:J1782)=0,"",IF(E1782="","Mangler motkonto",IF((F1782="")=(G1782=""),"Fyll ut enten Inn eller Ut",IF(OR(IFERROR(INDEX('Kontoplan'!$D$3:$D$302,MATCH(D1782,'Kontoplan'!$H$3:$H$302,0))="Støttes ikke",FALSE),IFERROR(INDEX('Kontoplan'!$D$3:$D$302,MATCH(E1782,'Kontoplan'!$H$3:$H$302,0))="Støttes ikke",FALSE)),"Kontoen støttes ikke",IF(IFERROR(AND(A1782&gt;1,COUNTIF($A$3:$A$2002,A1782-1)=0),FALSE),"Nummeret hopper over",IF(OR(NOT(ISNUMBER(B1782)),B1782&lt;DATE(2027,1,1),B1782&gt;DATE(2027,12,31)),"Datoen er ikke i 2027",""))))))</f>
        <v/>
      </c>
    </row>
    <row r="1783">
      <c r="A1783" s="17" t="n"/>
      <c r="B1783" s="9" t="n"/>
      <c r="C1783" s="8" t="n"/>
      <c r="D1783" s="8" t="n"/>
      <c r="E1783" s="8" t="n"/>
      <c r="F1783" s="14" t="n"/>
      <c r="G1783" s="14" t="n"/>
      <c r="H1783" s="8" t="n"/>
      <c r="I1783" s="8" t="n"/>
      <c r="J1783" s="8" t="n"/>
      <c r="K1783" s="18">
        <f>IF(B1783="","",IFERROR(MONTH(B1783),""))</f>
        <v/>
      </c>
      <c r="L1783" s="5">
        <f>IF(COUNTA(A1783:J1783)=0,"",IF(E1783="","Mangler motkonto",IF((F1783="")=(G1783=""),"Fyll ut enten Inn eller Ut",IF(OR(IFERROR(INDEX('Kontoplan'!$D$3:$D$302,MATCH(D1783,'Kontoplan'!$H$3:$H$302,0))="Støttes ikke",FALSE),IFERROR(INDEX('Kontoplan'!$D$3:$D$302,MATCH(E1783,'Kontoplan'!$H$3:$H$302,0))="Støttes ikke",FALSE)),"Kontoen støttes ikke",IF(IFERROR(AND(A1783&gt;1,COUNTIF($A$3:$A$2002,A1783-1)=0),FALSE),"Nummeret hopper over",IF(OR(NOT(ISNUMBER(B1783)),B1783&lt;DATE(2027,1,1),B1783&gt;DATE(2027,12,31)),"Datoen er ikke i 2027",""))))))</f>
        <v/>
      </c>
    </row>
    <row r="1784">
      <c r="A1784" s="17" t="n"/>
      <c r="B1784" s="9" t="n"/>
      <c r="C1784" s="8" t="n"/>
      <c r="D1784" s="8" t="n"/>
      <c r="E1784" s="8" t="n"/>
      <c r="F1784" s="14" t="n"/>
      <c r="G1784" s="14" t="n"/>
      <c r="H1784" s="8" t="n"/>
      <c r="I1784" s="8" t="n"/>
      <c r="J1784" s="8" t="n"/>
      <c r="K1784" s="18">
        <f>IF(B1784="","",IFERROR(MONTH(B1784),""))</f>
        <v/>
      </c>
      <c r="L1784" s="5">
        <f>IF(COUNTA(A1784:J1784)=0,"",IF(E1784="","Mangler motkonto",IF((F1784="")=(G1784=""),"Fyll ut enten Inn eller Ut",IF(OR(IFERROR(INDEX('Kontoplan'!$D$3:$D$302,MATCH(D1784,'Kontoplan'!$H$3:$H$302,0))="Støttes ikke",FALSE),IFERROR(INDEX('Kontoplan'!$D$3:$D$302,MATCH(E1784,'Kontoplan'!$H$3:$H$302,0))="Støttes ikke",FALSE)),"Kontoen støttes ikke",IF(IFERROR(AND(A1784&gt;1,COUNTIF($A$3:$A$2002,A1784-1)=0),FALSE),"Nummeret hopper over",IF(OR(NOT(ISNUMBER(B1784)),B1784&lt;DATE(2027,1,1),B1784&gt;DATE(2027,12,31)),"Datoen er ikke i 2027",""))))))</f>
        <v/>
      </c>
    </row>
    <row r="1785">
      <c r="A1785" s="17" t="n"/>
      <c r="B1785" s="9" t="n"/>
      <c r="C1785" s="8" t="n"/>
      <c r="D1785" s="8" t="n"/>
      <c r="E1785" s="8" t="n"/>
      <c r="F1785" s="14" t="n"/>
      <c r="G1785" s="14" t="n"/>
      <c r="H1785" s="8" t="n"/>
      <c r="I1785" s="8" t="n"/>
      <c r="J1785" s="8" t="n"/>
      <c r="K1785" s="18">
        <f>IF(B1785="","",IFERROR(MONTH(B1785),""))</f>
        <v/>
      </c>
      <c r="L1785" s="5">
        <f>IF(COUNTA(A1785:J1785)=0,"",IF(E1785="","Mangler motkonto",IF((F1785="")=(G1785=""),"Fyll ut enten Inn eller Ut",IF(OR(IFERROR(INDEX('Kontoplan'!$D$3:$D$302,MATCH(D1785,'Kontoplan'!$H$3:$H$302,0))="Støttes ikke",FALSE),IFERROR(INDEX('Kontoplan'!$D$3:$D$302,MATCH(E1785,'Kontoplan'!$H$3:$H$302,0))="Støttes ikke",FALSE)),"Kontoen støttes ikke",IF(IFERROR(AND(A1785&gt;1,COUNTIF($A$3:$A$2002,A1785-1)=0),FALSE),"Nummeret hopper over",IF(OR(NOT(ISNUMBER(B1785)),B1785&lt;DATE(2027,1,1),B1785&gt;DATE(2027,12,31)),"Datoen er ikke i 2027",""))))))</f>
        <v/>
      </c>
    </row>
    <row r="1786">
      <c r="A1786" s="17" t="n"/>
      <c r="B1786" s="9" t="n"/>
      <c r="C1786" s="8" t="n"/>
      <c r="D1786" s="8" t="n"/>
      <c r="E1786" s="8" t="n"/>
      <c r="F1786" s="14" t="n"/>
      <c r="G1786" s="14" t="n"/>
      <c r="H1786" s="8" t="n"/>
      <c r="I1786" s="8" t="n"/>
      <c r="J1786" s="8" t="n"/>
      <c r="K1786" s="18">
        <f>IF(B1786="","",IFERROR(MONTH(B1786),""))</f>
        <v/>
      </c>
      <c r="L1786" s="5">
        <f>IF(COUNTA(A1786:J1786)=0,"",IF(E1786="","Mangler motkonto",IF((F1786="")=(G1786=""),"Fyll ut enten Inn eller Ut",IF(OR(IFERROR(INDEX('Kontoplan'!$D$3:$D$302,MATCH(D1786,'Kontoplan'!$H$3:$H$302,0))="Støttes ikke",FALSE),IFERROR(INDEX('Kontoplan'!$D$3:$D$302,MATCH(E1786,'Kontoplan'!$H$3:$H$302,0))="Støttes ikke",FALSE)),"Kontoen støttes ikke",IF(IFERROR(AND(A1786&gt;1,COUNTIF($A$3:$A$2002,A1786-1)=0),FALSE),"Nummeret hopper over",IF(OR(NOT(ISNUMBER(B1786)),B1786&lt;DATE(2027,1,1),B1786&gt;DATE(2027,12,31)),"Datoen er ikke i 2027",""))))))</f>
        <v/>
      </c>
    </row>
    <row r="1787">
      <c r="A1787" s="17" t="n"/>
      <c r="B1787" s="9" t="n"/>
      <c r="C1787" s="8" t="n"/>
      <c r="D1787" s="8" t="n"/>
      <c r="E1787" s="8" t="n"/>
      <c r="F1787" s="14" t="n"/>
      <c r="G1787" s="14" t="n"/>
      <c r="H1787" s="8" t="n"/>
      <c r="I1787" s="8" t="n"/>
      <c r="J1787" s="8" t="n"/>
      <c r="K1787" s="18">
        <f>IF(B1787="","",IFERROR(MONTH(B1787),""))</f>
        <v/>
      </c>
      <c r="L1787" s="5">
        <f>IF(COUNTA(A1787:J1787)=0,"",IF(E1787="","Mangler motkonto",IF((F1787="")=(G1787=""),"Fyll ut enten Inn eller Ut",IF(OR(IFERROR(INDEX('Kontoplan'!$D$3:$D$302,MATCH(D1787,'Kontoplan'!$H$3:$H$302,0))="Støttes ikke",FALSE),IFERROR(INDEX('Kontoplan'!$D$3:$D$302,MATCH(E1787,'Kontoplan'!$H$3:$H$302,0))="Støttes ikke",FALSE)),"Kontoen støttes ikke",IF(IFERROR(AND(A1787&gt;1,COUNTIF($A$3:$A$2002,A1787-1)=0),FALSE),"Nummeret hopper over",IF(OR(NOT(ISNUMBER(B1787)),B1787&lt;DATE(2027,1,1),B1787&gt;DATE(2027,12,31)),"Datoen er ikke i 2027",""))))))</f>
        <v/>
      </c>
    </row>
    <row r="1788">
      <c r="A1788" s="17" t="n"/>
      <c r="B1788" s="9" t="n"/>
      <c r="C1788" s="8" t="n"/>
      <c r="D1788" s="8" t="n"/>
      <c r="E1788" s="8" t="n"/>
      <c r="F1788" s="14" t="n"/>
      <c r="G1788" s="14" t="n"/>
      <c r="H1788" s="8" t="n"/>
      <c r="I1788" s="8" t="n"/>
      <c r="J1788" s="8" t="n"/>
      <c r="K1788" s="18">
        <f>IF(B1788="","",IFERROR(MONTH(B1788),""))</f>
        <v/>
      </c>
      <c r="L1788" s="5">
        <f>IF(COUNTA(A1788:J1788)=0,"",IF(E1788="","Mangler motkonto",IF((F1788="")=(G1788=""),"Fyll ut enten Inn eller Ut",IF(OR(IFERROR(INDEX('Kontoplan'!$D$3:$D$302,MATCH(D1788,'Kontoplan'!$H$3:$H$302,0))="Støttes ikke",FALSE),IFERROR(INDEX('Kontoplan'!$D$3:$D$302,MATCH(E1788,'Kontoplan'!$H$3:$H$302,0))="Støttes ikke",FALSE)),"Kontoen støttes ikke",IF(IFERROR(AND(A1788&gt;1,COUNTIF($A$3:$A$2002,A1788-1)=0),FALSE),"Nummeret hopper over",IF(OR(NOT(ISNUMBER(B1788)),B1788&lt;DATE(2027,1,1),B1788&gt;DATE(2027,12,31)),"Datoen er ikke i 2027",""))))))</f>
        <v/>
      </c>
    </row>
    <row r="1789">
      <c r="A1789" s="17" t="n"/>
      <c r="B1789" s="9" t="n"/>
      <c r="C1789" s="8" t="n"/>
      <c r="D1789" s="8" t="n"/>
      <c r="E1789" s="8" t="n"/>
      <c r="F1789" s="14" t="n"/>
      <c r="G1789" s="14" t="n"/>
      <c r="H1789" s="8" t="n"/>
      <c r="I1789" s="8" t="n"/>
      <c r="J1789" s="8" t="n"/>
      <c r="K1789" s="18">
        <f>IF(B1789="","",IFERROR(MONTH(B1789),""))</f>
        <v/>
      </c>
      <c r="L1789" s="5">
        <f>IF(COUNTA(A1789:J1789)=0,"",IF(E1789="","Mangler motkonto",IF((F1789="")=(G1789=""),"Fyll ut enten Inn eller Ut",IF(OR(IFERROR(INDEX('Kontoplan'!$D$3:$D$302,MATCH(D1789,'Kontoplan'!$H$3:$H$302,0))="Støttes ikke",FALSE),IFERROR(INDEX('Kontoplan'!$D$3:$D$302,MATCH(E1789,'Kontoplan'!$H$3:$H$302,0))="Støttes ikke",FALSE)),"Kontoen støttes ikke",IF(IFERROR(AND(A1789&gt;1,COUNTIF($A$3:$A$2002,A1789-1)=0),FALSE),"Nummeret hopper over",IF(OR(NOT(ISNUMBER(B1789)),B1789&lt;DATE(2027,1,1),B1789&gt;DATE(2027,12,31)),"Datoen er ikke i 2027",""))))))</f>
        <v/>
      </c>
    </row>
    <row r="1790">
      <c r="A1790" s="17" t="n"/>
      <c r="B1790" s="9" t="n"/>
      <c r="C1790" s="8" t="n"/>
      <c r="D1790" s="8" t="n"/>
      <c r="E1790" s="8" t="n"/>
      <c r="F1790" s="14" t="n"/>
      <c r="G1790" s="14" t="n"/>
      <c r="H1790" s="8" t="n"/>
      <c r="I1790" s="8" t="n"/>
      <c r="J1790" s="8" t="n"/>
      <c r="K1790" s="18">
        <f>IF(B1790="","",IFERROR(MONTH(B1790),""))</f>
        <v/>
      </c>
      <c r="L1790" s="5">
        <f>IF(COUNTA(A1790:J1790)=0,"",IF(E1790="","Mangler motkonto",IF((F1790="")=(G1790=""),"Fyll ut enten Inn eller Ut",IF(OR(IFERROR(INDEX('Kontoplan'!$D$3:$D$302,MATCH(D1790,'Kontoplan'!$H$3:$H$302,0))="Støttes ikke",FALSE),IFERROR(INDEX('Kontoplan'!$D$3:$D$302,MATCH(E1790,'Kontoplan'!$H$3:$H$302,0))="Støttes ikke",FALSE)),"Kontoen støttes ikke",IF(IFERROR(AND(A1790&gt;1,COUNTIF($A$3:$A$2002,A1790-1)=0),FALSE),"Nummeret hopper over",IF(OR(NOT(ISNUMBER(B1790)),B1790&lt;DATE(2027,1,1),B1790&gt;DATE(2027,12,31)),"Datoen er ikke i 2027",""))))))</f>
        <v/>
      </c>
    </row>
    <row r="1791">
      <c r="A1791" s="17" t="n"/>
      <c r="B1791" s="9" t="n"/>
      <c r="C1791" s="8" t="n"/>
      <c r="D1791" s="8" t="n"/>
      <c r="E1791" s="8" t="n"/>
      <c r="F1791" s="14" t="n"/>
      <c r="G1791" s="14" t="n"/>
      <c r="H1791" s="8" t="n"/>
      <c r="I1791" s="8" t="n"/>
      <c r="J1791" s="8" t="n"/>
      <c r="K1791" s="18">
        <f>IF(B1791="","",IFERROR(MONTH(B1791),""))</f>
        <v/>
      </c>
      <c r="L1791" s="5">
        <f>IF(COUNTA(A1791:J1791)=0,"",IF(E1791="","Mangler motkonto",IF((F1791="")=(G1791=""),"Fyll ut enten Inn eller Ut",IF(OR(IFERROR(INDEX('Kontoplan'!$D$3:$D$302,MATCH(D1791,'Kontoplan'!$H$3:$H$302,0))="Støttes ikke",FALSE),IFERROR(INDEX('Kontoplan'!$D$3:$D$302,MATCH(E1791,'Kontoplan'!$H$3:$H$302,0))="Støttes ikke",FALSE)),"Kontoen støttes ikke",IF(IFERROR(AND(A1791&gt;1,COUNTIF($A$3:$A$2002,A1791-1)=0),FALSE),"Nummeret hopper over",IF(OR(NOT(ISNUMBER(B1791)),B1791&lt;DATE(2027,1,1),B1791&gt;DATE(2027,12,31)),"Datoen er ikke i 2027",""))))))</f>
        <v/>
      </c>
    </row>
    <row r="1792">
      <c r="A1792" s="17" t="n"/>
      <c r="B1792" s="9" t="n"/>
      <c r="C1792" s="8" t="n"/>
      <c r="D1792" s="8" t="n"/>
      <c r="E1792" s="8" t="n"/>
      <c r="F1792" s="14" t="n"/>
      <c r="G1792" s="14" t="n"/>
      <c r="H1792" s="8" t="n"/>
      <c r="I1792" s="8" t="n"/>
      <c r="J1792" s="8" t="n"/>
      <c r="K1792" s="18">
        <f>IF(B1792="","",IFERROR(MONTH(B1792),""))</f>
        <v/>
      </c>
      <c r="L1792" s="5">
        <f>IF(COUNTA(A1792:J1792)=0,"",IF(E1792="","Mangler motkonto",IF((F1792="")=(G1792=""),"Fyll ut enten Inn eller Ut",IF(OR(IFERROR(INDEX('Kontoplan'!$D$3:$D$302,MATCH(D1792,'Kontoplan'!$H$3:$H$302,0))="Støttes ikke",FALSE),IFERROR(INDEX('Kontoplan'!$D$3:$D$302,MATCH(E1792,'Kontoplan'!$H$3:$H$302,0))="Støttes ikke",FALSE)),"Kontoen støttes ikke",IF(IFERROR(AND(A1792&gt;1,COUNTIF($A$3:$A$2002,A1792-1)=0),FALSE),"Nummeret hopper over",IF(OR(NOT(ISNUMBER(B1792)),B1792&lt;DATE(2027,1,1),B1792&gt;DATE(2027,12,31)),"Datoen er ikke i 2027",""))))))</f>
        <v/>
      </c>
    </row>
    <row r="1793">
      <c r="A1793" s="17" t="n"/>
      <c r="B1793" s="9" t="n"/>
      <c r="C1793" s="8" t="n"/>
      <c r="D1793" s="8" t="n"/>
      <c r="E1793" s="8" t="n"/>
      <c r="F1793" s="14" t="n"/>
      <c r="G1793" s="14" t="n"/>
      <c r="H1793" s="8" t="n"/>
      <c r="I1793" s="8" t="n"/>
      <c r="J1793" s="8" t="n"/>
      <c r="K1793" s="18">
        <f>IF(B1793="","",IFERROR(MONTH(B1793),""))</f>
        <v/>
      </c>
      <c r="L1793" s="5">
        <f>IF(COUNTA(A1793:J1793)=0,"",IF(E1793="","Mangler motkonto",IF((F1793="")=(G1793=""),"Fyll ut enten Inn eller Ut",IF(OR(IFERROR(INDEX('Kontoplan'!$D$3:$D$302,MATCH(D1793,'Kontoplan'!$H$3:$H$302,0))="Støttes ikke",FALSE),IFERROR(INDEX('Kontoplan'!$D$3:$D$302,MATCH(E1793,'Kontoplan'!$H$3:$H$302,0))="Støttes ikke",FALSE)),"Kontoen støttes ikke",IF(IFERROR(AND(A1793&gt;1,COUNTIF($A$3:$A$2002,A1793-1)=0),FALSE),"Nummeret hopper over",IF(OR(NOT(ISNUMBER(B1793)),B1793&lt;DATE(2027,1,1),B1793&gt;DATE(2027,12,31)),"Datoen er ikke i 2027",""))))))</f>
        <v/>
      </c>
    </row>
    <row r="1794">
      <c r="A1794" s="17" t="n"/>
      <c r="B1794" s="9" t="n"/>
      <c r="C1794" s="8" t="n"/>
      <c r="D1794" s="8" t="n"/>
      <c r="E1794" s="8" t="n"/>
      <c r="F1794" s="14" t="n"/>
      <c r="G1794" s="14" t="n"/>
      <c r="H1794" s="8" t="n"/>
      <c r="I1794" s="8" t="n"/>
      <c r="J1794" s="8" t="n"/>
      <c r="K1794" s="18">
        <f>IF(B1794="","",IFERROR(MONTH(B1794),""))</f>
        <v/>
      </c>
      <c r="L1794" s="5">
        <f>IF(COUNTA(A1794:J1794)=0,"",IF(E1794="","Mangler motkonto",IF((F1794="")=(G1794=""),"Fyll ut enten Inn eller Ut",IF(OR(IFERROR(INDEX('Kontoplan'!$D$3:$D$302,MATCH(D1794,'Kontoplan'!$H$3:$H$302,0))="Støttes ikke",FALSE),IFERROR(INDEX('Kontoplan'!$D$3:$D$302,MATCH(E1794,'Kontoplan'!$H$3:$H$302,0))="Støttes ikke",FALSE)),"Kontoen støttes ikke",IF(IFERROR(AND(A1794&gt;1,COUNTIF($A$3:$A$2002,A1794-1)=0),FALSE),"Nummeret hopper over",IF(OR(NOT(ISNUMBER(B1794)),B1794&lt;DATE(2027,1,1),B1794&gt;DATE(2027,12,31)),"Datoen er ikke i 2027",""))))))</f>
        <v/>
      </c>
    </row>
    <row r="1795">
      <c r="A1795" s="17" t="n"/>
      <c r="B1795" s="9" t="n"/>
      <c r="C1795" s="8" t="n"/>
      <c r="D1795" s="8" t="n"/>
      <c r="E1795" s="8" t="n"/>
      <c r="F1795" s="14" t="n"/>
      <c r="G1795" s="14" t="n"/>
      <c r="H1795" s="8" t="n"/>
      <c r="I1795" s="8" t="n"/>
      <c r="J1795" s="8" t="n"/>
      <c r="K1795" s="18">
        <f>IF(B1795="","",IFERROR(MONTH(B1795),""))</f>
        <v/>
      </c>
      <c r="L1795" s="5">
        <f>IF(COUNTA(A1795:J1795)=0,"",IF(E1795="","Mangler motkonto",IF((F1795="")=(G1795=""),"Fyll ut enten Inn eller Ut",IF(OR(IFERROR(INDEX('Kontoplan'!$D$3:$D$302,MATCH(D1795,'Kontoplan'!$H$3:$H$302,0))="Støttes ikke",FALSE),IFERROR(INDEX('Kontoplan'!$D$3:$D$302,MATCH(E1795,'Kontoplan'!$H$3:$H$302,0))="Støttes ikke",FALSE)),"Kontoen støttes ikke",IF(IFERROR(AND(A1795&gt;1,COUNTIF($A$3:$A$2002,A1795-1)=0),FALSE),"Nummeret hopper over",IF(OR(NOT(ISNUMBER(B1795)),B1795&lt;DATE(2027,1,1),B1795&gt;DATE(2027,12,31)),"Datoen er ikke i 2027",""))))))</f>
        <v/>
      </c>
    </row>
    <row r="1796">
      <c r="A1796" s="17" t="n"/>
      <c r="B1796" s="9" t="n"/>
      <c r="C1796" s="8" t="n"/>
      <c r="D1796" s="8" t="n"/>
      <c r="E1796" s="8" t="n"/>
      <c r="F1796" s="14" t="n"/>
      <c r="G1796" s="14" t="n"/>
      <c r="H1796" s="8" t="n"/>
      <c r="I1796" s="8" t="n"/>
      <c r="J1796" s="8" t="n"/>
      <c r="K1796" s="18">
        <f>IF(B1796="","",IFERROR(MONTH(B1796),""))</f>
        <v/>
      </c>
      <c r="L1796" s="5">
        <f>IF(COUNTA(A1796:J1796)=0,"",IF(E1796="","Mangler motkonto",IF((F1796="")=(G1796=""),"Fyll ut enten Inn eller Ut",IF(OR(IFERROR(INDEX('Kontoplan'!$D$3:$D$302,MATCH(D1796,'Kontoplan'!$H$3:$H$302,0))="Støttes ikke",FALSE),IFERROR(INDEX('Kontoplan'!$D$3:$D$302,MATCH(E1796,'Kontoplan'!$H$3:$H$302,0))="Støttes ikke",FALSE)),"Kontoen støttes ikke",IF(IFERROR(AND(A1796&gt;1,COUNTIF($A$3:$A$2002,A1796-1)=0),FALSE),"Nummeret hopper over",IF(OR(NOT(ISNUMBER(B1796)),B1796&lt;DATE(2027,1,1),B1796&gt;DATE(2027,12,31)),"Datoen er ikke i 2027",""))))))</f>
        <v/>
      </c>
    </row>
    <row r="1797">
      <c r="A1797" s="17" t="n"/>
      <c r="B1797" s="9" t="n"/>
      <c r="C1797" s="8" t="n"/>
      <c r="D1797" s="8" t="n"/>
      <c r="E1797" s="8" t="n"/>
      <c r="F1797" s="14" t="n"/>
      <c r="G1797" s="14" t="n"/>
      <c r="H1797" s="8" t="n"/>
      <c r="I1797" s="8" t="n"/>
      <c r="J1797" s="8" t="n"/>
      <c r="K1797" s="18">
        <f>IF(B1797="","",IFERROR(MONTH(B1797),""))</f>
        <v/>
      </c>
      <c r="L1797" s="5">
        <f>IF(COUNTA(A1797:J1797)=0,"",IF(E1797="","Mangler motkonto",IF((F1797="")=(G1797=""),"Fyll ut enten Inn eller Ut",IF(OR(IFERROR(INDEX('Kontoplan'!$D$3:$D$302,MATCH(D1797,'Kontoplan'!$H$3:$H$302,0))="Støttes ikke",FALSE),IFERROR(INDEX('Kontoplan'!$D$3:$D$302,MATCH(E1797,'Kontoplan'!$H$3:$H$302,0))="Støttes ikke",FALSE)),"Kontoen støttes ikke",IF(IFERROR(AND(A1797&gt;1,COUNTIF($A$3:$A$2002,A1797-1)=0),FALSE),"Nummeret hopper over",IF(OR(NOT(ISNUMBER(B1797)),B1797&lt;DATE(2027,1,1),B1797&gt;DATE(2027,12,31)),"Datoen er ikke i 2027",""))))))</f>
        <v/>
      </c>
    </row>
    <row r="1798">
      <c r="A1798" s="17" t="n"/>
      <c r="B1798" s="9" t="n"/>
      <c r="C1798" s="8" t="n"/>
      <c r="D1798" s="8" t="n"/>
      <c r="E1798" s="8" t="n"/>
      <c r="F1798" s="14" t="n"/>
      <c r="G1798" s="14" t="n"/>
      <c r="H1798" s="8" t="n"/>
      <c r="I1798" s="8" t="n"/>
      <c r="J1798" s="8" t="n"/>
      <c r="K1798" s="18">
        <f>IF(B1798="","",IFERROR(MONTH(B1798),""))</f>
        <v/>
      </c>
      <c r="L1798" s="5">
        <f>IF(COUNTA(A1798:J1798)=0,"",IF(E1798="","Mangler motkonto",IF((F1798="")=(G1798=""),"Fyll ut enten Inn eller Ut",IF(OR(IFERROR(INDEX('Kontoplan'!$D$3:$D$302,MATCH(D1798,'Kontoplan'!$H$3:$H$302,0))="Støttes ikke",FALSE),IFERROR(INDEX('Kontoplan'!$D$3:$D$302,MATCH(E1798,'Kontoplan'!$H$3:$H$302,0))="Støttes ikke",FALSE)),"Kontoen støttes ikke",IF(IFERROR(AND(A1798&gt;1,COUNTIF($A$3:$A$2002,A1798-1)=0),FALSE),"Nummeret hopper over",IF(OR(NOT(ISNUMBER(B1798)),B1798&lt;DATE(2027,1,1),B1798&gt;DATE(2027,12,31)),"Datoen er ikke i 2027",""))))))</f>
        <v/>
      </c>
    </row>
    <row r="1799">
      <c r="A1799" s="17" t="n"/>
      <c r="B1799" s="9" t="n"/>
      <c r="C1799" s="8" t="n"/>
      <c r="D1799" s="8" t="n"/>
      <c r="E1799" s="8" t="n"/>
      <c r="F1799" s="14" t="n"/>
      <c r="G1799" s="14" t="n"/>
      <c r="H1799" s="8" t="n"/>
      <c r="I1799" s="8" t="n"/>
      <c r="J1799" s="8" t="n"/>
      <c r="K1799" s="18">
        <f>IF(B1799="","",IFERROR(MONTH(B1799),""))</f>
        <v/>
      </c>
      <c r="L1799" s="5">
        <f>IF(COUNTA(A1799:J1799)=0,"",IF(E1799="","Mangler motkonto",IF((F1799="")=(G1799=""),"Fyll ut enten Inn eller Ut",IF(OR(IFERROR(INDEX('Kontoplan'!$D$3:$D$302,MATCH(D1799,'Kontoplan'!$H$3:$H$302,0))="Støttes ikke",FALSE),IFERROR(INDEX('Kontoplan'!$D$3:$D$302,MATCH(E1799,'Kontoplan'!$H$3:$H$302,0))="Støttes ikke",FALSE)),"Kontoen støttes ikke",IF(IFERROR(AND(A1799&gt;1,COUNTIF($A$3:$A$2002,A1799-1)=0),FALSE),"Nummeret hopper over",IF(OR(NOT(ISNUMBER(B1799)),B1799&lt;DATE(2027,1,1),B1799&gt;DATE(2027,12,31)),"Datoen er ikke i 2027",""))))))</f>
        <v/>
      </c>
    </row>
    <row r="1800">
      <c r="A1800" s="17" t="n"/>
      <c r="B1800" s="9" t="n"/>
      <c r="C1800" s="8" t="n"/>
      <c r="D1800" s="8" t="n"/>
      <c r="E1800" s="8" t="n"/>
      <c r="F1800" s="14" t="n"/>
      <c r="G1800" s="14" t="n"/>
      <c r="H1800" s="8" t="n"/>
      <c r="I1800" s="8" t="n"/>
      <c r="J1800" s="8" t="n"/>
      <c r="K1800" s="18">
        <f>IF(B1800="","",IFERROR(MONTH(B1800),""))</f>
        <v/>
      </c>
      <c r="L1800" s="5">
        <f>IF(COUNTA(A1800:J1800)=0,"",IF(E1800="","Mangler motkonto",IF((F1800="")=(G1800=""),"Fyll ut enten Inn eller Ut",IF(OR(IFERROR(INDEX('Kontoplan'!$D$3:$D$302,MATCH(D1800,'Kontoplan'!$H$3:$H$302,0))="Støttes ikke",FALSE),IFERROR(INDEX('Kontoplan'!$D$3:$D$302,MATCH(E1800,'Kontoplan'!$H$3:$H$302,0))="Støttes ikke",FALSE)),"Kontoen støttes ikke",IF(IFERROR(AND(A1800&gt;1,COUNTIF($A$3:$A$2002,A1800-1)=0),FALSE),"Nummeret hopper over",IF(OR(NOT(ISNUMBER(B1800)),B1800&lt;DATE(2027,1,1),B1800&gt;DATE(2027,12,31)),"Datoen er ikke i 2027",""))))))</f>
        <v/>
      </c>
    </row>
    <row r="1801">
      <c r="A1801" s="17" t="n"/>
      <c r="B1801" s="9" t="n"/>
      <c r="C1801" s="8" t="n"/>
      <c r="D1801" s="8" t="n"/>
      <c r="E1801" s="8" t="n"/>
      <c r="F1801" s="14" t="n"/>
      <c r="G1801" s="14" t="n"/>
      <c r="H1801" s="8" t="n"/>
      <c r="I1801" s="8" t="n"/>
      <c r="J1801" s="8" t="n"/>
      <c r="K1801" s="18">
        <f>IF(B1801="","",IFERROR(MONTH(B1801),""))</f>
        <v/>
      </c>
      <c r="L1801" s="5">
        <f>IF(COUNTA(A1801:J1801)=0,"",IF(E1801="","Mangler motkonto",IF((F1801="")=(G1801=""),"Fyll ut enten Inn eller Ut",IF(OR(IFERROR(INDEX('Kontoplan'!$D$3:$D$302,MATCH(D1801,'Kontoplan'!$H$3:$H$302,0))="Støttes ikke",FALSE),IFERROR(INDEX('Kontoplan'!$D$3:$D$302,MATCH(E1801,'Kontoplan'!$H$3:$H$302,0))="Støttes ikke",FALSE)),"Kontoen støttes ikke",IF(IFERROR(AND(A1801&gt;1,COUNTIF($A$3:$A$2002,A1801-1)=0),FALSE),"Nummeret hopper over",IF(OR(NOT(ISNUMBER(B1801)),B1801&lt;DATE(2027,1,1),B1801&gt;DATE(2027,12,31)),"Datoen er ikke i 2027",""))))))</f>
        <v/>
      </c>
    </row>
    <row r="1802">
      <c r="A1802" s="17" t="n"/>
      <c r="B1802" s="9" t="n"/>
      <c r="C1802" s="8" t="n"/>
      <c r="D1802" s="8" t="n"/>
      <c r="E1802" s="8" t="n"/>
      <c r="F1802" s="14" t="n"/>
      <c r="G1802" s="14" t="n"/>
      <c r="H1802" s="8" t="n"/>
      <c r="I1802" s="8" t="n"/>
      <c r="J1802" s="8" t="n"/>
      <c r="K1802" s="18">
        <f>IF(B1802="","",IFERROR(MONTH(B1802),""))</f>
        <v/>
      </c>
      <c r="L1802" s="5">
        <f>IF(COUNTA(A1802:J1802)=0,"",IF(E1802="","Mangler motkonto",IF((F1802="")=(G1802=""),"Fyll ut enten Inn eller Ut",IF(OR(IFERROR(INDEX('Kontoplan'!$D$3:$D$302,MATCH(D1802,'Kontoplan'!$H$3:$H$302,0))="Støttes ikke",FALSE),IFERROR(INDEX('Kontoplan'!$D$3:$D$302,MATCH(E1802,'Kontoplan'!$H$3:$H$302,0))="Støttes ikke",FALSE)),"Kontoen støttes ikke",IF(IFERROR(AND(A1802&gt;1,COUNTIF($A$3:$A$2002,A1802-1)=0),FALSE),"Nummeret hopper over",IF(OR(NOT(ISNUMBER(B1802)),B1802&lt;DATE(2027,1,1),B1802&gt;DATE(2027,12,31)),"Datoen er ikke i 2027",""))))))</f>
        <v/>
      </c>
    </row>
    <row r="1803">
      <c r="A1803" s="17" t="n"/>
      <c r="B1803" s="9" t="n"/>
      <c r="C1803" s="8" t="n"/>
      <c r="D1803" s="8" t="n"/>
      <c r="E1803" s="8" t="n"/>
      <c r="F1803" s="14" t="n"/>
      <c r="G1803" s="14" t="n"/>
      <c r="H1803" s="8" t="n"/>
      <c r="I1803" s="8" t="n"/>
      <c r="J1803" s="8" t="n"/>
      <c r="K1803" s="18">
        <f>IF(B1803="","",IFERROR(MONTH(B1803),""))</f>
        <v/>
      </c>
      <c r="L1803" s="5">
        <f>IF(COUNTA(A1803:J1803)=0,"",IF(E1803="","Mangler motkonto",IF((F1803="")=(G1803=""),"Fyll ut enten Inn eller Ut",IF(OR(IFERROR(INDEX('Kontoplan'!$D$3:$D$302,MATCH(D1803,'Kontoplan'!$H$3:$H$302,0))="Støttes ikke",FALSE),IFERROR(INDEX('Kontoplan'!$D$3:$D$302,MATCH(E1803,'Kontoplan'!$H$3:$H$302,0))="Støttes ikke",FALSE)),"Kontoen støttes ikke",IF(IFERROR(AND(A1803&gt;1,COUNTIF($A$3:$A$2002,A1803-1)=0),FALSE),"Nummeret hopper over",IF(OR(NOT(ISNUMBER(B1803)),B1803&lt;DATE(2027,1,1),B1803&gt;DATE(2027,12,31)),"Datoen er ikke i 2027",""))))))</f>
        <v/>
      </c>
    </row>
    <row r="1804">
      <c r="A1804" s="17" t="n"/>
      <c r="B1804" s="9" t="n"/>
      <c r="C1804" s="8" t="n"/>
      <c r="D1804" s="8" t="n"/>
      <c r="E1804" s="8" t="n"/>
      <c r="F1804" s="14" t="n"/>
      <c r="G1804" s="14" t="n"/>
      <c r="H1804" s="8" t="n"/>
      <c r="I1804" s="8" t="n"/>
      <c r="J1804" s="8" t="n"/>
      <c r="K1804" s="18">
        <f>IF(B1804="","",IFERROR(MONTH(B1804),""))</f>
        <v/>
      </c>
      <c r="L1804" s="5">
        <f>IF(COUNTA(A1804:J1804)=0,"",IF(E1804="","Mangler motkonto",IF((F1804="")=(G1804=""),"Fyll ut enten Inn eller Ut",IF(OR(IFERROR(INDEX('Kontoplan'!$D$3:$D$302,MATCH(D1804,'Kontoplan'!$H$3:$H$302,0))="Støttes ikke",FALSE),IFERROR(INDEX('Kontoplan'!$D$3:$D$302,MATCH(E1804,'Kontoplan'!$H$3:$H$302,0))="Støttes ikke",FALSE)),"Kontoen støttes ikke",IF(IFERROR(AND(A1804&gt;1,COUNTIF($A$3:$A$2002,A1804-1)=0),FALSE),"Nummeret hopper over",IF(OR(NOT(ISNUMBER(B1804)),B1804&lt;DATE(2027,1,1),B1804&gt;DATE(2027,12,31)),"Datoen er ikke i 2027",""))))))</f>
        <v/>
      </c>
    </row>
    <row r="1805">
      <c r="A1805" s="17" t="n"/>
      <c r="B1805" s="9" t="n"/>
      <c r="C1805" s="8" t="n"/>
      <c r="D1805" s="8" t="n"/>
      <c r="E1805" s="8" t="n"/>
      <c r="F1805" s="14" t="n"/>
      <c r="G1805" s="14" t="n"/>
      <c r="H1805" s="8" t="n"/>
      <c r="I1805" s="8" t="n"/>
      <c r="J1805" s="8" t="n"/>
      <c r="K1805" s="18">
        <f>IF(B1805="","",IFERROR(MONTH(B1805),""))</f>
        <v/>
      </c>
      <c r="L1805" s="5">
        <f>IF(COUNTA(A1805:J1805)=0,"",IF(E1805="","Mangler motkonto",IF((F1805="")=(G1805=""),"Fyll ut enten Inn eller Ut",IF(OR(IFERROR(INDEX('Kontoplan'!$D$3:$D$302,MATCH(D1805,'Kontoplan'!$H$3:$H$302,0))="Støttes ikke",FALSE),IFERROR(INDEX('Kontoplan'!$D$3:$D$302,MATCH(E1805,'Kontoplan'!$H$3:$H$302,0))="Støttes ikke",FALSE)),"Kontoen støttes ikke",IF(IFERROR(AND(A1805&gt;1,COUNTIF($A$3:$A$2002,A1805-1)=0),FALSE),"Nummeret hopper over",IF(OR(NOT(ISNUMBER(B1805)),B1805&lt;DATE(2027,1,1),B1805&gt;DATE(2027,12,31)),"Datoen er ikke i 2027",""))))))</f>
        <v/>
      </c>
    </row>
    <row r="1806">
      <c r="A1806" s="17" t="n"/>
      <c r="B1806" s="9" t="n"/>
      <c r="C1806" s="8" t="n"/>
      <c r="D1806" s="8" t="n"/>
      <c r="E1806" s="8" t="n"/>
      <c r="F1806" s="14" t="n"/>
      <c r="G1806" s="14" t="n"/>
      <c r="H1806" s="8" t="n"/>
      <c r="I1806" s="8" t="n"/>
      <c r="J1806" s="8" t="n"/>
      <c r="K1806" s="18">
        <f>IF(B1806="","",IFERROR(MONTH(B1806),""))</f>
        <v/>
      </c>
      <c r="L1806" s="5">
        <f>IF(COUNTA(A1806:J1806)=0,"",IF(E1806="","Mangler motkonto",IF((F1806="")=(G1806=""),"Fyll ut enten Inn eller Ut",IF(OR(IFERROR(INDEX('Kontoplan'!$D$3:$D$302,MATCH(D1806,'Kontoplan'!$H$3:$H$302,0))="Støttes ikke",FALSE),IFERROR(INDEX('Kontoplan'!$D$3:$D$302,MATCH(E1806,'Kontoplan'!$H$3:$H$302,0))="Støttes ikke",FALSE)),"Kontoen støttes ikke",IF(IFERROR(AND(A1806&gt;1,COUNTIF($A$3:$A$2002,A1806-1)=0),FALSE),"Nummeret hopper over",IF(OR(NOT(ISNUMBER(B1806)),B1806&lt;DATE(2027,1,1),B1806&gt;DATE(2027,12,31)),"Datoen er ikke i 2027",""))))))</f>
        <v/>
      </c>
    </row>
    <row r="1807">
      <c r="A1807" s="17" t="n"/>
      <c r="B1807" s="9" t="n"/>
      <c r="C1807" s="8" t="n"/>
      <c r="D1807" s="8" t="n"/>
      <c r="E1807" s="8" t="n"/>
      <c r="F1807" s="14" t="n"/>
      <c r="G1807" s="14" t="n"/>
      <c r="H1807" s="8" t="n"/>
      <c r="I1807" s="8" t="n"/>
      <c r="J1807" s="8" t="n"/>
      <c r="K1807" s="18">
        <f>IF(B1807="","",IFERROR(MONTH(B1807),""))</f>
        <v/>
      </c>
      <c r="L1807" s="5">
        <f>IF(COUNTA(A1807:J1807)=0,"",IF(E1807="","Mangler motkonto",IF((F1807="")=(G1807=""),"Fyll ut enten Inn eller Ut",IF(OR(IFERROR(INDEX('Kontoplan'!$D$3:$D$302,MATCH(D1807,'Kontoplan'!$H$3:$H$302,0))="Støttes ikke",FALSE),IFERROR(INDEX('Kontoplan'!$D$3:$D$302,MATCH(E1807,'Kontoplan'!$H$3:$H$302,0))="Støttes ikke",FALSE)),"Kontoen støttes ikke",IF(IFERROR(AND(A1807&gt;1,COUNTIF($A$3:$A$2002,A1807-1)=0),FALSE),"Nummeret hopper over",IF(OR(NOT(ISNUMBER(B1807)),B1807&lt;DATE(2027,1,1),B1807&gt;DATE(2027,12,31)),"Datoen er ikke i 2027",""))))))</f>
        <v/>
      </c>
    </row>
    <row r="1808">
      <c r="A1808" s="17" t="n"/>
      <c r="B1808" s="9" t="n"/>
      <c r="C1808" s="8" t="n"/>
      <c r="D1808" s="8" t="n"/>
      <c r="E1808" s="8" t="n"/>
      <c r="F1808" s="14" t="n"/>
      <c r="G1808" s="14" t="n"/>
      <c r="H1808" s="8" t="n"/>
      <c r="I1808" s="8" t="n"/>
      <c r="J1808" s="8" t="n"/>
      <c r="K1808" s="18">
        <f>IF(B1808="","",IFERROR(MONTH(B1808),""))</f>
        <v/>
      </c>
      <c r="L1808" s="5">
        <f>IF(COUNTA(A1808:J1808)=0,"",IF(E1808="","Mangler motkonto",IF((F1808="")=(G1808=""),"Fyll ut enten Inn eller Ut",IF(OR(IFERROR(INDEX('Kontoplan'!$D$3:$D$302,MATCH(D1808,'Kontoplan'!$H$3:$H$302,0))="Støttes ikke",FALSE),IFERROR(INDEX('Kontoplan'!$D$3:$D$302,MATCH(E1808,'Kontoplan'!$H$3:$H$302,0))="Støttes ikke",FALSE)),"Kontoen støttes ikke",IF(IFERROR(AND(A1808&gt;1,COUNTIF($A$3:$A$2002,A1808-1)=0),FALSE),"Nummeret hopper over",IF(OR(NOT(ISNUMBER(B1808)),B1808&lt;DATE(2027,1,1),B1808&gt;DATE(2027,12,31)),"Datoen er ikke i 2027",""))))))</f>
        <v/>
      </c>
    </row>
    <row r="1809">
      <c r="A1809" s="17" t="n"/>
      <c r="B1809" s="9" t="n"/>
      <c r="C1809" s="8" t="n"/>
      <c r="D1809" s="8" t="n"/>
      <c r="E1809" s="8" t="n"/>
      <c r="F1809" s="14" t="n"/>
      <c r="G1809" s="14" t="n"/>
      <c r="H1809" s="8" t="n"/>
      <c r="I1809" s="8" t="n"/>
      <c r="J1809" s="8" t="n"/>
      <c r="K1809" s="18">
        <f>IF(B1809="","",IFERROR(MONTH(B1809),""))</f>
        <v/>
      </c>
      <c r="L1809" s="5">
        <f>IF(COUNTA(A1809:J1809)=0,"",IF(E1809="","Mangler motkonto",IF((F1809="")=(G1809=""),"Fyll ut enten Inn eller Ut",IF(OR(IFERROR(INDEX('Kontoplan'!$D$3:$D$302,MATCH(D1809,'Kontoplan'!$H$3:$H$302,0))="Støttes ikke",FALSE),IFERROR(INDEX('Kontoplan'!$D$3:$D$302,MATCH(E1809,'Kontoplan'!$H$3:$H$302,0))="Støttes ikke",FALSE)),"Kontoen støttes ikke",IF(IFERROR(AND(A1809&gt;1,COUNTIF($A$3:$A$2002,A1809-1)=0),FALSE),"Nummeret hopper over",IF(OR(NOT(ISNUMBER(B1809)),B1809&lt;DATE(2027,1,1),B1809&gt;DATE(2027,12,31)),"Datoen er ikke i 2027",""))))))</f>
        <v/>
      </c>
    </row>
    <row r="1810">
      <c r="A1810" s="17" t="n"/>
      <c r="B1810" s="9" t="n"/>
      <c r="C1810" s="8" t="n"/>
      <c r="D1810" s="8" t="n"/>
      <c r="E1810" s="8" t="n"/>
      <c r="F1810" s="14" t="n"/>
      <c r="G1810" s="14" t="n"/>
      <c r="H1810" s="8" t="n"/>
      <c r="I1810" s="8" t="n"/>
      <c r="J1810" s="8" t="n"/>
      <c r="K1810" s="18">
        <f>IF(B1810="","",IFERROR(MONTH(B1810),""))</f>
        <v/>
      </c>
      <c r="L1810" s="5">
        <f>IF(COUNTA(A1810:J1810)=0,"",IF(E1810="","Mangler motkonto",IF((F1810="")=(G1810=""),"Fyll ut enten Inn eller Ut",IF(OR(IFERROR(INDEX('Kontoplan'!$D$3:$D$302,MATCH(D1810,'Kontoplan'!$H$3:$H$302,0))="Støttes ikke",FALSE),IFERROR(INDEX('Kontoplan'!$D$3:$D$302,MATCH(E1810,'Kontoplan'!$H$3:$H$302,0))="Støttes ikke",FALSE)),"Kontoen støttes ikke",IF(IFERROR(AND(A1810&gt;1,COUNTIF($A$3:$A$2002,A1810-1)=0),FALSE),"Nummeret hopper over",IF(OR(NOT(ISNUMBER(B1810)),B1810&lt;DATE(2027,1,1),B1810&gt;DATE(2027,12,31)),"Datoen er ikke i 2027",""))))))</f>
        <v/>
      </c>
    </row>
    <row r="1811">
      <c r="A1811" s="17" t="n"/>
      <c r="B1811" s="9" t="n"/>
      <c r="C1811" s="8" t="n"/>
      <c r="D1811" s="8" t="n"/>
      <c r="E1811" s="8" t="n"/>
      <c r="F1811" s="14" t="n"/>
      <c r="G1811" s="14" t="n"/>
      <c r="H1811" s="8" t="n"/>
      <c r="I1811" s="8" t="n"/>
      <c r="J1811" s="8" t="n"/>
      <c r="K1811" s="18">
        <f>IF(B1811="","",IFERROR(MONTH(B1811),""))</f>
        <v/>
      </c>
      <c r="L1811" s="5">
        <f>IF(COUNTA(A1811:J1811)=0,"",IF(E1811="","Mangler motkonto",IF((F1811="")=(G1811=""),"Fyll ut enten Inn eller Ut",IF(OR(IFERROR(INDEX('Kontoplan'!$D$3:$D$302,MATCH(D1811,'Kontoplan'!$H$3:$H$302,0))="Støttes ikke",FALSE),IFERROR(INDEX('Kontoplan'!$D$3:$D$302,MATCH(E1811,'Kontoplan'!$H$3:$H$302,0))="Støttes ikke",FALSE)),"Kontoen støttes ikke",IF(IFERROR(AND(A1811&gt;1,COUNTIF($A$3:$A$2002,A1811-1)=0),FALSE),"Nummeret hopper over",IF(OR(NOT(ISNUMBER(B1811)),B1811&lt;DATE(2027,1,1),B1811&gt;DATE(2027,12,31)),"Datoen er ikke i 2027",""))))))</f>
        <v/>
      </c>
    </row>
    <row r="1812">
      <c r="A1812" s="17" t="n"/>
      <c r="B1812" s="9" t="n"/>
      <c r="C1812" s="8" t="n"/>
      <c r="D1812" s="8" t="n"/>
      <c r="E1812" s="8" t="n"/>
      <c r="F1812" s="14" t="n"/>
      <c r="G1812" s="14" t="n"/>
      <c r="H1812" s="8" t="n"/>
      <c r="I1812" s="8" t="n"/>
      <c r="J1812" s="8" t="n"/>
      <c r="K1812" s="18">
        <f>IF(B1812="","",IFERROR(MONTH(B1812),""))</f>
        <v/>
      </c>
      <c r="L1812" s="5">
        <f>IF(COUNTA(A1812:J1812)=0,"",IF(E1812="","Mangler motkonto",IF((F1812="")=(G1812=""),"Fyll ut enten Inn eller Ut",IF(OR(IFERROR(INDEX('Kontoplan'!$D$3:$D$302,MATCH(D1812,'Kontoplan'!$H$3:$H$302,0))="Støttes ikke",FALSE),IFERROR(INDEX('Kontoplan'!$D$3:$D$302,MATCH(E1812,'Kontoplan'!$H$3:$H$302,0))="Støttes ikke",FALSE)),"Kontoen støttes ikke",IF(IFERROR(AND(A1812&gt;1,COUNTIF($A$3:$A$2002,A1812-1)=0),FALSE),"Nummeret hopper over",IF(OR(NOT(ISNUMBER(B1812)),B1812&lt;DATE(2027,1,1),B1812&gt;DATE(2027,12,31)),"Datoen er ikke i 2027",""))))))</f>
        <v/>
      </c>
    </row>
    <row r="1813">
      <c r="A1813" s="17" t="n"/>
      <c r="B1813" s="9" t="n"/>
      <c r="C1813" s="8" t="n"/>
      <c r="D1813" s="8" t="n"/>
      <c r="E1813" s="8" t="n"/>
      <c r="F1813" s="14" t="n"/>
      <c r="G1813" s="14" t="n"/>
      <c r="H1813" s="8" t="n"/>
      <c r="I1813" s="8" t="n"/>
      <c r="J1813" s="8" t="n"/>
      <c r="K1813" s="18">
        <f>IF(B1813="","",IFERROR(MONTH(B1813),""))</f>
        <v/>
      </c>
      <c r="L1813" s="5">
        <f>IF(COUNTA(A1813:J1813)=0,"",IF(E1813="","Mangler motkonto",IF((F1813="")=(G1813=""),"Fyll ut enten Inn eller Ut",IF(OR(IFERROR(INDEX('Kontoplan'!$D$3:$D$302,MATCH(D1813,'Kontoplan'!$H$3:$H$302,0))="Støttes ikke",FALSE),IFERROR(INDEX('Kontoplan'!$D$3:$D$302,MATCH(E1813,'Kontoplan'!$H$3:$H$302,0))="Støttes ikke",FALSE)),"Kontoen støttes ikke",IF(IFERROR(AND(A1813&gt;1,COUNTIF($A$3:$A$2002,A1813-1)=0),FALSE),"Nummeret hopper over",IF(OR(NOT(ISNUMBER(B1813)),B1813&lt;DATE(2027,1,1),B1813&gt;DATE(2027,12,31)),"Datoen er ikke i 2027",""))))))</f>
        <v/>
      </c>
    </row>
    <row r="1814">
      <c r="A1814" s="17" t="n"/>
      <c r="B1814" s="9" t="n"/>
      <c r="C1814" s="8" t="n"/>
      <c r="D1814" s="8" t="n"/>
      <c r="E1814" s="8" t="n"/>
      <c r="F1814" s="14" t="n"/>
      <c r="G1814" s="14" t="n"/>
      <c r="H1814" s="8" t="n"/>
      <c r="I1814" s="8" t="n"/>
      <c r="J1814" s="8" t="n"/>
      <c r="K1814" s="18">
        <f>IF(B1814="","",IFERROR(MONTH(B1814),""))</f>
        <v/>
      </c>
      <c r="L1814" s="5">
        <f>IF(COUNTA(A1814:J1814)=0,"",IF(E1814="","Mangler motkonto",IF((F1814="")=(G1814=""),"Fyll ut enten Inn eller Ut",IF(OR(IFERROR(INDEX('Kontoplan'!$D$3:$D$302,MATCH(D1814,'Kontoplan'!$H$3:$H$302,0))="Støttes ikke",FALSE),IFERROR(INDEX('Kontoplan'!$D$3:$D$302,MATCH(E1814,'Kontoplan'!$H$3:$H$302,0))="Støttes ikke",FALSE)),"Kontoen støttes ikke",IF(IFERROR(AND(A1814&gt;1,COUNTIF($A$3:$A$2002,A1814-1)=0),FALSE),"Nummeret hopper over",IF(OR(NOT(ISNUMBER(B1814)),B1814&lt;DATE(2027,1,1),B1814&gt;DATE(2027,12,31)),"Datoen er ikke i 2027",""))))))</f>
        <v/>
      </c>
    </row>
    <row r="1815">
      <c r="A1815" s="17" t="n"/>
      <c r="B1815" s="9" t="n"/>
      <c r="C1815" s="8" t="n"/>
      <c r="D1815" s="8" t="n"/>
      <c r="E1815" s="8" t="n"/>
      <c r="F1815" s="14" t="n"/>
      <c r="G1815" s="14" t="n"/>
      <c r="H1815" s="8" t="n"/>
      <c r="I1815" s="8" t="n"/>
      <c r="J1815" s="8" t="n"/>
      <c r="K1815" s="18">
        <f>IF(B1815="","",IFERROR(MONTH(B1815),""))</f>
        <v/>
      </c>
      <c r="L1815" s="5">
        <f>IF(COUNTA(A1815:J1815)=0,"",IF(E1815="","Mangler motkonto",IF((F1815="")=(G1815=""),"Fyll ut enten Inn eller Ut",IF(OR(IFERROR(INDEX('Kontoplan'!$D$3:$D$302,MATCH(D1815,'Kontoplan'!$H$3:$H$302,0))="Støttes ikke",FALSE),IFERROR(INDEX('Kontoplan'!$D$3:$D$302,MATCH(E1815,'Kontoplan'!$H$3:$H$302,0))="Støttes ikke",FALSE)),"Kontoen støttes ikke",IF(IFERROR(AND(A1815&gt;1,COUNTIF($A$3:$A$2002,A1815-1)=0),FALSE),"Nummeret hopper over",IF(OR(NOT(ISNUMBER(B1815)),B1815&lt;DATE(2027,1,1),B1815&gt;DATE(2027,12,31)),"Datoen er ikke i 2027",""))))))</f>
        <v/>
      </c>
    </row>
    <row r="1816">
      <c r="A1816" s="17" t="n"/>
      <c r="B1816" s="9" t="n"/>
      <c r="C1816" s="8" t="n"/>
      <c r="D1816" s="8" t="n"/>
      <c r="E1816" s="8" t="n"/>
      <c r="F1816" s="14" t="n"/>
      <c r="G1816" s="14" t="n"/>
      <c r="H1816" s="8" t="n"/>
      <c r="I1816" s="8" t="n"/>
      <c r="J1816" s="8" t="n"/>
      <c r="K1816" s="18">
        <f>IF(B1816="","",IFERROR(MONTH(B1816),""))</f>
        <v/>
      </c>
      <c r="L1816" s="5">
        <f>IF(COUNTA(A1816:J1816)=0,"",IF(E1816="","Mangler motkonto",IF((F1816="")=(G1816=""),"Fyll ut enten Inn eller Ut",IF(OR(IFERROR(INDEX('Kontoplan'!$D$3:$D$302,MATCH(D1816,'Kontoplan'!$H$3:$H$302,0))="Støttes ikke",FALSE),IFERROR(INDEX('Kontoplan'!$D$3:$D$302,MATCH(E1816,'Kontoplan'!$H$3:$H$302,0))="Støttes ikke",FALSE)),"Kontoen støttes ikke",IF(IFERROR(AND(A1816&gt;1,COUNTIF($A$3:$A$2002,A1816-1)=0),FALSE),"Nummeret hopper over",IF(OR(NOT(ISNUMBER(B1816)),B1816&lt;DATE(2027,1,1),B1816&gt;DATE(2027,12,31)),"Datoen er ikke i 2027",""))))))</f>
        <v/>
      </c>
    </row>
    <row r="1817">
      <c r="A1817" s="17" t="n"/>
      <c r="B1817" s="9" t="n"/>
      <c r="C1817" s="8" t="n"/>
      <c r="D1817" s="8" t="n"/>
      <c r="E1817" s="8" t="n"/>
      <c r="F1817" s="14" t="n"/>
      <c r="G1817" s="14" t="n"/>
      <c r="H1817" s="8" t="n"/>
      <c r="I1817" s="8" t="n"/>
      <c r="J1817" s="8" t="n"/>
      <c r="K1817" s="18">
        <f>IF(B1817="","",IFERROR(MONTH(B1817),""))</f>
        <v/>
      </c>
      <c r="L1817" s="5">
        <f>IF(COUNTA(A1817:J1817)=0,"",IF(E1817="","Mangler motkonto",IF((F1817="")=(G1817=""),"Fyll ut enten Inn eller Ut",IF(OR(IFERROR(INDEX('Kontoplan'!$D$3:$D$302,MATCH(D1817,'Kontoplan'!$H$3:$H$302,0))="Støttes ikke",FALSE),IFERROR(INDEX('Kontoplan'!$D$3:$D$302,MATCH(E1817,'Kontoplan'!$H$3:$H$302,0))="Støttes ikke",FALSE)),"Kontoen støttes ikke",IF(IFERROR(AND(A1817&gt;1,COUNTIF($A$3:$A$2002,A1817-1)=0),FALSE),"Nummeret hopper over",IF(OR(NOT(ISNUMBER(B1817)),B1817&lt;DATE(2027,1,1),B1817&gt;DATE(2027,12,31)),"Datoen er ikke i 2027",""))))))</f>
        <v/>
      </c>
    </row>
    <row r="1818">
      <c r="A1818" s="17" t="n"/>
      <c r="B1818" s="9" t="n"/>
      <c r="C1818" s="8" t="n"/>
      <c r="D1818" s="8" t="n"/>
      <c r="E1818" s="8" t="n"/>
      <c r="F1818" s="14" t="n"/>
      <c r="G1818" s="14" t="n"/>
      <c r="H1818" s="8" t="n"/>
      <c r="I1818" s="8" t="n"/>
      <c r="J1818" s="8" t="n"/>
      <c r="K1818" s="18">
        <f>IF(B1818="","",IFERROR(MONTH(B1818),""))</f>
        <v/>
      </c>
      <c r="L1818" s="5">
        <f>IF(COUNTA(A1818:J1818)=0,"",IF(E1818="","Mangler motkonto",IF((F1818="")=(G1818=""),"Fyll ut enten Inn eller Ut",IF(OR(IFERROR(INDEX('Kontoplan'!$D$3:$D$302,MATCH(D1818,'Kontoplan'!$H$3:$H$302,0))="Støttes ikke",FALSE),IFERROR(INDEX('Kontoplan'!$D$3:$D$302,MATCH(E1818,'Kontoplan'!$H$3:$H$302,0))="Støttes ikke",FALSE)),"Kontoen støttes ikke",IF(IFERROR(AND(A1818&gt;1,COUNTIF($A$3:$A$2002,A1818-1)=0),FALSE),"Nummeret hopper over",IF(OR(NOT(ISNUMBER(B1818)),B1818&lt;DATE(2027,1,1),B1818&gt;DATE(2027,12,31)),"Datoen er ikke i 2027",""))))))</f>
        <v/>
      </c>
    </row>
    <row r="1819">
      <c r="A1819" s="17" t="n"/>
      <c r="B1819" s="9" t="n"/>
      <c r="C1819" s="8" t="n"/>
      <c r="D1819" s="8" t="n"/>
      <c r="E1819" s="8" t="n"/>
      <c r="F1819" s="14" t="n"/>
      <c r="G1819" s="14" t="n"/>
      <c r="H1819" s="8" t="n"/>
      <c r="I1819" s="8" t="n"/>
      <c r="J1819" s="8" t="n"/>
      <c r="K1819" s="18">
        <f>IF(B1819="","",IFERROR(MONTH(B1819),""))</f>
        <v/>
      </c>
      <c r="L1819" s="5">
        <f>IF(COUNTA(A1819:J1819)=0,"",IF(E1819="","Mangler motkonto",IF((F1819="")=(G1819=""),"Fyll ut enten Inn eller Ut",IF(OR(IFERROR(INDEX('Kontoplan'!$D$3:$D$302,MATCH(D1819,'Kontoplan'!$H$3:$H$302,0))="Støttes ikke",FALSE),IFERROR(INDEX('Kontoplan'!$D$3:$D$302,MATCH(E1819,'Kontoplan'!$H$3:$H$302,0))="Støttes ikke",FALSE)),"Kontoen støttes ikke",IF(IFERROR(AND(A1819&gt;1,COUNTIF($A$3:$A$2002,A1819-1)=0),FALSE),"Nummeret hopper over",IF(OR(NOT(ISNUMBER(B1819)),B1819&lt;DATE(2027,1,1),B1819&gt;DATE(2027,12,31)),"Datoen er ikke i 2027",""))))))</f>
        <v/>
      </c>
    </row>
    <row r="1820">
      <c r="A1820" s="17" t="n"/>
      <c r="B1820" s="9" t="n"/>
      <c r="C1820" s="8" t="n"/>
      <c r="D1820" s="8" t="n"/>
      <c r="E1820" s="8" t="n"/>
      <c r="F1820" s="14" t="n"/>
      <c r="G1820" s="14" t="n"/>
      <c r="H1820" s="8" t="n"/>
      <c r="I1820" s="8" t="n"/>
      <c r="J1820" s="8" t="n"/>
      <c r="K1820" s="18">
        <f>IF(B1820="","",IFERROR(MONTH(B1820),""))</f>
        <v/>
      </c>
      <c r="L1820" s="5">
        <f>IF(COUNTA(A1820:J1820)=0,"",IF(E1820="","Mangler motkonto",IF((F1820="")=(G1820=""),"Fyll ut enten Inn eller Ut",IF(OR(IFERROR(INDEX('Kontoplan'!$D$3:$D$302,MATCH(D1820,'Kontoplan'!$H$3:$H$302,0))="Støttes ikke",FALSE),IFERROR(INDEX('Kontoplan'!$D$3:$D$302,MATCH(E1820,'Kontoplan'!$H$3:$H$302,0))="Støttes ikke",FALSE)),"Kontoen støttes ikke",IF(IFERROR(AND(A1820&gt;1,COUNTIF($A$3:$A$2002,A1820-1)=0),FALSE),"Nummeret hopper over",IF(OR(NOT(ISNUMBER(B1820)),B1820&lt;DATE(2027,1,1),B1820&gt;DATE(2027,12,31)),"Datoen er ikke i 2027",""))))))</f>
        <v/>
      </c>
    </row>
    <row r="1821">
      <c r="A1821" s="17" t="n"/>
      <c r="B1821" s="9" t="n"/>
      <c r="C1821" s="8" t="n"/>
      <c r="D1821" s="8" t="n"/>
      <c r="E1821" s="8" t="n"/>
      <c r="F1821" s="14" t="n"/>
      <c r="G1821" s="14" t="n"/>
      <c r="H1821" s="8" t="n"/>
      <c r="I1821" s="8" t="n"/>
      <c r="J1821" s="8" t="n"/>
      <c r="K1821" s="18">
        <f>IF(B1821="","",IFERROR(MONTH(B1821),""))</f>
        <v/>
      </c>
      <c r="L1821" s="5">
        <f>IF(COUNTA(A1821:J1821)=0,"",IF(E1821="","Mangler motkonto",IF((F1821="")=(G1821=""),"Fyll ut enten Inn eller Ut",IF(OR(IFERROR(INDEX('Kontoplan'!$D$3:$D$302,MATCH(D1821,'Kontoplan'!$H$3:$H$302,0))="Støttes ikke",FALSE),IFERROR(INDEX('Kontoplan'!$D$3:$D$302,MATCH(E1821,'Kontoplan'!$H$3:$H$302,0))="Støttes ikke",FALSE)),"Kontoen støttes ikke",IF(IFERROR(AND(A1821&gt;1,COUNTIF($A$3:$A$2002,A1821-1)=0),FALSE),"Nummeret hopper over",IF(OR(NOT(ISNUMBER(B1821)),B1821&lt;DATE(2027,1,1),B1821&gt;DATE(2027,12,31)),"Datoen er ikke i 2027",""))))))</f>
        <v/>
      </c>
    </row>
    <row r="1822">
      <c r="A1822" s="17" t="n"/>
      <c r="B1822" s="9" t="n"/>
      <c r="C1822" s="8" t="n"/>
      <c r="D1822" s="8" t="n"/>
      <c r="E1822" s="8" t="n"/>
      <c r="F1822" s="14" t="n"/>
      <c r="G1822" s="14" t="n"/>
      <c r="H1822" s="8" t="n"/>
      <c r="I1822" s="8" t="n"/>
      <c r="J1822" s="8" t="n"/>
      <c r="K1822" s="18">
        <f>IF(B1822="","",IFERROR(MONTH(B1822),""))</f>
        <v/>
      </c>
      <c r="L1822" s="5">
        <f>IF(COUNTA(A1822:J1822)=0,"",IF(E1822="","Mangler motkonto",IF((F1822="")=(G1822=""),"Fyll ut enten Inn eller Ut",IF(OR(IFERROR(INDEX('Kontoplan'!$D$3:$D$302,MATCH(D1822,'Kontoplan'!$H$3:$H$302,0))="Støttes ikke",FALSE),IFERROR(INDEX('Kontoplan'!$D$3:$D$302,MATCH(E1822,'Kontoplan'!$H$3:$H$302,0))="Støttes ikke",FALSE)),"Kontoen støttes ikke",IF(IFERROR(AND(A1822&gt;1,COUNTIF($A$3:$A$2002,A1822-1)=0),FALSE),"Nummeret hopper over",IF(OR(NOT(ISNUMBER(B1822)),B1822&lt;DATE(2027,1,1),B1822&gt;DATE(2027,12,31)),"Datoen er ikke i 2027",""))))))</f>
        <v/>
      </c>
    </row>
    <row r="1823">
      <c r="A1823" s="17" t="n"/>
      <c r="B1823" s="9" t="n"/>
      <c r="C1823" s="8" t="n"/>
      <c r="D1823" s="8" t="n"/>
      <c r="E1823" s="8" t="n"/>
      <c r="F1823" s="14" t="n"/>
      <c r="G1823" s="14" t="n"/>
      <c r="H1823" s="8" t="n"/>
      <c r="I1823" s="8" t="n"/>
      <c r="J1823" s="8" t="n"/>
      <c r="K1823" s="18">
        <f>IF(B1823="","",IFERROR(MONTH(B1823),""))</f>
        <v/>
      </c>
      <c r="L1823" s="5">
        <f>IF(COUNTA(A1823:J1823)=0,"",IF(E1823="","Mangler motkonto",IF((F1823="")=(G1823=""),"Fyll ut enten Inn eller Ut",IF(OR(IFERROR(INDEX('Kontoplan'!$D$3:$D$302,MATCH(D1823,'Kontoplan'!$H$3:$H$302,0))="Støttes ikke",FALSE),IFERROR(INDEX('Kontoplan'!$D$3:$D$302,MATCH(E1823,'Kontoplan'!$H$3:$H$302,0))="Støttes ikke",FALSE)),"Kontoen støttes ikke",IF(IFERROR(AND(A1823&gt;1,COUNTIF($A$3:$A$2002,A1823-1)=0),FALSE),"Nummeret hopper over",IF(OR(NOT(ISNUMBER(B1823)),B1823&lt;DATE(2027,1,1),B1823&gt;DATE(2027,12,31)),"Datoen er ikke i 2027",""))))))</f>
        <v/>
      </c>
    </row>
    <row r="1824">
      <c r="A1824" s="17" t="n"/>
      <c r="B1824" s="9" t="n"/>
      <c r="C1824" s="8" t="n"/>
      <c r="D1824" s="8" t="n"/>
      <c r="E1824" s="8" t="n"/>
      <c r="F1824" s="14" t="n"/>
      <c r="G1824" s="14" t="n"/>
      <c r="H1824" s="8" t="n"/>
      <c r="I1824" s="8" t="n"/>
      <c r="J1824" s="8" t="n"/>
      <c r="K1824" s="18">
        <f>IF(B1824="","",IFERROR(MONTH(B1824),""))</f>
        <v/>
      </c>
      <c r="L1824" s="5">
        <f>IF(COUNTA(A1824:J1824)=0,"",IF(E1824="","Mangler motkonto",IF((F1824="")=(G1824=""),"Fyll ut enten Inn eller Ut",IF(OR(IFERROR(INDEX('Kontoplan'!$D$3:$D$302,MATCH(D1824,'Kontoplan'!$H$3:$H$302,0))="Støttes ikke",FALSE),IFERROR(INDEX('Kontoplan'!$D$3:$D$302,MATCH(E1824,'Kontoplan'!$H$3:$H$302,0))="Støttes ikke",FALSE)),"Kontoen støttes ikke",IF(IFERROR(AND(A1824&gt;1,COUNTIF($A$3:$A$2002,A1824-1)=0),FALSE),"Nummeret hopper over",IF(OR(NOT(ISNUMBER(B1824)),B1824&lt;DATE(2027,1,1),B1824&gt;DATE(2027,12,31)),"Datoen er ikke i 2027",""))))))</f>
        <v/>
      </c>
    </row>
    <row r="1825">
      <c r="A1825" s="17" t="n"/>
      <c r="B1825" s="9" t="n"/>
      <c r="C1825" s="8" t="n"/>
      <c r="D1825" s="8" t="n"/>
      <c r="E1825" s="8" t="n"/>
      <c r="F1825" s="14" t="n"/>
      <c r="G1825" s="14" t="n"/>
      <c r="H1825" s="8" t="n"/>
      <c r="I1825" s="8" t="n"/>
      <c r="J1825" s="8" t="n"/>
      <c r="K1825" s="18">
        <f>IF(B1825="","",IFERROR(MONTH(B1825),""))</f>
        <v/>
      </c>
      <c r="L1825" s="5">
        <f>IF(COUNTA(A1825:J1825)=0,"",IF(E1825="","Mangler motkonto",IF((F1825="")=(G1825=""),"Fyll ut enten Inn eller Ut",IF(OR(IFERROR(INDEX('Kontoplan'!$D$3:$D$302,MATCH(D1825,'Kontoplan'!$H$3:$H$302,0))="Støttes ikke",FALSE),IFERROR(INDEX('Kontoplan'!$D$3:$D$302,MATCH(E1825,'Kontoplan'!$H$3:$H$302,0))="Støttes ikke",FALSE)),"Kontoen støttes ikke",IF(IFERROR(AND(A1825&gt;1,COUNTIF($A$3:$A$2002,A1825-1)=0),FALSE),"Nummeret hopper over",IF(OR(NOT(ISNUMBER(B1825)),B1825&lt;DATE(2027,1,1),B1825&gt;DATE(2027,12,31)),"Datoen er ikke i 2027",""))))))</f>
        <v/>
      </c>
    </row>
    <row r="1826">
      <c r="A1826" s="17" t="n"/>
      <c r="B1826" s="9" t="n"/>
      <c r="C1826" s="8" t="n"/>
      <c r="D1826" s="8" t="n"/>
      <c r="E1826" s="8" t="n"/>
      <c r="F1826" s="14" t="n"/>
      <c r="G1826" s="14" t="n"/>
      <c r="H1826" s="8" t="n"/>
      <c r="I1826" s="8" t="n"/>
      <c r="J1826" s="8" t="n"/>
      <c r="K1826" s="18">
        <f>IF(B1826="","",IFERROR(MONTH(B1826),""))</f>
        <v/>
      </c>
      <c r="L1826" s="5">
        <f>IF(COUNTA(A1826:J1826)=0,"",IF(E1826="","Mangler motkonto",IF((F1826="")=(G1826=""),"Fyll ut enten Inn eller Ut",IF(OR(IFERROR(INDEX('Kontoplan'!$D$3:$D$302,MATCH(D1826,'Kontoplan'!$H$3:$H$302,0))="Støttes ikke",FALSE),IFERROR(INDEX('Kontoplan'!$D$3:$D$302,MATCH(E1826,'Kontoplan'!$H$3:$H$302,0))="Støttes ikke",FALSE)),"Kontoen støttes ikke",IF(IFERROR(AND(A1826&gt;1,COUNTIF($A$3:$A$2002,A1826-1)=0),FALSE),"Nummeret hopper over",IF(OR(NOT(ISNUMBER(B1826)),B1826&lt;DATE(2027,1,1),B1826&gt;DATE(2027,12,31)),"Datoen er ikke i 2027",""))))))</f>
        <v/>
      </c>
    </row>
    <row r="1827">
      <c r="A1827" s="17" t="n"/>
      <c r="B1827" s="9" t="n"/>
      <c r="C1827" s="8" t="n"/>
      <c r="D1827" s="8" t="n"/>
      <c r="E1827" s="8" t="n"/>
      <c r="F1827" s="14" t="n"/>
      <c r="G1827" s="14" t="n"/>
      <c r="H1827" s="8" t="n"/>
      <c r="I1827" s="8" t="n"/>
      <c r="J1827" s="8" t="n"/>
      <c r="K1827" s="18">
        <f>IF(B1827="","",IFERROR(MONTH(B1827),""))</f>
        <v/>
      </c>
      <c r="L1827" s="5">
        <f>IF(COUNTA(A1827:J1827)=0,"",IF(E1827="","Mangler motkonto",IF((F1827="")=(G1827=""),"Fyll ut enten Inn eller Ut",IF(OR(IFERROR(INDEX('Kontoplan'!$D$3:$D$302,MATCH(D1827,'Kontoplan'!$H$3:$H$302,0))="Støttes ikke",FALSE),IFERROR(INDEX('Kontoplan'!$D$3:$D$302,MATCH(E1827,'Kontoplan'!$H$3:$H$302,0))="Støttes ikke",FALSE)),"Kontoen støttes ikke",IF(IFERROR(AND(A1827&gt;1,COUNTIF($A$3:$A$2002,A1827-1)=0),FALSE),"Nummeret hopper over",IF(OR(NOT(ISNUMBER(B1827)),B1827&lt;DATE(2027,1,1),B1827&gt;DATE(2027,12,31)),"Datoen er ikke i 2027",""))))))</f>
        <v/>
      </c>
    </row>
    <row r="1828">
      <c r="A1828" s="17" t="n"/>
      <c r="B1828" s="9" t="n"/>
      <c r="C1828" s="8" t="n"/>
      <c r="D1828" s="8" t="n"/>
      <c r="E1828" s="8" t="n"/>
      <c r="F1828" s="14" t="n"/>
      <c r="G1828" s="14" t="n"/>
      <c r="H1828" s="8" t="n"/>
      <c r="I1828" s="8" t="n"/>
      <c r="J1828" s="8" t="n"/>
      <c r="K1828" s="18">
        <f>IF(B1828="","",IFERROR(MONTH(B1828),""))</f>
        <v/>
      </c>
      <c r="L1828" s="5">
        <f>IF(COUNTA(A1828:J1828)=0,"",IF(E1828="","Mangler motkonto",IF((F1828="")=(G1828=""),"Fyll ut enten Inn eller Ut",IF(OR(IFERROR(INDEX('Kontoplan'!$D$3:$D$302,MATCH(D1828,'Kontoplan'!$H$3:$H$302,0))="Støttes ikke",FALSE),IFERROR(INDEX('Kontoplan'!$D$3:$D$302,MATCH(E1828,'Kontoplan'!$H$3:$H$302,0))="Støttes ikke",FALSE)),"Kontoen støttes ikke",IF(IFERROR(AND(A1828&gt;1,COUNTIF($A$3:$A$2002,A1828-1)=0),FALSE),"Nummeret hopper over",IF(OR(NOT(ISNUMBER(B1828)),B1828&lt;DATE(2027,1,1),B1828&gt;DATE(2027,12,31)),"Datoen er ikke i 2027",""))))))</f>
        <v/>
      </c>
    </row>
    <row r="1829">
      <c r="A1829" s="17" t="n"/>
      <c r="B1829" s="9" t="n"/>
      <c r="C1829" s="8" t="n"/>
      <c r="D1829" s="8" t="n"/>
      <c r="E1829" s="8" t="n"/>
      <c r="F1829" s="14" t="n"/>
      <c r="G1829" s="14" t="n"/>
      <c r="H1829" s="8" t="n"/>
      <c r="I1829" s="8" t="n"/>
      <c r="J1829" s="8" t="n"/>
      <c r="K1829" s="18">
        <f>IF(B1829="","",IFERROR(MONTH(B1829),""))</f>
        <v/>
      </c>
      <c r="L1829" s="5">
        <f>IF(COUNTA(A1829:J1829)=0,"",IF(E1829="","Mangler motkonto",IF((F1829="")=(G1829=""),"Fyll ut enten Inn eller Ut",IF(OR(IFERROR(INDEX('Kontoplan'!$D$3:$D$302,MATCH(D1829,'Kontoplan'!$H$3:$H$302,0))="Støttes ikke",FALSE),IFERROR(INDEX('Kontoplan'!$D$3:$D$302,MATCH(E1829,'Kontoplan'!$H$3:$H$302,0))="Støttes ikke",FALSE)),"Kontoen støttes ikke",IF(IFERROR(AND(A1829&gt;1,COUNTIF($A$3:$A$2002,A1829-1)=0),FALSE),"Nummeret hopper over",IF(OR(NOT(ISNUMBER(B1829)),B1829&lt;DATE(2027,1,1),B1829&gt;DATE(2027,12,31)),"Datoen er ikke i 2027",""))))))</f>
        <v/>
      </c>
    </row>
    <row r="1830">
      <c r="A1830" s="17" t="n"/>
      <c r="B1830" s="9" t="n"/>
      <c r="C1830" s="8" t="n"/>
      <c r="D1830" s="8" t="n"/>
      <c r="E1830" s="8" t="n"/>
      <c r="F1830" s="14" t="n"/>
      <c r="G1830" s="14" t="n"/>
      <c r="H1830" s="8" t="n"/>
      <c r="I1830" s="8" t="n"/>
      <c r="J1830" s="8" t="n"/>
      <c r="K1830" s="18">
        <f>IF(B1830="","",IFERROR(MONTH(B1830),""))</f>
        <v/>
      </c>
      <c r="L1830" s="5">
        <f>IF(COUNTA(A1830:J1830)=0,"",IF(E1830="","Mangler motkonto",IF((F1830="")=(G1830=""),"Fyll ut enten Inn eller Ut",IF(OR(IFERROR(INDEX('Kontoplan'!$D$3:$D$302,MATCH(D1830,'Kontoplan'!$H$3:$H$302,0))="Støttes ikke",FALSE),IFERROR(INDEX('Kontoplan'!$D$3:$D$302,MATCH(E1830,'Kontoplan'!$H$3:$H$302,0))="Støttes ikke",FALSE)),"Kontoen støttes ikke",IF(IFERROR(AND(A1830&gt;1,COUNTIF($A$3:$A$2002,A1830-1)=0),FALSE),"Nummeret hopper over",IF(OR(NOT(ISNUMBER(B1830)),B1830&lt;DATE(2027,1,1),B1830&gt;DATE(2027,12,31)),"Datoen er ikke i 2027",""))))))</f>
        <v/>
      </c>
    </row>
    <row r="1831">
      <c r="A1831" s="17" t="n"/>
      <c r="B1831" s="9" t="n"/>
      <c r="C1831" s="8" t="n"/>
      <c r="D1831" s="8" t="n"/>
      <c r="E1831" s="8" t="n"/>
      <c r="F1831" s="14" t="n"/>
      <c r="G1831" s="14" t="n"/>
      <c r="H1831" s="8" t="n"/>
      <c r="I1831" s="8" t="n"/>
      <c r="J1831" s="8" t="n"/>
      <c r="K1831" s="18">
        <f>IF(B1831="","",IFERROR(MONTH(B1831),""))</f>
        <v/>
      </c>
      <c r="L1831" s="5">
        <f>IF(COUNTA(A1831:J1831)=0,"",IF(E1831="","Mangler motkonto",IF((F1831="")=(G1831=""),"Fyll ut enten Inn eller Ut",IF(OR(IFERROR(INDEX('Kontoplan'!$D$3:$D$302,MATCH(D1831,'Kontoplan'!$H$3:$H$302,0))="Støttes ikke",FALSE),IFERROR(INDEX('Kontoplan'!$D$3:$D$302,MATCH(E1831,'Kontoplan'!$H$3:$H$302,0))="Støttes ikke",FALSE)),"Kontoen støttes ikke",IF(IFERROR(AND(A1831&gt;1,COUNTIF($A$3:$A$2002,A1831-1)=0),FALSE),"Nummeret hopper over",IF(OR(NOT(ISNUMBER(B1831)),B1831&lt;DATE(2027,1,1),B1831&gt;DATE(2027,12,31)),"Datoen er ikke i 2027",""))))))</f>
        <v/>
      </c>
    </row>
    <row r="1832">
      <c r="A1832" s="17" t="n"/>
      <c r="B1832" s="9" t="n"/>
      <c r="C1832" s="8" t="n"/>
      <c r="D1832" s="8" t="n"/>
      <c r="E1832" s="8" t="n"/>
      <c r="F1832" s="14" t="n"/>
      <c r="G1832" s="14" t="n"/>
      <c r="H1832" s="8" t="n"/>
      <c r="I1832" s="8" t="n"/>
      <c r="J1832" s="8" t="n"/>
      <c r="K1832" s="18">
        <f>IF(B1832="","",IFERROR(MONTH(B1832),""))</f>
        <v/>
      </c>
      <c r="L1832" s="5">
        <f>IF(COUNTA(A1832:J1832)=0,"",IF(E1832="","Mangler motkonto",IF((F1832="")=(G1832=""),"Fyll ut enten Inn eller Ut",IF(OR(IFERROR(INDEX('Kontoplan'!$D$3:$D$302,MATCH(D1832,'Kontoplan'!$H$3:$H$302,0))="Støttes ikke",FALSE),IFERROR(INDEX('Kontoplan'!$D$3:$D$302,MATCH(E1832,'Kontoplan'!$H$3:$H$302,0))="Støttes ikke",FALSE)),"Kontoen støttes ikke",IF(IFERROR(AND(A1832&gt;1,COUNTIF($A$3:$A$2002,A1832-1)=0),FALSE),"Nummeret hopper over",IF(OR(NOT(ISNUMBER(B1832)),B1832&lt;DATE(2027,1,1),B1832&gt;DATE(2027,12,31)),"Datoen er ikke i 2027",""))))))</f>
        <v/>
      </c>
    </row>
    <row r="1833">
      <c r="A1833" s="17" t="n"/>
      <c r="B1833" s="9" t="n"/>
      <c r="C1833" s="8" t="n"/>
      <c r="D1833" s="8" t="n"/>
      <c r="E1833" s="8" t="n"/>
      <c r="F1833" s="14" t="n"/>
      <c r="G1833" s="14" t="n"/>
      <c r="H1833" s="8" t="n"/>
      <c r="I1833" s="8" t="n"/>
      <c r="J1833" s="8" t="n"/>
      <c r="K1833" s="18">
        <f>IF(B1833="","",IFERROR(MONTH(B1833),""))</f>
        <v/>
      </c>
      <c r="L1833" s="5">
        <f>IF(COUNTA(A1833:J1833)=0,"",IF(E1833="","Mangler motkonto",IF((F1833="")=(G1833=""),"Fyll ut enten Inn eller Ut",IF(OR(IFERROR(INDEX('Kontoplan'!$D$3:$D$302,MATCH(D1833,'Kontoplan'!$H$3:$H$302,0))="Støttes ikke",FALSE),IFERROR(INDEX('Kontoplan'!$D$3:$D$302,MATCH(E1833,'Kontoplan'!$H$3:$H$302,0))="Støttes ikke",FALSE)),"Kontoen støttes ikke",IF(IFERROR(AND(A1833&gt;1,COUNTIF($A$3:$A$2002,A1833-1)=0),FALSE),"Nummeret hopper over",IF(OR(NOT(ISNUMBER(B1833)),B1833&lt;DATE(2027,1,1),B1833&gt;DATE(2027,12,31)),"Datoen er ikke i 2027",""))))))</f>
        <v/>
      </c>
    </row>
    <row r="1834">
      <c r="A1834" s="17" t="n"/>
      <c r="B1834" s="9" t="n"/>
      <c r="C1834" s="8" t="n"/>
      <c r="D1834" s="8" t="n"/>
      <c r="E1834" s="8" t="n"/>
      <c r="F1834" s="14" t="n"/>
      <c r="G1834" s="14" t="n"/>
      <c r="H1834" s="8" t="n"/>
      <c r="I1834" s="8" t="n"/>
      <c r="J1834" s="8" t="n"/>
      <c r="K1834" s="18">
        <f>IF(B1834="","",IFERROR(MONTH(B1834),""))</f>
        <v/>
      </c>
      <c r="L1834" s="5">
        <f>IF(COUNTA(A1834:J1834)=0,"",IF(E1834="","Mangler motkonto",IF((F1834="")=(G1834=""),"Fyll ut enten Inn eller Ut",IF(OR(IFERROR(INDEX('Kontoplan'!$D$3:$D$302,MATCH(D1834,'Kontoplan'!$H$3:$H$302,0))="Støttes ikke",FALSE),IFERROR(INDEX('Kontoplan'!$D$3:$D$302,MATCH(E1834,'Kontoplan'!$H$3:$H$302,0))="Støttes ikke",FALSE)),"Kontoen støttes ikke",IF(IFERROR(AND(A1834&gt;1,COUNTIF($A$3:$A$2002,A1834-1)=0),FALSE),"Nummeret hopper over",IF(OR(NOT(ISNUMBER(B1834)),B1834&lt;DATE(2027,1,1),B1834&gt;DATE(2027,12,31)),"Datoen er ikke i 2027",""))))))</f>
        <v/>
      </c>
    </row>
    <row r="1835">
      <c r="A1835" s="17" t="n"/>
      <c r="B1835" s="9" t="n"/>
      <c r="C1835" s="8" t="n"/>
      <c r="D1835" s="8" t="n"/>
      <c r="E1835" s="8" t="n"/>
      <c r="F1835" s="14" t="n"/>
      <c r="G1835" s="14" t="n"/>
      <c r="H1835" s="8" t="n"/>
      <c r="I1835" s="8" t="n"/>
      <c r="J1835" s="8" t="n"/>
      <c r="K1835" s="18">
        <f>IF(B1835="","",IFERROR(MONTH(B1835),""))</f>
        <v/>
      </c>
      <c r="L1835" s="5">
        <f>IF(COUNTA(A1835:J1835)=0,"",IF(E1835="","Mangler motkonto",IF((F1835="")=(G1835=""),"Fyll ut enten Inn eller Ut",IF(OR(IFERROR(INDEX('Kontoplan'!$D$3:$D$302,MATCH(D1835,'Kontoplan'!$H$3:$H$302,0))="Støttes ikke",FALSE),IFERROR(INDEX('Kontoplan'!$D$3:$D$302,MATCH(E1835,'Kontoplan'!$H$3:$H$302,0))="Støttes ikke",FALSE)),"Kontoen støttes ikke",IF(IFERROR(AND(A1835&gt;1,COUNTIF($A$3:$A$2002,A1835-1)=0),FALSE),"Nummeret hopper over",IF(OR(NOT(ISNUMBER(B1835)),B1835&lt;DATE(2027,1,1),B1835&gt;DATE(2027,12,31)),"Datoen er ikke i 2027",""))))))</f>
        <v/>
      </c>
    </row>
    <row r="1836">
      <c r="A1836" s="17" t="n"/>
      <c r="B1836" s="9" t="n"/>
      <c r="C1836" s="8" t="n"/>
      <c r="D1836" s="8" t="n"/>
      <c r="E1836" s="8" t="n"/>
      <c r="F1836" s="14" t="n"/>
      <c r="G1836" s="14" t="n"/>
      <c r="H1836" s="8" t="n"/>
      <c r="I1836" s="8" t="n"/>
      <c r="J1836" s="8" t="n"/>
      <c r="K1836" s="18">
        <f>IF(B1836="","",IFERROR(MONTH(B1836),""))</f>
        <v/>
      </c>
      <c r="L1836" s="5">
        <f>IF(COUNTA(A1836:J1836)=0,"",IF(E1836="","Mangler motkonto",IF((F1836="")=(G1836=""),"Fyll ut enten Inn eller Ut",IF(OR(IFERROR(INDEX('Kontoplan'!$D$3:$D$302,MATCH(D1836,'Kontoplan'!$H$3:$H$302,0))="Støttes ikke",FALSE),IFERROR(INDEX('Kontoplan'!$D$3:$D$302,MATCH(E1836,'Kontoplan'!$H$3:$H$302,0))="Støttes ikke",FALSE)),"Kontoen støttes ikke",IF(IFERROR(AND(A1836&gt;1,COUNTIF($A$3:$A$2002,A1836-1)=0),FALSE),"Nummeret hopper over",IF(OR(NOT(ISNUMBER(B1836)),B1836&lt;DATE(2027,1,1),B1836&gt;DATE(2027,12,31)),"Datoen er ikke i 2027",""))))))</f>
        <v/>
      </c>
    </row>
    <row r="1837">
      <c r="A1837" s="17" t="n"/>
      <c r="B1837" s="9" t="n"/>
      <c r="C1837" s="8" t="n"/>
      <c r="D1837" s="8" t="n"/>
      <c r="E1837" s="8" t="n"/>
      <c r="F1837" s="14" t="n"/>
      <c r="G1837" s="14" t="n"/>
      <c r="H1837" s="8" t="n"/>
      <c r="I1837" s="8" t="n"/>
      <c r="J1837" s="8" t="n"/>
      <c r="K1837" s="18">
        <f>IF(B1837="","",IFERROR(MONTH(B1837),""))</f>
        <v/>
      </c>
      <c r="L1837" s="5">
        <f>IF(COUNTA(A1837:J1837)=0,"",IF(E1837="","Mangler motkonto",IF((F1837="")=(G1837=""),"Fyll ut enten Inn eller Ut",IF(OR(IFERROR(INDEX('Kontoplan'!$D$3:$D$302,MATCH(D1837,'Kontoplan'!$H$3:$H$302,0))="Støttes ikke",FALSE),IFERROR(INDEX('Kontoplan'!$D$3:$D$302,MATCH(E1837,'Kontoplan'!$H$3:$H$302,0))="Støttes ikke",FALSE)),"Kontoen støttes ikke",IF(IFERROR(AND(A1837&gt;1,COUNTIF($A$3:$A$2002,A1837-1)=0),FALSE),"Nummeret hopper over",IF(OR(NOT(ISNUMBER(B1837)),B1837&lt;DATE(2027,1,1),B1837&gt;DATE(2027,12,31)),"Datoen er ikke i 2027",""))))))</f>
        <v/>
      </c>
    </row>
    <row r="1838">
      <c r="A1838" s="17" t="n"/>
      <c r="B1838" s="9" t="n"/>
      <c r="C1838" s="8" t="n"/>
      <c r="D1838" s="8" t="n"/>
      <c r="E1838" s="8" t="n"/>
      <c r="F1838" s="14" t="n"/>
      <c r="G1838" s="14" t="n"/>
      <c r="H1838" s="8" t="n"/>
      <c r="I1838" s="8" t="n"/>
      <c r="J1838" s="8" t="n"/>
      <c r="K1838" s="18">
        <f>IF(B1838="","",IFERROR(MONTH(B1838),""))</f>
        <v/>
      </c>
      <c r="L1838" s="5">
        <f>IF(COUNTA(A1838:J1838)=0,"",IF(E1838="","Mangler motkonto",IF((F1838="")=(G1838=""),"Fyll ut enten Inn eller Ut",IF(OR(IFERROR(INDEX('Kontoplan'!$D$3:$D$302,MATCH(D1838,'Kontoplan'!$H$3:$H$302,0))="Støttes ikke",FALSE),IFERROR(INDEX('Kontoplan'!$D$3:$D$302,MATCH(E1838,'Kontoplan'!$H$3:$H$302,0))="Støttes ikke",FALSE)),"Kontoen støttes ikke",IF(IFERROR(AND(A1838&gt;1,COUNTIF($A$3:$A$2002,A1838-1)=0),FALSE),"Nummeret hopper over",IF(OR(NOT(ISNUMBER(B1838)),B1838&lt;DATE(2027,1,1),B1838&gt;DATE(2027,12,31)),"Datoen er ikke i 2027",""))))))</f>
        <v/>
      </c>
    </row>
    <row r="1839">
      <c r="A1839" s="17" t="n"/>
      <c r="B1839" s="9" t="n"/>
      <c r="C1839" s="8" t="n"/>
      <c r="D1839" s="8" t="n"/>
      <c r="E1839" s="8" t="n"/>
      <c r="F1839" s="14" t="n"/>
      <c r="G1839" s="14" t="n"/>
      <c r="H1839" s="8" t="n"/>
      <c r="I1839" s="8" t="n"/>
      <c r="J1839" s="8" t="n"/>
      <c r="K1839" s="18">
        <f>IF(B1839="","",IFERROR(MONTH(B1839),""))</f>
        <v/>
      </c>
      <c r="L1839" s="5">
        <f>IF(COUNTA(A1839:J1839)=0,"",IF(E1839="","Mangler motkonto",IF((F1839="")=(G1839=""),"Fyll ut enten Inn eller Ut",IF(OR(IFERROR(INDEX('Kontoplan'!$D$3:$D$302,MATCH(D1839,'Kontoplan'!$H$3:$H$302,0))="Støttes ikke",FALSE),IFERROR(INDEX('Kontoplan'!$D$3:$D$302,MATCH(E1839,'Kontoplan'!$H$3:$H$302,0))="Støttes ikke",FALSE)),"Kontoen støttes ikke",IF(IFERROR(AND(A1839&gt;1,COUNTIF($A$3:$A$2002,A1839-1)=0),FALSE),"Nummeret hopper over",IF(OR(NOT(ISNUMBER(B1839)),B1839&lt;DATE(2027,1,1),B1839&gt;DATE(2027,12,31)),"Datoen er ikke i 2027",""))))))</f>
        <v/>
      </c>
    </row>
    <row r="1840">
      <c r="A1840" s="17" t="n"/>
      <c r="B1840" s="9" t="n"/>
      <c r="C1840" s="8" t="n"/>
      <c r="D1840" s="8" t="n"/>
      <c r="E1840" s="8" t="n"/>
      <c r="F1840" s="14" t="n"/>
      <c r="G1840" s="14" t="n"/>
      <c r="H1840" s="8" t="n"/>
      <c r="I1840" s="8" t="n"/>
      <c r="J1840" s="8" t="n"/>
      <c r="K1840" s="18">
        <f>IF(B1840="","",IFERROR(MONTH(B1840),""))</f>
        <v/>
      </c>
      <c r="L1840" s="5">
        <f>IF(COUNTA(A1840:J1840)=0,"",IF(E1840="","Mangler motkonto",IF((F1840="")=(G1840=""),"Fyll ut enten Inn eller Ut",IF(OR(IFERROR(INDEX('Kontoplan'!$D$3:$D$302,MATCH(D1840,'Kontoplan'!$H$3:$H$302,0))="Støttes ikke",FALSE),IFERROR(INDEX('Kontoplan'!$D$3:$D$302,MATCH(E1840,'Kontoplan'!$H$3:$H$302,0))="Støttes ikke",FALSE)),"Kontoen støttes ikke",IF(IFERROR(AND(A1840&gt;1,COUNTIF($A$3:$A$2002,A1840-1)=0),FALSE),"Nummeret hopper over",IF(OR(NOT(ISNUMBER(B1840)),B1840&lt;DATE(2027,1,1),B1840&gt;DATE(2027,12,31)),"Datoen er ikke i 2027",""))))))</f>
        <v/>
      </c>
    </row>
    <row r="1841">
      <c r="A1841" s="17" t="n"/>
      <c r="B1841" s="9" t="n"/>
      <c r="C1841" s="8" t="n"/>
      <c r="D1841" s="8" t="n"/>
      <c r="E1841" s="8" t="n"/>
      <c r="F1841" s="14" t="n"/>
      <c r="G1841" s="14" t="n"/>
      <c r="H1841" s="8" t="n"/>
      <c r="I1841" s="8" t="n"/>
      <c r="J1841" s="8" t="n"/>
      <c r="K1841" s="18">
        <f>IF(B1841="","",IFERROR(MONTH(B1841),""))</f>
        <v/>
      </c>
      <c r="L1841" s="5">
        <f>IF(COUNTA(A1841:J1841)=0,"",IF(E1841="","Mangler motkonto",IF((F1841="")=(G1841=""),"Fyll ut enten Inn eller Ut",IF(OR(IFERROR(INDEX('Kontoplan'!$D$3:$D$302,MATCH(D1841,'Kontoplan'!$H$3:$H$302,0))="Støttes ikke",FALSE),IFERROR(INDEX('Kontoplan'!$D$3:$D$302,MATCH(E1841,'Kontoplan'!$H$3:$H$302,0))="Støttes ikke",FALSE)),"Kontoen støttes ikke",IF(IFERROR(AND(A1841&gt;1,COUNTIF($A$3:$A$2002,A1841-1)=0),FALSE),"Nummeret hopper over",IF(OR(NOT(ISNUMBER(B1841)),B1841&lt;DATE(2027,1,1),B1841&gt;DATE(2027,12,31)),"Datoen er ikke i 2027",""))))))</f>
        <v/>
      </c>
    </row>
    <row r="1842">
      <c r="A1842" s="17" t="n"/>
      <c r="B1842" s="9" t="n"/>
      <c r="C1842" s="8" t="n"/>
      <c r="D1842" s="8" t="n"/>
      <c r="E1842" s="8" t="n"/>
      <c r="F1842" s="14" t="n"/>
      <c r="G1842" s="14" t="n"/>
      <c r="H1842" s="8" t="n"/>
      <c r="I1842" s="8" t="n"/>
      <c r="J1842" s="8" t="n"/>
      <c r="K1842" s="18">
        <f>IF(B1842="","",IFERROR(MONTH(B1842),""))</f>
        <v/>
      </c>
      <c r="L1842" s="5">
        <f>IF(COUNTA(A1842:J1842)=0,"",IF(E1842="","Mangler motkonto",IF((F1842="")=(G1842=""),"Fyll ut enten Inn eller Ut",IF(OR(IFERROR(INDEX('Kontoplan'!$D$3:$D$302,MATCH(D1842,'Kontoplan'!$H$3:$H$302,0))="Støttes ikke",FALSE),IFERROR(INDEX('Kontoplan'!$D$3:$D$302,MATCH(E1842,'Kontoplan'!$H$3:$H$302,0))="Støttes ikke",FALSE)),"Kontoen støttes ikke",IF(IFERROR(AND(A1842&gt;1,COUNTIF($A$3:$A$2002,A1842-1)=0),FALSE),"Nummeret hopper over",IF(OR(NOT(ISNUMBER(B1842)),B1842&lt;DATE(2027,1,1),B1842&gt;DATE(2027,12,31)),"Datoen er ikke i 2027",""))))))</f>
        <v/>
      </c>
    </row>
    <row r="1843">
      <c r="A1843" s="17" t="n"/>
      <c r="B1843" s="9" t="n"/>
      <c r="C1843" s="8" t="n"/>
      <c r="D1843" s="8" t="n"/>
      <c r="E1843" s="8" t="n"/>
      <c r="F1843" s="14" t="n"/>
      <c r="G1843" s="14" t="n"/>
      <c r="H1843" s="8" t="n"/>
      <c r="I1843" s="8" t="n"/>
      <c r="J1843" s="8" t="n"/>
      <c r="K1843" s="18">
        <f>IF(B1843="","",IFERROR(MONTH(B1843),""))</f>
        <v/>
      </c>
      <c r="L1843" s="5">
        <f>IF(COUNTA(A1843:J1843)=0,"",IF(E1843="","Mangler motkonto",IF((F1843="")=(G1843=""),"Fyll ut enten Inn eller Ut",IF(OR(IFERROR(INDEX('Kontoplan'!$D$3:$D$302,MATCH(D1843,'Kontoplan'!$H$3:$H$302,0))="Støttes ikke",FALSE),IFERROR(INDEX('Kontoplan'!$D$3:$D$302,MATCH(E1843,'Kontoplan'!$H$3:$H$302,0))="Støttes ikke",FALSE)),"Kontoen støttes ikke",IF(IFERROR(AND(A1843&gt;1,COUNTIF($A$3:$A$2002,A1843-1)=0),FALSE),"Nummeret hopper over",IF(OR(NOT(ISNUMBER(B1843)),B1843&lt;DATE(2027,1,1),B1843&gt;DATE(2027,12,31)),"Datoen er ikke i 2027",""))))))</f>
        <v/>
      </c>
    </row>
    <row r="1844">
      <c r="A1844" s="17" t="n"/>
      <c r="B1844" s="9" t="n"/>
      <c r="C1844" s="8" t="n"/>
      <c r="D1844" s="8" t="n"/>
      <c r="E1844" s="8" t="n"/>
      <c r="F1844" s="14" t="n"/>
      <c r="G1844" s="14" t="n"/>
      <c r="H1844" s="8" t="n"/>
      <c r="I1844" s="8" t="n"/>
      <c r="J1844" s="8" t="n"/>
      <c r="K1844" s="18">
        <f>IF(B1844="","",IFERROR(MONTH(B1844),""))</f>
        <v/>
      </c>
      <c r="L1844" s="5">
        <f>IF(COUNTA(A1844:J1844)=0,"",IF(E1844="","Mangler motkonto",IF((F1844="")=(G1844=""),"Fyll ut enten Inn eller Ut",IF(OR(IFERROR(INDEX('Kontoplan'!$D$3:$D$302,MATCH(D1844,'Kontoplan'!$H$3:$H$302,0))="Støttes ikke",FALSE),IFERROR(INDEX('Kontoplan'!$D$3:$D$302,MATCH(E1844,'Kontoplan'!$H$3:$H$302,0))="Støttes ikke",FALSE)),"Kontoen støttes ikke",IF(IFERROR(AND(A1844&gt;1,COUNTIF($A$3:$A$2002,A1844-1)=0),FALSE),"Nummeret hopper over",IF(OR(NOT(ISNUMBER(B1844)),B1844&lt;DATE(2027,1,1),B1844&gt;DATE(2027,12,31)),"Datoen er ikke i 2027",""))))))</f>
        <v/>
      </c>
    </row>
    <row r="1845">
      <c r="A1845" s="17" t="n"/>
      <c r="B1845" s="9" t="n"/>
      <c r="C1845" s="8" t="n"/>
      <c r="D1845" s="8" t="n"/>
      <c r="E1845" s="8" t="n"/>
      <c r="F1845" s="14" t="n"/>
      <c r="G1845" s="14" t="n"/>
      <c r="H1845" s="8" t="n"/>
      <c r="I1845" s="8" t="n"/>
      <c r="J1845" s="8" t="n"/>
      <c r="K1845" s="18">
        <f>IF(B1845="","",IFERROR(MONTH(B1845),""))</f>
        <v/>
      </c>
      <c r="L1845" s="5">
        <f>IF(COUNTA(A1845:J1845)=0,"",IF(E1845="","Mangler motkonto",IF((F1845="")=(G1845=""),"Fyll ut enten Inn eller Ut",IF(OR(IFERROR(INDEX('Kontoplan'!$D$3:$D$302,MATCH(D1845,'Kontoplan'!$H$3:$H$302,0))="Støttes ikke",FALSE),IFERROR(INDEX('Kontoplan'!$D$3:$D$302,MATCH(E1845,'Kontoplan'!$H$3:$H$302,0))="Støttes ikke",FALSE)),"Kontoen støttes ikke",IF(IFERROR(AND(A1845&gt;1,COUNTIF($A$3:$A$2002,A1845-1)=0),FALSE),"Nummeret hopper over",IF(OR(NOT(ISNUMBER(B1845)),B1845&lt;DATE(2027,1,1),B1845&gt;DATE(2027,12,31)),"Datoen er ikke i 2027",""))))))</f>
        <v/>
      </c>
    </row>
    <row r="1846">
      <c r="A1846" s="17" t="n"/>
      <c r="B1846" s="9" t="n"/>
      <c r="C1846" s="8" t="n"/>
      <c r="D1846" s="8" t="n"/>
      <c r="E1846" s="8" t="n"/>
      <c r="F1846" s="14" t="n"/>
      <c r="G1846" s="14" t="n"/>
      <c r="H1846" s="8" t="n"/>
      <c r="I1846" s="8" t="n"/>
      <c r="J1846" s="8" t="n"/>
      <c r="K1846" s="18">
        <f>IF(B1846="","",IFERROR(MONTH(B1846),""))</f>
        <v/>
      </c>
      <c r="L1846" s="5">
        <f>IF(COUNTA(A1846:J1846)=0,"",IF(E1846="","Mangler motkonto",IF((F1846="")=(G1846=""),"Fyll ut enten Inn eller Ut",IF(OR(IFERROR(INDEX('Kontoplan'!$D$3:$D$302,MATCH(D1846,'Kontoplan'!$H$3:$H$302,0))="Støttes ikke",FALSE),IFERROR(INDEX('Kontoplan'!$D$3:$D$302,MATCH(E1846,'Kontoplan'!$H$3:$H$302,0))="Støttes ikke",FALSE)),"Kontoen støttes ikke",IF(IFERROR(AND(A1846&gt;1,COUNTIF($A$3:$A$2002,A1846-1)=0),FALSE),"Nummeret hopper over",IF(OR(NOT(ISNUMBER(B1846)),B1846&lt;DATE(2027,1,1),B1846&gt;DATE(2027,12,31)),"Datoen er ikke i 2027",""))))))</f>
        <v/>
      </c>
    </row>
    <row r="1847">
      <c r="A1847" s="17" t="n"/>
      <c r="B1847" s="9" t="n"/>
      <c r="C1847" s="8" t="n"/>
      <c r="D1847" s="8" t="n"/>
      <c r="E1847" s="8" t="n"/>
      <c r="F1847" s="14" t="n"/>
      <c r="G1847" s="14" t="n"/>
      <c r="H1847" s="8" t="n"/>
      <c r="I1847" s="8" t="n"/>
      <c r="J1847" s="8" t="n"/>
      <c r="K1847" s="18">
        <f>IF(B1847="","",IFERROR(MONTH(B1847),""))</f>
        <v/>
      </c>
      <c r="L1847" s="5">
        <f>IF(COUNTA(A1847:J1847)=0,"",IF(E1847="","Mangler motkonto",IF((F1847="")=(G1847=""),"Fyll ut enten Inn eller Ut",IF(OR(IFERROR(INDEX('Kontoplan'!$D$3:$D$302,MATCH(D1847,'Kontoplan'!$H$3:$H$302,0))="Støttes ikke",FALSE),IFERROR(INDEX('Kontoplan'!$D$3:$D$302,MATCH(E1847,'Kontoplan'!$H$3:$H$302,0))="Støttes ikke",FALSE)),"Kontoen støttes ikke",IF(IFERROR(AND(A1847&gt;1,COUNTIF($A$3:$A$2002,A1847-1)=0),FALSE),"Nummeret hopper over",IF(OR(NOT(ISNUMBER(B1847)),B1847&lt;DATE(2027,1,1),B1847&gt;DATE(2027,12,31)),"Datoen er ikke i 2027",""))))))</f>
        <v/>
      </c>
    </row>
    <row r="1848">
      <c r="A1848" s="17" t="n"/>
      <c r="B1848" s="9" t="n"/>
      <c r="C1848" s="8" t="n"/>
      <c r="D1848" s="8" t="n"/>
      <c r="E1848" s="8" t="n"/>
      <c r="F1848" s="14" t="n"/>
      <c r="G1848" s="14" t="n"/>
      <c r="H1848" s="8" t="n"/>
      <c r="I1848" s="8" t="n"/>
      <c r="J1848" s="8" t="n"/>
      <c r="K1848" s="18">
        <f>IF(B1848="","",IFERROR(MONTH(B1848),""))</f>
        <v/>
      </c>
      <c r="L1848" s="5">
        <f>IF(COUNTA(A1848:J1848)=0,"",IF(E1848="","Mangler motkonto",IF((F1848="")=(G1848=""),"Fyll ut enten Inn eller Ut",IF(OR(IFERROR(INDEX('Kontoplan'!$D$3:$D$302,MATCH(D1848,'Kontoplan'!$H$3:$H$302,0))="Støttes ikke",FALSE),IFERROR(INDEX('Kontoplan'!$D$3:$D$302,MATCH(E1848,'Kontoplan'!$H$3:$H$302,0))="Støttes ikke",FALSE)),"Kontoen støttes ikke",IF(IFERROR(AND(A1848&gt;1,COUNTIF($A$3:$A$2002,A1848-1)=0),FALSE),"Nummeret hopper over",IF(OR(NOT(ISNUMBER(B1848)),B1848&lt;DATE(2027,1,1),B1848&gt;DATE(2027,12,31)),"Datoen er ikke i 2027",""))))))</f>
        <v/>
      </c>
    </row>
    <row r="1849">
      <c r="A1849" s="17" t="n"/>
      <c r="B1849" s="9" t="n"/>
      <c r="C1849" s="8" t="n"/>
      <c r="D1849" s="8" t="n"/>
      <c r="E1849" s="8" t="n"/>
      <c r="F1849" s="14" t="n"/>
      <c r="G1849" s="14" t="n"/>
      <c r="H1849" s="8" t="n"/>
      <c r="I1849" s="8" t="n"/>
      <c r="J1849" s="8" t="n"/>
      <c r="K1849" s="18">
        <f>IF(B1849="","",IFERROR(MONTH(B1849),""))</f>
        <v/>
      </c>
      <c r="L1849" s="5">
        <f>IF(COUNTA(A1849:J1849)=0,"",IF(E1849="","Mangler motkonto",IF((F1849="")=(G1849=""),"Fyll ut enten Inn eller Ut",IF(OR(IFERROR(INDEX('Kontoplan'!$D$3:$D$302,MATCH(D1849,'Kontoplan'!$H$3:$H$302,0))="Støttes ikke",FALSE),IFERROR(INDEX('Kontoplan'!$D$3:$D$302,MATCH(E1849,'Kontoplan'!$H$3:$H$302,0))="Støttes ikke",FALSE)),"Kontoen støttes ikke",IF(IFERROR(AND(A1849&gt;1,COUNTIF($A$3:$A$2002,A1849-1)=0),FALSE),"Nummeret hopper over",IF(OR(NOT(ISNUMBER(B1849)),B1849&lt;DATE(2027,1,1),B1849&gt;DATE(2027,12,31)),"Datoen er ikke i 2027",""))))))</f>
        <v/>
      </c>
    </row>
    <row r="1850">
      <c r="A1850" s="17" t="n"/>
      <c r="B1850" s="9" t="n"/>
      <c r="C1850" s="8" t="n"/>
      <c r="D1850" s="8" t="n"/>
      <c r="E1850" s="8" t="n"/>
      <c r="F1850" s="14" t="n"/>
      <c r="G1850" s="14" t="n"/>
      <c r="H1850" s="8" t="n"/>
      <c r="I1850" s="8" t="n"/>
      <c r="J1850" s="8" t="n"/>
      <c r="K1850" s="18">
        <f>IF(B1850="","",IFERROR(MONTH(B1850),""))</f>
        <v/>
      </c>
      <c r="L1850" s="5">
        <f>IF(COUNTA(A1850:J1850)=0,"",IF(E1850="","Mangler motkonto",IF((F1850="")=(G1850=""),"Fyll ut enten Inn eller Ut",IF(OR(IFERROR(INDEX('Kontoplan'!$D$3:$D$302,MATCH(D1850,'Kontoplan'!$H$3:$H$302,0))="Støttes ikke",FALSE),IFERROR(INDEX('Kontoplan'!$D$3:$D$302,MATCH(E1850,'Kontoplan'!$H$3:$H$302,0))="Støttes ikke",FALSE)),"Kontoen støttes ikke",IF(IFERROR(AND(A1850&gt;1,COUNTIF($A$3:$A$2002,A1850-1)=0),FALSE),"Nummeret hopper over",IF(OR(NOT(ISNUMBER(B1850)),B1850&lt;DATE(2027,1,1),B1850&gt;DATE(2027,12,31)),"Datoen er ikke i 2027",""))))))</f>
        <v/>
      </c>
    </row>
    <row r="1851">
      <c r="A1851" s="17" t="n"/>
      <c r="B1851" s="9" t="n"/>
      <c r="C1851" s="8" t="n"/>
      <c r="D1851" s="8" t="n"/>
      <c r="E1851" s="8" t="n"/>
      <c r="F1851" s="14" t="n"/>
      <c r="G1851" s="14" t="n"/>
      <c r="H1851" s="8" t="n"/>
      <c r="I1851" s="8" t="n"/>
      <c r="J1851" s="8" t="n"/>
      <c r="K1851" s="18">
        <f>IF(B1851="","",IFERROR(MONTH(B1851),""))</f>
        <v/>
      </c>
      <c r="L1851" s="5">
        <f>IF(COUNTA(A1851:J1851)=0,"",IF(E1851="","Mangler motkonto",IF((F1851="")=(G1851=""),"Fyll ut enten Inn eller Ut",IF(OR(IFERROR(INDEX('Kontoplan'!$D$3:$D$302,MATCH(D1851,'Kontoplan'!$H$3:$H$302,0))="Støttes ikke",FALSE),IFERROR(INDEX('Kontoplan'!$D$3:$D$302,MATCH(E1851,'Kontoplan'!$H$3:$H$302,0))="Støttes ikke",FALSE)),"Kontoen støttes ikke",IF(IFERROR(AND(A1851&gt;1,COUNTIF($A$3:$A$2002,A1851-1)=0),FALSE),"Nummeret hopper over",IF(OR(NOT(ISNUMBER(B1851)),B1851&lt;DATE(2027,1,1),B1851&gt;DATE(2027,12,31)),"Datoen er ikke i 2027",""))))))</f>
        <v/>
      </c>
    </row>
    <row r="1852">
      <c r="A1852" s="17" t="n"/>
      <c r="B1852" s="9" t="n"/>
      <c r="C1852" s="8" t="n"/>
      <c r="D1852" s="8" t="n"/>
      <c r="E1852" s="8" t="n"/>
      <c r="F1852" s="14" t="n"/>
      <c r="G1852" s="14" t="n"/>
      <c r="H1852" s="8" t="n"/>
      <c r="I1852" s="8" t="n"/>
      <c r="J1852" s="8" t="n"/>
      <c r="K1852" s="18">
        <f>IF(B1852="","",IFERROR(MONTH(B1852),""))</f>
        <v/>
      </c>
      <c r="L1852" s="5">
        <f>IF(COUNTA(A1852:J1852)=0,"",IF(E1852="","Mangler motkonto",IF((F1852="")=(G1852=""),"Fyll ut enten Inn eller Ut",IF(OR(IFERROR(INDEX('Kontoplan'!$D$3:$D$302,MATCH(D1852,'Kontoplan'!$H$3:$H$302,0))="Støttes ikke",FALSE),IFERROR(INDEX('Kontoplan'!$D$3:$D$302,MATCH(E1852,'Kontoplan'!$H$3:$H$302,0))="Støttes ikke",FALSE)),"Kontoen støttes ikke",IF(IFERROR(AND(A1852&gt;1,COUNTIF($A$3:$A$2002,A1852-1)=0),FALSE),"Nummeret hopper over",IF(OR(NOT(ISNUMBER(B1852)),B1852&lt;DATE(2027,1,1),B1852&gt;DATE(2027,12,31)),"Datoen er ikke i 2027",""))))))</f>
        <v/>
      </c>
    </row>
    <row r="1853">
      <c r="A1853" s="17" t="n"/>
      <c r="B1853" s="9" t="n"/>
      <c r="C1853" s="8" t="n"/>
      <c r="D1853" s="8" t="n"/>
      <c r="E1853" s="8" t="n"/>
      <c r="F1853" s="14" t="n"/>
      <c r="G1853" s="14" t="n"/>
      <c r="H1853" s="8" t="n"/>
      <c r="I1853" s="8" t="n"/>
      <c r="J1853" s="8" t="n"/>
      <c r="K1853" s="18">
        <f>IF(B1853="","",IFERROR(MONTH(B1853),""))</f>
        <v/>
      </c>
      <c r="L1853" s="5">
        <f>IF(COUNTA(A1853:J1853)=0,"",IF(E1853="","Mangler motkonto",IF((F1853="")=(G1853=""),"Fyll ut enten Inn eller Ut",IF(OR(IFERROR(INDEX('Kontoplan'!$D$3:$D$302,MATCH(D1853,'Kontoplan'!$H$3:$H$302,0))="Støttes ikke",FALSE),IFERROR(INDEX('Kontoplan'!$D$3:$D$302,MATCH(E1853,'Kontoplan'!$H$3:$H$302,0))="Støttes ikke",FALSE)),"Kontoen støttes ikke",IF(IFERROR(AND(A1853&gt;1,COUNTIF($A$3:$A$2002,A1853-1)=0),FALSE),"Nummeret hopper over",IF(OR(NOT(ISNUMBER(B1853)),B1853&lt;DATE(2027,1,1),B1853&gt;DATE(2027,12,31)),"Datoen er ikke i 2027",""))))))</f>
        <v/>
      </c>
    </row>
    <row r="1854">
      <c r="A1854" s="17" t="n"/>
      <c r="B1854" s="9" t="n"/>
      <c r="C1854" s="8" t="n"/>
      <c r="D1854" s="8" t="n"/>
      <c r="E1854" s="8" t="n"/>
      <c r="F1854" s="14" t="n"/>
      <c r="G1854" s="14" t="n"/>
      <c r="H1854" s="8" t="n"/>
      <c r="I1854" s="8" t="n"/>
      <c r="J1854" s="8" t="n"/>
      <c r="K1854" s="18">
        <f>IF(B1854="","",IFERROR(MONTH(B1854),""))</f>
        <v/>
      </c>
      <c r="L1854" s="5">
        <f>IF(COUNTA(A1854:J1854)=0,"",IF(E1854="","Mangler motkonto",IF((F1854="")=(G1854=""),"Fyll ut enten Inn eller Ut",IF(OR(IFERROR(INDEX('Kontoplan'!$D$3:$D$302,MATCH(D1854,'Kontoplan'!$H$3:$H$302,0))="Støttes ikke",FALSE),IFERROR(INDEX('Kontoplan'!$D$3:$D$302,MATCH(E1854,'Kontoplan'!$H$3:$H$302,0))="Støttes ikke",FALSE)),"Kontoen støttes ikke",IF(IFERROR(AND(A1854&gt;1,COUNTIF($A$3:$A$2002,A1854-1)=0),FALSE),"Nummeret hopper over",IF(OR(NOT(ISNUMBER(B1854)),B1854&lt;DATE(2027,1,1),B1854&gt;DATE(2027,12,31)),"Datoen er ikke i 2027",""))))))</f>
        <v/>
      </c>
    </row>
    <row r="1855">
      <c r="A1855" s="17" t="n"/>
      <c r="B1855" s="9" t="n"/>
      <c r="C1855" s="8" t="n"/>
      <c r="D1855" s="8" t="n"/>
      <c r="E1855" s="8" t="n"/>
      <c r="F1855" s="14" t="n"/>
      <c r="G1855" s="14" t="n"/>
      <c r="H1855" s="8" t="n"/>
      <c r="I1855" s="8" t="n"/>
      <c r="J1855" s="8" t="n"/>
      <c r="K1855" s="18">
        <f>IF(B1855="","",IFERROR(MONTH(B1855),""))</f>
        <v/>
      </c>
      <c r="L1855" s="5">
        <f>IF(COUNTA(A1855:J1855)=0,"",IF(E1855="","Mangler motkonto",IF((F1855="")=(G1855=""),"Fyll ut enten Inn eller Ut",IF(OR(IFERROR(INDEX('Kontoplan'!$D$3:$D$302,MATCH(D1855,'Kontoplan'!$H$3:$H$302,0))="Støttes ikke",FALSE),IFERROR(INDEX('Kontoplan'!$D$3:$D$302,MATCH(E1855,'Kontoplan'!$H$3:$H$302,0))="Støttes ikke",FALSE)),"Kontoen støttes ikke",IF(IFERROR(AND(A1855&gt;1,COUNTIF($A$3:$A$2002,A1855-1)=0),FALSE),"Nummeret hopper over",IF(OR(NOT(ISNUMBER(B1855)),B1855&lt;DATE(2027,1,1),B1855&gt;DATE(2027,12,31)),"Datoen er ikke i 2027",""))))))</f>
        <v/>
      </c>
    </row>
    <row r="1856">
      <c r="A1856" s="17" t="n"/>
      <c r="B1856" s="9" t="n"/>
      <c r="C1856" s="8" t="n"/>
      <c r="D1856" s="8" t="n"/>
      <c r="E1856" s="8" t="n"/>
      <c r="F1856" s="14" t="n"/>
      <c r="G1856" s="14" t="n"/>
      <c r="H1856" s="8" t="n"/>
      <c r="I1856" s="8" t="n"/>
      <c r="J1856" s="8" t="n"/>
      <c r="K1856" s="18">
        <f>IF(B1856="","",IFERROR(MONTH(B1856),""))</f>
        <v/>
      </c>
      <c r="L1856" s="5">
        <f>IF(COUNTA(A1856:J1856)=0,"",IF(E1856="","Mangler motkonto",IF((F1856="")=(G1856=""),"Fyll ut enten Inn eller Ut",IF(OR(IFERROR(INDEX('Kontoplan'!$D$3:$D$302,MATCH(D1856,'Kontoplan'!$H$3:$H$302,0))="Støttes ikke",FALSE),IFERROR(INDEX('Kontoplan'!$D$3:$D$302,MATCH(E1856,'Kontoplan'!$H$3:$H$302,0))="Støttes ikke",FALSE)),"Kontoen støttes ikke",IF(IFERROR(AND(A1856&gt;1,COUNTIF($A$3:$A$2002,A1856-1)=0),FALSE),"Nummeret hopper over",IF(OR(NOT(ISNUMBER(B1856)),B1856&lt;DATE(2027,1,1),B1856&gt;DATE(2027,12,31)),"Datoen er ikke i 2027",""))))))</f>
        <v/>
      </c>
    </row>
    <row r="1857">
      <c r="A1857" s="17" t="n"/>
      <c r="B1857" s="9" t="n"/>
      <c r="C1857" s="8" t="n"/>
      <c r="D1857" s="8" t="n"/>
      <c r="E1857" s="8" t="n"/>
      <c r="F1857" s="14" t="n"/>
      <c r="G1857" s="14" t="n"/>
      <c r="H1857" s="8" t="n"/>
      <c r="I1857" s="8" t="n"/>
      <c r="J1857" s="8" t="n"/>
      <c r="K1857" s="18">
        <f>IF(B1857="","",IFERROR(MONTH(B1857),""))</f>
        <v/>
      </c>
      <c r="L1857" s="5">
        <f>IF(COUNTA(A1857:J1857)=0,"",IF(E1857="","Mangler motkonto",IF((F1857="")=(G1857=""),"Fyll ut enten Inn eller Ut",IF(OR(IFERROR(INDEX('Kontoplan'!$D$3:$D$302,MATCH(D1857,'Kontoplan'!$H$3:$H$302,0))="Støttes ikke",FALSE),IFERROR(INDEX('Kontoplan'!$D$3:$D$302,MATCH(E1857,'Kontoplan'!$H$3:$H$302,0))="Støttes ikke",FALSE)),"Kontoen støttes ikke",IF(IFERROR(AND(A1857&gt;1,COUNTIF($A$3:$A$2002,A1857-1)=0),FALSE),"Nummeret hopper over",IF(OR(NOT(ISNUMBER(B1857)),B1857&lt;DATE(2027,1,1),B1857&gt;DATE(2027,12,31)),"Datoen er ikke i 2027",""))))))</f>
        <v/>
      </c>
    </row>
    <row r="1858">
      <c r="A1858" s="17" t="n"/>
      <c r="B1858" s="9" t="n"/>
      <c r="C1858" s="8" t="n"/>
      <c r="D1858" s="8" t="n"/>
      <c r="E1858" s="8" t="n"/>
      <c r="F1858" s="14" t="n"/>
      <c r="G1858" s="14" t="n"/>
      <c r="H1858" s="8" t="n"/>
      <c r="I1858" s="8" t="n"/>
      <c r="J1858" s="8" t="n"/>
      <c r="K1858" s="18">
        <f>IF(B1858="","",IFERROR(MONTH(B1858),""))</f>
        <v/>
      </c>
      <c r="L1858" s="5">
        <f>IF(COUNTA(A1858:J1858)=0,"",IF(E1858="","Mangler motkonto",IF((F1858="")=(G1858=""),"Fyll ut enten Inn eller Ut",IF(OR(IFERROR(INDEX('Kontoplan'!$D$3:$D$302,MATCH(D1858,'Kontoplan'!$H$3:$H$302,0))="Støttes ikke",FALSE),IFERROR(INDEX('Kontoplan'!$D$3:$D$302,MATCH(E1858,'Kontoplan'!$H$3:$H$302,0))="Støttes ikke",FALSE)),"Kontoen støttes ikke",IF(IFERROR(AND(A1858&gt;1,COUNTIF($A$3:$A$2002,A1858-1)=0),FALSE),"Nummeret hopper over",IF(OR(NOT(ISNUMBER(B1858)),B1858&lt;DATE(2027,1,1),B1858&gt;DATE(2027,12,31)),"Datoen er ikke i 2027",""))))))</f>
        <v/>
      </c>
    </row>
    <row r="1859">
      <c r="A1859" s="17" t="n"/>
      <c r="B1859" s="9" t="n"/>
      <c r="C1859" s="8" t="n"/>
      <c r="D1859" s="8" t="n"/>
      <c r="E1859" s="8" t="n"/>
      <c r="F1859" s="14" t="n"/>
      <c r="G1859" s="14" t="n"/>
      <c r="H1859" s="8" t="n"/>
      <c r="I1859" s="8" t="n"/>
      <c r="J1859" s="8" t="n"/>
      <c r="K1859" s="18">
        <f>IF(B1859="","",IFERROR(MONTH(B1859),""))</f>
        <v/>
      </c>
      <c r="L1859" s="5">
        <f>IF(COUNTA(A1859:J1859)=0,"",IF(E1859="","Mangler motkonto",IF((F1859="")=(G1859=""),"Fyll ut enten Inn eller Ut",IF(OR(IFERROR(INDEX('Kontoplan'!$D$3:$D$302,MATCH(D1859,'Kontoplan'!$H$3:$H$302,0))="Støttes ikke",FALSE),IFERROR(INDEX('Kontoplan'!$D$3:$D$302,MATCH(E1859,'Kontoplan'!$H$3:$H$302,0))="Støttes ikke",FALSE)),"Kontoen støttes ikke",IF(IFERROR(AND(A1859&gt;1,COUNTIF($A$3:$A$2002,A1859-1)=0),FALSE),"Nummeret hopper over",IF(OR(NOT(ISNUMBER(B1859)),B1859&lt;DATE(2027,1,1),B1859&gt;DATE(2027,12,31)),"Datoen er ikke i 2027",""))))))</f>
        <v/>
      </c>
    </row>
    <row r="1860">
      <c r="A1860" s="17" t="n"/>
      <c r="B1860" s="9" t="n"/>
      <c r="C1860" s="8" t="n"/>
      <c r="D1860" s="8" t="n"/>
      <c r="E1860" s="8" t="n"/>
      <c r="F1860" s="14" t="n"/>
      <c r="G1860" s="14" t="n"/>
      <c r="H1860" s="8" t="n"/>
      <c r="I1860" s="8" t="n"/>
      <c r="J1860" s="8" t="n"/>
      <c r="K1860" s="18">
        <f>IF(B1860="","",IFERROR(MONTH(B1860),""))</f>
        <v/>
      </c>
      <c r="L1860" s="5">
        <f>IF(COUNTA(A1860:J1860)=0,"",IF(E1860="","Mangler motkonto",IF((F1860="")=(G1860=""),"Fyll ut enten Inn eller Ut",IF(OR(IFERROR(INDEX('Kontoplan'!$D$3:$D$302,MATCH(D1860,'Kontoplan'!$H$3:$H$302,0))="Støttes ikke",FALSE),IFERROR(INDEX('Kontoplan'!$D$3:$D$302,MATCH(E1860,'Kontoplan'!$H$3:$H$302,0))="Støttes ikke",FALSE)),"Kontoen støttes ikke",IF(IFERROR(AND(A1860&gt;1,COUNTIF($A$3:$A$2002,A1860-1)=0),FALSE),"Nummeret hopper over",IF(OR(NOT(ISNUMBER(B1860)),B1860&lt;DATE(2027,1,1),B1860&gt;DATE(2027,12,31)),"Datoen er ikke i 2027",""))))))</f>
        <v/>
      </c>
    </row>
    <row r="1861">
      <c r="A1861" s="17" t="n"/>
      <c r="B1861" s="9" t="n"/>
      <c r="C1861" s="8" t="n"/>
      <c r="D1861" s="8" t="n"/>
      <c r="E1861" s="8" t="n"/>
      <c r="F1861" s="14" t="n"/>
      <c r="G1861" s="14" t="n"/>
      <c r="H1861" s="8" t="n"/>
      <c r="I1861" s="8" t="n"/>
      <c r="J1861" s="8" t="n"/>
      <c r="K1861" s="18">
        <f>IF(B1861="","",IFERROR(MONTH(B1861),""))</f>
        <v/>
      </c>
      <c r="L1861" s="5">
        <f>IF(COUNTA(A1861:J1861)=0,"",IF(E1861="","Mangler motkonto",IF((F1861="")=(G1861=""),"Fyll ut enten Inn eller Ut",IF(OR(IFERROR(INDEX('Kontoplan'!$D$3:$D$302,MATCH(D1861,'Kontoplan'!$H$3:$H$302,0))="Støttes ikke",FALSE),IFERROR(INDEX('Kontoplan'!$D$3:$D$302,MATCH(E1861,'Kontoplan'!$H$3:$H$302,0))="Støttes ikke",FALSE)),"Kontoen støttes ikke",IF(IFERROR(AND(A1861&gt;1,COUNTIF($A$3:$A$2002,A1861-1)=0),FALSE),"Nummeret hopper over",IF(OR(NOT(ISNUMBER(B1861)),B1861&lt;DATE(2027,1,1),B1861&gt;DATE(2027,12,31)),"Datoen er ikke i 2027",""))))))</f>
        <v/>
      </c>
    </row>
    <row r="1862">
      <c r="A1862" s="17" t="n"/>
      <c r="B1862" s="9" t="n"/>
      <c r="C1862" s="8" t="n"/>
      <c r="D1862" s="8" t="n"/>
      <c r="E1862" s="8" t="n"/>
      <c r="F1862" s="14" t="n"/>
      <c r="G1862" s="14" t="n"/>
      <c r="H1862" s="8" t="n"/>
      <c r="I1862" s="8" t="n"/>
      <c r="J1862" s="8" t="n"/>
      <c r="K1862" s="18">
        <f>IF(B1862="","",IFERROR(MONTH(B1862),""))</f>
        <v/>
      </c>
      <c r="L1862" s="5">
        <f>IF(COUNTA(A1862:J1862)=0,"",IF(E1862="","Mangler motkonto",IF((F1862="")=(G1862=""),"Fyll ut enten Inn eller Ut",IF(OR(IFERROR(INDEX('Kontoplan'!$D$3:$D$302,MATCH(D1862,'Kontoplan'!$H$3:$H$302,0))="Støttes ikke",FALSE),IFERROR(INDEX('Kontoplan'!$D$3:$D$302,MATCH(E1862,'Kontoplan'!$H$3:$H$302,0))="Støttes ikke",FALSE)),"Kontoen støttes ikke",IF(IFERROR(AND(A1862&gt;1,COUNTIF($A$3:$A$2002,A1862-1)=0),FALSE),"Nummeret hopper over",IF(OR(NOT(ISNUMBER(B1862)),B1862&lt;DATE(2027,1,1),B1862&gt;DATE(2027,12,31)),"Datoen er ikke i 2027",""))))))</f>
        <v/>
      </c>
    </row>
    <row r="1863">
      <c r="A1863" s="17" t="n"/>
      <c r="B1863" s="9" t="n"/>
      <c r="C1863" s="8" t="n"/>
      <c r="D1863" s="8" t="n"/>
      <c r="E1863" s="8" t="n"/>
      <c r="F1863" s="14" t="n"/>
      <c r="G1863" s="14" t="n"/>
      <c r="H1863" s="8" t="n"/>
      <c r="I1863" s="8" t="n"/>
      <c r="J1863" s="8" t="n"/>
      <c r="K1863" s="18">
        <f>IF(B1863="","",IFERROR(MONTH(B1863),""))</f>
        <v/>
      </c>
      <c r="L1863" s="5">
        <f>IF(COUNTA(A1863:J1863)=0,"",IF(E1863="","Mangler motkonto",IF((F1863="")=(G1863=""),"Fyll ut enten Inn eller Ut",IF(OR(IFERROR(INDEX('Kontoplan'!$D$3:$D$302,MATCH(D1863,'Kontoplan'!$H$3:$H$302,0))="Støttes ikke",FALSE),IFERROR(INDEX('Kontoplan'!$D$3:$D$302,MATCH(E1863,'Kontoplan'!$H$3:$H$302,0))="Støttes ikke",FALSE)),"Kontoen støttes ikke",IF(IFERROR(AND(A1863&gt;1,COUNTIF($A$3:$A$2002,A1863-1)=0),FALSE),"Nummeret hopper over",IF(OR(NOT(ISNUMBER(B1863)),B1863&lt;DATE(2027,1,1),B1863&gt;DATE(2027,12,31)),"Datoen er ikke i 2027",""))))))</f>
        <v/>
      </c>
    </row>
    <row r="1864">
      <c r="A1864" s="17" t="n"/>
      <c r="B1864" s="9" t="n"/>
      <c r="C1864" s="8" t="n"/>
      <c r="D1864" s="8" t="n"/>
      <c r="E1864" s="8" t="n"/>
      <c r="F1864" s="14" t="n"/>
      <c r="G1864" s="14" t="n"/>
      <c r="H1864" s="8" t="n"/>
      <c r="I1864" s="8" t="n"/>
      <c r="J1864" s="8" t="n"/>
      <c r="K1864" s="18">
        <f>IF(B1864="","",IFERROR(MONTH(B1864),""))</f>
        <v/>
      </c>
      <c r="L1864" s="5">
        <f>IF(COUNTA(A1864:J1864)=0,"",IF(E1864="","Mangler motkonto",IF((F1864="")=(G1864=""),"Fyll ut enten Inn eller Ut",IF(OR(IFERROR(INDEX('Kontoplan'!$D$3:$D$302,MATCH(D1864,'Kontoplan'!$H$3:$H$302,0))="Støttes ikke",FALSE),IFERROR(INDEX('Kontoplan'!$D$3:$D$302,MATCH(E1864,'Kontoplan'!$H$3:$H$302,0))="Støttes ikke",FALSE)),"Kontoen støttes ikke",IF(IFERROR(AND(A1864&gt;1,COUNTIF($A$3:$A$2002,A1864-1)=0),FALSE),"Nummeret hopper over",IF(OR(NOT(ISNUMBER(B1864)),B1864&lt;DATE(2027,1,1),B1864&gt;DATE(2027,12,31)),"Datoen er ikke i 2027",""))))))</f>
        <v/>
      </c>
    </row>
    <row r="1865">
      <c r="A1865" s="17" t="n"/>
      <c r="B1865" s="9" t="n"/>
      <c r="C1865" s="8" t="n"/>
      <c r="D1865" s="8" t="n"/>
      <c r="E1865" s="8" t="n"/>
      <c r="F1865" s="14" t="n"/>
      <c r="G1865" s="14" t="n"/>
      <c r="H1865" s="8" t="n"/>
      <c r="I1865" s="8" t="n"/>
      <c r="J1865" s="8" t="n"/>
      <c r="K1865" s="18">
        <f>IF(B1865="","",IFERROR(MONTH(B1865),""))</f>
        <v/>
      </c>
      <c r="L1865" s="5">
        <f>IF(COUNTA(A1865:J1865)=0,"",IF(E1865="","Mangler motkonto",IF((F1865="")=(G1865=""),"Fyll ut enten Inn eller Ut",IF(OR(IFERROR(INDEX('Kontoplan'!$D$3:$D$302,MATCH(D1865,'Kontoplan'!$H$3:$H$302,0))="Støttes ikke",FALSE),IFERROR(INDEX('Kontoplan'!$D$3:$D$302,MATCH(E1865,'Kontoplan'!$H$3:$H$302,0))="Støttes ikke",FALSE)),"Kontoen støttes ikke",IF(IFERROR(AND(A1865&gt;1,COUNTIF($A$3:$A$2002,A1865-1)=0),FALSE),"Nummeret hopper over",IF(OR(NOT(ISNUMBER(B1865)),B1865&lt;DATE(2027,1,1),B1865&gt;DATE(2027,12,31)),"Datoen er ikke i 2027",""))))))</f>
        <v/>
      </c>
    </row>
    <row r="1866">
      <c r="A1866" s="17" t="n"/>
      <c r="B1866" s="9" t="n"/>
      <c r="C1866" s="8" t="n"/>
      <c r="D1866" s="8" t="n"/>
      <c r="E1866" s="8" t="n"/>
      <c r="F1866" s="14" t="n"/>
      <c r="G1866" s="14" t="n"/>
      <c r="H1866" s="8" t="n"/>
      <c r="I1866" s="8" t="n"/>
      <c r="J1866" s="8" t="n"/>
      <c r="K1866" s="18">
        <f>IF(B1866="","",IFERROR(MONTH(B1866),""))</f>
        <v/>
      </c>
      <c r="L1866" s="5">
        <f>IF(COUNTA(A1866:J1866)=0,"",IF(E1866="","Mangler motkonto",IF((F1866="")=(G1866=""),"Fyll ut enten Inn eller Ut",IF(OR(IFERROR(INDEX('Kontoplan'!$D$3:$D$302,MATCH(D1866,'Kontoplan'!$H$3:$H$302,0))="Støttes ikke",FALSE),IFERROR(INDEX('Kontoplan'!$D$3:$D$302,MATCH(E1866,'Kontoplan'!$H$3:$H$302,0))="Støttes ikke",FALSE)),"Kontoen støttes ikke",IF(IFERROR(AND(A1866&gt;1,COUNTIF($A$3:$A$2002,A1866-1)=0),FALSE),"Nummeret hopper over",IF(OR(NOT(ISNUMBER(B1866)),B1866&lt;DATE(2027,1,1),B1866&gt;DATE(2027,12,31)),"Datoen er ikke i 2027",""))))))</f>
        <v/>
      </c>
    </row>
    <row r="1867">
      <c r="A1867" s="17" t="n"/>
      <c r="B1867" s="9" t="n"/>
      <c r="C1867" s="8" t="n"/>
      <c r="D1867" s="8" t="n"/>
      <c r="E1867" s="8" t="n"/>
      <c r="F1867" s="14" t="n"/>
      <c r="G1867" s="14" t="n"/>
      <c r="H1867" s="8" t="n"/>
      <c r="I1867" s="8" t="n"/>
      <c r="J1867" s="8" t="n"/>
      <c r="K1867" s="18">
        <f>IF(B1867="","",IFERROR(MONTH(B1867),""))</f>
        <v/>
      </c>
      <c r="L1867" s="5">
        <f>IF(COUNTA(A1867:J1867)=0,"",IF(E1867="","Mangler motkonto",IF((F1867="")=(G1867=""),"Fyll ut enten Inn eller Ut",IF(OR(IFERROR(INDEX('Kontoplan'!$D$3:$D$302,MATCH(D1867,'Kontoplan'!$H$3:$H$302,0))="Støttes ikke",FALSE),IFERROR(INDEX('Kontoplan'!$D$3:$D$302,MATCH(E1867,'Kontoplan'!$H$3:$H$302,0))="Støttes ikke",FALSE)),"Kontoen støttes ikke",IF(IFERROR(AND(A1867&gt;1,COUNTIF($A$3:$A$2002,A1867-1)=0),FALSE),"Nummeret hopper over",IF(OR(NOT(ISNUMBER(B1867)),B1867&lt;DATE(2027,1,1),B1867&gt;DATE(2027,12,31)),"Datoen er ikke i 2027",""))))))</f>
        <v/>
      </c>
    </row>
    <row r="1868">
      <c r="A1868" s="17" t="n"/>
      <c r="B1868" s="9" t="n"/>
      <c r="C1868" s="8" t="n"/>
      <c r="D1868" s="8" t="n"/>
      <c r="E1868" s="8" t="n"/>
      <c r="F1868" s="14" t="n"/>
      <c r="G1868" s="14" t="n"/>
      <c r="H1868" s="8" t="n"/>
      <c r="I1868" s="8" t="n"/>
      <c r="J1868" s="8" t="n"/>
      <c r="K1868" s="18">
        <f>IF(B1868="","",IFERROR(MONTH(B1868),""))</f>
        <v/>
      </c>
      <c r="L1868" s="5">
        <f>IF(COUNTA(A1868:J1868)=0,"",IF(E1868="","Mangler motkonto",IF((F1868="")=(G1868=""),"Fyll ut enten Inn eller Ut",IF(OR(IFERROR(INDEX('Kontoplan'!$D$3:$D$302,MATCH(D1868,'Kontoplan'!$H$3:$H$302,0))="Støttes ikke",FALSE),IFERROR(INDEX('Kontoplan'!$D$3:$D$302,MATCH(E1868,'Kontoplan'!$H$3:$H$302,0))="Støttes ikke",FALSE)),"Kontoen støttes ikke",IF(IFERROR(AND(A1868&gt;1,COUNTIF($A$3:$A$2002,A1868-1)=0),FALSE),"Nummeret hopper over",IF(OR(NOT(ISNUMBER(B1868)),B1868&lt;DATE(2027,1,1),B1868&gt;DATE(2027,12,31)),"Datoen er ikke i 2027",""))))))</f>
        <v/>
      </c>
    </row>
    <row r="1869">
      <c r="A1869" s="17" t="n"/>
      <c r="B1869" s="9" t="n"/>
      <c r="C1869" s="8" t="n"/>
      <c r="D1869" s="8" t="n"/>
      <c r="E1869" s="8" t="n"/>
      <c r="F1869" s="14" t="n"/>
      <c r="G1869" s="14" t="n"/>
      <c r="H1869" s="8" t="n"/>
      <c r="I1869" s="8" t="n"/>
      <c r="J1869" s="8" t="n"/>
      <c r="K1869" s="18">
        <f>IF(B1869="","",IFERROR(MONTH(B1869),""))</f>
        <v/>
      </c>
      <c r="L1869" s="5">
        <f>IF(COUNTA(A1869:J1869)=0,"",IF(E1869="","Mangler motkonto",IF((F1869="")=(G1869=""),"Fyll ut enten Inn eller Ut",IF(OR(IFERROR(INDEX('Kontoplan'!$D$3:$D$302,MATCH(D1869,'Kontoplan'!$H$3:$H$302,0))="Støttes ikke",FALSE),IFERROR(INDEX('Kontoplan'!$D$3:$D$302,MATCH(E1869,'Kontoplan'!$H$3:$H$302,0))="Støttes ikke",FALSE)),"Kontoen støttes ikke",IF(IFERROR(AND(A1869&gt;1,COUNTIF($A$3:$A$2002,A1869-1)=0),FALSE),"Nummeret hopper over",IF(OR(NOT(ISNUMBER(B1869)),B1869&lt;DATE(2027,1,1),B1869&gt;DATE(2027,12,31)),"Datoen er ikke i 2027",""))))))</f>
        <v/>
      </c>
    </row>
    <row r="1870">
      <c r="A1870" s="17" t="n"/>
      <c r="B1870" s="9" t="n"/>
      <c r="C1870" s="8" t="n"/>
      <c r="D1870" s="8" t="n"/>
      <c r="E1870" s="8" t="n"/>
      <c r="F1870" s="14" t="n"/>
      <c r="G1870" s="14" t="n"/>
      <c r="H1870" s="8" t="n"/>
      <c r="I1870" s="8" t="n"/>
      <c r="J1870" s="8" t="n"/>
      <c r="K1870" s="18">
        <f>IF(B1870="","",IFERROR(MONTH(B1870),""))</f>
        <v/>
      </c>
      <c r="L1870" s="5">
        <f>IF(COUNTA(A1870:J1870)=0,"",IF(E1870="","Mangler motkonto",IF((F1870="")=(G1870=""),"Fyll ut enten Inn eller Ut",IF(OR(IFERROR(INDEX('Kontoplan'!$D$3:$D$302,MATCH(D1870,'Kontoplan'!$H$3:$H$302,0))="Støttes ikke",FALSE),IFERROR(INDEX('Kontoplan'!$D$3:$D$302,MATCH(E1870,'Kontoplan'!$H$3:$H$302,0))="Støttes ikke",FALSE)),"Kontoen støttes ikke",IF(IFERROR(AND(A1870&gt;1,COUNTIF($A$3:$A$2002,A1870-1)=0),FALSE),"Nummeret hopper over",IF(OR(NOT(ISNUMBER(B1870)),B1870&lt;DATE(2027,1,1),B1870&gt;DATE(2027,12,31)),"Datoen er ikke i 2027",""))))))</f>
        <v/>
      </c>
    </row>
    <row r="1871">
      <c r="A1871" s="17" t="n"/>
      <c r="B1871" s="9" t="n"/>
      <c r="C1871" s="8" t="n"/>
      <c r="D1871" s="8" t="n"/>
      <c r="E1871" s="8" t="n"/>
      <c r="F1871" s="14" t="n"/>
      <c r="G1871" s="14" t="n"/>
      <c r="H1871" s="8" t="n"/>
      <c r="I1871" s="8" t="n"/>
      <c r="J1871" s="8" t="n"/>
      <c r="K1871" s="18">
        <f>IF(B1871="","",IFERROR(MONTH(B1871),""))</f>
        <v/>
      </c>
      <c r="L1871" s="5">
        <f>IF(COUNTA(A1871:J1871)=0,"",IF(E1871="","Mangler motkonto",IF((F1871="")=(G1871=""),"Fyll ut enten Inn eller Ut",IF(OR(IFERROR(INDEX('Kontoplan'!$D$3:$D$302,MATCH(D1871,'Kontoplan'!$H$3:$H$302,0))="Støttes ikke",FALSE),IFERROR(INDEX('Kontoplan'!$D$3:$D$302,MATCH(E1871,'Kontoplan'!$H$3:$H$302,0))="Støttes ikke",FALSE)),"Kontoen støttes ikke",IF(IFERROR(AND(A1871&gt;1,COUNTIF($A$3:$A$2002,A1871-1)=0),FALSE),"Nummeret hopper over",IF(OR(NOT(ISNUMBER(B1871)),B1871&lt;DATE(2027,1,1),B1871&gt;DATE(2027,12,31)),"Datoen er ikke i 2027",""))))))</f>
        <v/>
      </c>
    </row>
    <row r="1872">
      <c r="A1872" s="17" t="n"/>
      <c r="B1872" s="9" t="n"/>
      <c r="C1872" s="8" t="n"/>
      <c r="D1872" s="8" t="n"/>
      <c r="E1872" s="8" t="n"/>
      <c r="F1872" s="14" t="n"/>
      <c r="G1872" s="14" t="n"/>
      <c r="H1872" s="8" t="n"/>
      <c r="I1872" s="8" t="n"/>
      <c r="J1872" s="8" t="n"/>
      <c r="K1872" s="18">
        <f>IF(B1872="","",IFERROR(MONTH(B1872),""))</f>
        <v/>
      </c>
      <c r="L1872" s="5">
        <f>IF(COUNTA(A1872:J1872)=0,"",IF(E1872="","Mangler motkonto",IF((F1872="")=(G1872=""),"Fyll ut enten Inn eller Ut",IF(OR(IFERROR(INDEX('Kontoplan'!$D$3:$D$302,MATCH(D1872,'Kontoplan'!$H$3:$H$302,0))="Støttes ikke",FALSE),IFERROR(INDEX('Kontoplan'!$D$3:$D$302,MATCH(E1872,'Kontoplan'!$H$3:$H$302,0))="Støttes ikke",FALSE)),"Kontoen støttes ikke",IF(IFERROR(AND(A1872&gt;1,COUNTIF($A$3:$A$2002,A1872-1)=0),FALSE),"Nummeret hopper over",IF(OR(NOT(ISNUMBER(B1872)),B1872&lt;DATE(2027,1,1),B1872&gt;DATE(2027,12,31)),"Datoen er ikke i 2027",""))))))</f>
        <v/>
      </c>
    </row>
    <row r="1873">
      <c r="A1873" s="17" t="n"/>
      <c r="B1873" s="9" t="n"/>
      <c r="C1873" s="8" t="n"/>
      <c r="D1873" s="8" t="n"/>
      <c r="E1873" s="8" t="n"/>
      <c r="F1873" s="14" t="n"/>
      <c r="G1873" s="14" t="n"/>
      <c r="H1873" s="8" t="n"/>
      <c r="I1873" s="8" t="n"/>
      <c r="J1873" s="8" t="n"/>
      <c r="K1873" s="18">
        <f>IF(B1873="","",IFERROR(MONTH(B1873),""))</f>
        <v/>
      </c>
      <c r="L1873" s="5">
        <f>IF(COUNTA(A1873:J1873)=0,"",IF(E1873="","Mangler motkonto",IF((F1873="")=(G1873=""),"Fyll ut enten Inn eller Ut",IF(OR(IFERROR(INDEX('Kontoplan'!$D$3:$D$302,MATCH(D1873,'Kontoplan'!$H$3:$H$302,0))="Støttes ikke",FALSE),IFERROR(INDEX('Kontoplan'!$D$3:$D$302,MATCH(E1873,'Kontoplan'!$H$3:$H$302,0))="Støttes ikke",FALSE)),"Kontoen støttes ikke",IF(IFERROR(AND(A1873&gt;1,COUNTIF($A$3:$A$2002,A1873-1)=0),FALSE),"Nummeret hopper over",IF(OR(NOT(ISNUMBER(B1873)),B1873&lt;DATE(2027,1,1),B1873&gt;DATE(2027,12,31)),"Datoen er ikke i 2027",""))))))</f>
        <v/>
      </c>
    </row>
    <row r="1874">
      <c r="A1874" s="17" t="n"/>
      <c r="B1874" s="9" t="n"/>
      <c r="C1874" s="8" t="n"/>
      <c r="D1874" s="8" t="n"/>
      <c r="E1874" s="8" t="n"/>
      <c r="F1874" s="14" t="n"/>
      <c r="G1874" s="14" t="n"/>
      <c r="H1874" s="8" t="n"/>
      <c r="I1874" s="8" t="n"/>
      <c r="J1874" s="8" t="n"/>
      <c r="K1874" s="18">
        <f>IF(B1874="","",IFERROR(MONTH(B1874),""))</f>
        <v/>
      </c>
      <c r="L1874" s="5">
        <f>IF(COUNTA(A1874:J1874)=0,"",IF(E1874="","Mangler motkonto",IF((F1874="")=(G1874=""),"Fyll ut enten Inn eller Ut",IF(OR(IFERROR(INDEX('Kontoplan'!$D$3:$D$302,MATCH(D1874,'Kontoplan'!$H$3:$H$302,0))="Støttes ikke",FALSE),IFERROR(INDEX('Kontoplan'!$D$3:$D$302,MATCH(E1874,'Kontoplan'!$H$3:$H$302,0))="Støttes ikke",FALSE)),"Kontoen støttes ikke",IF(IFERROR(AND(A1874&gt;1,COUNTIF($A$3:$A$2002,A1874-1)=0),FALSE),"Nummeret hopper over",IF(OR(NOT(ISNUMBER(B1874)),B1874&lt;DATE(2027,1,1),B1874&gt;DATE(2027,12,31)),"Datoen er ikke i 2027",""))))))</f>
        <v/>
      </c>
    </row>
    <row r="1875">
      <c r="A1875" s="17" t="n"/>
      <c r="B1875" s="9" t="n"/>
      <c r="C1875" s="8" t="n"/>
      <c r="D1875" s="8" t="n"/>
      <c r="E1875" s="8" t="n"/>
      <c r="F1875" s="14" t="n"/>
      <c r="G1875" s="14" t="n"/>
      <c r="H1875" s="8" t="n"/>
      <c r="I1875" s="8" t="n"/>
      <c r="J1875" s="8" t="n"/>
      <c r="K1875" s="18">
        <f>IF(B1875="","",IFERROR(MONTH(B1875),""))</f>
        <v/>
      </c>
      <c r="L1875" s="5">
        <f>IF(COUNTA(A1875:J1875)=0,"",IF(E1875="","Mangler motkonto",IF((F1875="")=(G1875=""),"Fyll ut enten Inn eller Ut",IF(OR(IFERROR(INDEX('Kontoplan'!$D$3:$D$302,MATCH(D1875,'Kontoplan'!$H$3:$H$302,0))="Støttes ikke",FALSE),IFERROR(INDEX('Kontoplan'!$D$3:$D$302,MATCH(E1875,'Kontoplan'!$H$3:$H$302,0))="Støttes ikke",FALSE)),"Kontoen støttes ikke",IF(IFERROR(AND(A1875&gt;1,COUNTIF($A$3:$A$2002,A1875-1)=0),FALSE),"Nummeret hopper over",IF(OR(NOT(ISNUMBER(B1875)),B1875&lt;DATE(2027,1,1),B1875&gt;DATE(2027,12,31)),"Datoen er ikke i 2027",""))))))</f>
        <v/>
      </c>
    </row>
    <row r="1876">
      <c r="A1876" s="17" t="n"/>
      <c r="B1876" s="9" t="n"/>
      <c r="C1876" s="8" t="n"/>
      <c r="D1876" s="8" t="n"/>
      <c r="E1876" s="8" t="n"/>
      <c r="F1876" s="14" t="n"/>
      <c r="G1876" s="14" t="n"/>
      <c r="H1876" s="8" t="n"/>
      <c r="I1876" s="8" t="n"/>
      <c r="J1876" s="8" t="n"/>
      <c r="K1876" s="18">
        <f>IF(B1876="","",IFERROR(MONTH(B1876),""))</f>
        <v/>
      </c>
      <c r="L1876" s="5">
        <f>IF(COUNTA(A1876:J1876)=0,"",IF(E1876="","Mangler motkonto",IF((F1876="")=(G1876=""),"Fyll ut enten Inn eller Ut",IF(OR(IFERROR(INDEX('Kontoplan'!$D$3:$D$302,MATCH(D1876,'Kontoplan'!$H$3:$H$302,0))="Støttes ikke",FALSE),IFERROR(INDEX('Kontoplan'!$D$3:$D$302,MATCH(E1876,'Kontoplan'!$H$3:$H$302,0))="Støttes ikke",FALSE)),"Kontoen støttes ikke",IF(IFERROR(AND(A1876&gt;1,COUNTIF($A$3:$A$2002,A1876-1)=0),FALSE),"Nummeret hopper over",IF(OR(NOT(ISNUMBER(B1876)),B1876&lt;DATE(2027,1,1),B1876&gt;DATE(2027,12,31)),"Datoen er ikke i 2027",""))))))</f>
        <v/>
      </c>
    </row>
    <row r="1877">
      <c r="A1877" s="17" t="n"/>
      <c r="B1877" s="9" t="n"/>
      <c r="C1877" s="8" t="n"/>
      <c r="D1877" s="8" t="n"/>
      <c r="E1877" s="8" t="n"/>
      <c r="F1877" s="14" t="n"/>
      <c r="G1877" s="14" t="n"/>
      <c r="H1877" s="8" t="n"/>
      <c r="I1877" s="8" t="n"/>
      <c r="J1877" s="8" t="n"/>
      <c r="K1877" s="18">
        <f>IF(B1877="","",IFERROR(MONTH(B1877),""))</f>
        <v/>
      </c>
      <c r="L1877" s="5">
        <f>IF(COUNTA(A1877:J1877)=0,"",IF(E1877="","Mangler motkonto",IF((F1877="")=(G1877=""),"Fyll ut enten Inn eller Ut",IF(OR(IFERROR(INDEX('Kontoplan'!$D$3:$D$302,MATCH(D1877,'Kontoplan'!$H$3:$H$302,0))="Støttes ikke",FALSE),IFERROR(INDEX('Kontoplan'!$D$3:$D$302,MATCH(E1877,'Kontoplan'!$H$3:$H$302,0))="Støttes ikke",FALSE)),"Kontoen støttes ikke",IF(IFERROR(AND(A1877&gt;1,COUNTIF($A$3:$A$2002,A1877-1)=0),FALSE),"Nummeret hopper over",IF(OR(NOT(ISNUMBER(B1877)),B1877&lt;DATE(2027,1,1),B1877&gt;DATE(2027,12,31)),"Datoen er ikke i 2027",""))))))</f>
        <v/>
      </c>
    </row>
    <row r="1878">
      <c r="A1878" s="17" t="n"/>
      <c r="B1878" s="9" t="n"/>
      <c r="C1878" s="8" t="n"/>
      <c r="D1878" s="8" t="n"/>
      <c r="E1878" s="8" t="n"/>
      <c r="F1878" s="14" t="n"/>
      <c r="G1878" s="14" t="n"/>
      <c r="H1878" s="8" t="n"/>
      <c r="I1878" s="8" t="n"/>
      <c r="J1878" s="8" t="n"/>
      <c r="K1878" s="18">
        <f>IF(B1878="","",IFERROR(MONTH(B1878),""))</f>
        <v/>
      </c>
      <c r="L1878" s="5">
        <f>IF(COUNTA(A1878:J1878)=0,"",IF(E1878="","Mangler motkonto",IF((F1878="")=(G1878=""),"Fyll ut enten Inn eller Ut",IF(OR(IFERROR(INDEX('Kontoplan'!$D$3:$D$302,MATCH(D1878,'Kontoplan'!$H$3:$H$302,0))="Støttes ikke",FALSE),IFERROR(INDEX('Kontoplan'!$D$3:$D$302,MATCH(E1878,'Kontoplan'!$H$3:$H$302,0))="Støttes ikke",FALSE)),"Kontoen støttes ikke",IF(IFERROR(AND(A1878&gt;1,COUNTIF($A$3:$A$2002,A1878-1)=0),FALSE),"Nummeret hopper over",IF(OR(NOT(ISNUMBER(B1878)),B1878&lt;DATE(2027,1,1),B1878&gt;DATE(2027,12,31)),"Datoen er ikke i 2027",""))))))</f>
        <v/>
      </c>
    </row>
    <row r="1879">
      <c r="A1879" s="17" t="n"/>
      <c r="B1879" s="9" t="n"/>
      <c r="C1879" s="8" t="n"/>
      <c r="D1879" s="8" t="n"/>
      <c r="E1879" s="8" t="n"/>
      <c r="F1879" s="14" t="n"/>
      <c r="G1879" s="14" t="n"/>
      <c r="H1879" s="8" t="n"/>
      <c r="I1879" s="8" t="n"/>
      <c r="J1879" s="8" t="n"/>
      <c r="K1879" s="18">
        <f>IF(B1879="","",IFERROR(MONTH(B1879),""))</f>
        <v/>
      </c>
      <c r="L1879" s="5">
        <f>IF(COUNTA(A1879:J1879)=0,"",IF(E1879="","Mangler motkonto",IF((F1879="")=(G1879=""),"Fyll ut enten Inn eller Ut",IF(OR(IFERROR(INDEX('Kontoplan'!$D$3:$D$302,MATCH(D1879,'Kontoplan'!$H$3:$H$302,0))="Støttes ikke",FALSE),IFERROR(INDEX('Kontoplan'!$D$3:$D$302,MATCH(E1879,'Kontoplan'!$H$3:$H$302,0))="Støttes ikke",FALSE)),"Kontoen støttes ikke",IF(IFERROR(AND(A1879&gt;1,COUNTIF($A$3:$A$2002,A1879-1)=0),FALSE),"Nummeret hopper over",IF(OR(NOT(ISNUMBER(B1879)),B1879&lt;DATE(2027,1,1),B1879&gt;DATE(2027,12,31)),"Datoen er ikke i 2027",""))))))</f>
        <v/>
      </c>
    </row>
    <row r="1880">
      <c r="A1880" s="17" t="n"/>
      <c r="B1880" s="9" t="n"/>
      <c r="C1880" s="8" t="n"/>
      <c r="D1880" s="8" t="n"/>
      <c r="E1880" s="8" t="n"/>
      <c r="F1880" s="14" t="n"/>
      <c r="G1880" s="14" t="n"/>
      <c r="H1880" s="8" t="n"/>
      <c r="I1880" s="8" t="n"/>
      <c r="J1880" s="8" t="n"/>
      <c r="K1880" s="18">
        <f>IF(B1880="","",IFERROR(MONTH(B1880),""))</f>
        <v/>
      </c>
      <c r="L1880" s="5">
        <f>IF(COUNTA(A1880:J1880)=0,"",IF(E1880="","Mangler motkonto",IF((F1880="")=(G1880=""),"Fyll ut enten Inn eller Ut",IF(OR(IFERROR(INDEX('Kontoplan'!$D$3:$D$302,MATCH(D1880,'Kontoplan'!$H$3:$H$302,0))="Støttes ikke",FALSE),IFERROR(INDEX('Kontoplan'!$D$3:$D$302,MATCH(E1880,'Kontoplan'!$H$3:$H$302,0))="Støttes ikke",FALSE)),"Kontoen støttes ikke",IF(IFERROR(AND(A1880&gt;1,COUNTIF($A$3:$A$2002,A1880-1)=0),FALSE),"Nummeret hopper over",IF(OR(NOT(ISNUMBER(B1880)),B1880&lt;DATE(2027,1,1),B1880&gt;DATE(2027,12,31)),"Datoen er ikke i 2027",""))))))</f>
        <v/>
      </c>
    </row>
    <row r="1881">
      <c r="A1881" s="17" t="n"/>
      <c r="B1881" s="9" t="n"/>
      <c r="C1881" s="8" t="n"/>
      <c r="D1881" s="8" t="n"/>
      <c r="E1881" s="8" t="n"/>
      <c r="F1881" s="14" t="n"/>
      <c r="G1881" s="14" t="n"/>
      <c r="H1881" s="8" t="n"/>
      <c r="I1881" s="8" t="n"/>
      <c r="J1881" s="8" t="n"/>
      <c r="K1881" s="18">
        <f>IF(B1881="","",IFERROR(MONTH(B1881),""))</f>
        <v/>
      </c>
      <c r="L1881" s="5">
        <f>IF(COUNTA(A1881:J1881)=0,"",IF(E1881="","Mangler motkonto",IF((F1881="")=(G1881=""),"Fyll ut enten Inn eller Ut",IF(OR(IFERROR(INDEX('Kontoplan'!$D$3:$D$302,MATCH(D1881,'Kontoplan'!$H$3:$H$302,0))="Støttes ikke",FALSE),IFERROR(INDEX('Kontoplan'!$D$3:$D$302,MATCH(E1881,'Kontoplan'!$H$3:$H$302,0))="Støttes ikke",FALSE)),"Kontoen støttes ikke",IF(IFERROR(AND(A1881&gt;1,COUNTIF($A$3:$A$2002,A1881-1)=0),FALSE),"Nummeret hopper over",IF(OR(NOT(ISNUMBER(B1881)),B1881&lt;DATE(2027,1,1),B1881&gt;DATE(2027,12,31)),"Datoen er ikke i 2027",""))))))</f>
        <v/>
      </c>
    </row>
    <row r="1882">
      <c r="A1882" s="17" t="n"/>
      <c r="B1882" s="9" t="n"/>
      <c r="C1882" s="8" t="n"/>
      <c r="D1882" s="8" t="n"/>
      <c r="E1882" s="8" t="n"/>
      <c r="F1882" s="14" t="n"/>
      <c r="G1882" s="14" t="n"/>
      <c r="H1882" s="8" t="n"/>
      <c r="I1882" s="8" t="n"/>
      <c r="J1882" s="8" t="n"/>
      <c r="K1882" s="18">
        <f>IF(B1882="","",IFERROR(MONTH(B1882),""))</f>
        <v/>
      </c>
      <c r="L1882" s="5">
        <f>IF(COUNTA(A1882:J1882)=0,"",IF(E1882="","Mangler motkonto",IF((F1882="")=(G1882=""),"Fyll ut enten Inn eller Ut",IF(OR(IFERROR(INDEX('Kontoplan'!$D$3:$D$302,MATCH(D1882,'Kontoplan'!$H$3:$H$302,0))="Støttes ikke",FALSE),IFERROR(INDEX('Kontoplan'!$D$3:$D$302,MATCH(E1882,'Kontoplan'!$H$3:$H$302,0))="Støttes ikke",FALSE)),"Kontoen støttes ikke",IF(IFERROR(AND(A1882&gt;1,COUNTIF($A$3:$A$2002,A1882-1)=0),FALSE),"Nummeret hopper over",IF(OR(NOT(ISNUMBER(B1882)),B1882&lt;DATE(2027,1,1),B1882&gt;DATE(2027,12,31)),"Datoen er ikke i 2027",""))))))</f>
        <v/>
      </c>
    </row>
    <row r="1883">
      <c r="A1883" s="17" t="n"/>
      <c r="B1883" s="9" t="n"/>
      <c r="C1883" s="8" t="n"/>
      <c r="D1883" s="8" t="n"/>
      <c r="E1883" s="8" t="n"/>
      <c r="F1883" s="14" t="n"/>
      <c r="G1883" s="14" t="n"/>
      <c r="H1883" s="8" t="n"/>
      <c r="I1883" s="8" t="n"/>
      <c r="J1883" s="8" t="n"/>
      <c r="K1883" s="18">
        <f>IF(B1883="","",IFERROR(MONTH(B1883),""))</f>
        <v/>
      </c>
      <c r="L1883" s="5">
        <f>IF(COUNTA(A1883:J1883)=0,"",IF(E1883="","Mangler motkonto",IF((F1883="")=(G1883=""),"Fyll ut enten Inn eller Ut",IF(OR(IFERROR(INDEX('Kontoplan'!$D$3:$D$302,MATCH(D1883,'Kontoplan'!$H$3:$H$302,0))="Støttes ikke",FALSE),IFERROR(INDEX('Kontoplan'!$D$3:$D$302,MATCH(E1883,'Kontoplan'!$H$3:$H$302,0))="Støttes ikke",FALSE)),"Kontoen støttes ikke",IF(IFERROR(AND(A1883&gt;1,COUNTIF($A$3:$A$2002,A1883-1)=0),FALSE),"Nummeret hopper over",IF(OR(NOT(ISNUMBER(B1883)),B1883&lt;DATE(2027,1,1),B1883&gt;DATE(2027,12,31)),"Datoen er ikke i 2027",""))))))</f>
        <v/>
      </c>
    </row>
    <row r="1884">
      <c r="A1884" s="17" t="n"/>
      <c r="B1884" s="9" t="n"/>
      <c r="C1884" s="8" t="n"/>
      <c r="D1884" s="8" t="n"/>
      <c r="E1884" s="8" t="n"/>
      <c r="F1884" s="14" t="n"/>
      <c r="G1884" s="14" t="n"/>
      <c r="H1884" s="8" t="n"/>
      <c r="I1884" s="8" t="n"/>
      <c r="J1884" s="8" t="n"/>
      <c r="K1884" s="18">
        <f>IF(B1884="","",IFERROR(MONTH(B1884),""))</f>
        <v/>
      </c>
      <c r="L1884" s="5">
        <f>IF(COUNTA(A1884:J1884)=0,"",IF(E1884="","Mangler motkonto",IF((F1884="")=(G1884=""),"Fyll ut enten Inn eller Ut",IF(OR(IFERROR(INDEX('Kontoplan'!$D$3:$D$302,MATCH(D1884,'Kontoplan'!$H$3:$H$302,0))="Støttes ikke",FALSE),IFERROR(INDEX('Kontoplan'!$D$3:$D$302,MATCH(E1884,'Kontoplan'!$H$3:$H$302,0))="Støttes ikke",FALSE)),"Kontoen støttes ikke",IF(IFERROR(AND(A1884&gt;1,COUNTIF($A$3:$A$2002,A1884-1)=0),FALSE),"Nummeret hopper over",IF(OR(NOT(ISNUMBER(B1884)),B1884&lt;DATE(2027,1,1),B1884&gt;DATE(2027,12,31)),"Datoen er ikke i 2027",""))))))</f>
        <v/>
      </c>
    </row>
    <row r="1885">
      <c r="A1885" s="17" t="n"/>
      <c r="B1885" s="9" t="n"/>
      <c r="C1885" s="8" t="n"/>
      <c r="D1885" s="8" t="n"/>
      <c r="E1885" s="8" t="n"/>
      <c r="F1885" s="14" t="n"/>
      <c r="G1885" s="14" t="n"/>
      <c r="H1885" s="8" t="n"/>
      <c r="I1885" s="8" t="n"/>
      <c r="J1885" s="8" t="n"/>
      <c r="K1885" s="18">
        <f>IF(B1885="","",IFERROR(MONTH(B1885),""))</f>
        <v/>
      </c>
      <c r="L1885" s="5">
        <f>IF(COUNTA(A1885:J1885)=0,"",IF(E1885="","Mangler motkonto",IF((F1885="")=(G1885=""),"Fyll ut enten Inn eller Ut",IF(OR(IFERROR(INDEX('Kontoplan'!$D$3:$D$302,MATCH(D1885,'Kontoplan'!$H$3:$H$302,0))="Støttes ikke",FALSE),IFERROR(INDEX('Kontoplan'!$D$3:$D$302,MATCH(E1885,'Kontoplan'!$H$3:$H$302,0))="Støttes ikke",FALSE)),"Kontoen støttes ikke",IF(IFERROR(AND(A1885&gt;1,COUNTIF($A$3:$A$2002,A1885-1)=0),FALSE),"Nummeret hopper over",IF(OR(NOT(ISNUMBER(B1885)),B1885&lt;DATE(2027,1,1),B1885&gt;DATE(2027,12,31)),"Datoen er ikke i 2027",""))))))</f>
        <v/>
      </c>
    </row>
    <row r="1886">
      <c r="A1886" s="17" t="n"/>
      <c r="B1886" s="9" t="n"/>
      <c r="C1886" s="8" t="n"/>
      <c r="D1886" s="8" t="n"/>
      <c r="E1886" s="8" t="n"/>
      <c r="F1886" s="14" t="n"/>
      <c r="G1886" s="14" t="n"/>
      <c r="H1886" s="8" t="n"/>
      <c r="I1886" s="8" t="n"/>
      <c r="J1886" s="8" t="n"/>
      <c r="K1886" s="18">
        <f>IF(B1886="","",IFERROR(MONTH(B1886),""))</f>
        <v/>
      </c>
      <c r="L1886" s="5">
        <f>IF(COUNTA(A1886:J1886)=0,"",IF(E1886="","Mangler motkonto",IF((F1886="")=(G1886=""),"Fyll ut enten Inn eller Ut",IF(OR(IFERROR(INDEX('Kontoplan'!$D$3:$D$302,MATCH(D1886,'Kontoplan'!$H$3:$H$302,0))="Støttes ikke",FALSE),IFERROR(INDEX('Kontoplan'!$D$3:$D$302,MATCH(E1886,'Kontoplan'!$H$3:$H$302,0))="Støttes ikke",FALSE)),"Kontoen støttes ikke",IF(IFERROR(AND(A1886&gt;1,COUNTIF($A$3:$A$2002,A1886-1)=0),FALSE),"Nummeret hopper over",IF(OR(NOT(ISNUMBER(B1886)),B1886&lt;DATE(2027,1,1),B1886&gt;DATE(2027,12,31)),"Datoen er ikke i 2027",""))))))</f>
        <v/>
      </c>
    </row>
    <row r="1887">
      <c r="A1887" s="17" t="n"/>
      <c r="B1887" s="9" t="n"/>
      <c r="C1887" s="8" t="n"/>
      <c r="D1887" s="8" t="n"/>
      <c r="E1887" s="8" t="n"/>
      <c r="F1887" s="14" t="n"/>
      <c r="G1887" s="14" t="n"/>
      <c r="H1887" s="8" t="n"/>
      <c r="I1887" s="8" t="n"/>
      <c r="J1887" s="8" t="n"/>
      <c r="K1887" s="18">
        <f>IF(B1887="","",IFERROR(MONTH(B1887),""))</f>
        <v/>
      </c>
      <c r="L1887" s="5">
        <f>IF(COUNTA(A1887:J1887)=0,"",IF(E1887="","Mangler motkonto",IF((F1887="")=(G1887=""),"Fyll ut enten Inn eller Ut",IF(OR(IFERROR(INDEX('Kontoplan'!$D$3:$D$302,MATCH(D1887,'Kontoplan'!$H$3:$H$302,0))="Støttes ikke",FALSE),IFERROR(INDEX('Kontoplan'!$D$3:$D$302,MATCH(E1887,'Kontoplan'!$H$3:$H$302,0))="Støttes ikke",FALSE)),"Kontoen støttes ikke",IF(IFERROR(AND(A1887&gt;1,COUNTIF($A$3:$A$2002,A1887-1)=0),FALSE),"Nummeret hopper over",IF(OR(NOT(ISNUMBER(B1887)),B1887&lt;DATE(2027,1,1),B1887&gt;DATE(2027,12,31)),"Datoen er ikke i 2027",""))))))</f>
        <v/>
      </c>
    </row>
    <row r="1888">
      <c r="A1888" s="17" t="n"/>
      <c r="B1888" s="9" t="n"/>
      <c r="C1888" s="8" t="n"/>
      <c r="D1888" s="8" t="n"/>
      <c r="E1888" s="8" t="n"/>
      <c r="F1888" s="14" t="n"/>
      <c r="G1888" s="14" t="n"/>
      <c r="H1888" s="8" t="n"/>
      <c r="I1888" s="8" t="n"/>
      <c r="J1888" s="8" t="n"/>
      <c r="K1888" s="18">
        <f>IF(B1888="","",IFERROR(MONTH(B1888),""))</f>
        <v/>
      </c>
      <c r="L1888" s="5">
        <f>IF(COUNTA(A1888:J1888)=0,"",IF(E1888="","Mangler motkonto",IF((F1888="")=(G1888=""),"Fyll ut enten Inn eller Ut",IF(OR(IFERROR(INDEX('Kontoplan'!$D$3:$D$302,MATCH(D1888,'Kontoplan'!$H$3:$H$302,0))="Støttes ikke",FALSE),IFERROR(INDEX('Kontoplan'!$D$3:$D$302,MATCH(E1888,'Kontoplan'!$H$3:$H$302,0))="Støttes ikke",FALSE)),"Kontoen støttes ikke",IF(IFERROR(AND(A1888&gt;1,COUNTIF($A$3:$A$2002,A1888-1)=0),FALSE),"Nummeret hopper over",IF(OR(NOT(ISNUMBER(B1888)),B1888&lt;DATE(2027,1,1),B1888&gt;DATE(2027,12,31)),"Datoen er ikke i 2027",""))))))</f>
        <v/>
      </c>
    </row>
    <row r="1889">
      <c r="A1889" s="17" t="n"/>
      <c r="B1889" s="9" t="n"/>
      <c r="C1889" s="8" t="n"/>
      <c r="D1889" s="8" t="n"/>
      <c r="E1889" s="8" t="n"/>
      <c r="F1889" s="14" t="n"/>
      <c r="G1889" s="14" t="n"/>
      <c r="H1889" s="8" t="n"/>
      <c r="I1889" s="8" t="n"/>
      <c r="J1889" s="8" t="n"/>
      <c r="K1889" s="18">
        <f>IF(B1889="","",IFERROR(MONTH(B1889),""))</f>
        <v/>
      </c>
      <c r="L1889" s="5">
        <f>IF(COUNTA(A1889:J1889)=0,"",IF(E1889="","Mangler motkonto",IF((F1889="")=(G1889=""),"Fyll ut enten Inn eller Ut",IF(OR(IFERROR(INDEX('Kontoplan'!$D$3:$D$302,MATCH(D1889,'Kontoplan'!$H$3:$H$302,0))="Støttes ikke",FALSE),IFERROR(INDEX('Kontoplan'!$D$3:$D$302,MATCH(E1889,'Kontoplan'!$H$3:$H$302,0))="Støttes ikke",FALSE)),"Kontoen støttes ikke",IF(IFERROR(AND(A1889&gt;1,COUNTIF($A$3:$A$2002,A1889-1)=0),FALSE),"Nummeret hopper over",IF(OR(NOT(ISNUMBER(B1889)),B1889&lt;DATE(2027,1,1),B1889&gt;DATE(2027,12,31)),"Datoen er ikke i 2027",""))))))</f>
        <v/>
      </c>
    </row>
    <row r="1890">
      <c r="A1890" s="17" t="n"/>
      <c r="B1890" s="9" t="n"/>
      <c r="C1890" s="8" t="n"/>
      <c r="D1890" s="8" t="n"/>
      <c r="E1890" s="8" t="n"/>
      <c r="F1890" s="14" t="n"/>
      <c r="G1890" s="14" t="n"/>
      <c r="H1890" s="8" t="n"/>
      <c r="I1890" s="8" t="n"/>
      <c r="J1890" s="8" t="n"/>
      <c r="K1890" s="18">
        <f>IF(B1890="","",IFERROR(MONTH(B1890),""))</f>
        <v/>
      </c>
      <c r="L1890" s="5">
        <f>IF(COUNTA(A1890:J1890)=0,"",IF(E1890="","Mangler motkonto",IF((F1890="")=(G1890=""),"Fyll ut enten Inn eller Ut",IF(OR(IFERROR(INDEX('Kontoplan'!$D$3:$D$302,MATCH(D1890,'Kontoplan'!$H$3:$H$302,0))="Støttes ikke",FALSE),IFERROR(INDEX('Kontoplan'!$D$3:$D$302,MATCH(E1890,'Kontoplan'!$H$3:$H$302,0))="Støttes ikke",FALSE)),"Kontoen støttes ikke",IF(IFERROR(AND(A1890&gt;1,COUNTIF($A$3:$A$2002,A1890-1)=0),FALSE),"Nummeret hopper over",IF(OR(NOT(ISNUMBER(B1890)),B1890&lt;DATE(2027,1,1),B1890&gt;DATE(2027,12,31)),"Datoen er ikke i 2027",""))))))</f>
        <v/>
      </c>
    </row>
    <row r="1891">
      <c r="A1891" s="17" t="n"/>
      <c r="B1891" s="9" t="n"/>
      <c r="C1891" s="8" t="n"/>
      <c r="D1891" s="8" t="n"/>
      <c r="E1891" s="8" t="n"/>
      <c r="F1891" s="14" t="n"/>
      <c r="G1891" s="14" t="n"/>
      <c r="H1891" s="8" t="n"/>
      <c r="I1891" s="8" t="n"/>
      <c r="J1891" s="8" t="n"/>
      <c r="K1891" s="18">
        <f>IF(B1891="","",IFERROR(MONTH(B1891),""))</f>
        <v/>
      </c>
      <c r="L1891" s="5">
        <f>IF(COUNTA(A1891:J1891)=0,"",IF(E1891="","Mangler motkonto",IF((F1891="")=(G1891=""),"Fyll ut enten Inn eller Ut",IF(OR(IFERROR(INDEX('Kontoplan'!$D$3:$D$302,MATCH(D1891,'Kontoplan'!$H$3:$H$302,0))="Støttes ikke",FALSE),IFERROR(INDEX('Kontoplan'!$D$3:$D$302,MATCH(E1891,'Kontoplan'!$H$3:$H$302,0))="Støttes ikke",FALSE)),"Kontoen støttes ikke",IF(IFERROR(AND(A1891&gt;1,COUNTIF($A$3:$A$2002,A1891-1)=0),FALSE),"Nummeret hopper over",IF(OR(NOT(ISNUMBER(B1891)),B1891&lt;DATE(2027,1,1),B1891&gt;DATE(2027,12,31)),"Datoen er ikke i 2027",""))))))</f>
        <v/>
      </c>
    </row>
    <row r="1892">
      <c r="A1892" s="17" t="n"/>
      <c r="B1892" s="9" t="n"/>
      <c r="C1892" s="8" t="n"/>
      <c r="D1892" s="8" t="n"/>
      <c r="E1892" s="8" t="n"/>
      <c r="F1892" s="14" t="n"/>
      <c r="G1892" s="14" t="n"/>
      <c r="H1892" s="8" t="n"/>
      <c r="I1892" s="8" t="n"/>
      <c r="J1892" s="8" t="n"/>
      <c r="K1892" s="18">
        <f>IF(B1892="","",IFERROR(MONTH(B1892),""))</f>
        <v/>
      </c>
      <c r="L1892" s="5">
        <f>IF(COUNTA(A1892:J1892)=0,"",IF(E1892="","Mangler motkonto",IF((F1892="")=(G1892=""),"Fyll ut enten Inn eller Ut",IF(OR(IFERROR(INDEX('Kontoplan'!$D$3:$D$302,MATCH(D1892,'Kontoplan'!$H$3:$H$302,0))="Støttes ikke",FALSE),IFERROR(INDEX('Kontoplan'!$D$3:$D$302,MATCH(E1892,'Kontoplan'!$H$3:$H$302,0))="Støttes ikke",FALSE)),"Kontoen støttes ikke",IF(IFERROR(AND(A1892&gt;1,COUNTIF($A$3:$A$2002,A1892-1)=0),FALSE),"Nummeret hopper over",IF(OR(NOT(ISNUMBER(B1892)),B1892&lt;DATE(2027,1,1),B1892&gt;DATE(2027,12,31)),"Datoen er ikke i 2027",""))))))</f>
        <v/>
      </c>
    </row>
    <row r="1893">
      <c r="A1893" s="17" t="n"/>
      <c r="B1893" s="9" t="n"/>
      <c r="C1893" s="8" t="n"/>
      <c r="D1893" s="8" t="n"/>
      <c r="E1893" s="8" t="n"/>
      <c r="F1893" s="14" t="n"/>
      <c r="G1893" s="14" t="n"/>
      <c r="H1893" s="8" t="n"/>
      <c r="I1893" s="8" t="n"/>
      <c r="J1893" s="8" t="n"/>
      <c r="K1893" s="18">
        <f>IF(B1893="","",IFERROR(MONTH(B1893),""))</f>
        <v/>
      </c>
      <c r="L1893" s="5">
        <f>IF(COUNTA(A1893:J1893)=0,"",IF(E1893="","Mangler motkonto",IF((F1893="")=(G1893=""),"Fyll ut enten Inn eller Ut",IF(OR(IFERROR(INDEX('Kontoplan'!$D$3:$D$302,MATCH(D1893,'Kontoplan'!$H$3:$H$302,0))="Støttes ikke",FALSE),IFERROR(INDEX('Kontoplan'!$D$3:$D$302,MATCH(E1893,'Kontoplan'!$H$3:$H$302,0))="Støttes ikke",FALSE)),"Kontoen støttes ikke",IF(IFERROR(AND(A1893&gt;1,COUNTIF($A$3:$A$2002,A1893-1)=0),FALSE),"Nummeret hopper over",IF(OR(NOT(ISNUMBER(B1893)),B1893&lt;DATE(2027,1,1),B1893&gt;DATE(2027,12,31)),"Datoen er ikke i 2027",""))))))</f>
        <v/>
      </c>
    </row>
    <row r="1894">
      <c r="A1894" s="17" t="n"/>
      <c r="B1894" s="9" t="n"/>
      <c r="C1894" s="8" t="n"/>
      <c r="D1894" s="8" t="n"/>
      <c r="E1894" s="8" t="n"/>
      <c r="F1894" s="14" t="n"/>
      <c r="G1894" s="14" t="n"/>
      <c r="H1894" s="8" t="n"/>
      <c r="I1894" s="8" t="n"/>
      <c r="J1894" s="8" t="n"/>
      <c r="K1894" s="18">
        <f>IF(B1894="","",IFERROR(MONTH(B1894),""))</f>
        <v/>
      </c>
      <c r="L1894" s="5">
        <f>IF(COUNTA(A1894:J1894)=0,"",IF(E1894="","Mangler motkonto",IF((F1894="")=(G1894=""),"Fyll ut enten Inn eller Ut",IF(OR(IFERROR(INDEX('Kontoplan'!$D$3:$D$302,MATCH(D1894,'Kontoplan'!$H$3:$H$302,0))="Støttes ikke",FALSE),IFERROR(INDEX('Kontoplan'!$D$3:$D$302,MATCH(E1894,'Kontoplan'!$H$3:$H$302,0))="Støttes ikke",FALSE)),"Kontoen støttes ikke",IF(IFERROR(AND(A1894&gt;1,COUNTIF($A$3:$A$2002,A1894-1)=0),FALSE),"Nummeret hopper over",IF(OR(NOT(ISNUMBER(B1894)),B1894&lt;DATE(2027,1,1),B1894&gt;DATE(2027,12,31)),"Datoen er ikke i 2027",""))))))</f>
        <v/>
      </c>
    </row>
    <row r="1895">
      <c r="A1895" s="17" t="n"/>
      <c r="B1895" s="9" t="n"/>
      <c r="C1895" s="8" t="n"/>
      <c r="D1895" s="8" t="n"/>
      <c r="E1895" s="8" t="n"/>
      <c r="F1895" s="14" t="n"/>
      <c r="G1895" s="14" t="n"/>
      <c r="H1895" s="8" t="n"/>
      <c r="I1895" s="8" t="n"/>
      <c r="J1895" s="8" t="n"/>
      <c r="K1895" s="18">
        <f>IF(B1895="","",IFERROR(MONTH(B1895),""))</f>
        <v/>
      </c>
      <c r="L1895" s="5">
        <f>IF(COUNTA(A1895:J1895)=0,"",IF(E1895="","Mangler motkonto",IF((F1895="")=(G1895=""),"Fyll ut enten Inn eller Ut",IF(OR(IFERROR(INDEX('Kontoplan'!$D$3:$D$302,MATCH(D1895,'Kontoplan'!$H$3:$H$302,0))="Støttes ikke",FALSE),IFERROR(INDEX('Kontoplan'!$D$3:$D$302,MATCH(E1895,'Kontoplan'!$H$3:$H$302,0))="Støttes ikke",FALSE)),"Kontoen støttes ikke",IF(IFERROR(AND(A1895&gt;1,COUNTIF($A$3:$A$2002,A1895-1)=0),FALSE),"Nummeret hopper over",IF(OR(NOT(ISNUMBER(B1895)),B1895&lt;DATE(2027,1,1),B1895&gt;DATE(2027,12,31)),"Datoen er ikke i 2027",""))))))</f>
        <v/>
      </c>
    </row>
    <row r="1896">
      <c r="A1896" s="17" t="n"/>
      <c r="B1896" s="9" t="n"/>
      <c r="C1896" s="8" t="n"/>
      <c r="D1896" s="8" t="n"/>
      <c r="E1896" s="8" t="n"/>
      <c r="F1896" s="14" t="n"/>
      <c r="G1896" s="14" t="n"/>
      <c r="H1896" s="8" t="n"/>
      <c r="I1896" s="8" t="n"/>
      <c r="J1896" s="8" t="n"/>
      <c r="K1896" s="18">
        <f>IF(B1896="","",IFERROR(MONTH(B1896),""))</f>
        <v/>
      </c>
      <c r="L1896" s="5">
        <f>IF(COUNTA(A1896:J1896)=0,"",IF(E1896="","Mangler motkonto",IF((F1896="")=(G1896=""),"Fyll ut enten Inn eller Ut",IF(OR(IFERROR(INDEX('Kontoplan'!$D$3:$D$302,MATCH(D1896,'Kontoplan'!$H$3:$H$302,0))="Støttes ikke",FALSE),IFERROR(INDEX('Kontoplan'!$D$3:$D$302,MATCH(E1896,'Kontoplan'!$H$3:$H$302,0))="Støttes ikke",FALSE)),"Kontoen støttes ikke",IF(IFERROR(AND(A1896&gt;1,COUNTIF($A$3:$A$2002,A1896-1)=0),FALSE),"Nummeret hopper over",IF(OR(NOT(ISNUMBER(B1896)),B1896&lt;DATE(2027,1,1),B1896&gt;DATE(2027,12,31)),"Datoen er ikke i 2027",""))))))</f>
        <v/>
      </c>
    </row>
    <row r="1897">
      <c r="A1897" s="17" t="n"/>
      <c r="B1897" s="9" t="n"/>
      <c r="C1897" s="8" t="n"/>
      <c r="D1897" s="8" t="n"/>
      <c r="E1897" s="8" t="n"/>
      <c r="F1897" s="14" t="n"/>
      <c r="G1897" s="14" t="n"/>
      <c r="H1897" s="8" t="n"/>
      <c r="I1897" s="8" t="n"/>
      <c r="J1897" s="8" t="n"/>
      <c r="K1897" s="18">
        <f>IF(B1897="","",IFERROR(MONTH(B1897),""))</f>
        <v/>
      </c>
      <c r="L1897" s="5">
        <f>IF(COUNTA(A1897:J1897)=0,"",IF(E1897="","Mangler motkonto",IF((F1897="")=(G1897=""),"Fyll ut enten Inn eller Ut",IF(OR(IFERROR(INDEX('Kontoplan'!$D$3:$D$302,MATCH(D1897,'Kontoplan'!$H$3:$H$302,0))="Støttes ikke",FALSE),IFERROR(INDEX('Kontoplan'!$D$3:$D$302,MATCH(E1897,'Kontoplan'!$H$3:$H$302,0))="Støttes ikke",FALSE)),"Kontoen støttes ikke",IF(IFERROR(AND(A1897&gt;1,COUNTIF($A$3:$A$2002,A1897-1)=0),FALSE),"Nummeret hopper over",IF(OR(NOT(ISNUMBER(B1897)),B1897&lt;DATE(2027,1,1),B1897&gt;DATE(2027,12,31)),"Datoen er ikke i 2027",""))))))</f>
        <v/>
      </c>
    </row>
    <row r="1898">
      <c r="A1898" s="17" t="n"/>
      <c r="B1898" s="9" t="n"/>
      <c r="C1898" s="8" t="n"/>
      <c r="D1898" s="8" t="n"/>
      <c r="E1898" s="8" t="n"/>
      <c r="F1898" s="14" t="n"/>
      <c r="G1898" s="14" t="n"/>
      <c r="H1898" s="8" t="n"/>
      <c r="I1898" s="8" t="n"/>
      <c r="J1898" s="8" t="n"/>
      <c r="K1898" s="18">
        <f>IF(B1898="","",IFERROR(MONTH(B1898),""))</f>
        <v/>
      </c>
      <c r="L1898" s="5">
        <f>IF(COUNTA(A1898:J1898)=0,"",IF(E1898="","Mangler motkonto",IF((F1898="")=(G1898=""),"Fyll ut enten Inn eller Ut",IF(OR(IFERROR(INDEX('Kontoplan'!$D$3:$D$302,MATCH(D1898,'Kontoplan'!$H$3:$H$302,0))="Støttes ikke",FALSE),IFERROR(INDEX('Kontoplan'!$D$3:$D$302,MATCH(E1898,'Kontoplan'!$H$3:$H$302,0))="Støttes ikke",FALSE)),"Kontoen støttes ikke",IF(IFERROR(AND(A1898&gt;1,COUNTIF($A$3:$A$2002,A1898-1)=0),FALSE),"Nummeret hopper over",IF(OR(NOT(ISNUMBER(B1898)),B1898&lt;DATE(2027,1,1),B1898&gt;DATE(2027,12,31)),"Datoen er ikke i 2027",""))))))</f>
        <v/>
      </c>
    </row>
    <row r="1899">
      <c r="A1899" s="17" t="n"/>
      <c r="B1899" s="9" t="n"/>
      <c r="C1899" s="8" t="n"/>
      <c r="D1899" s="8" t="n"/>
      <c r="E1899" s="8" t="n"/>
      <c r="F1899" s="14" t="n"/>
      <c r="G1899" s="14" t="n"/>
      <c r="H1899" s="8" t="n"/>
      <c r="I1899" s="8" t="n"/>
      <c r="J1899" s="8" t="n"/>
      <c r="K1899" s="18">
        <f>IF(B1899="","",IFERROR(MONTH(B1899),""))</f>
        <v/>
      </c>
      <c r="L1899" s="5">
        <f>IF(COUNTA(A1899:J1899)=0,"",IF(E1899="","Mangler motkonto",IF((F1899="")=(G1899=""),"Fyll ut enten Inn eller Ut",IF(OR(IFERROR(INDEX('Kontoplan'!$D$3:$D$302,MATCH(D1899,'Kontoplan'!$H$3:$H$302,0))="Støttes ikke",FALSE),IFERROR(INDEX('Kontoplan'!$D$3:$D$302,MATCH(E1899,'Kontoplan'!$H$3:$H$302,0))="Støttes ikke",FALSE)),"Kontoen støttes ikke",IF(IFERROR(AND(A1899&gt;1,COUNTIF($A$3:$A$2002,A1899-1)=0),FALSE),"Nummeret hopper over",IF(OR(NOT(ISNUMBER(B1899)),B1899&lt;DATE(2027,1,1),B1899&gt;DATE(2027,12,31)),"Datoen er ikke i 2027",""))))))</f>
        <v/>
      </c>
    </row>
    <row r="1900">
      <c r="A1900" s="17" t="n"/>
      <c r="B1900" s="9" t="n"/>
      <c r="C1900" s="8" t="n"/>
      <c r="D1900" s="8" t="n"/>
      <c r="E1900" s="8" t="n"/>
      <c r="F1900" s="14" t="n"/>
      <c r="G1900" s="14" t="n"/>
      <c r="H1900" s="8" t="n"/>
      <c r="I1900" s="8" t="n"/>
      <c r="J1900" s="8" t="n"/>
      <c r="K1900" s="18">
        <f>IF(B1900="","",IFERROR(MONTH(B1900),""))</f>
        <v/>
      </c>
      <c r="L1900" s="5">
        <f>IF(COUNTA(A1900:J1900)=0,"",IF(E1900="","Mangler motkonto",IF((F1900="")=(G1900=""),"Fyll ut enten Inn eller Ut",IF(OR(IFERROR(INDEX('Kontoplan'!$D$3:$D$302,MATCH(D1900,'Kontoplan'!$H$3:$H$302,0))="Støttes ikke",FALSE),IFERROR(INDEX('Kontoplan'!$D$3:$D$302,MATCH(E1900,'Kontoplan'!$H$3:$H$302,0))="Støttes ikke",FALSE)),"Kontoen støttes ikke",IF(IFERROR(AND(A1900&gt;1,COUNTIF($A$3:$A$2002,A1900-1)=0),FALSE),"Nummeret hopper over",IF(OR(NOT(ISNUMBER(B1900)),B1900&lt;DATE(2027,1,1),B1900&gt;DATE(2027,12,31)),"Datoen er ikke i 2027",""))))))</f>
        <v/>
      </c>
    </row>
    <row r="1901">
      <c r="A1901" s="17" t="n"/>
      <c r="B1901" s="9" t="n"/>
      <c r="C1901" s="8" t="n"/>
      <c r="D1901" s="8" t="n"/>
      <c r="E1901" s="8" t="n"/>
      <c r="F1901" s="14" t="n"/>
      <c r="G1901" s="14" t="n"/>
      <c r="H1901" s="8" t="n"/>
      <c r="I1901" s="8" t="n"/>
      <c r="J1901" s="8" t="n"/>
      <c r="K1901" s="18">
        <f>IF(B1901="","",IFERROR(MONTH(B1901),""))</f>
        <v/>
      </c>
      <c r="L1901" s="5">
        <f>IF(COUNTA(A1901:J1901)=0,"",IF(E1901="","Mangler motkonto",IF((F1901="")=(G1901=""),"Fyll ut enten Inn eller Ut",IF(OR(IFERROR(INDEX('Kontoplan'!$D$3:$D$302,MATCH(D1901,'Kontoplan'!$H$3:$H$302,0))="Støttes ikke",FALSE),IFERROR(INDEX('Kontoplan'!$D$3:$D$302,MATCH(E1901,'Kontoplan'!$H$3:$H$302,0))="Støttes ikke",FALSE)),"Kontoen støttes ikke",IF(IFERROR(AND(A1901&gt;1,COUNTIF($A$3:$A$2002,A1901-1)=0),FALSE),"Nummeret hopper over",IF(OR(NOT(ISNUMBER(B1901)),B1901&lt;DATE(2027,1,1),B1901&gt;DATE(2027,12,31)),"Datoen er ikke i 2027",""))))))</f>
        <v/>
      </c>
    </row>
    <row r="1902">
      <c r="A1902" s="17" t="n"/>
      <c r="B1902" s="9" t="n"/>
      <c r="C1902" s="8" t="n"/>
      <c r="D1902" s="8" t="n"/>
      <c r="E1902" s="8" t="n"/>
      <c r="F1902" s="14" t="n"/>
      <c r="G1902" s="14" t="n"/>
      <c r="H1902" s="8" t="n"/>
      <c r="I1902" s="8" t="n"/>
      <c r="J1902" s="8" t="n"/>
      <c r="K1902" s="18">
        <f>IF(B1902="","",IFERROR(MONTH(B1902),""))</f>
        <v/>
      </c>
      <c r="L1902" s="5">
        <f>IF(COUNTA(A1902:J1902)=0,"",IF(E1902="","Mangler motkonto",IF((F1902="")=(G1902=""),"Fyll ut enten Inn eller Ut",IF(OR(IFERROR(INDEX('Kontoplan'!$D$3:$D$302,MATCH(D1902,'Kontoplan'!$H$3:$H$302,0))="Støttes ikke",FALSE),IFERROR(INDEX('Kontoplan'!$D$3:$D$302,MATCH(E1902,'Kontoplan'!$H$3:$H$302,0))="Støttes ikke",FALSE)),"Kontoen støttes ikke",IF(IFERROR(AND(A1902&gt;1,COUNTIF($A$3:$A$2002,A1902-1)=0),FALSE),"Nummeret hopper over",IF(OR(NOT(ISNUMBER(B1902)),B1902&lt;DATE(2027,1,1),B1902&gt;DATE(2027,12,31)),"Datoen er ikke i 2027",""))))))</f>
        <v/>
      </c>
    </row>
    <row r="1903">
      <c r="A1903" s="17" t="n"/>
      <c r="B1903" s="9" t="n"/>
      <c r="C1903" s="8" t="n"/>
      <c r="D1903" s="8" t="n"/>
      <c r="E1903" s="8" t="n"/>
      <c r="F1903" s="14" t="n"/>
      <c r="G1903" s="14" t="n"/>
      <c r="H1903" s="8" t="n"/>
      <c r="I1903" s="8" t="n"/>
      <c r="J1903" s="8" t="n"/>
      <c r="K1903" s="18">
        <f>IF(B1903="","",IFERROR(MONTH(B1903),""))</f>
        <v/>
      </c>
      <c r="L1903" s="5">
        <f>IF(COUNTA(A1903:J1903)=0,"",IF(E1903="","Mangler motkonto",IF((F1903="")=(G1903=""),"Fyll ut enten Inn eller Ut",IF(OR(IFERROR(INDEX('Kontoplan'!$D$3:$D$302,MATCH(D1903,'Kontoplan'!$H$3:$H$302,0))="Støttes ikke",FALSE),IFERROR(INDEX('Kontoplan'!$D$3:$D$302,MATCH(E1903,'Kontoplan'!$H$3:$H$302,0))="Støttes ikke",FALSE)),"Kontoen støttes ikke",IF(IFERROR(AND(A1903&gt;1,COUNTIF($A$3:$A$2002,A1903-1)=0),FALSE),"Nummeret hopper over",IF(OR(NOT(ISNUMBER(B1903)),B1903&lt;DATE(2027,1,1),B1903&gt;DATE(2027,12,31)),"Datoen er ikke i 2027",""))))))</f>
        <v/>
      </c>
    </row>
    <row r="1904">
      <c r="A1904" s="17" t="n"/>
      <c r="B1904" s="9" t="n"/>
      <c r="C1904" s="8" t="n"/>
      <c r="D1904" s="8" t="n"/>
      <c r="E1904" s="8" t="n"/>
      <c r="F1904" s="14" t="n"/>
      <c r="G1904" s="14" t="n"/>
      <c r="H1904" s="8" t="n"/>
      <c r="I1904" s="8" t="n"/>
      <c r="J1904" s="8" t="n"/>
      <c r="K1904" s="18">
        <f>IF(B1904="","",IFERROR(MONTH(B1904),""))</f>
        <v/>
      </c>
      <c r="L1904" s="5">
        <f>IF(COUNTA(A1904:J1904)=0,"",IF(E1904="","Mangler motkonto",IF((F1904="")=(G1904=""),"Fyll ut enten Inn eller Ut",IF(OR(IFERROR(INDEX('Kontoplan'!$D$3:$D$302,MATCH(D1904,'Kontoplan'!$H$3:$H$302,0))="Støttes ikke",FALSE),IFERROR(INDEX('Kontoplan'!$D$3:$D$302,MATCH(E1904,'Kontoplan'!$H$3:$H$302,0))="Støttes ikke",FALSE)),"Kontoen støttes ikke",IF(IFERROR(AND(A1904&gt;1,COUNTIF($A$3:$A$2002,A1904-1)=0),FALSE),"Nummeret hopper over",IF(OR(NOT(ISNUMBER(B1904)),B1904&lt;DATE(2027,1,1),B1904&gt;DATE(2027,12,31)),"Datoen er ikke i 2027",""))))))</f>
        <v/>
      </c>
    </row>
    <row r="1905">
      <c r="A1905" s="17" t="n"/>
      <c r="B1905" s="9" t="n"/>
      <c r="C1905" s="8" t="n"/>
      <c r="D1905" s="8" t="n"/>
      <c r="E1905" s="8" t="n"/>
      <c r="F1905" s="14" t="n"/>
      <c r="G1905" s="14" t="n"/>
      <c r="H1905" s="8" t="n"/>
      <c r="I1905" s="8" t="n"/>
      <c r="J1905" s="8" t="n"/>
      <c r="K1905" s="18">
        <f>IF(B1905="","",IFERROR(MONTH(B1905),""))</f>
        <v/>
      </c>
      <c r="L1905" s="5">
        <f>IF(COUNTA(A1905:J1905)=0,"",IF(E1905="","Mangler motkonto",IF((F1905="")=(G1905=""),"Fyll ut enten Inn eller Ut",IF(OR(IFERROR(INDEX('Kontoplan'!$D$3:$D$302,MATCH(D1905,'Kontoplan'!$H$3:$H$302,0))="Støttes ikke",FALSE),IFERROR(INDEX('Kontoplan'!$D$3:$D$302,MATCH(E1905,'Kontoplan'!$H$3:$H$302,0))="Støttes ikke",FALSE)),"Kontoen støttes ikke",IF(IFERROR(AND(A1905&gt;1,COUNTIF($A$3:$A$2002,A1905-1)=0),FALSE),"Nummeret hopper over",IF(OR(NOT(ISNUMBER(B1905)),B1905&lt;DATE(2027,1,1),B1905&gt;DATE(2027,12,31)),"Datoen er ikke i 2027",""))))))</f>
        <v/>
      </c>
    </row>
    <row r="1906">
      <c r="A1906" s="17" t="n"/>
      <c r="B1906" s="9" t="n"/>
      <c r="C1906" s="8" t="n"/>
      <c r="D1906" s="8" t="n"/>
      <c r="E1906" s="8" t="n"/>
      <c r="F1906" s="14" t="n"/>
      <c r="G1906" s="14" t="n"/>
      <c r="H1906" s="8" t="n"/>
      <c r="I1906" s="8" t="n"/>
      <c r="J1906" s="8" t="n"/>
      <c r="K1906" s="18">
        <f>IF(B1906="","",IFERROR(MONTH(B1906),""))</f>
        <v/>
      </c>
      <c r="L1906" s="5">
        <f>IF(COUNTA(A1906:J1906)=0,"",IF(E1906="","Mangler motkonto",IF((F1906="")=(G1906=""),"Fyll ut enten Inn eller Ut",IF(OR(IFERROR(INDEX('Kontoplan'!$D$3:$D$302,MATCH(D1906,'Kontoplan'!$H$3:$H$302,0))="Støttes ikke",FALSE),IFERROR(INDEX('Kontoplan'!$D$3:$D$302,MATCH(E1906,'Kontoplan'!$H$3:$H$302,0))="Støttes ikke",FALSE)),"Kontoen støttes ikke",IF(IFERROR(AND(A1906&gt;1,COUNTIF($A$3:$A$2002,A1906-1)=0),FALSE),"Nummeret hopper over",IF(OR(NOT(ISNUMBER(B1906)),B1906&lt;DATE(2027,1,1),B1906&gt;DATE(2027,12,31)),"Datoen er ikke i 2027",""))))))</f>
        <v/>
      </c>
    </row>
    <row r="1907">
      <c r="A1907" s="17" t="n"/>
      <c r="B1907" s="9" t="n"/>
      <c r="C1907" s="8" t="n"/>
      <c r="D1907" s="8" t="n"/>
      <c r="E1907" s="8" t="n"/>
      <c r="F1907" s="14" t="n"/>
      <c r="G1907" s="14" t="n"/>
      <c r="H1907" s="8" t="n"/>
      <c r="I1907" s="8" t="n"/>
      <c r="J1907" s="8" t="n"/>
      <c r="K1907" s="18">
        <f>IF(B1907="","",IFERROR(MONTH(B1907),""))</f>
        <v/>
      </c>
      <c r="L1907" s="5">
        <f>IF(COUNTA(A1907:J1907)=0,"",IF(E1907="","Mangler motkonto",IF((F1907="")=(G1907=""),"Fyll ut enten Inn eller Ut",IF(OR(IFERROR(INDEX('Kontoplan'!$D$3:$D$302,MATCH(D1907,'Kontoplan'!$H$3:$H$302,0))="Støttes ikke",FALSE),IFERROR(INDEX('Kontoplan'!$D$3:$D$302,MATCH(E1907,'Kontoplan'!$H$3:$H$302,0))="Støttes ikke",FALSE)),"Kontoen støttes ikke",IF(IFERROR(AND(A1907&gt;1,COUNTIF($A$3:$A$2002,A1907-1)=0),FALSE),"Nummeret hopper over",IF(OR(NOT(ISNUMBER(B1907)),B1907&lt;DATE(2027,1,1),B1907&gt;DATE(2027,12,31)),"Datoen er ikke i 2027",""))))))</f>
        <v/>
      </c>
    </row>
    <row r="1908">
      <c r="A1908" s="17" t="n"/>
      <c r="B1908" s="9" t="n"/>
      <c r="C1908" s="8" t="n"/>
      <c r="D1908" s="8" t="n"/>
      <c r="E1908" s="8" t="n"/>
      <c r="F1908" s="14" t="n"/>
      <c r="G1908" s="14" t="n"/>
      <c r="H1908" s="8" t="n"/>
      <c r="I1908" s="8" t="n"/>
      <c r="J1908" s="8" t="n"/>
      <c r="K1908" s="18">
        <f>IF(B1908="","",IFERROR(MONTH(B1908),""))</f>
        <v/>
      </c>
      <c r="L1908" s="5">
        <f>IF(COUNTA(A1908:J1908)=0,"",IF(E1908="","Mangler motkonto",IF((F1908="")=(G1908=""),"Fyll ut enten Inn eller Ut",IF(OR(IFERROR(INDEX('Kontoplan'!$D$3:$D$302,MATCH(D1908,'Kontoplan'!$H$3:$H$302,0))="Støttes ikke",FALSE),IFERROR(INDEX('Kontoplan'!$D$3:$D$302,MATCH(E1908,'Kontoplan'!$H$3:$H$302,0))="Støttes ikke",FALSE)),"Kontoen støttes ikke",IF(IFERROR(AND(A1908&gt;1,COUNTIF($A$3:$A$2002,A1908-1)=0),FALSE),"Nummeret hopper over",IF(OR(NOT(ISNUMBER(B1908)),B1908&lt;DATE(2027,1,1),B1908&gt;DATE(2027,12,31)),"Datoen er ikke i 2027",""))))))</f>
        <v/>
      </c>
    </row>
    <row r="1909">
      <c r="A1909" s="17" t="n"/>
      <c r="B1909" s="9" t="n"/>
      <c r="C1909" s="8" t="n"/>
      <c r="D1909" s="8" t="n"/>
      <c r="E1909" s="8" t="n"/>
      <c r="F1909" s="14" t="n"/>
      <c r="G1909" s="14" t="n"/>
      <c r="H1909" s="8" t="n"/>
      <c r="I1909" s="8" t="n"/>
      <c r="J1909" s="8" t="n"/>
      <c r="K1909" s="18">
        <f>IF(B1909="","",IFERROR(MONTH(B1909),""))</f>
        <v/>
      </c>
      <c r="L1909" s="5">
        <f>IF(COUNTA(A1909:J1909)=0,"",IF(E1909="","Mangler motkonto",IF((F1909="")=(G1909=""),"Fyll ut enten Inn eller Ut",IF(OR(IFERROR(INDEX('Kontoplan'!$D$3:$D$302,MATCH(D1909,'Kontoplan'!$H$3:$H$302,0))="Støttes ikke",FALSE),IFERROR(INDEX('Kontoplan'!$D$3:$D$302,MATCH(E1909,'Kontoplan'!$H$3:$H$302,0))="Støttes ikke",FALSE)),"Kontoen støttes ikke",IF(IFERROR(AND(A1909&gt;1,COUNTIF($A$3:$A$2002,A1909-1)=0),FALSE),"Nummeret hopper over",IF(OR(NOT(ISNUMBER(B1909)),B1909&lt;DATE(2027,1,1),B1909&gt;DATE(2027,12,31)),"Datoen er ikke i 2027",""))))))</f>
        <v/>
      </c>
    </row>
    <row r="1910">
      <c r="A1910" s="17" t="n"/>
      <c r="B1910" s="9" t="n"/>
      <c r="C1910" s="8" t="n"/>
      <c r="D1910" s="8" t="n"/>
      <c r="E1910" s="8" t="n"/>
      <c r="F1910" s="14" t="n"/>
      <c r="G1910" s="14" t="n"/>
      <c r="H1910" s="8" t="n"/>
      <c r="I1910" s="8" t="n"/>
      <c r="J1910" s="8" t="n"/>
      <c r="K1910" s="18">
        <f>IF(B1910="","",IFERROR(MONTH(B1910),""))</f>
        <v/>
      </c>
      <c r="L1910" s="5">
        <f>IF(COUNTA(A1910:J1910)=0,"",IF(E1910="","Mangler motkonto",IF((F1910="")=(G1910=""),"Fyll ut enten Inn eller Ut",IF(OR(IFERROR(INDEX('Kontoplan'!$D$3:$D$302,MATCH(D1910,'Kontoplan'!$H$3:$H$302,0))="Støttes ikke",FALSE),IFERROR(INDEX('Kontoplan'!$D$3:$D$302,MATCH(E1910,'Kontoplan'!$H$3:$H$302,0))="Støttes ikke",FALSE)),"Kontoen støttes ikke",IF(IFERROR(AND(A1910&gt;1,COUNTIF($A$3:$A$2002,A1910-1)=0),FALSE),"Nummeret hopper over",IF(OR(NOT(ISNUMBER(B1910)),B1910&lt;DATE(2027,1,1),B1910&gt;DATE(2027,12,31)),"Datoen er ikke i 2027",""))))))</f>
        <v/>
      </c>
    </row>
    <row r="1911">
      <c r="A1911" s="17" t="n"/>
      <c r="B1911" s="9" t="n"/>
      <c r="C1911" s="8" t="n"/>
      <c r="D1911" s="8" t="n"/>
      <c r="E1911" s="8" t="n"/>
      <c r="F1911" s="14" t="n"/>
      <c r="G1911" s="14" t="n"/>
      <c r="H1911" s="8" t="n"/>
      <c r="I1911" s="8" t="n"/>
      <c r="J1911" s="8" t="n"/>
      <c r="K1911" s="18">
        <f>IF(B1911="","",IFERROR(MONTH(B1911),""))</f>
        <v/>
      </c>
      <c r="L1911" s="5">
        <f>IF(COUNTA(A1911:J1911)=0,"",IF(E1911="","Mangler motkonto",IF((F1911="")=(G1911=""),"Fyll ut enten Inn eller Ut",IF(OR(IFERROR(INDEX('Kontoplan'!$D$3:$D$302,MATCH(D1911,'Kontoplan'!$H$3:$H$302,0))="Støttes ikke",FALSE),IFERROR(INDEX('Kontoplan'!$D$3:$D$302,MATCH(E1911,'Kontoplan'!$H$3:$H$302,0))="Støttes ikke",FALSE)),"Kontoen støttes ikke",IF(IFERROR(AND(A1911&gt;1,COUNTIF($A$3:$A$2002,A1911-1)=0),FALSE),"Nummeret hopper over",IF(OR(NOT(ISNUMBER(B1911)),B1911&lt;DATE(2027,1,1),B1911&gt;DATE(2027,12,31)),"Datoen er ikke i 2027",""))))))</f>
        <v/>
      </c>
    </row>
    <row r="1912">
      <c r="A1912" s="17" t="n"/>
      <c r="B1912" s="9" t="n"/>
      <c r="C1912" s="8" t="n"/>
      <c r="D1912" s="8" t="n"/>
      <c r="E1912" s="8" t="n"/>
      <c r="F1912" s="14" t="n"/>
      <c r="G1912" s="14" t="n"/>
      <c r="H1912" s="8" t="n"/>
      <c r="I1912" s="8" t="n"/>
      <c r="J1912" s="8" t="n"/>
      <c r="K1912" s="18">
        <f>IF(B1912="","",IFERROR(MONTH(B1912),""))</f>
        <v/>
      </c>
      <c r="L1912" s="5">
        <f>IF(COUNTA(A1912:J1912)=0,"",IF(E1912="","Mangler motkonto",IF((F1912="")=(G1912=""),"Fyll ut enten Inn eller Ut",IF(OR(IFERROR(INDEX('Kontoplan'!$D$3:$D$302,MATCH(D1912,'Kontoplan'!$H$3:$H$302,0))="Støttes ikke",FALSE),IFERROR(INDEX('Kontoplan'!$D$3:$D$302,MATCH(E1912,'Kontoplan'!$H$3:$H$302,0))="Støttes ikke",FALSE)),"Kontoen støttes ikke",IF(IFERROR(AND(A1912&gt;1,COUNTIF($A$3:$A$2002,A1912-1)=0),FALSE),"Nummeret hopper over",IF(OR(NOT(ISNUMBER(B1912)),B1912&lt;DATE(2027,1,1),B1912&gt;DATE(2027,12,31)),"Datoen er ikke i 2027",""))))))</f>
        <v/>
      </c>
    </row>
    <row r="1913">
      <c r="A1913" s="17" t="n"/>
      <c r="B1913" s="9" t="n"/>
      <c r="C1913" s="8" t="n"/>
      <c r="D1913" s="8" t="n"/>
      <c r="E1913" s="8" t="n"/>
      <c r="F1913" s="14" t="n"/>
      <c r="G1913" s="14" t="n"/>
      <c r="H1913" s="8" t="n"/>
      <c r="I1913" s="8" t="n"/>
      <c r="J1913" s="8" t="n"/>
      <c r="K1913" s="18">
        <f>IF(B1913="","",IFERROR(MONTH(B1913),""))</f>
        <v/>
      </c>
      <c r="L1913" s="5">
        <f>IF(COUNTA(A1913:J1913)=0,"",IF(E1913="","Mangler motkonto",IF((F1913="")=(G1913=""),"Fyll ut enten Inn eller Ut",IF(OR(IFERROR(INDEX('Kontoplan'!$D$3:$D$302,MATCH(D1913,'Kontoplan'!$H$3:$H$302,0))="Støttes ikke",FALSE),IFERROR(INDEX('Kontoplan'!$D$3:$D$302,MATCH(E1913,'Kontoplan'!$H$3:$H$302,0))="Støttes ikke",FALSE)),"Kontoen støttes ikke",IF(IFERROR(AND(A1913&gt;1,COUNTIF($A$3:$A$2002,A1913-1)=0),FALSE),"Nummeret hopper over",IF(OR(NOT(ISNUMBER(B1913)),B1913&lt;DATE(2027,1,1),B1913&gt;DATE(2027,12,31)),"Datoen er ikke i 2027",""))))))</f>
        <v/>
      </c>
    </row>
    <row r="1914">
      <c r="A1914" s="17" t="n"/>
      <c r="B1914" s="9" t="n"/>
      <c r="C1914" s="8" t="n"/>
      <c r="D1914" s="8" t="n"/>
      <c r="E1914" s="8" t="n"/>
      <c r="F1914" s="14" t="n"/>
      <c r="G1914" s="14" t="n"/>
      <c r="H1914" s="8" t="n"/>
      <c r="I1914" s="8" t="n"/>
      <c r="J1914" s="8" t="n"/>
      <c r="K1914" s="18">
        <f>IF(B1914="","",IFERROR(MONTH(B1914),""))</f>
        <v/>
      </c>
      <c r="L1914" s="5">
        <f>IF(COUNTA(A1914:J1914)=0,"",IF(E1914="","Mangler motkonto",IF((F1914="")=(G1914=""),"Fyll ut enten Inn eller Ut",IF(OR(IFERROR(INDEX('Kontoplan'!$D$3:$D$302,MATCH(D1914,'Kontoplan'!$H$3:$H$302,0))="Støttes ikke",FALSE),IFERROR(INDEX('Kontoplan'!$D$3:$D$302,MATCH(E1914,'Kontoplan'!$H$3:$H$302,0))="Støttes ikke",FALSE)),"Kontoen støttes ikke",IF(IFERROR(AND(A1914&gt;1,COUNTIF($A$3:$A$2002,A1914-1)=0),FALSE),"Nummeret hopper over",IF(OR(NOT(ISNUMBER(B1914)),B1914&lt;DATE(2027,1,1),B1914&gt;DATE(2027,12,31)),"Datoen er ikke i 2027",""))))))</f>
        <v/>
      </c>
    </row>
    <row r="1915">
      <c r="A1915" s="17" t="n"/>
      <c r="B1915" s="9" t="n"/>
      <c r="C1915" s="8" t="n"/>
      <c r="D1915" s="8" t="n"/>
      <c r="E1915" s="8" t="n"/>
      <c r="F1915" s="14" t="n"/>
      <c r="G1915" s="14" t="n"/>
      <c r="H1915" s="8" t="n"/>
      <c r="I1915" s="8" t="n"/>
      <c r="J1915" s="8" t="n"/>
      <c r="K1915" s="18">
        <f>IF(B1915="","",IFERROR(MONTH(B1915),""))</f>
        <v/>
      </c>
      <c r="L1915" s="5">
        <f>IF(COUNTA(A1915:J1915)=0,"",IF(E1915="","Mangler motkonto",IF((F1915="")=(G1915=""),"Fyll ut enten Inn eller Ut",IF(OR(IFERROR(INDEX('Kontoplan'!$D$3:$D$302,MATCH(D1915,'Kontoplan'!$H$3:$H$302,0))="Støttes ikke",FALSE),IFERROR(INDEX('Kontoplan'!$D$3:$D$302,MATCH(E1915,'Kontoplan'!$H$3:$H$302,0))="Støttes ikke",FALSE)),"Kontoen støttes ikke",IF(IFERROR(AND(A1915&gt;1,COUNTIF($A$3:$A$2002,A1915-1)=0),FALSE),"Nummeret hopper over",IF(OR(NOT(ISNUMBER(B1915)),B1915&lt;DATE(2027,1,1),B1915&gt;DATE(2027,12,31)),"Datoen er ikke i 2027",""))))))</f>
        <v/>
      </c>
    </row>
    <row r="1916">
      <c r="A1916" s="17" t="n"/>
      <c r="B1916" s="9" t="n"/>
      <c r="C1916" s="8" t="n"/>
      <c r="D1916" s="8" t="n"/>
      <c r="E1916" s="8" t="n"/>
      <c r="F1916" s="14" t="n"/>
      <c r="G1916" s="14" t="n"/>
      <c r="H1916" s="8" t="n"/>
      <c r="I1916" s="8" t="n"/>
      <c r="J1916" s="8" t="n"/>
      <c r="K1916" s="18">
        <f>IF(B1916="","",IFERROR(MONTH(B1916),""))</f>
        <v/>
      </c>
      <c r="L1916" s="5">
        <f>IF(COUNTA(A1916:J1916)=0,"",IF(E1916="","Mangler motkonto",IF((F1916="")=(G1916=""),"Fyll ut enten Inn eller Ut",IF(OR(IFERROR(INDEX('Kontoplan'!$D$3:$D$302,MATCH(D1916,'Kontoplan'!$H$3:$H$302,0))="Støttes ikke",FALSE),IFERROR(INDEX('Kontoplan'!$D$3:$D$302,MATCH(E1916,'Kontoplan'!$H$3:$H$302,0))="Støttes ikke",FALSE)),"Kontoen støttes ikke",IF(IFERROR(AND(A1916&gt;1,COUNTIF($A$3:$A$2002,A1916-1)=0),FALSE),"Nummeret hopper over",IF(OR(NOT(ISNUMBER(B1916)),B1916&lt;DATE(2027,1,1),B1916&gt;DATE(2027,12,31)),"Datoen er ikke i 2027",""))))))</f>
        <v/>
      </c>
    </row>
    <row r="1917">
      <c r="A1917" s="17" t="n"/>
      <c r="B1917" s="9" t="n"/>
      <c r="C1917" s="8" t="n"/>
      <c r="D1917" s="8" t="n"/>
      <c r="E1917" s="8" t="n"/>
      <c r="F1917" s="14" t="n"/>
      <c r="G1917" s="14" t="n"/>
      <c r="H1917" s="8" t="n"/>
      <c r="I1917" s="8" t="n"/>
      <c r="J1917" s="8" t="n"/>
      <c r="K1917" s="18">
        <f>IF(B1917="","",IFERROR(MONTH(B1917),""))</f>
        <v/>
      </c>
      <c r="L1917" s="5">
        <f>IF(COUNTA(A1917:J1917)=0,"",IF(E1917="","Mangler motkonto",IF((F1917="")=(G1917=""),"Fyll ut enten Inn eller Ut",IF(OR(IFERROR(INDEX('Kontoplan'!$D$3:$D$302,MATCH(D1917,'Kontoplan'!$H$3:$H$302,0))="Støttes ikke",FALSE),IFERROR(INDEX('Kontoplan'!$D$3:$D$302,MATCH(E1917,'Kontoplan'!$H$3:$H$302,0))="Støttes ikke",FALSE)),"Kontoen støttes ikke",IF(IFERROR(AND(A1917&gt;1,COUNTIF($A$3:$A$2002,A1917-1)=0),FALSE),"Nummeret hopper over",IF(OR(NOT(ISNUMBER(B1917)),B1917&lt;DATE(2027,1,1),B1917&gt;DATE(2027,12,31)),"Datoen er ikke i 2027",""))))))</f>
        <v/>
      </c>
    </row>
    <row r="1918">
      <c r="A1918" s="17" t="n"/>
      <c r="B1918" s="9" t="n"/>
      <c r="C1918" s="8" t="n"/>
      <c r="D1918" s="8" t="n"/>
      <c r="E1918" s="8" t="n"/>
      <c r="F1918" s="14" t="n"/>
      <c r="G1918" s="14" t="n"/>
      <c r="H1918" s="8" t="n"/>
      <c r="I1918" s="8" t="n"/>
      <c r="J1918" s="8" t="n"/>
      <c r="K1918" s="18">
        <f>IF(B1918="","",IFERROR(MONTH(B1918),""))</f>
        <v/>
      </c>
      <c r="L1918" s="5">
        <f>IF(COUNTA(A1918:J1918)=0,"",IF(E1918="","Mangler motkonto",IF((F1918="")=(G1918=""),"Fyll ut enten Inn eller Ut",IF(OR(IFERROR(INDEX('Kontoplan'!$D$3:$D$302,MATCH(D1918,'Kontoplan'!$H$3:$H$302,0))="Støttes ikke",FALSE),IFERROR(INDEX('Kontoplan'!$D$3:$D$302,MATCH(E1918,'Kontoplan'!$H$3:$H$302,0))="Støttes ikke",FALSE)),"Kontoen støttes ikke",IF(IFERROR(AND(A1918&gt;1,COUNTIF($A$3:$A$2002,A1918-1)=0),FALSE),"Nummeret hopper over",IF(OR(NOT(ISNUMBER(B1918)),B1918&lt;DATE(2027,1,1),B1918&gt;DATE(2027,12,31)),"Datoen er ikke i 2027",""))))))</f>
        <v/>
      </c>
    </row>
    <row r="1919">
      <c r="A1919" s="17" t="n"/>
      <c r="B1919" s="9" t="n"/>
      <c r="C1919" s="8" t="n"/>
      <c r="D1919" s="8" t="n"/>
      <c r="E1919" s="8" t="n"/>
      <c r="F1919" s="14" t="n"/>
      <c r="G1919" s="14" t="n"/>
      <c r="H1919" s="8" t="n"/>
      <c r="I1919" s="8" t="n"/>
      <c r="J1919" s="8" t="n"/>
      <c r="K1919" s="18">
        <f>IF(B1919="","",IFERROR(MONTH(B1919),""))</f>
        <v/>
      </c>
      <c r="L1919" s="5">
        <f>IF(COUNTA(A1919:J1919)=0,"",IF(E1919="","Mangler motkonto",IF((F1919="")=(G1919=""),"Fyll ut enten Inn eller Ut",IF(OR(IFERROR(INDEX('Kontoplan'!$D$3:$D$302,MATCH(D1919,'Kontoplan'!$H$3:$H$302,0))="Støttes ikke",FALSE),IFERROR(INDEX('Kontoplan'!$D$3:$D$302,MATCH(E1919,'Kontoplan'!$H$3:$H$302,0))="Støttes ikke",FALSE)),"Kontoen støttes ikke",IF(IFERROR(AND(A1919&gt;1,COUNTIF($A$3:$A$2002,A1919-1)=0),FALSE),"Nummeret hopper over",IF(OR(NOT(ISNUMBER(B1919)),B1919&lt;DATE(2027,1,1),B1919&gt;DATE(2027,12,31)),"Datoen er ikke i 2027",""))))))</f>
        <v/>
      </c>
    </row>
    <row r="1920">
      <c r="A1920" s="17" t="n"/>
      <c r="B1920" s="9" t="n"/>
      <c r="C1920" s="8" t="n"/>
      <c r="D1920" s="8" t="n"/>
      <c r="E1920" s="8" t="n"/>
      <c r="F1920" s="14" t="n"/>
      <c r="G1920" s="14" t="n"/>
      <c r="H1920" s="8" t="n"/>
      <c r="I1920" s="8" t="n"/>
      <c r="J1920" s="8" t="n"/>
      <c r="K1920" s="18">
        <f>IF(B1920="","",IFERROR(MONTH(B1920),""))</f>
        <v/>
      </c>
      <c r="L1920" s="5">
        <f>IF(COUNTA(A1920:J1920)=0,"",IF(E1920="","Mangler motkonto",IF((F1920="")=(G1920=""),"Fyll ut enten Inn eller Ut",IF(OR(IFERROR(INDEX('Kontoplan'!$D$3:$D$302,MATCH(D1920,'Kontoplan'!$H$3:$H$302,0))="Støttes ikke",FALSE),IFERROR(INDEX('Kontoplan'!$D$3:$D$302,MATCH(E1920,'Kontoplan'!$H$3:$H$302,0))="Støttes ikke",FALSE)),"Kontoen støttes ikke",IF(IFERROR(AND(A1920&gt;1,COUNTIF($A$3:$A$2002,A1920-1)=0),FALSE),"Nummeret hopper over",IF(OR(NOT(ISNUMBER(B1920)),B1920&lt;DATE(2027,1,1),B1920&gt;DATE(2027,12,31)),"Datoen er ikke i 2027",""))))))</f>
        <v/>
      </c>
    </row>
    <row r="1921">
      <c r="A1921" s="17" t="n"/>
      <c r="B1921" s="9" t="n"/>
      <c r="C1921" s="8" t="n"/>
      <c r="D1921" s="8" t="n"/>
      <c r="E1921" s="8" t="n"/>
      <c r="F1921" s="14" t="n"/>
      <c r="G1921" s="14" t="n"/>
      <c r="H1921" s="8" t="n"/>
      <c r="I1921" s="8" t="n"/>
      <c r="J1921" s="8" t="n"/>
      <c r="K1921" s="18">
        <f>IF(B1921="","",IFERROR(MONTH(B1921),""))</f>
        <v/>
      </c>
      <c r="L1921" s="5">
        <f>IF(COUNTA(A1921:J1921)=0,"",IF(E1921="","Mangler motkonto",IF((F1921="")=(G1921=""),"Fyll ut enten Inn eller Ut",IF(OR(IFERROR(INDEX('Kontoplan'!$D$3:$D$302,MATCH(D1921,'Kontoplan'!$H$3:$H$302,0))="Støttes ikke",FALSE),IFERROR(INDEX('Kontoplan'!$D$3:$D$302,MATCH(E1921,'Kontoplan'!$H$3:$H$302,0))="Støttes ikke",FALSE)),"Kontoen støttes ikke",IF(IFERROR(AND(A1921&gt;1,COUNTIF($A$3:$A$2002,A1921-1)=0),FALSE),"Nummeret hopper over",IF(OR(NOT(ISNUMBER(B1921)),B1921&lt;DATE(2027,1,1),B1921&gt;DATE(2027,12,31)),"Datoen er ikke i 2027",""))))))</f>
        <v/>
      </c>
    </row>
    <row r="1922">
      <c r="A1922" s="17" t="n"/>
      <c r="B1922" s="9" t="n"/>
      <c r="C1922" s="8" t="n"/>
      <c r="D1922" s="8" t="n"/>
      <c r="E1922" s="8" t="n"/>
      <c r="F1922" s="14" t="n"/>
      <c r="G1922" s="14" t="n"/>
      <c r="H1922" s="8" t="n"/>
      <c r="I1922" s="8" t="n"/>
      <c r="J1922" s="8" t="n"/>
      <c r="K1922" s="18">
        <f>IF(B1922="","",IFERROR(MONTH(B1922),""))</f>
        <v/>
      </c>
      <c r="L1922" s="5">
        <f>IF(COUNTA(A1922:J1922)=0,"",IF(E1922="","Mangler motkonto",IF((F1922="")=(G1922=""),"Fyll ut enten Inn eller Ut",IF(OR(IFERROR(INDEX('Kontoplan'!$D$3:$D$302,MATCH(D1922,'Kontoplan'!$H$3:$H$302,0))="Støttes ikke",FALSE),IFERROR(INDEX('Kontoplan'!$D$3:$D$302,MATCH(E1922,'Kontoplan'!$H$3:$H$302,0))="Støttes ikke",FALSE)),"Kontoen støttes ikke",IF(IFERROR(AND(A1922&gt;1,COUNTIF($A$3:$A$2002,A1922-1)=0),FALSE),"Nummeret hopper over",IF(OR(NOT(ISNUMBER(B1922)),B1922&lt;DATE(2027,1,1),B1922&gt;DATE(2027,12,31)),"Datoen er ikke i 2027",""))))))</f>
        <v/>
      </c>
    </row>
    <row r="1923">
      <c r="A1923" s="17" t="n"/>
      <c r="B1923" s="9" t="n"/>
      <c r="C1923" s="8" t="n"/>
      <c r="D1923" s="8" t="n"/>
      <c r="E1923" s="8" t="n"/>
      <c r="F1923" s="14" t="n"/>
      <c r="G1923" s="14" t="n"/>
      <c r="H1923" s="8" t="n"/>
      <c r="I1923" s="8" t="n"/>
      <c r="J1923" s="8" t="n"/>
      <c r="K1923" s="18">
        <f>IF(B1923="","",IFERROR(MONTH(B1923),""))</f>
        <v/>
      </c>
      <c r="L1923" s="5">
        <f>IF(COUNTA(A1923:J1923)=0,"",IF(E1923="","Mangler motkonto",IF((F1923="")=(G1923=""),"Fyll ut enten Inn eller Ut",IF(OR(IFERROR(INDEX('Kontoplan'!$D$3:$D$302,MATCH(D1923,'Kontoplan'!$H$3:$H$302,0))="Støttes ikke",FALSE),IFERROR(INDEX('Kontoplan'!$D$3:$D$302,MATCH(E1923,'Kontoplan'!$H$3:$H$302,0))="Støttes ikke",FALSE)),"Kontoen støttes ikke",IF(IFERROR(AND(A1923&gt;1,COUNTIF($A$3:$A$2002,A1923-1)=0),FALSE),"Nummeret hopper over",IF(OR(NOT(ISNUMBER(B1923)),B1923&lt;DATE(2027,1,1),B1923&gt;DATE(2027,12,31)),"Datoen er ikke i 2027",""))))))</f>
        <v/>
      </c>
    </row>
    <row r="1924">
      <c r="A1924" s="17" t="n"/>
      <c r="B1924" s="9" t="n"/>
      <c r="C1924" s="8" t="n"/>
      <c r="D1924" s="8" t="n"/>
      <c r="E1924" s="8" t="n"/>
      <c r="F1924" s="14" t="n"/>
      <c r="G1924" s="14" t="n"/>
      <c r="H1924" s="8" t="n"/>
      <c r="I1924" s="8" t="n"/>
      <c r="J1924" s="8" t="n"/>
      <c r="K1924" s="18">
        <f>IF(B1924="","",IFERROR(MONTH(B1924),""))</f>
        <v/>
      </c>
      <c r="L1924" s="5">
        <f>IF(COUNTA(A1924:J1924)=0,"",IF(E1924="","Mangler motkonto",IF((F1924="")=(G1924=""),"Fyll ut enten Inn eller Ut",IF(OR(IFERROR(INDEX('Kontoplan'!$D$3:$D$302,MATCH(D1924,'Kontoplan'!$H$3:$H$302,0))="Støttes ikke",FALSE),IFERROR(INDEX('Kontoplan'!$D$3:$D$302,MATCH(E1924,'Kontoplan'!$H$3:$H$302,0))="Støttes ikke",FALSE)),"Kontoen støttes ikke",IF(IFERROR(AND(A1924&gt;1,COUNTIF($A$3:$A$2002,A1924-1)=0),FALSE),"Nummeret hopper over",IF(OR(NOT(ISNUMBER(B1924)),B1924&lt;DATE(2027,1,1),B1924&gt;DATE(2027,12,31)),"Datoen er ikke i 2027",""))))))</f>
        <v/>
      </c>
    </row>
    <row r="1925">
      <c r="A1925" s="17" t="n"/>
      <c r="B1925" s="9" t="n"/>
      <c r="C1925" s="8" t="n"/>
      <c r="D1925" s="8" t="n"/>
      <c r="E1925" s="8" t="n"/>
      <c r="F1925" s="14" t="n"/>
      <c r="G1925" s="14" t="n"/>
      <c r="H1925" s="8" t="n"/>
      <c r="I1925" s="8" t="n"/>
      <c r="J1925" s="8" t="n"/>
      <c r="K1925" s="18">
        <f>IF(B1925="","",IFERROR(MONTH(B1925),""))</f>
        <v/>
      </c>
      <c r="L1925" s="5">
        <f>IF(COUNTA(A1925:J1925)=0,"",IF(E1925="","Mangler motkonto",IF((F1925="")=(G1925=""),"Fyll ut enten Inn eller Ut",IF(OR(IFERROR(INDEX('Kontoplan'!$D$3:$D$302,MATCH(D1925,'Kontoplan'!$H$3:$H$302,0))="Støttes ikke",FALSE),IFERROR(INDEX('Kontoplan'!$D$3:$D$302,MATCH(E1925,'Kontoplan'!$H$3:$H$302,0))="Støttes ikke",FALSE)),"Kontoen støttes ikke",IF(IFERROR(AND(A1925&gt;1,COUNTIF($A$3:$A$2002,A1925-1)=0),FALSE),"Nummeret hopper over",IF(OR(NOT(ISNUMBER(B1925)),B1925&lt;DATE(2027,1,1),B1925&gt;DATE(2027,12,31)),"Datoen er ikke i 2027",""))))))</f>
        <v/>
      </c>
    </row>
    <row r="1926">
      <c r="A1926" s="17" t="n"/>
      <c r="B1926" s="9" t="n"/>
      <c r="C1926" s="8" t="n"/>
      <c r="D1926" s="8" t="n"/>
      <c r="E1926" s="8" t="n"/>
      <c r="F1926" s="14" t="n"/>
      <c r="G1926" s="14" t="n"/>
      <c r="H1926" s="8" t="n"/>
      <c r="I1926" s="8" t="n"/>
      <c r="J1926" s="8" t="n"/>
      <c r="K1926" s="18">
        <f>IF(B1926="","",IFERROR(MONTH(B1926),""))</f>
        <v/>
      </c>
      <c r="L1926" s="5">
        <f>IF(COUNTA(A1926:J1926)=0,"",IF(E1926="","Mangler motkonto",IF((F1926="")=(G1926=""),"Fyll ut enten Inn eller Ut",IF(OR(IFERROR(INDEX('Kontoplan'!$D$3:$D$302,MATCH(D1926,'Kontoplan'!$H$3:$H$302,0))="Støttes ikke",FALSE),IFERROR(INDEX('Kontoplan'!$D$3:$D$302,MATCH(E1926,'Kontoplan'!$H$3:$H$302,0))="Støttes ikke",FALSE)),"Kontoen støttes ikke",IF(IFERROR(AND(A1926&gt;1,COUNTIF($A$3:$A$2002,A1926-1)=0),FALSE),"Nummeret hopper over",IF(OR(NOT(ISNUMBER(B1926)),B1926&lt;DATE(2027,1,1),B1926&gt;DATE(2027,12,31)),"Datoen er ikke i 2027",""))))))</f>
        <v/>
      </c>
    </row>
    <row r="1927">
      <c r="A1927" s="17" t="n"/>
      <c r="B1927" s="9" t="n"/>
      <c r="C1927" s="8" t="n"/>
      <c r="D1927" s="8" t="n"/>
      <c r="E1927" s="8" t="n"/>
      <c r="F1927" s="14" t="n"/>
      <c r="G1927" s="14" t="n"/>
      <c r="H1927" s="8" t="n"/>
      <c r="I1927" s="8" t="n"/>
      <c r="J1927" s="8" t="n"/>
      <c r="K1927" s="18">
        <f>IF(B1927="","",IFERROR(MONTH(B1927),""))</f>
        <v/>
      </c>
      <c r="L1927" s="5">
        <f>IF(COUNTA(A1927:J1927)=0,"",IF(E1927="","Mangler motkonto",IF((F1927="")=(G1927=""),"Fyll ut enten Inn eller Ut",IF(OR(IFERROR(INDEX('Kontoplan'!$D$3:$D$302,MATCH(D1927,'Kontoplan'!$H$3:$H$302,0))="Støttes ikke",FALSE),IFERROR(INDEX('Kontoplan'!$D$3:$D$302,MATCH(E1927,'Kontoplan'!$H$3:$H$302,0))="Støttes ikke",FALSE)),"Kontoen støttes ikke",IF(IFERROR(AND(A1927&gt;1,COUNTIF($A$3:$A$2002,A1927-1)=0),FALSE),"Nummeret hopper over",IF(OR(NOT(ISNUMBER(B1927)),B1927&lt;DATE(2027,1,1),B1927&gt;DATE(2027,12,31)),"Datoen er ikke i 2027",""))))))</f>
        <v/>
      </c>
    </row>
    <row r="1928">
      <c r="A1928" s="17" t="n"/>
      <c r="B1928" s="9" t="n"/>
      <c r="C1928" s="8" t="n"/>
      <c r="D1928" s="8" t="n"/>
      <c r="E1928" s="8" t="n"/>
      <c r="F1928" s="14" t="n"/>
      <c r="G1928" s="14" t="n"/>
      <c r="H1928" s="8" t="n"/>
      <c r="I1928" s="8" t="n"/>
      <c r="J1928" s="8" t="n"/>
      <c r="K1928" s="18">
        <f>IF(B1928="","",IFERROR(MONTH(B1928),""))</f>
        <v/>
      </c>
      <c r="L1928" s="5">
        <f>IF(COUNTA(A1928:J1928)=0,"",IF(E1928="","Mangler motkonto",IF((F1928="")=(G1928=""),"Fyll ut enten Inn eller Ut",IF(OR(IFERROR(INDEX('Kontoplan'!$D$3:$D$302,MATCH(D1928,'Kontoplan'!$H$3:$H$302,0))="Støttes ikke",FALSE),IFERROR(INDEX('Kontoplan'!$D$3:$D$302,MATCH(E1928,'Kontoplan'!$H$3:$H$302,0))="Støttes ikke",FALSE)),"Kontoen støttes ikke",IF(IFERROR(AND(A1928&gt;1,COUNTIF($A$3:$A$2002,A1928-1)=0),FALSE),"Nummeret hopper over",IF(OR(NOT(ISNUMBER(B1928)),B1928&lt;DATE(2027,1,1),B1928&gt;DATE(2027,12,31)),"Datoen er ikke i 2027",""))))))</f>
        <v/>
      </c>
    </row>
    <row r="1929">
      <c r="A1929" s="17" t="n"/>
      <c r="B1929" s="9" t="n"/>
      <c r="C1929" s="8" t="n"/>
      <c r="D1929" s="8" t="n"/>
      <c r="E1929" s="8" t="n"/>
      <c r="F1929" s="14" t="n"/>
      <c r="G1929" s="14" t="n"/>
      <c r="H1929" s="8" t="n"/>
      <c r="I1929" s="8" t="n"/>
      <c r="J1929" s="8" t="n"/>
      <c r="K1929" s="18">
        <f>IF(B1929="","",IFERROR(MONTH(B1929),""))</f>
        <v/>
      </c>
      <c r="L1929" s="5">
        <f>IF(COUNTA(A1929:J1929)=0,"",IF(E1929="","Mangler motkonto",IF((F1929="")=(G1929=""),"Fyll ut enten Inn eller Ut",IF(OR(IFERROR(INDEX('Kontoplan'!$D$3:$D$302,MATCH(D1929,'Kontoplan'!$H$3:$H$302,0))="Støttes ikke",FALSE),IFERROR(INDEX('Kontoplan'!$D$3:$D$302,MATCH(E1929,'Kontoplan'!$H$3:$H$302,0))="Støttes ikke",FALSE)),"Kontoen støttes ikke",IF(IFERROR(AND(A1929&gt;1,COUNTIF($A$3:$A$2002,A1929-1)=0),FALSE),"Nummeret hopper over",IF(OR(NOT(ISNUMBER(B1929)),B1929&lt;DATE(2027,1,1),B1929&gt;DATE(2027,12,31)),"Datoen er ikke i 2027",""))))))</f>
        <v/>
      </c>
    </row>
    <row r="1930">
      <c r="A1930" s="17" t="n"/>
      <c r="B1930" s="9" t="n"/>
      <c r="C1930" s="8" t="n"/>
      <c r="D1930" s="8" t="n"/>
      <c r="E1930" s="8" t="n"/>
      <c r="F1930" s="14" t="n"/>
      <c r="G1930" s="14" t="n"/>
      <c r="H1930" s="8" t="n"/>
      <c r="I1930" s="8" t="n"/>
      <c r="J1930" s="8" t="n"/>
      <c r="K1930" s="18">
        <f>IF(B1930="","",IFERROR(MONTH(B1930),""))</f>
        <v/>
      </c>
      <c r="L1930" s="5">
        <f>IF(COUNTA(A1930:J1930)=0,"",IF(E1930="","Mangler motkonto",IF((F1930="")=(G1930=""),"Fyll ut enten Inn eller Ut",IF(OR(IFERROR(INDEX('Kontoplan'!$D$3:$D$302,MATCH(D1930,'Kontoplan'!$H$3:$H$302,0))="Støttes ikke",FALSE),IFERROR(INDEX('Kontoplan'!$D$3:$D$302,MATCH(E1930,'Kontoplan'!$H$3:$H$302,0))="Støttes ikke",FALSE)),"Kontoen støttes ikke",IF(IFERROR(AND(A1930&gt;1,COUNTIF($A$3:$A$2002,A1930-1)=0),FALSE),"Nummeret hopper over",IF(OR(NOT(ISNUMBER(B1930)),B1930&lt;DATE(2027,1,1),B1930&gt;DATE(2027,12,31)),"Datoen er ikke i 2027",""))))))</f>
        <v/>
      </c>
    </row>
    <row r="1931">
      <c r="A1931" s="17" t="n"/>
      <c r="B1931" s="9" t="n"/>
      <c r="C1931" s="8" t="n"/>
      <c r="D1931" s="8" t="n"/>
      <c r="E1931" s="8" t="n"/>
      <c r="F1931" s="14" t="n"/>
      <c r="G1931" s="14" t="n"/>
      <c r="H1931" s="8" t="n"/>
      <c r="I1931" s="8" t="n"/>
      <c r="J1931" s="8" t="n"/>
      <c r="K1931" s="18">
        <f>IF(B1931="","",IFERROR(MONTH(B1931),""))</f>
        <v/>
      </c>
      <c r="L1931" s="5">
        <f>IF(COUNTA(A1931:J1931)=0,"",IF(E1931="","Mangler motkonto",IF((F1931="")=(G1931=""),"Fyll ut enten Inn eller Ut",IF(OR(IFERROR(INDEX('Kontoplan'!$D$3:$D$302,MATCH(D1931,'Kontoplan'!$H$3:$H$302,0))="Støttes ikke",FALSE),IFERROR(INDEX('Kontoplan'!$D$3:$D$302,MATCH(E1931,'Kontoplan'!$H$3:$H$302,0))="Støttes ikke",FALSE)),"Kontoen støttes ikke",IF(IFERROR(AND(A1931&gt;1,COUNTIF($A$3:$A$2002,A1931-1)=0),FALSE),"Nummeret hopper over",IF(OR(NOT(ISNUMBER(B1931)),B1931&lt;DATE(2027,1,1),B1931&gt;DATE(2027,12,31)),"Datoen er ikke i 2027",""))))))</f>
        <v/>
      </c>
    </row>
    <row r="1932">
      <c r="A1932" s="17" t="n"/>
      <c r="B1932" s="9" t="n"/>
      <c r="C1932" s="8" t="n"/>
      <c r="D1932" s="8" t="n"/>
      <c r="E1932" s="8" t="n"/>
      <c r="F1932" s="14" t="n"/>
      <c r="G1932" s="14" t="n"/>
      <c r="H1932" s="8" t="n"/>
      <c r="I1932" s="8" t="n"/>
      <c r="J1932" s="8" t="n"/>
      <c r="K1932" s="18">
        <f>IF(B1932="","",IFERROR(MONTH(B1932),""))</f>
        <v/>
      </c>
      <c r="L1932" s="5">
        <f>IF(COUNTA(A1932:J1932)=0,"",IF(E1932="","Mangler motkonto",IF((F1932="")=(G1932=""),"Fyll ut enten Inn eller Ut",IF(OR(IFERROR(INDEX('Kontoplan'!$D$3:$D$302,MATCH(D1932,'Kontoplan'!$H$3:$H$302,0))="Støttes ikke",FALSE),IFERROR(INDEX('Kontoplan'!$D$3:$D$302,MATCH(E1932,'Kontoplan'!$H$3:$H$302,0))="Støttes ikke",FALSE)),"Kontoen støttes ikke",IF(IFERROR(AND(A1932&gt;1,COUNTIF($A$3:$A$2002,A1932-1)=0),FALSE),"Nummeret hopper over",IF(OR(NOT(ISNUMBER(B1932)),B1932&lt;DATE(2027,1,1),B1932&gt;DATE(2027,12,31)),"Datoen er ikke i 2027",""))))))</f>
        <v/>
      </c>
    </row>
    <row r="1933">
      <c r="A1933" s="17" t="n"/>
      <c r="B1933" s="9" t="n"/>
      <c r="C1933" s="8" t="n"/>
      <c r="D1933" s="8" t="n"/>
      <c r="E1933" s="8" t="n"/>
      <c r="F1933" s="14" t="n"/>
      <c r="G1933" s="14" t="n"/>
      <c r="H1933" s="8" t="n"/>
      <c r="I1933" s="8" t="n"/>
      <c r="J1933" s="8" t="n"/>
      <c r="K1933" s="18">
        <f>IF(B1933="","",IFERROR(MONTH(B1933),""))</f>
        <v/>
      </c>
      <c r="L1933" s="5">
        <f>IF(COUNTA(A1933:J1933)=0,"",IF(E1933="","Mangler motkonto",IF((F1933="")=(G1933=""),"Fyll ut enten Inn eller Ut",IF(OR(IFERROR(INDEX('Kontoplan'!$D$3:$D$302,MATCH(D1933,'Kontoplan'!$H$3:$H$302,0))="Støttes ikke",FALSE),IFERROR(INDEX('Kontoplan'!$D$3:$D$302,MATCH(E1933,'Kontoplan'!$H$3:$H$302,0))="Støttes ikke",FALSE)),"Kontoen støttes ikke",IF(IFERROR(AND(A1933&gt;1,COUNTIF($A$3:$A$2002,A1933-1)=0),FALSE),"Nummeret hopper over",IF(OR(NOT(ISNUMBER(B1933)),B1933&lt;DATE(2027,1,1),B1933&gt;DATE(2027,12,31)),"Datoen er ikke i 2027",""))))))</f>
        <v/>
      </c>
    </row>
    <row r="1934">
      <c r="A1934" s="17" t="n"/>
      <c r="B1934" s="9" t="n"/>
      <c r="C1934" s="8" t="n"/>
      <c r="D1934" s="8" t="n"/>
      <c r="E1934" s="8" t="n"/>
      <c r="F1934" s="14" t="n"/>
      <c r="G1934" s="14" t="n"/>
      <c r="H1934" s="8" t="n"/>
      <c r="I1934" s="8" t="n"/>
      <c r="J1934" s="8" t="n"/>
      <c r="K1934" s="18">
        <f>IF(B1934="","",IFERROR(MONTH(B1934),""))</f>
        <v/>
      </c>
      <c r="L1934" s="5">
        <f>IF(COUNTA(A1934:J1934)=0,"",IF(E1934="","Mangler motkonto",IF((F1934="")=(G1934=""),"Fyll ut enten Inn eller Ut",IF(OR(IFERROR(INDEX('Kontoplan'!$D$3:$D$302,MATCH(D1934,'Kontoplan'!$H$3:$H$302,0))="Støttes ikke",FALSE),IFERROR(INDEX('Kontoplan'!$D$3:$D$302,MATCH(E1934,'Kontoplan'!$H$3:$H$302,0))="Støttes ikke",FALSE)),"Kontoen støttes ikke",IF(IFERROR(AND(A1934&gt;1,COUNTIF($A$3:$A$2002,A1934-1)=0),FALSE),"Nummeret hopper over",IF(OR(NOT(ISNUMBER(B1934)),B1934&lt;DATE(2027,1,1),B1934&gt;DATE(2027,12,31)),"Datoen er ikke i 2027",""))))))</f>
        <v/>
      </c>
    </row>
    <row r="1935">
      <c r="A1935" s="17" t="n"/>
      <c r="B1935" s="9" t="n"/>
      <c r="C1935" s="8" t="n"/>
      <c r="D1935" s="8" t="n"/>
      <c r="E1935" s="8" t="n"/>
      <c r="F1935" s="14" t="n"/>
      <c r="G1935" s="14" t="n"/>
      <c r="H1935" s="8" t="n"/>
      <c r="I1935" s="8" t="n"/>
      <c r="J1935" s="8" t="n"/>
      <c r="K1935" s="18">
        <f>IF(B1935="","",IFERROR(MONTH(B1935),""))</f>
        <v/>
      </c>
      <c r="L1935" s="5">
        <f>IF(COUNTA(A1935:J1935)=0,"",IF(E1935="","Mangler motkonto",IF((F1935="")=(G1935=""),"Fyll ut enten Inn eller Ut",IF(OR(IFERROR(INDEX('Kontoplan'!$D$3:$D$302,MATCH(D1935,'Kontoplan'!$H$3:$H$302,0))="Støttes ikke",FALSE),IFERROR(INDEX('Kontoplan'!$D$3:$D$302,MATCH(E1935,'Kontoplan'!$H$3:$H$302,0))="Støttes ikke",FALSE)),"Kontoen støttes ikke",IF(IFERROR(AND(A1935&gt;1,COUNTIF($A$3:$A$2002,A1935-1)=0),FALSE),"Nummeret hopper over",IF(OR(NOT(ISNUMBER(B1935)),B1935&lt;DATE(2027,1,1),B1935&gt;DATE(2027,12,31)),"Datoen er ikke i 2027",""))))))</f>
        <v/>
      </c>
    </row>
    <row r="1936">
      <c r="A1936" s="17" t="n"/>
      <c r="B1936" s="9" t="n"/>
      <c r="C1936" s="8" t="n"/>
      <c r="D1936" s="8" t="n"/>
      <c r="E1936" s="8" t="n"/>
      <c r="F1936" s="14" t="n"/>
      <c r="G1936" s="14" t="n"/>
      <c r="H1936" s="8" t="n"/>
      <c r="I1936" s="8" t="n"/>
      <c r="J1936" s="8" t="n"/>
      <c r="K1936" s="18">
        <f>IF(B1936="","",IFERROR(MONTH(B1936),""))</f>
        <v/>
      </c>
      <c r="L1936" s="5">
        <f>IF(COUNTA(A1936:J1936)=0,"",IF(E1936="","Mangler motkonto",IF((F1936="")=(G1936=""),"Fyll ut enten Inn eller Ut",IF(OR(IFERROR(INDEX('Kontoplan'!$D$3:$D$302,MATCH(D1936,'Kontoplan'!$H$3:$H$302,0))="Støttes ikke",FALSE),IFERROR(INDEX('Kontoplan'!$D$3:$D$302,MATCH(E1936,'Kontoplan'!$H$3:$H$302,0))="Støttes ikke",FALSE)),"Kontoen støttes ikke",IF(IFERROR(AND(A1936&gt;1,COUNTIF($A$3:$A$2002,A1936-1)=0),FALSE),"Nummeret hopper over",IF(OR(NOT(ISNUMBER(B1936)),B1936&lt;DATE(2027,1,1),B1936&gt;DATE(2027,12,31)),"Datoen er ikke i 2027",""))))))</f>
        <v/>
      </c>
    </row>
    <row r="1937">
      <c r="A1937" s="17" t="n"/>
      <c r="B1937" s="9" t="n"/>
      <c r="C1937" s="8" t="n"/>
      <c r="D1937" s="8" t="n"/>
      <c r="E1937" s="8" t="n"/>
      <c r="F1937" s="14" t="n"/>
      <c r="G1937" s="14" t="n"/>
      <c r="H1937" s="8" t="n"/>
      <c r="I1937" s="8" t="n"/>
      <c r="J1937" s="8" t="n"/>
      <c r="K1937" s="18">
        <f>IF(B1937="","",IFERROR(MONTH(B1937),""))</f>
        <v/>
      </c>
      <c r="L1937" s="5">
        <f>IF(COUNTA(A1937:J1937)=0,"",IF(E1937="","Mangler motkonto",IF((F1937="")=(G1937=""),"Fyll ut enten Inn eller Ut",IF(OR(IFERROR(INDEX('Kontoplan'!$D$3:$D$302,MATCH(D1937,'Kontoplan'!$H$3:$H$302,0))="Støttes ikke",FALSE),IFERROR(INDEX('Kontoplan'!$D$3:$D$302,MATCH(E1937,'Kontoplan'!$H$3:$H$302,0))="Støttes ikke",FALSE)),"Kontoen støttes ikke",IF(IFERROR(AND(A1937&gt;1,COUNTIF($A$3:$A$2002,A1937-1)=0),FALSE),"Nummeret hopper over",IF(OR(NOT(ISNUMBER(B1937)),B1937&lt;DATE(2027,1,1),B1937&gt;DATE(2027,12,31)),"Datoen er ikke i 2027",""))))))</f>
        <v/>
      </c>
    </row>
    <row r="1938">
      <c r="A1938" s="17" t="n"/>
      <c r="B1938" s="9" t="n"/>
      <c r="C1938" s="8" t="n"/>
      <c r="D1938" s="8" t="n"/>
      <c r="E1938" s="8" t="n"/>
      <c r="F1938" s="14" t="n"/>
      <c r="G1938" s="14" t="n"/>
      <c r="H1938" s="8" t="n"/>
      <c r="I1938" s="8" t="n"/>
      <c r="J1938" s="8" t="n"/>
      <c r="K1938" s="18">
        <f>IF(B1938="","",IFERROR(MONTH(B1938),""))</f>
        <v/>
      </c>
      <c r="L1938" s="5">
        <f>IF(COUNTA(A1938:J1938)=0,"",IF(E1938="","Mangler motkonto",IF((F1938="")=(G1938=""),"Fyll ut enten Inn eller Ut",IF(OR(IFERROR(INDEX('Kontoplan'!$D$3:$D$302,MATCH(D1938,'Kontoplan'!$H$3:$H$302,0))="Støttes ikke",FALSE),IFERROR(INDEX('Kontoplan'!$D$3:$D$302,MATCH(E1938,'Kontoplan'!$H$3:$H$302,0))="Støttes ikke",FALSE)),"Kontoen støttes ikke",IF(IFERROR(AND(A1938&gt;1,COUNTIF($A$3:$A$2002,A1938-1)=0),FALSE),"Nummeret hopper over",IF(OR(NOT(ISNUMBER(B1938)),B1938&lt;DATE(2027,1,1),B1938&gt;DATE(2027,12,31)),"Datoen er ikke i 2027",""))))))</f>
        <v/>
      </c>
    </row>
    <row r="1939">
      <c r="A1939" s="17" t="n"/>
      <c r="B1939" s="9" t="n"/>
      <c r="C1939" s="8" t="n"/>
      <c r="D1939" s="8" t="n"/>
      <c r="E1939" s="8" t="n"/>
      <c r="F1939" s="14" t="n"/>
      <c r="G1939" s="14" t="n"/>
      <c r="H1939" s="8" t="n"/>
      <c r="I1939" s="8" t="n"/>
      <c r="J1939" s="8" t="n"/>
      <c r="K1939" s="18">
        <f>IF(B1939="","",IFERROR(MONTH(B1939),""))</f>
        <v/>
      </c>
      <c r="L1939" s="5">
        <f>IF(COUNTA(A1939:J1939)=0,"",IF(E1939="","Mangler motkonto",IF((F1939="")=(G1939=""),"Fyll ut enten Inn eller Ut",IF(OR(IFERROR(INDEX('Kontoplan'!$D$3:$D$302,MATCH(D1939,'Kontoplan'!$H$3:$H$302,0))="Støttes ikke",FALSE),IFERROR(INDEX('Kontoplan'!$D$3:$D$302,MATCH(E1939,'Kontoplan'!$H$3:$H$302,0))="Støttes ikke",FALSE)),"Kontoen støttes ikke",IF(IFERROR(AND(A1939&gt;1,COUNTIF($A$3:$A$2002,A1939-1)=0),FALSE),"Nummeret hopper over",IF(OR(NOT(ISNUMBER(B1939)),B1939&lt;DATE(2027,1,1),B1939&gt;DATE(2027,12,31)),"Datoen er ikke i 2027",""))))))</f>
        <v/>
      </c>
    </row>
    <row r="1940">
      <c r="A1940" s="17" t="n"/>
      <c r="B1940" s="9" t="n"/>
      <c r="C1940" s="8" t="n"/>
      <c r="D1940" s="8" t="n"/>
      <c r="E1940" s="8" t="n"/>
      <c r="F1940" s="14" t="n"/>
      <c r="G1940" s="14" t="n"/>
      <c r="H1940" s="8" t="n"/>
      <c r="I1940" s="8" t="n"/>
      <c r="J1940" s="8" t="n"/>
      <c r="K1940" s="18">
        <f>IF(B1940="","",IFERROR(MONTH(B1940),""))</f>
        <v/>
      </c>
      <c r="L1940" s="5">
        <f>IF(COUNTA(A1940:J1940)=0,"",IF(E1940="","Mangler motkonto",IF((F1940="")=(G1940=""),"Fyll ut enten Inn eller Ut",IF(OR(IFERROR(INDEX('Kontoplan'!$D$3:$D$302,MATCH(D1940,'Kontoplan'!$H$3:$H$302,0))="Støttes ikke",FALSE),IFERROR(INDEX('Kontoplan'!$D$3:$D$302,MATCH(E1940,'Kontoplan'!$H$3:$H$302,0))="Støttes ikke",FALSE)),"Kontoen støttes ikke",IF(IFERROR(AND(A1940&gt;1,COUNTIF($A$3:$A$2002,A1940-1)=0),FALSE),"Nummeret hopper over",IF(OR(NOT(ISNUMBER(B1940)),B1940&lt;DATE(2027,1,1),B1940&gt;DATE(2027,12,31)),"Datoen er ikke i 2027",""))))))</f>
        <v/>
      </c>
    </row>
    <row r="1941">
      <c r="A1941" s="17" t="n"/>
      <c r="B1941" s="9" t="n"/>
      <c r="C1941" s="8" t="n"/>
      <c r="D1941" s="8" t="n"/>
      <c r="E1941" s="8" t="n"/>
      <c r="F1941" s="14" t="n"/>
      <c r="G1941" s="14" t="n"/>
      <c r="H1941" s="8" t="n"/>
      <c r="I1941" s="8" t="n"/>
      <c r="J1941" s="8" t="n"/>
      <c r="K1941" s="18">
        <f>IF(B1941="","",IFERROR(MONTH(B1941),""))</f>
        <v/>
      </c>
      <c r="L1941" s="5">
        <f>IF(COUNTA(A1941:J1941)=0,"",IF(E1941="","Mangler motkonto",IF((F1941="")=(G1941=""),"Fyll ut enten Inn eller Ut",IF(OR(IFERROR(INDEX('Kontoplan'!$D$3:$D$302,MATCH(D1941,'Kontoplan'!$H$3:$H$302,0))="Støttes ikke",FALSE),IFERROR(INDEX('Kontoplan'!$D$3:$D$302,MATCH(E1941,'Kontoplan'!$H$3:$H$302,0))="Støttes ikke",FALSE)),"Kontoen støttes ikke",IF(IFERROR(AND(A1941&gt;1,COUNTIF($A$3:$A$2002,A1941-1)=0),FALSE),"Nummeret hopper over",IF(OR(NOT(ISNUMBER(B1941)),B1941&lt;DATE(2027,1,1),B1941&gt;DATE(2027,12,31)),"Datoen er ikke i 2027",""))))))</f>
        <v/>
      </c>
    </row>
    <row r="1942">
      <c r="A1942" s="17" t="n"/>
      <c r="B1942" s="9" t="n"/>
      <c r="C1942" s="8" t="n"/>
      <c r="D1942" s="8" t="n"/>
      <c r="E1942" s="8" t="n"/>
      <c r="F1942" s="14" t="n"/>
      <c r="G1942" s="14" t="n"/>
      <c r="H1942" s="8" t="n"/>
      <c r="I1942" s="8" t="n"/>
      <c r="J1942" s="8" t="n"/>
      <c r="K1942" s="18">
        <f>IF(B1942="","",IFERROR(MONTH(B1942),""))</f>
        <v/>
      </c>
      <c r="L1942" s="5">
        <f>IF(COUNTA(A1942:J1942)=0,"",IF(E1942="","Mangler motkonto",IF((F1942="")=(G1942=""),"Fyll ut enten Inn eller Ut",IF(OR(IFERROR(INDEX('Kontoplan'!$D$3:$D$302,MATCH(D1942,'Kontoplan'!$H$3:$H$302,0))="Støttes ikke",FALSE),IFERROR(INDEX('Kontoplan'!$D$3:$D$302,MATCH(E1942,'Kontoplan'!$H$3:$H$302,0))="Støttes ikke",FALSE)),"Kontoen støttes ikke",IF(IFERROR(AND(A1942&gt;1,COUNTIF($A$3:$A$2002,A1942-1)=0),FALSE),"Nummeret hopper over",IF(OR(NOT(ISNUMBER(B1942)),B1942&lt;DATE(2027,1,1),B1942&gt;DATE(2027,12,31)),"Datoen er ikke i 2027",""))))))</f>
        <v/>
      </c>
    </row>
    <row r="1943">
      <c r="A1943" s="17" t="n"/>
      <c r="B1943" s="9" t="n"/>
      <c r="C1943" s="8" t="n"/>
      <c r="D1943" s="8" t="n"/>
      <c r="E1943" s="8" t="n"/>
      <c r="F1943" s="14" t="n"/>
      <c r="G1943" s="14" t="n"/>
      <c r="H1943" s="8" t="n"/>
      <c r="I1943" s="8" t="n"/>
      <c r="J1943" s="8" t="n"/>
      <c r="K1943" s="18">
        <f>IF(B1943="","",IFERROR(MONTH(B1943),""))</f>
        <v/>
      </c>
      <c r="L1943" s="5">
        <f>IF(COUNTA(A1943:J1943)=0,"",IF(E1943="","Mangler motkonto",IF((F1943="")=(G1943=""),"Fyll ut enten Inn eller Ut",IF(OR(IFERROR(INDEX('Kontoplan'!$D$3:$D$302,MATCH(D1943,'Kontoplan'!$H$3:$H$302,0))="Støttes ikke",FALSE),IFERROR(INDEX('Kontoplan'!$D$3:$D$302,MATCH(E1943,'Kontoplan'!$H$3:$H$302,0))="Støttes ikke",FALSE)),"Kontoen støttes ikke",IF(IFERROR(AND(A1943&gt;1,COUNTIF($A$3:$A$2002,A1943-1)=0),FALSE),"Nummeret hopper over",IF(OR(NOT(ISNUMBER(B1943)),B1943&lt;DATE(2027,1,1),B1943&gt;DATE(2027,12,31)),"Datoen er ikke i 2027",""))))))</f>
        <v/>
      </c>
    </row>
    <row r="1944">
      <c r="A1944" s="17" t="n"/>
      <c r="B1944" s="9" t="n"/>
      <c r="C1944" s="8" t="n"/>
      <c r="D1944" s="8" t="n"/>
      <c r="E1944" s="8" t="n"/>
      <c r="F1944" s="14" t="n"/>
      <c r="G1944" s="14" t="n"/>
      <c r="H1944" s="8" t="n"/>
      <c r="I1944" s="8" t="n"/>
      <c r="J1944" s="8" t="n"/>
      <c r="K1944" s="18">
        <f>IF(B1944="","",IFERROR(MONTH(B1944),""))</f>
        <v/>
      </c>
      <c r="L1944" s="5">
        <f>IF(COUNTA(A1944:J1944)=0,"",IF(E1944="","Mangler motkonto",IF((F1944="")=(G1944=""),"Fyll ut enten Inn eller Ut",IF(OR(IFERROR(INDEX('Kontoplan'!$D$3:$D$302,MATCH(D1944,'Kontoplan'!$H$3:$H$302,0))="Støttes ikke",FALSE),IFERROR(INDEX('Kontoplan'!$D$3:$D$302,MATCH(E1944,'Kontoplan'!$H$3:$H$302,0))="Støttes ikke",FALSE)),"Kontoen støttes ikke",IF(IFERROR(AND(A1944&gt;1,COUNTIF($A$3:$A$2002,A1944-1)=0),FALSE),"Nummeret hopper over",IF(OR(NOT(ISNUMBER(B1944)),B1944&lt;DATE(2027,1,1),B1944&gt;DATE(2027,12,31)),"Datoen er ikke i 2027",""))))))</f>
        <v/>
      </c>
    </row>
    <row r="1945">
      <c r="A1945" s="17" t="n"/>
      <c r="B1945" s="9" t="n"/>
      <c r="C1945" s="8" t="n"/>
      <c r="D1945" s="8" t="n"/>
      <c r="E1945" s="8" t="n"/>
      <c r="F1945" s="14" t="n"/>
      <c r="G1945" s="14" t="n"/>
      <c r="H1945" s="8" t="n"/>
      <c r="I1945" s="8" t="n"/>
      <c r="J1945" s="8" t="n"/>
      <c r="K1945" s="18">
        <f>IF(B1945="","",IFERROR(MONTH(B1945),""))</f>
        <v/>
      </c>
      <c r="L1945" s="5">
        <f>IF(COUNTA(A1945:J1945)=0,"",IF(E1945="","Mangler motkonto",IF((F1945="")=(G1945=""),"Fyll ut enten Inn eller Ut",IF(OR(IFERROR(INDEX('Kontoplan'!$D$3:$D$302,MATCH(D1945,'Kontoplan'!$H$3:$H$302,0))="Støttes ikke",FALSE),IFERROR(INDEX('Kontoplan'!$D$3:$D$302,MATCH(E1945,'Kontoplan'!$H$3:$H$302,0))="Støttes ikke",FALSE)),"Kontoen støttes ikke",IF(IFERROR(AND(A1945&gt;1,COUNTIF($A$3:$A$2002,A1945-1)=0),FALSE),"Nummeret hopper over",IF(OR(NOT(ISNUMBER(B1945)),B1945&lt;DATE(2027,1,1),B1945&gt;DATE(2027,12,31)),"Datoen er ikke i 2027",""))))))</f>
        <v/>
      </c>
    </row>
    <row r="1946">
      <c r="A1946" s="17" t="n"/>
      <c r="B1946" s="9" t="n"/>
      <c r="C1946" s="8" t="n"/>
      <c r="D1946" s="8" t="n"/>
      <c r="E1946" s="8" t="n"/>
      <c r="F1946" s="14" t="n"/>
      <c r="G1946" s="14" t="n"/>
      <c r="H1946" s="8" t="n"/>
      <c r="I1946" s="8" t="n"/>
      <c r="J1946" s="8" t="n"/>
      <c r="K1946" s="18">
        <f>IF(B1946="","",IFERROR(MONTH(B1946),""))</f>
        <v/>
      </c>
      <c r="L1946" s="5">
        <f>IF(COUNTA(A1946:J1946)=0,"",IF(E1946="","Mangler motkonto",IF((F1946="")=(G1946=""),"Fyll ut enten Inn eller Ut",IF(OR(IFERROR(INDEX('Kontoplan'!$D$3:$D$302,MATCH(D1946,'Kontoplan'!$H$3:$H$302,0))="Støttes ikke",FALSE),IFERROR(INDEX('Kontoplan'!$D$3:$D$302,MATCH(E1946,'Kontoplan'!$H$3:$H$302,0))="Støttes ikke",FALSE)),"Kontoen støttes ikke",IF(IFERROR(AND(A1946&gt;1,COUNTIF($A$3:$A$2002,A1946-1)=0),FALSE),"Nummeret hopper over",IF(OR(NOT(ISNUMBER(B1946)),B1946&lt;DATE(2027,1,1),B1946&gt;DATE(2027,12,31)),"Datoen er ikke i 2027",""))))))</f>
        <v/>
      </c>
    </row>
    <row r="1947">
      <c r="A1947" s="17" t="n"/>
      <c r="B1947" s="9" t="n"/>
      <c r="C1947" s="8" t="n"/>
      <c r="D1947" s="8" t="n"/>
      <c r="E1947" s="8" t="n"/>
      <c r="F1947" s="14" t="n"/>
      <c r="G1947" s="14" t="n"/>
      <c r="H1947" s="8" t="n"/>
      <c r="I1947" s="8" t="n"/>
      <c r="J1947" s="8" t="n"/>
      <c r="K1947" s="18">
        <f>IF(B1947="","",IFERROR(MONTH(B1947),""))</f>
        <v/>
      </c>
      <c r="L1947" s="5">
        <f>IF(COUNTA(A1947:J1947)=0,"",IF(E1947="","Mangler motkonto",IF((F1947="")=(G1947=""),"Fyll ut enten Inn eller Ut",IF(OR(IFERROR(INDEX('Kontoplan'!$D$3:$D$302,MATCH(D1947,'Kontoplan'!$H$3:$H$302,0))="Støttes ikke",FALSE),IFERROR(INDEX('Kontoplan'!$D$3:$D$302,MATCH(E1947,'Kontoplan'!$H$3:$H$302,0))="Støttes ikke",FALSE)),"Kontoen støttes ikke",IF(IFERROR(AND(A1947&gt;1,COUNTIF($A$3:$A$2002,A1947-1)=0),FALSE),"Nummeret hopper over",IF(OR(NOT(ISNUMBER(B1947)),B1947&lt;DATE(2027,1,1),B1947&gt;DATE(2027,12,31)),"Datoen er ikke i 2027",""))))))</f>
        <v/>
      </c>
    </row>
    <row r="1948">
      <c r="A1948" s="17" t="n"/>
      <c r="B1948" s="9" t="n"/>
      <c r="C1948" s="8" t="n"/>
      <c r="D1948" s="8" t="n"/>
      <c r="E1948" s="8" t="n"/>
      <c r="F1948" s="14" t="n"/>
      <c r="G1948" s="14" t="n"/>
      <c r="H1948" s="8" t="n"/>
      <c r="I1948" s="8" t="n"/>
      <c r="J1948" s="8" t="n"/>
      <c r="K1948" s="18">
        <f>IF(B1948="","",IFERROR(MONTH(B1948),""))</f>
        <v/>
      </c>
      <c r="L1948" s="5">
        <f>IF(COUNTA(A1948:J1948)=0,"",IF(E1948="","Mangler motkonto",IF((F1948="")=(G1948=""),"Fyll ut enten Inn eller Ut",IF(OR(IFERROR(INDEX('Kontoplan'!$D$3:$D$302,MATCH(D1948,'Kontoplan'!$H$3:$H$302,0))="Støttes ikke",FALSE),IFERROR(INDEX('Kontoplan'!$D$3:$D$302,MATCH(E1948,'Kontoplan'!$H$3:$H$302,0))="Støttes ikke",FALSE)),"Kontoen støttes ikke",IF(IFERROR(AND(A1948&gt;1,COUNTIF($A$3:$A$2002,A1948-1)=0),FALSE),"Nummeret hopper over",IF(OR(NOT(ISNUMBER(B1948)),B1948&lt;DATE(2027,1,1),B1948&gt;DATE(2027,12,31)),"Datoen er ikke i 2027",""))))))</f>
        <v/>
      </c>
    </row>
    <row r="1949">
      <c r="A1949" s="17" t="n"/>
      <c r="B1949" s="9" t="n"/>
      <c r="C1949" s="8" t="n"/>
      <c r="D1949" s="8" t="n"/>
      <c r="E1949" s="8" t="n"/>
      <c r="F1949" s="14" t="n"/>
      <c r="G1949" s="14" t="n"/>
      <c r="H1949" s="8" t="n"/>
      <c r="I1949" s="8" t="n"/>
      <c r="J1949" s="8" t="n"/>
      <c r="K1949" s="18">
        <f>IF(B1949="","",IFERROR(MONTH(B1949),""))</f>
        <v/>
      </c>
      <c r="L1949" s="5">
        <f>IF(COUNTA(A1949:J1949)=0,"",IF(E1949="","Mangler motkonto",IF((F1949="")=(G1949=""),"Fyll ut enten Inn eller Ut",IF(OR(IFERROR(INDEX('Kontoplan'!$D$3:$D$302,MATCH(D1949,'Kontoplan'!$H$3:$H$302,0))="Støttes ikke",FALSE),IFERROR(INDEX('Kontoplan'!$D$3:$D$302,MATCH(E1949,'Kontoplan'!$H$3:$H$302,0))="Støttes ikke",FALSE)),"Kontoen støttes ikke",IF(IFERROR(AND(A1949&gt;1,COUNTIF($A$3:$A$2002,A1949-1)=0),FALSE),"Nummeret hopper over",IF(OR(NOT(ISNUMBER(B1949)),B1949&lt;DATE(2027,1,1),B1949&gt;DATE(2027,12,31)),"Datoen er ikke i 2027",""))))))</f>
        <v/>
      </c>
    </row>
    <row r="1950">
      <c r="A1950" s="17" t="n"/>
      <c r="B1950" s="9" t="n"/>
      <c r="C1950" s="8" t="n"/>
      <c r="D1950" s="8" t="n"/>
      <c r="E1950" s="8" t="n"/>
      <c r="F1950" s="14" t="n"/>
      <c r="G1950" s="14" t="n"/>
      <c r="H1950" s="8" t="n"/>
      <c r="I1950" s="8" t="n"/>
      <c r="J1950" s="8" t="n"/>
      <c r="K1950" s="18">
        <f>IF(B1950="","",IFERROR(MONTH(B1950),""))</f>
        <v/>
      </c>
      <c r="L1950" s="5">
        <f>IF(COUNTA(A1950:J1950)=0,"",IF(E1950="","Mangler motkonto",IF((F1950="")=(G1950=""),"Fyll ut enten Inn eller Ut",IF(OR(IFERROR(INDEX('Kontoplan'!$D$3:$D$302,MATCH(D1950,'Kontoplan'!$H$3:$H$302,0))="Støttes ikke",FALSE),IFERROR(INDEX('Kontoplan'!$D$3:$D$302,MATCH(E1950,'Kontoplan'!$H$3:$H$302,0))="Støttes ikke",FALSE)),"Kontoen støttes ikke",IF(IFERROR(AND(A1950&gt;1,COUNTIF($A$3:$A$2002,A1950-1)=0),FALSE),"Nummeret hopper over",IF(OR(NOT(ISNUMBER(B1950)),B1950&lt;DATE(2027,1,1),B1950&gt;DATE(2027,12,31)),"Datoen er ikke i 2027",""))))))</f>
        <v/>
      </c>
    </row>
    <row r="1951">
      <c r="A1951" s="17" t="n"/>
      <c r="B1951" s="9" t="n"/>
      <c r="C1951" s="8" t="n"/>
      <c r="D1951" s="8" t="n"/>
      <c r="E1951" s="8" t="n"/>
      <c r="F1951" s="14" t="n"/>
      <c r="G1951" s="14" t="n"/>
      <c r="H1951" s="8" t="n"/>
      <c r="I1951" s="8" t="n"/>
      <c r="J1951" s="8" t="n"/>
      <c r="K1951" s="18">
        <f>IF(B1951="","",IFERROR(MONTH(B1951),""))</f>
        <v/>
      </c>
      <c r="L1951" s="5">
        <f>IF(COUNTA(A1951:J1951)=0,"",IF(E1951="","Mangler motkonto",IF((F1951="")=(G1951=""),"Fyll ut enten Inn eller Ut",IF(OR(IFERROR(INDEX('Kontoplan'!$D$3:$D$302,MATCH(D1951,'Kontoplan'!$H$3:$H$302,0))="Støttes ikke",FALSE),IFERROR(INDEX('Kontoplan'!$D$3:$D$302,MATCH(E1951,'Kontoplan'!$H$3:$H$302,0))="Støttes ikke",FALSE)),"Kontoen støttes ikke",IF(IFERROR(AND(A1951&gt;1,COUNTIF($A$3:$A$2002,A1951-1)=0),FALSE),"Nummeret hopper over",IF(OR(NOT(ISNUMBER(B1951)),B1951&lt;DATE(2027,1,1),B1951&gt;DATE(2027,12,31)),"Datoen er ikke i 2027",""))))))</f>
        <v/>
      </c>
    </row>
    <row r="1952">
      <c r="A1952" s="17" t="n"/>
      <c r="B1952" s="9" t="n"/>
      <c r="C1952" s="8" t="n"/>
      <c r="D1952" s="8" t="n"/>
      <c r="E1952" s="8" t="n"/>
      <c r="F1952" s="14" t="n"/>
      <c r="G1952" s="14" t="n"/>
      <c r="H1952" s="8" t="n"/>
      <c r="I1952" s="8" t="n"/>
      <c r="J1952" s="8" t="n"/>
      <c r="K1952" s="18">
        <f>IF(B1952="","",IFERROR(MONTH(B1952),""))</f>
        <v/>
      </c>
      <c r="L1952" s="5">
        <f>IF(COUNTA(A1952:J1952)=0,"",IF(E1952="","Mangler motkonto",IF((F1952="")=(G1952=""),"Fyll ut enten Inn eller Ut",IF(OR(IFERROR(INDEX('Kontoplan'!$D$3:$D$302,MATCH(D1952,'Kontoplan'!$H$3:$H$302,0))="Støttes ikke",FALSE),IFERROR(INDEX('Kontoplan'!$D$3:$D$302,MATCH(E1952,'Kontoplan'!$H$3:$H$302,0))="Støttes ikke",FALSE)),"Kontoen støttes ikke",IF(IFERROR(AND(A1952&gt;1,COUNTIF($A$3:$A$2002,A1952-1)=0),FALSE),"Nummeret hopper over",IF(OR(NOT(ISNUMBER(B1952)),B1952&lt;DATE(2027,1,1),B1952&gt;DATE(2027,12,31)),"Datoen er ikke i 2027",""))))))</f>
        <v/>
      </c>
    </row>
    <row r="1953">
      <c r="A1953" s="17" t="n"/>
      <c r="B1953" s="9" t="n"/>
      <c r="C1953" s="8" t="n"/>
      <c r="D1953" s="8" t="n"/>
      <c r="E1953" s="8" t="n"/>
      <c r="F1953" s="14" t="n"/>
      <c r="G1953" s="14" t="n"/>
      <c r="H1953" s="8" t="n"/>
      <c r="I1953" s="8" t="n"/>
      <c r="J1953" s="8" t="n"/>
      <c r="K1953" s="18">
        <f>IF(B1953="","",IFERROR(MONTH(B1953),""))</f>
        <v/>
      </c>
      <c r="L1953" s="5">
        <f>IF(COUNTA(A1953:J1953)=0,"",IF(E1953="","Mangler motkonto",IF((F1953="")=(G1953=""),"Fyll ut enten Inn eller Ut",IF(OR(IFERROR(INDEX('Kontoplan'!$D$3:$D$302,MATCH(D1953,'Kontoplan'!$H$3:$H$302,0))="Støttes ikke",FALSE),IFERROR(INDEX('Kontoplan'!$D$3:$D$302,MATCH(E1953,'Kontoplan'!$H$3:$H$302,0))="Støttes ikke",FALSE)),"Kontoen støttes ikke",IF(IFERROR(AND(A1953&gt;1,COUNTIF($A$3:$A$2002,A1953-1)=0),FALSE),"Nummeret hopper over",IF(OR(NOT(ISNUMBER(B1953)),B1953&lt;DATE(2027,1,1),B1953&gt;DATE(2027,12,31)),"Datoen er ikke i 2027",""))))))</f>
        <v/>
      </c>
    </row>
    <row r="1954">
      <c r="A1954" s="17" t="n"/>
      <c r="B1954" s="9" t="n"/>
      <c r="C1954" s="8" t="n"/>
      <c r="D1954" s="8" t="n"/>
      <c r="E1954" s="8" t="n"/>
      <c r="F1954" s="14" t="n"/>
      <c r="G1954" s="14" t="n"/>
      <c r="H1954" s="8" t="n"/>
      <c r="I1954" s="8" t="n"/>
      <c r="J1954" s="8" t="n"/>
      <c r="K1954" s="18">
        <f>IF(B1954="","",IFERROR(MONTH(B1954),""))</f>
        <v/>
      </c>
      <c r="L1954" s="5">
        <f>IF(COUNTA(A1954:J1954)=0,"",IF(E1954="","Mangler motkonto",IF((F1954="")=(G1954=""),"Fyll ut enten Inn eller Ut",IF(OR(IFERROR(INDEX('Kontoplan'!$D$3:$D$302,MATCH(D1954,'Kontoplan'!$H$3:$H$302,0))="Støttes ikke",FALSE),IFERROR(INDEX('Kontoplan'!$D$3:$D$302,MATCH(E1954,'Kontoplan'!$H$3:$H$302,0))="Støttes ikke",FALSE)),"Kontoen støttes ikke",IF(IFERROR(AND(A1954&gt;1,COUNTIF($A$3:$A$2002,A1954-1)=0),FALSE),"Nummeret hopper over",IF(OR(NOT(ISNUMBER(B1954)),B1954&lt;DATE(2027,1,1),B1954&gt;DATE(2027,12,31)),"Datoen er ikke i 2027",""))))))</f>
        <v/>
      </c>
    </row>
    <row r="1955">
      <c r="A1955" s="17" t="n"/>
      <c r="B1955" s="9" t="n"/>
      <c r="C1955" s="8" t="n"/>
      <c r="D1955" s="8" t="n"/>
      <c r="E1955" s="8" t="n"/>
      <c r="F1955" s="14" t="n"/>
      <c r="G1955" s="14" t="n"/>
      <c r="H1955" s="8" t="n"/>
      <c r="I1955" s="8" t="n"/>
      <c r="J1955" s="8" t="n"/>
      <c r="K1955" s="18">
        <f>IF(B1955="","",IFERROR(MONTH(B1955),""))</f>
        <v/>
      </c>
      <c r="L1955" s="5">
        <f>IF(COUNTA(A1955:J1955)=0,"",IF(E1955="","Mangler motkonto",IF((F1955="")=(G1955=""),"Fyll ut enten Inn eller Ut",IF(OR(IFERROR(INDEX('Kontoplan'!$D$3:$D$302,MATCH(D1955,'Kontoplan'!$H$3:$H$302,0))="Støttes ikke",FALSE),IFERROR(INDEX('Kontoplan'!$D$3:$D$302,MATCH(E1955,'Kontoplan'!$H$3:$H$302,0))="Støttes ikke",FALSE)),"Kontoen støttes ikke",IF(IFERROR(AND(A1955&gt;1,COUNTIF($A$3:$A$2002,A1955-1)=0),FALSE),"Nummeret hopper over",IF(OR(NOT(ISNUMBER(B1955)),B1955&lt;DATE(2027,1,1),B1955&gt;DATE(2027,12,31)),"Datoen er ikke i 2027",""))))))</f>
        <v/>
      </c>
    </row>
    <row r="1956">
      <c r="A1956" s="17" t="n"/>
      <c r="B1956" s="9" t="n"/>
      <c r="C1956" s="8" t="n"/>
      <c r="D1956" s="8" t="n"/>
      <c r="E1956" s="8" t="n"/>
      <c r="F1956" s="14" t="n"/>
      <c r="G1956" s="14" t="n"/>
      <c r="H1956" s="8" t="n"/>
      <c r="I1956" s="8" t="n"/>
      <c r="J1956" s="8" t="n"/>
      <c r="K1956" s="18">
        <f>IF(B1956="","",IFERROR(MONTH(B1956),""))</f>
        <v/>
      </c>
      <c r="L1956" s="5">
        <f>IF(COUNTA(A1956:J1956)=0,"",IF(E1956="","Mangler motkonto",IF((F1956="")=(G1956=""),"Fyll ut enten Inn eller Ut",IF(OR(IFERROR(INDEX('Kontoplan'!$D$3:$D$302,MATCH(D1956,'Kontoplan'!$H$3:$H$302,0))="Støttes ikke",FALSE),IFERROR(INDEX('Kontoplan'!$D$3:$D$302,MATCH(E1956,'Kontoplan'!$H$3:$H$302,0))="Støttes ikke",FALSE)),"Kontoen støttes ikke",IF(IFERROR(AND(A1956&gt;1,COUNTIF($A$3:$A$2002,A1956-1)=0),FALSE),"Nummeret hopper over",IF(OR(NOT(ISNUMBER(B1956)),B1956&lt;DATE(2027,1,1),B1956&gt;DATE(2027,12,31)),"Datoen er ikke i 2027",""))))))</f>
        <v/>
      </c>
    </row>
    <row r="1957">
      <c r="A1957" s="17" t="n"/>
      <c r="B1957" s="9" t="n"/>
      <c r="C1957" s="8" t="n"/>
      <c r="D1957" s="8" t="n"/>
      <c r="E1957" s="8" t="n"/>
      <c r="F1957" s="14" t="n"/>
      <c r="G1957" s="14" t="n"/>
      <c r="H1957" s="8" t="n"/>
      <c r="I1957" s="8" t="n"/>
      <c r="J1957" s="8" t="n"/>
      <c r="K1957" s="18">
        <f>IF(B1957="","",IFERROR(MONTH(B1957),""))</f>
        <v/>
      </c>
      <c r="L1957" s="5">
        <f>IF(COUNTA(A1957:J1957)=0,"",IF(E1957="","Mangler motkonto",IF((F1957="")=(G1957=""),"Fyll ut enten Inn eller Ut",IF(OR(IFERROR(INDEX('Kontoplan'!$D$3:$D$302,MATCH(D1957,'Kontoplan'!$H$3:$H$302,0))="Støttes ikke",FALSE),IFERROR(INDEX('Kontoplan'!$D$3:$D$302,MATCH(E1957,'Kontoplan'!$H$3:$H$302,0))="Støttes ikke",FALSE)),"Kontoen støttes ikke",IF(IFERROR(AND(A1957&gt;1,COUNTIF($A$3:$A$2002,A1957-1)=0),FALSE),"Nummeret hopper over",IF(OR(NOT(ISNUMBER(B1957)),B1957&lt;DATE(2027,1,1),B1957&gt;DATE(2027,12,31)),"Datoen er ikke i 2027",""))))))</f>
        <v/>
      </c>
    </row>
    <row r="1958">
      <c r="A1958" s="17" t="n"/>
      <c r="B1958" s="9" t="n"/>
      <c r="C1958" s="8" t="n"/>
      <c r="D1958" s="8" t="n"/>
      <c r="E1958" s="8" t="n"/>
      <c r="F1958" s="14" t="n"/>
      <c r="G1958" s="14" t="n"/>
      <c r="H1958" s="8" t="n"/>
      <c r="I1958" s="8" t="n"/>
      <c r="J1958" s="8" t="n"/>
      <c r="K1958" s="18">
        <f>IF(B1958="","",IFERROR(MONTH(B1958),""))</f>
        <v/>
      </c>
      <c r="L1958" s="5">
        <f>IF(COUNTA(A1958:J1958)=0,"",IF(E1958="","Mangler motkonto",IF((F1958="")=(G1958=""),"Fyll ut enten Inn eller Ut",IF(OR(IFERROR(INDEX('Kontoplan'!$D$3:$D$302,MATCH(D1958,'Kontoplan'!$H$3:$H$302,0))="Støttes ikke",FALSE),IFERROR(INDEX('Kontoplan'!$D$3:$D$302,MATCH(E1958,'Kontoplan'!$H$3:$H$302,0))="Støttes ikke",FALSE)),"Kontoen støttes ikke",IF(IFERROR(AND(A1958&gt;1,COUNTIF($A$3:$A$2002,A1958-1)=0),FALSE),"Nummeret hopper over",IF(OR(NOT(ISNUMBER(B1958)),B1958&lt;DATE(2027,1,1),B1958&gt;DATE(2027,12,31)),"Datoen er ikke i 2027",""))))))</f>
        <v/>
      </c>
    </row>
    <row r="1959">
      <c r="A1959" s="17" t="n"/>
      <c r="B1959" s="9" t="n"/>
      <c r="C1959" s="8" t="n"/>
      <c r="D1959" s="8" t="n"/>
      <c r="E1959" s="8" t="n"/>
      <c r="F1959" s="14" t="n"/>
      <c r="G1959" s="14" t="n"/>
      <c r="H1959" s="8" t="n"/>
      <c r="I1959" s="8" t="n"/>
      <c r="J1959" s="8" t="n"/>
      <c r="K1959" s="18">
        <f>IF(B1959="","",IFERROR(MONTH(B1959),""))</f>
        <v/>
      </c>
      <c r="L1959" s="5">
        <f>IF(COUNTA(A1959:J1959)=0,"",IF(E1959="","Mangler motkonto",IF((F1959="")=(G1959=""),"Fyll ut enten Inn eller Ut",IF(OR(IFERROR(INDEX('Kontoplan'!$D$3:$D$302,MATCH(D1959,'Kontoplan'!$H$3:$H$302,0))="Støttes ikke",FALSE),IFERROR(INDEX('Kontoplan'!$D$3:$D$302,MATCH(E1959,'Kontoplan'!$H$3:$H$302,0))="Støttes ikke",FALSE)),"Kontoen støttes ikke",IF(IFERROR(AND(A1959&gt;1,COUNTIF($A$3:$A$2002,A1959-1)=0),FALSE),"Nummeret hopper over",IF(OR(NOT(ISNUMBER(B1959)),B1959&lt;DATE(2027,1,1),B1959&gt;DATE(2027,12,31)),"Datoen er ikke i 2027",""))))))</f>
        <v/>
      </c>
    </row>
    <row r="1960">
      <c r="A1960" s="17" t="n"/>
      <c r="B1960" s="9" t="n"/>
      <c r="C1960" s="8" t="n"/>
      <c r="D1960" s="8" t="n"/>
      <c r="E1960" s="8" t="n"/>
      <c r="F1960" s="14" t="n"/>
      <c r="G1960" s="14" t="n"/>
      <c r="H1960" s="8" t="n"/>
      <c r="I1960" s="8" t="n"/>
      <c r="J1960" s="8" t="n"/>
      <c r="K1960" s="18">
        <f>IF(B1960="","",IFERROR(MONTH(B1960),""))</f>
        <v/>
      </c>
      <c r="L1960" s="5">
        <f>IF(COUNTA(A1960:J1960)=0,"",IF(E1960="","Mangler motkonto",IF((F1960="")=(G1960=""),"Fyll ut enten Inn eller Ut",IF(OR(IFERROR(INDEX('Kontoplan'!$D$3:$D$302,MATCH(D1960,'Kontoplan'!$H$3:$H$302,0))="Støttes ikke",FALSE),IFERROR(INDEX('Kontoplan'!$D$3:$D$302,MATCH(E1960,'Kontoplan'!$H$3:$H$302,0))="Støttes ikke",FALSE)),"Kontoen støttes ikke",IF(IFERROR(AND(A1960&gt;1,COUNTIF($A$3:$A$2002,A1960-1)=0),FALSE),"Nummeret hopper over",IF(OR(NOT(ISNUMBER(B1960)),B1960&lt;DATE(2027,1,1),B1960&gt;DATE(2027,12,31)),"Datoen er ikke i 2027",""))))))</f>
        <v/>
      </c>
    </row>
    <row r="1961">
      <c r="A1961" s="17" t="n"/>
      <c r="B1961" s="9" t="n"/>
      <c r="C1961" s="8" t="n"/>
      <c r="D1961" s="8" t="n"/>
      <c r="E1961" s="8" t="n"/>
      <c r="F1961" s="14" t="n"/>
      <c r="G1961" s="14" t="n"/>
      <c r="H1961" s="8" t="n"/>
      <c r="I1961" s="8" t="n"/>
      <c r="J1961" s="8" t="n"/>
      <c r="K1961" s="18">
        <f>IF(B1961="","",IFERROR(MONTH(B1961),""))</f>
        <v/>
      </c>
      <c r="L1961" s="5">
        <f>IF(COUNTA(A1961:J1961)=0,"",IF(E1961="","Mangler motkonto",IF((F1961="")=(G1961=""),"Fyll ut enten Inn eller Ut",IF(OR(IFERROR(INDEX('Kontoplan'!$D$3:$D$302,MATCH(D1961,'Kontoplan'!$H$3:$H$302,0))="Støttes ikke",FALSE),IFERROR(INDEX('Kontoplan'!$D$3:$D$302,MATCH(E1961,'Kontoplan'!$H$3:$H$302,0))="Støttes ikke",FALSE)),"Kontoen støttes ikke",IF(IFERROR(AND(A1961&gt;1,COUNTIF($A$3:$A$2002,A1961-1)=0),FALSE),"Nummeret hopper over",IF(OR(NOT(ISNUMBER(B1961)),B1961&lt;DATE(2027,1,1),B1961&gt;DATE(2027,12,31)),"Datoen er ikke i 2027",""))))))</f>
        <v/>
      </c>
    </row>
    <row r="1962">
      <c r="A1962" s="17" t="n"/>
      <c r="B1962" s="9" t="n"/>
      <c r="C1962" s="8" t="n"/>
      <c r="D1962" s="8" t="n"/>
      <c r="E1962" s="8" t="n"/>
      <c r="F1962" s="14" t="n"/>
      <c r="G1962" s="14" t="n"/>
      <c r="H1962" s="8" t="n"/>
      <c r="I1962" s="8" t="n"/>
      <c r="J1962" s="8" t="n"/>
      <c r="K1962" s="18">
        <f>IF(B1962="","",IFERROR(MONTH(B1962),""))</f>
        <v/>
      </c>
      <c r="L1962" s="5">
        <f>IF(COUNTA(A1962:J1962)=0,"",IF(E1962="","Mangler motkonto",IF((F1962="")=(G1962=""),"Fyll ut enten Inn eller Ut",IF(OR(IFERROR(INDEX('Kontoplan'!$D$3:$D$302,MATCH(D1962,'Kontoplan'!$H$3:$H$302,0))="Støttes ikke",FALSE),IFERROR(INDEX('Kontoplan'!$D$3:$D$302,MATCH(E1962,'Kontoplan'!$H$3:$H$302,0))="Støttes ikke",FALSE)),"Kontoen støttes ikke",IF(IFERROR(AND(A1962&gt;1,COUNTIF($A$3:$A$2002,A1962-1)=0),FALSE),"Nummeret hopper over",IF(OR(NOT(ISNUMBER(B1962)),B1962&lt;DATE(2027,1,1),B1962&gt;DATE(2027,12,31)),"Datoen er ikke i 2027",""))))))</f>
        <v/>
      </c>
    </row>
    <row r="1963">
      <c r="A1963" s="17" t="n"/>
      <c r="B1963" s="9" t="n"/>
      <c r="C1963" s="8" t="n"/>
      <c r="D1963" s="8" t="n"/>
      <c r="E1963" s="8" t="n"/>
      <c r="F1963" s="14" t="n"/>
      <c r="G1963" s="14" t="n"/>
      <c r="H1963" s="8" t="n"/>
      <c r="I1963" s="8" t="n"/>
      <c r="J1963" s="8" t="n"/>
      <c r="K1963" s="18">
        <f>IF(B1963="","",IFERROR(MONTH(B1963),""))</f>
        <v/>
      </c>
      <c r="L1963" s="5">
        <f>IF(COUNTA(A1963:J1963)=0,"",IF(E1963="","Mangler motkonto",IF((F1963="")=(G1963=""),"Fyll ut enten Inn eller Ut",IF(OR(IFERROR(INDEX('Kontoplan'!$D$3:$D$302,MATCH(D1963,'Kontoplan'!$H$3:$H$302,0))="Støttes ikke",FALSE),IFERROR(INDEX('Kontoplan'!$D$3:$D$302,MATCH(E1963,'Kontoplan'!$H$3:$H$302,0))="Støttes ikke",FALSE)),"Kontoen støttes ikke",IF(IFERROR(AND(A1963&gt;1,COUNTIF($A$3:$A$2002,A1963-1)=0),FALSE),"Nummeret hopper over",IF(OR(NOT(ISNUMBER(B1963)),B1963&lt;DATE(2027,1,1),B1963&gt;DATE(2027,12,31)),"Datoen er ikke i 2027",""))))))</f>
        <v/>
      </c>
    </row>
    <row r="1964">
      <c r="A1964" s="17" t="n"/>
      <c r="B1964" s="9" t="n"/>
      <c r="C1964" s="8" t="n"/>
      <c r="D1964" s="8" t="n"/>
      <c r="E1964" s="8" t="n"/>
      <c r="F1964" s="14" t="n"/>
      <c r="G1964" s="14" t="n"/>
      <c r="H1964" s="8" t="n"/>
      <c r="I1964" s="8" t="n"/>
      <c r="J1964" s="8" t="n"/>
      <c r="K1964" s="18">
        <f>IF(B1964="","",IFERROR(MONTH(B1964),""))</f>
        <v/>
      </c>
      <c r="L1964" s="5">
        <f>IF(COUNTA(A1964:J1964)=0,"",IF(E1964="","Mangler motkonto",IF((F1964="")=(G1964=""),"Fyll ut enten Inn eller Ut",IF(OR(IFERROR(INDEX('Kontoplan'!$D$3:$D$302,MATCH(D1964,'Kontoplan'!$H$3:$H$302,0))="Støttes ikke",FALSE),IFERROR(INDEX('Kontoplan'!$D$3:$D$302,MATCH(E1964,'Kontoplan'!$H$3:$H$302,0))="Støttes ikke",FALSE)),"Kontoen støttes ikke",IF(IFERROR(AND(A1964&gt;1,COUNTIF($A$3:$A$2002,A1964-1)=0),FALSE),"Nummeret hopper over",IF(OR(NOT(ISNUMBER(B1964)),B1964&lt;DATE(2027,1,1),B1964&gt;DATE(2027,12,31)),"Datoen er ikke i 2027",""))))))</f>
        <v/>
      </c>
    </row>
    <row r="1965">
      <c r="A1965" s="17" t="n"/>
      <c r="B1965" s="9" t="n"/>
      <c r="C1965" s="8" t="n"/>
      <c r="D1965" s="8" t="n"/>
      <c r="E1965" s="8" t="n"/>
      <c r="F1965" s="14" t="n"/>
      <c r="G1965" s="14" t="n"/>
      <c r="H1965" s="8" t="n"/>
      <c r="I1965" s="8" t="n"/>
      <c r="J1965" s="8" t="n"/>
      <c r="K1965" s="18">
        <f>IF(B1965="","",IFERROR(MONTH(B1965),""))</f>
        <v/>
      </c>
      <c r="L1965" s="5">
        <f>IF(COUNTA(A1965:J1965)=0,"",IF(E1965="","Mangler motkonto",IF((F1965="")=(G1965=""),"Fyll ut enten Inn eller Ut",IF(OR(IFERROR(INDEX('Kontoplan'!$D$3:$D$302,MATCH(D1965,'Kontoplan'!$H$3:$H$302,0))="Støttes ikke",FALSE),IFERROR(INDEX('Kontoplan'!$D$3:$D$302,MATCH(E1965,'Kontoplan'!$H$3:$H$302,0))="Støttes ikke",FALSE)),"Kontoen støttes ikke",IF(IFERROR(AND(A1965&gt;1,COUNTIF($A$3:$A$2002,A1965-1)=0),FALSE),"Nummeret hopper over",IF(OR(NOT(ISNUMBER(B1965)),B1965&lt;DATE(2027,1,1),B1965&gt;DATE(2027,12,31)),"Datoen er ikke i 2027",""))))))</f>
        <v/>
      </c>
    </row>
    <row r="1966">
      <c r="A1966" s="17" t="n"/>
      <c r="B1966" s="9" t="n"/>
      <c r="C1966" s="8" t="n"/>
      <c r="D1966" s="8" t="n"/>
      <c r="E1966" s="8" t="n"/>
      <c r="F1966" s="14" t="n"/>
      <c r="G1966" s="14" t="n"/>
      <c r="H1966" s="8" t="n"/>
      <c r="I1966" s="8" t="n"/>
      <c r="J1966" s="8" t="n"/>
      <c r="K1966" s="18">
        <f>IF(B1966="","",IFERROR(MONTH(B1966),""))</f>
        <v/>
      </c>
      <c r="L1966" s="5">
        <f>IF(COUNTA(A1966:J1966)=0,"",IF(E1966="","Mangler motkonto",IF((F1966="")=(G1966=""),"Fyll ut enten Inn eller Ut",IF(OR(IFERROR(INDEX('Kontoplan'!$D$3:$D$302,MATCH(D1966,'Kontoplan'!$H$3:$H$302,0))="Støttes ikke",FALSE),IFERROR(INDEX('Kontoplan'!$D$3:$D$302,MATCH(E1966,'Kontoplan'!$H$3:$H$302,0))="Støttes ikke",FALSE)),"Kontoen støttes ikke",IF(IFERROR(AND(A1966&gt;1,COUNTIF($A$3:$A$2002,A1966-1)=0),FALSE),"Nummeret hopper over",IF(OR(NOT(ISNUMBER(B1966)),B1966&lt;DATE(2027,1,1),B1966&gt;DATE(2027,12,31)),"Datoen er ikke i 2027",""))))))</f>
        <v/>
      </c>
    </row>
    <row r="1967">
      <c r="A1967" s="17" t="n"/>
      <c r="B1967" s="9" t="n"/>
      <c r="C1967" s="8" t="n"/>
      <c r="D1967" s="8" t="n"/>
      <c r="E1967" s="8" t="n"/>
      <c r="F1967" s="14" t="n"/>
      <c r="G1967" s="14" t="n"/>
      <c r="H1967" s="8" t="n"/>
      <c r="I1967" s="8" t="n"/>
      <c r="J1967" s="8" t="n"/>
      <c r="K1967" s="18">
        <f>IF(B1967="","",IFERROR(MONTH(B1967),""))</f>
        <v/>
      </c>
      <c r="L1967" s="5">
        <f>IF(COUNTA(A1967:J1967)=0,"",IF(E1967="","Mangler motkonto",IF((F1967="")=(G1967=""),"Fyll ut enten Inn eller Ut",IF(OR(IFERROR(INDEX('Kontoplan'!$D$3:$D$302,MATCH(D1967,'Kontoplan'!$H$3:$H$302,0))="Støttes ikke",FALSE),IFERROR(INDEX('Kontoplan'!$D$3:$D$302,MATCH(E1967,'Kontoplan'!$H$3:$H$302,0))="Støttes ikke",FALSE)),"Kontoen støttes ikke",IF(IFERROR(AND(A1967&gt;1,COUNTIF($A$3:$A$2002,A1967-1)=0),FALSE),"Nummeret hopper over",IF(OR(NOT(ISNUMBER(B1967)),B1967&lt;DATE(2027,1,1),B1967&gt;DATE(2027,12,31)),"Datoen er ikke i 2027",""))))))</f>
        <v/>
      </c>
    </row>
    <row r="1968">
      <c r="A1968" s="17" t="n"/>
      <c r="B1968" s="9" t="n"/>
      <c r="C1968" s="8" t="n"/>
      <c r="D1968" s="8" t="n"/>
      <c r="E1968" s="8" t="n"/>
      <c r="F1968" s="14" t="n"/>
      <c r="G1968" s="14" t="n"/>
      <c r="H1968" s="8" t="n"/>
      <c r="I1968" s="8" t="n"/>
      <c r="J1968" s="8" t="n"/>
      <c r="K1968" s="18">
        <f>IF(B1968="","",IFERROR(MONTH(B1968),""))</f>
        <v/>
      </c>
      <c r="L1968" s="5">
        <f>IF(COUNTA(A1968:J1968)=0,"",IF(E1968="","Mangler motkonto",IF((F1968="")=(G1968=""),"Fyll ut enten Inn eller Ut",IF(OR(IFERROR(INDEX('Kontoplan'!$D$3:$D$302,MATCH(D1968,'Kontoplan'!$H$3:$H$302,0))="Støttes ikke",FALSE),IFERROR(INDEX('Kontoplan'!$D$3:$D$302,MATCH(E1968,'Kontoplan'!$H$3:$H$302,0))="Støttes ikke",FALSE)),"Kontoen støttes ikke",IF(IFERROR(AND(A1968&gt;1,COUNTIF($A$3:$A$2002,A1968-1)=0),FALSE),"Nummeret hopper over",IF(OR(NOT(ISNUMBER(B1968)),B1968&lt;DATE(2027,1,1),B1968&gt;DATE(2027,12,31)),"Datoen er ikke i 2027",""))))))</f>
        <v/>
      </c>
    </row>
    <row r="1969">
      <c r="A1969" s="17" t="n"/>
      <c r="B1969" s="9" t="n"/>
      <c r="C1969" s="8" t="n"/>
      <c r="D1969" s="8" t="n"/>
      <c r="E1969" s="8" t="n"/>
      <c r="F1969" s="14" t="n"/>
      <c r="G1969" s="14" t="n"/>
      <c r="H1969" s="8" t="n"/>
      <c r="I1969" s="8" t="n"/>
      <c r="J1969" s="8" t="n"/>
      <c r="K1969" s="18">
        <f>IF(B1969="","",IFERROR(MONTH(B1969),""))</f>
        <v/>
      </c>
      <c r="L1969" s="5">
        <f>IF(COUNTA(A1969:J1969)=0,"",IF(E1969="","Mangler motkonto",IF((F1969="")=(G1969=""),"Fyll ut enten Inn eller Ut",IF(OR(IFERROR(INDEX('Kontoplan'!$D$3:$D$302,MATCH(D1969,'Kontoplan'!$H$3:$H$302,0))="Støttes ikke",FALSE),IFERROR(INDEX('Kontoplan'!$D$3:$D$302,MATCH(E1969,'Kontoplan'!$H$3:$H$302,0))="Støttes ikke",FALSE)),"Kontoen støttes ikke",IF(IFERROR(AND(A1969&gt;1,COUNTIF($A$3:$A$2002,A1969-1)=0),FALSE),"Nummeret hopper over",IF(OR(NOT(ISNUMBER(B1969)),B1969&lt;DATE(2027,1,1),B1969&gt;DATE(2027,12,31)),"Datoen er ikke i 2027",""))))))</f>
        <v/>
      </c>
    </row>
    <row r="1970">
      <c r="A1970" s="17" t="n"/>
      <c r="B1970" s="9" t="n"/>
      <c r="C1970" s="8" t="n"/>
      <c r="D1970" s="8" t="n"/>
      <c r="E1970" s="8" t="n"/>
      <c r="F1970" s="14" t="n"/>
      <c r="G1970" s="14" t="n"/>
      <c r="H1970" s="8" t="n"/>
      <c r="I1970" s="8" t="n"/>
      <c r="J1970" s="8" t="n"/>
      <c r="K1970" s="18">
        <f>IF(B1970="","",IFERROR(MONTH(B1970),""))</f>
        <v/>
      </c>
      <c r="L1970" s="5">
        <f>IF(COUNTA(A1970:J1970)=0,"",IF(E1970="","Mangler motkonto",IF((F1970="")=(G1970=""),"Fyll ut enten Inn eller Ut",IF(OR(IFERROR(INDEX('Kontoplan'!$D$3:$D$302,MATCH(D1970,'Kontoplan'!$H$3:$H$302,0))="Støttes ikke",FALSE),IFERROR(INDEX('Kontoplan'!$D$3:$D$302,MATCH(E1970,'Kontoplan'!$H$3:$H$302,0))="Støttes ikke",FALSE)),"Kontoen støttes ikke",IF(IFERROR(AND(A1970&gt;1,COUNTIF($A$3:$A$2002,A1970-1)=0),FALSE),"Nummeret hopper over",IF(OR(NOT(ISNUMBER(B1970)),B1970&lt;DATE(2027,1,1),B1970&gt;DATE(2027,12,31)),"Datoen er ikke i 2027",""))))))</f>
        <v/>
      </c>
    </row>
    <row r="1971">
      <c r="A1971" s="17" t="n"/>
      <c r="B1971" s="9" t="n"/>
      <c r="C1971" s="8" t="n"/>
      <c r="D1971" s="8" t="n"/>
      <c r="E1971" s="8" t="n"/>
      <c r="F1971" s="14" t="n"/>
      <c r="G1971" s="14" t="n"/>
      <c r="H1971" s="8" t="n"/>
      <c r="I1971" s="8" t="n"/>
      <c r="J1971" s="8" t="n"/>
      <c r="K1971" s="18">
        <f>IF(B1971="","",IFERROR(MONTH(B1971),""))</f>
        <v/>
      </c>
      <c r="L1971" s="5">
        <f>IF(COUNTA(A1971:J1971)=0,"",IF(E1971="","Mangler motkonto",IF((F1971="")=(G1971=""),"Fyll ut enten Inn eller Ut",IF(OR(IFERROR(INDEX('Kontoplan'!$D$3:$D$302,MATCH(D1971,'Kontoplan'!$H$3:$H$302,0))="Støttes ikke",FALSE),IFERROR(INDEX('Kontoplan'!$D$3:$D$302,MATCH(E1971,'Kontoplan'!$H$3:$H$302,0))="Støttes ikke",FALSE)),"Kontoen støttes ikke",IF(IFERROR(AND(A1971&gt;1,COUNTIF($A$3:$A$2002,A1971-1)=0),FALSE),"Nummeret hopper over",IF(OR(NOT(ISNUMBER(B1971)),B1971&lt;DATE(2027,1,1),B1971&gt;DATE(2027,12,31)),"Datoen er ikke i 2027",""))))))</f>
        <v/>
      </c>
    </row>
    <row r="1972">
      <c r="A1972" s="17" t="n"/>
      <c r="B1972" s="9" t="n"/>
      <c r="C1972" s="8" t="n"/>
      <c r="D1972" s="8" t="n"/>
      <c r="E1972" s="8" t="n"/>
      <c r="F1972" s="14" t="n"/>
      <c r="G1972" s="14" t="n"/>
      <c r="H1972" s="8" t="n"/>
      <c r="I1972" s="8" t="n"/>
      <c r="J1972" s="8" t="n"/>
      <c r="K1972" s="18">
        <f>IF(B1972="","",IFERROR(MONTH(B1972),""))</f>
        <v/>
      </c>
      <c r="L1972" s="5">
        <f>IF(COUNTA(A1972:J1972)=0,"",IF(E1972="","Mangler motkonto",IF((F1972="")=(G1972=""),"Fyll ut enten Inn eller Ut",IF(OR(IFERROR(INDEX('Kontoplan'!$D$3:$D$302,MATCH(D1972,'Kontoplan'!$H$3:$H$302,0))="Støttes ikke",FALSE),IFERROR(INDEX('Kontoplan'!$D$3:$D$302,MATCH(E1972,'Kontoplan'!$H$3:$H$302,0))="Støttes ikke",FALSE)),"Kontoen støttes ikke",IF(IFERROR(AND(A1972&gt;1,COUNTIF($A$3:$A$2002,A1972-1)=0),FALSE),"Nummeret hopper over",IF(OR(NOT(ISNUMBER(B1972)),B1972&lt;DATE(2027,1,1),B1972&gt;DATE(2027,12,31)),"Datoen er ikke i 2027",""))))))</f>
        <v/>
      </c>
    </row>
    <row r="1973">
      <c r="A1973" s="17" t="n"/>
      <c r="B1973" s="9" t="n"/>
      <c r="C1973" s="8" t="n"/>
      <c r="D1973" s="8" t="n"/>
      <c r="E1973" s="8" t="n"/>
      <c r="F1973" s="14" t="n"/>
      <c r="G1973" s="14" t="n"/>
      <c r="H1973" s="8" t="n"/>
      <c r="I1973" s="8" t="n"/>
      <c r="J1973" s="8" t="n"/>
      <c r="K1973" s="18">
        <f>IF(B1973="","",IFERROR(MONTH(B1973),""))</f>
        <v/>
      </c>
      <c r="L1973" s="5">
        <f>IF(COUNTA(A1973:J1973)=0,"",IF(E1973="","Mangler motkonto",IF((F1973="")=(G1973=""),"Fyll ut enten Inn eller Ut",IF(OR(IFERROR(INDEX('Kontoplan'!$D$3:$D$302,MATCH(D1973,'Kontoplan'!$H$3:$H$302,0))="Støttes ikke",FALSE),IFERROR(INDEX('Kontoplan'!$D$3:$D$302,MATCH(E1973,'Kontoplan'!$H$3:$H$302,0))="Støttes ikke",FALSE)),"Kontoen støttes ikke",IF(IFERROR(AND(A1973&gt;1,COUNTIF($A$3:$A$2002,A1973-1)=0),FALSE),"Nummeret hopper over",IF(OR(NOT(ISNUMBER(B1973)),B1973&lt;DATE(2027,1,1),B1973&gt;DATE(2027,12,31)),"Datoen er ikke i 2027",""))))))</f>
        <v/>
      </c>
    </row>
    <row r="1974">
      <c r="A1974" s="17" t="n"/>
      <c r="B1974" s="9" t="n"/>
      <c r="C1974" s="8" t="n"/>
      <c r="D1974" s="8" t="n"/>
      <c r="E1974" s="8" t="n"/>
      <c r="F1974" s="14" t="n"/>
      <c r="G1974" s="14" t="n"/>
      <c r="H1974" s="8" t="n"/>
      <c r="I1974" s="8" t="n"/>
      <c r="J1974" s="8" t="n"/>
      <c r="K1974" s="18">
        <f>IF(B1974="","",IFERROR(MONTH(B1974),""))</f>
        <v/>
      </c>
      <c r="L1974" s="5">
        <f>IF(COUNTA(A1974:J1974)=0,"",IF(E1974="","Mangler motkonto",IF((F1974="")=(G1974=""),"Fyll ut enten Inn eller Ut",IF(OR(IFERROR(INDEX('Kontoplan'!$D$3:$D$302,MATCH(D1974,'Kontoplan'!$H$3:$H$302,0))="Støttes ikke",FALSE),IFERROR(INDEX('Kontoplan'!$D$3:$D$302,MATCH(E1974,'Kontoplan'!$H$3:$H$302,0))="Støttes ikke",FALSE)),"Kontoen støttes ikke",IF(IFERROR(AND(A1974&gt;1,COUNTIF($A$3:$A$2002,A1974-1)=0),FALSE),"Nummeret hopper over",IF(OR(NOT(ISNUMBER(B1974)),B1974&lt;DATE(2027,1,1),B1974&gt;DATE(2027,12,31)),"Datoen er ikke i 2027",""))))))</f>
        <v/>
      </c>
    </row>
    <row r="1975">
      <c r="A1975" s="17" t="n"/>
      <c r="B1975" s="9" t="n"/>
      <c r="C1975" s="8" t="n"/>
      <c r="D1975" s="8" t="n"/>
      <c r="E1975" s="8" t="n"/>
      <c r="F1975" s="14" t="n"/>
      <c r="G1975" s="14" t="n"/>
      <c r="H1975" s="8" t="n"/>
      <c r="I1975" s="8" t="n"/>
      <c r="J1975" s="8" t="n"/>
      <c r="K1975" s="18">
        <f>IF(B1975="","",IFERROR(MONTH(B1975),""))</f>
        <v/>
      </c>
      <c r="L1975" s="5">
        <f>IF(COUNTA(A1975:J1975)=0,"",IF(E1975="","Mangler motkonto",IF((F1975="")=(G1975=""),"Fyll ut enten Inn eller Ut",IF(OR(IFERROR(INDEX('Kontoplan'!$D$3:$D$302,MATCH(D1975,'Kontoplan'!$H$3:$H$302,0))="Støttes ikke",FALSE),IFERROR(INDEX('Kontoplan'!$D$3:$D$302,MATCH(E1975,'Kontoplan'!$H$3:$H$302,0))="Støttes ikke",FALSE)),"Kontoen støttes ikke",IF(IFERROR(AND(A1975&gt;1,COUNTIF($A$3:$A$2002,A1975-1)=0),FALSE),"Nummeret hopper over",IF(OR(NOT(ISNUMBER(B1975)),B1975&lt;DATE(2027,1,1),B1975&gt;DATE(2027,12,31)),"Datoen er ikke i 2027",""))))))</f>
        <v/>
      </c>
    </row>
    <row r="1976">
      <c r="A1976" s="17" t="n"/>
      <c r="B1976" s="9" t="n"/>
      <c r="C1976" s="8" t="n"/>
      <c r="D1976" s="8" t="n"/>
      <c r="E1976" s="8" t="n"/>
      <c r="F1976" s="14" t="n"/>
      <c r="G1976" s="14" t="n"/>
      <c r="H1976" s="8" t="n"/>
      <c r="I1976" s="8" t="n"/>
      <c r="J1976" s="8" t="n"/>
      <c r="K1976" s="18">
        <f>IF(B1976="","",IFERROR(MONTH(B1976),""))</f>
        <v/>
      </c>
      <c r="L1976" s="5">
        <f>IF(COUNTA(A1976:J1976)=0,"",IF(E1976="","Mangler motkonto",IF((F1976="")=(G1976=""),"Fyll ut enten Inn eller Ut",IF(OR(IFERROR(INDEX('Kontoplan'!$D$3:$D$302,MATCH(D1976,'Kontoplan'!$H$3:$H$302,0))="Støttes ikke",FALSE),IFERROR(INDEX('Kontoplan'!$D$3:$D$302,MATCH(E1976,'Kontoplan'!$H$3:$H$302,0))="Støttes ikke",FALSE)),"Kontoen støttes ikke",IF(IFERROR(AND(A1976&gt;1,COUNTIF($A$3:$A$2002,A1976-1)=0),FALSE),"Nummeret hopper over",IF(OR(NOT(ISNUMBER(B1976)),B1976&lt;DATE(2027,1,1),B1976&gt;DATE(2027,12,31)),"Datoen er ikke i 2027",""))))))</f>
        <v/>
      </c>
    </row>
    <row r="1977">
      <c r="A1977" s="17" t="n"/>
      <c r="B1977" s="9" t="n"/>
      <c r="C1977" s="8" t="n"/>
      <c r="D1977" s="8" t="n"/>
      <c r="E1977" s="8" t="n"/>
      <c r="F1977" s="14" t="n"/>
      <c r="G1977" s="14" t="n"/>
      <c r="H1977" s="8" t="n"/>
      <c r="I1977" s="8" t="n"/>
      <c r="J1977" s="8" t="n"/>
      <c r="K1977" s="18">
        <f>IF(B1977="","",IFERROR(MONTH(B1977),""))</f>
        <v/>
      </c>
      <c r="L1977" s="5">
        <f>IF(COUNTA(A1977:J1977)=0,"",IF(E1977="","Mangler motkonto",IF((F1977="")=(G1977=""),"Fyll ut enten Inn eller Ut",IF(OR(IFERROR(INDEX('Kontoplan'!$D$3:$D$302,MATCH(D1977,'Kontoplan'!$H$3:$H$302,0))="Støttes ikke",FALSE),IFERROR(INDEX('Kontoplan'!$D$3:$D$302,MATCH(E1977,'Kontoplan'!$H$3:$H$302,0))="Støttes ikke",FALSE)),"Kontoen støttes ikke",IF(IFERROR(AND(A1977&gt;1,COUNTIF($A$3:$A$2002,A1977-1)=0),FALSE),"Nummeret hopper over",IF(OR(NOT(ISNUMBER(B1977)),B1977&lt;DATE(2027,1,1),B1977&gt;DATE(2027,12,31)),"Datoen er ikke i 2027",""))))))</f>
        <v/>
      </c>
    </row>
    <row r="1978">
      <c r="A1978" s="17" t="n"/>
      <c r="B1978" s="9" t="n"/>
      <c r="C1978" s="8" t="n"/>
      <c r="D1978" s="8" t="n"/>
      <c r="E1978" s="8" t="n"/>
      <c r="F1978" s="14" t="n"/>
      <c r="G1978" s="14" t="n"/>
      <c r="H1978" s="8" t="n"/>
      <c r="I1978" s="8" t="n"/>
      <c r="J1978" s="8" t="n"/>
      <c r="K1978" s="18">
        <f>IF(B1978="","",IFERROR(MONTH(B1978),""))</f>
        <v/>
      </c>
      <c r="L1978" s="5">
        <f>IF(COUNTA(A1978:J1978)=0,"",IF(E1978="","Mangler motkonto",IF((F1978="")=(G1978=""),"Fyll ut enten Inn eller Ut",IF(OR(IFERROR(INDEX('Kontoplan'!$D$3:$D$302,MATCH(D1978,'Kontoplan'!$H$3:$H$302,0))="Støttes ikke",FALSE),IFERROR(INDEX('Kontoplan'!$D$3:$D$302,MATCH(E1978,'Kontoplan'!$H$3:$H$302,0))="Støttes ikke",FALSE)),"Kontoen støttes ikke",IF(IFERROR(AND(A1978&gt;1,COUNTIF($A$3:$A$2002,A1978-1)=0),FALSE),"Nummeret hopper over",IF(OR(NOT(ISNUMBER(B1978)),B1978&lt;DATE(2027,1,1),B1978&gt;DATE(2027,12,31)),"Datoen er ikke i 2027",""))))))</f>
        <v/>
      </c>
    </row>
    <row r="1979">
      <c r="A1979" s="17" t="n"/>
      <c r="B1979" s="9" t="n"/>
      <c r="C1979" s="8" t="n"/>
      <c r="D1979" s="8" t="n"/>
      <c r="E1979" s="8" t="n"/>
      <c r="F1979" s="14" t="n"/>
      <c r="G1979" s="14" t="n"/>
      <c r="H1979" s="8" t="n"/>
      <c r="I1979" s="8" t="n"/>
      <c r="J1979" s="8" t="n"/>
      <c r="K1979" s="18">
        <f>IF(B1979="","",IFERROR(MONTH(B1979),""))</f>
        <v/>
      </c>
      <c r="L1979" s="5">
        <f>IF(COUNTA(A1979:J1979)=0,"",IF(E1979="","Mangler motkonto",IF((F1979="")=(G1979=""),"Fyll ut enten Inn eller Ut",IF(OR(IFERROR(INDEX('Kontoplan'!$D$3:$D$302,MATCH(D1979,'Kontoplan'!$H$3:$H$302,0))="Støttes ikke",FALSE),IFERROR(INDEX('Kontoplan'!$D$3:$D$302,MATCH(E1979,'Kontoplan'!$H$3:$H$302,0))="Støttes ikke",FALSE)),"Kontoen støttes ikke",IF(IFERROR(AND(A1979&gt;1,COUNTIF($A$3:$A$2002,A1979-1)=0),FALSE),"Nummeret hopper over",IF(OR(NOT(ISNUMBER(B1979)),B1979&lt;DATE(2027,1,1),B1979&gt;DATE(2027,12,31)),"Datoen er ikke i 2027",""))))))</f>
        <v/>
      </c>
    </row>
    <row r="1980">
      <c r="A1980" s="17" t="n"/>
      <c r="B1980" s="9" t="n"/>
      <c r="C1980" s="8" t="n"/>
      <c r="D1980" s="8" t="n"/>
      <c r="E1980" s="8" t="n"/>
      <c r="F1980" s="14" t="n"/>
      <c r="G1980" s="14" t="n"/>
      <c r="H1980" s="8" t="n"/>
      <c r="I1980" s="8" t="n"/>
      <c r="J1980" s="8" t="n"/>
      <c r="K1980" s="18">
        <f>IF(B1980="","",IFERROR(MONTH(B1980),""))</f>
        <v/>
      </c>
      <c r="L1980" s="5">
        <f>IF(COUNTA(A1980:J1980)=0,"",IF(E1980="","Mangler motkonto",IF((F1980="")=(G1980=""),"Fyll ut enten Inn eller Ut",IF(OR(IFERROR(INDEX('Kontoplan'!$D$3:$D$302,MATCH(D1980,'Kontoplan'!$H$3:$H$302,0))="Støttes ikke",FALSE),IFERROR(INDEX('Kontoplan'!$D$3:$D$302,MATCH(E1980,'Kontoplan'!$H$3:$H$302,0))="Støttes ikke",FALSE)),"Kontoen støttes ikke",IF(IFERROR(AND(A1980&gt;1,COUNTIF($A$3:$A$2002,A1980-1)=0),FALSE),"Nummeret hopper over",IF(OR(NOT(ISNUMBER(B1980)),B1980&lt;DATE(2027,1,1),B1980&gt;DATE(2027,12,31)),"Datoen er ikke i 2027",""))))))</f>
        <v/>
      </c>
    </row>
    <row r="1981">
      <c r="A1981" s="17" t="n"/>
      <c r="B1981" s="9" t="n"/>
      <c r="C1981" s="8" t="n"/>
      <c r="D1981" s="8" t="n"/>
      <c r="E1981" s="8" t="n"/>
      <c r="F1981" s="14" t="n"/>
      <c r="G1981" s="14" t="n"/>
      <c r="H1981" s="8" t="n"/>
      <c r="I1981" s="8" t="n"/>
      <c r="J1981" s="8" t="n"/>
      <c r="K1981" s="18">
        <f>IF(B1981="","",IFERROR(MONTH(B1981),""))</f>
        <v/>
      </c>
      <c r="L1981" s="5">
        <f>IF(COUNTA(A1981:J1981)=0,"",IF(E1981="","Mangler motkonto",IF((F1981="")=(G1981=""),"Fyll ut enten Inn eller Ut",IF(OR(IFERROR(INDEX('Kontoplan'!$D$3:$D$302,MATCH(D1981,'Kontoplan'!$H$3:$H$302,0))="Støttes ikke",FALSE),IFERROR(INDEX('Kontoplan'!$D$3:$D$302,MATCH(E1981,'Kontoplan'!$H$3:$H$302,0))="Støttes ikke",FALSE)),"Kontoen støttes ikke",IF(IFERROR(AND(A1981&gt;1,COUNTIF($A$3:$A$2002,A1981-1)=0),FALSE),"Nummeret hopper over",IF(OR(NOT(ISNUMBER(B1981)),B1981&lt;DATE(2027,1,1),B1981&gt;DATE(2027,12,31)),"Datoen er ikke i 2027",""))))))</f>
        <v/>
      </c>
    </row>
    <row r="1982">
      <c r="A1982" s="17" t="n"/>
      <c r="B1982" s="9" t="n"/>
      <c r="C1982" s="8" t="n"/>
      <c r="D1982" s="8" t="n"/>
      <c r="E1982" s="8" t="n"/>
      <c r="F1982" s="14" t="n"/>
      <c r="G1982" s="14" t="n"/>
      <c r="H1982" s="8" t="n"/>
      <c r="I1982" s="8" t="n"/>
      <c r="J1982" s="8" t="n"/>
      <c r="K1982" s="18">
        <f>IF(B1982="","",IFERROR(MONTH(B1982),""))</f>
        <v/>
      </c>
      <c r="L1982" s="5">
        <f>IF(COUNTA(A1982:J1982)=0,"",IF(E1982="","Mangler motkonto",IF((F1982="")=(G1982=""),"Fyll ut enten Inn eller Ut",IF(OR(IFERROR(INDEX('Kontoplan'!$D$3:$D$302,MATCH(D1982,'Kontoplan'!$H$3:$H$302,0))="Støttes ikke",FALSE),IFERROR(INDEX('Kontoplan'!$D$3:$D$302,MATCH(E1982,'Kontoplan'!$H$3:$H$302,0))="Støttes ikke",FALSE)),"Kontoen støttes ikke",IF(IFERROR(AND(A1982&gt;1,COUNTIF($A$3:$A$2002,A1982-1)=0),FALSE),"Nummeret hopper over",IF(OR(NOT(ISNUMBER(B1982)),B1982&lt;DATE(2027,1,1),B1982&gt;DATE(2027,12,31)),"Datoen er ikke i 2027",""))))))</f>
        <v/>
      </c>
    </row>
    <row r="1983">
      <c r="A1983" s="17" t="n"/>
      <c r="B1983" s="9" t="n"/>
      <c r="C1983" s="8" t="n"/>
      <c r="D1983" s="8" t="n"/>
      <c r="E1983" s="8" t="n"/>
      <c r="F1983" s="14" t="n"/>
      <c r="G1983" s="14" t="n"/>
      <c r="H1983" s="8" t="n"/>
      <c r="I1983" s="8" t="n"/>
      <c r="J1983" s="8" t="n"/>
      <c r="K1983" s="18">
        <f>IF(B1983="","",IFERROR(MONTH(B1983),""))</f>
        <v/>
      </c>
      <c r="L1983" s="5">
        <f>IF(COUNTA(A1983:J1983)=0,"",IF(E1983="","Mangler motkonto",IF((F1983="")=(G1983=""),"Fyll ut enten Inn eller Ut",IF(OR(IFERROR(INDEX('Kontoplan'!$D$3:$D$302,MATCH(D1983,'Kontoplan'!$H$3:$H$302,0))="Støttes ikke",FALSE),IFERROR(INDEX('Kontoplan'!$D$3:$D$302,MATCH(E1983,'Kontoplan'!$H$3:$H$302,0))="Støttes ikke",FALSE)),"Kontoen støttes ikke",IF(IFERROR(AND(A1983&gt;1,COUNTIF($A$3:$A$2002,A1983-1)=0),FALSE),"Nummeret hopper over",IF(OR(NOT(ISNUMBER(B1983)),B1983&lt;DATE(2027,1,1),B1983&gt;DATE(2027,12,31)),"Datoen er ikke i 2027",""))))))</f>
        <v/>
      </c>
    </row>
    <row r="1984">
      <c r="A1984" s="17" t="n"/>
      <c r="B1984" s="9" t="n"/>
      <c r="C1984" s="8" t="n"/>
      <c r="D1984" s="8" t="n"/>
      <c r="E1984" s="8" t="n"/>
      <c r="F1984" s="14" t="n"/>
      <c r="G1984" s="14" t="n"/>
      <c r="H1984" s="8" t="n"/>
      <c r="I1984" s="8" t="n"/>
      <c r="J1984" s="8" t="n"/>
      <c r="K1984" s="18">
        <f>IF(B1984="","",IFERROR(MONTH(B1984),""))</f>
        <v/>
      </c>
      <c r="L1984" s="5">
        <f>IF(COUNTA(A1984:J1984)=0,"",IF(E1984="","Mangler motkonto",IF((F1984="")=(G1984=""),"Fyll ut enten Inn eller Ut",IF(OR(IFERROR(INDEX('Kontoplan'!$D$3:$D$302,MATCH(D1984,'Kontoplan'!$H$3:$H$302,0))="Støttes ikke",FALSE),IFERROR(INDEX('Kontoplan'!$D$3:$D$302,MATCH(E1984,'Kontoplan'!$H$3:$H$302,0))="Støttes ikke",FALSE)),"Kontoen støttes ikke",IF(IFERROR(AND(A1984&gt;1,COUNTIF($A$3:$A$2002,A1984-1)=0),FALSE),"Nummeret hopper over",IF(OR(NOT(ISNUMBER(B1984)),B1984&lt;DATE(2027,1,1),B1984&gt;DATE(2027,12,31)),"Datoen er ikke i 2027",""))))))</f>
        <v/>
      </c>
    </row>
    <row r="1985">
      <c r="A1985" s="17" t="n"/>
      <c r="B1985" s="9" t="n"/>
      <c r="C1985" s="8" t="n"/>
      <c r="D1985" s="8" t="n"/>
      <c r="E1985" s="8" t="n"/>
      <c r="F1985" s="14" t="n"/>
      <c r="G1985" s="14" t="n"/>
      <c r="H1985" s="8" t="n"/>
      <c r="I1985" s="8" t="n"/>
      <c r="J1985" s="8" t="n"/>
      <c r="K1985" s="18">
        <f>IF(B1985="","",IFERROR(MONTH(B1985),""))</f>
        <v/>
      </c>
      <c r="L1985" s="5">
        <f>IF(COUNTA(A1985:J1985)=0,"",IF(E1985="","Mangler motkonto",IF((F1985="")=(G1985=""),"Fyll ut enten Inn eller Ut",IF(OR(IFERROR(INDEX('Kontoplan'!$D$3:$D$302,MATCH(D1985,'Kontoplan'!$H$3:$H$302,0))="Støttes ikke",FALSE),IFERROR(INDEX('Kontoplan'!$D$3:$D$302,MATCH(E1985,'Kontoplan'!$H$3:$H$302,0))="Støttes ikke",FALSE)),"Kontoen støttes ikke",IF(IFERROR(AND(A1985&gt;1,COUNTIF($A$3:$A$2002,A1985-1)=0),FALSE),"Nummeret hopper over",IF(OR(NOT(ISNUMBER(B1985)),B1985&lt;DATE(2027,1,1),B1985&gt;DATE(2027,12,31)),"Datoen er ikke i 2027",""))))))</f>
        <v/>
      </c>
    </row>
    <row r="1986">
      <c r="A1986" s="17" t="n"/>
      <c r="B1986" s="9" t="n"/>
      <c r="C1986" s="8" t="n"/>
      <c r="D1986" s="8" t="n"/>
      <c r="E1986" s="8" t="n"/>
      <c r="F1986" s="14" t="n"/>
      <c r="G1986" s="14" t="n"/>
      <c r="H1986" s="8" t="n"/>
      <c r="I1986" s="8" t="n"/>
      <c r="J1986" s="8" t="n"/>
      <c r="K1986" s="18">
        <f>IF(B1986="","",IFERROR(MONTH(B1986),""))</f>
        <v/>
      </c>
      <c r="L1986" s="5">
        <f>IF(COUNTA(A1986:J1986)=0,"",IF(E1986="","Mangler motkonto",IF((F1986="")=(G1986=""),"Fyll ut enten Inn eller Ut",IF(OR(IFERROR(INDEX('Kontoplan'!$D$3:$D$302,MATCH(D1986,'Kontoplan'!$H$3:$H$302,0))="Støttes ikke",FALSE),IFERROR(INDEX('Kontoplan'!$D$3:$D$302,MATCH(E1986,'Kontoplan'!$H$3:$H$302,0))="Støttes ikke",FALSE)),"Kontoen støttes ikke",IF(IFERROR(AND(A1986&gt;1,COUNTIF($A$3:$A$2002,A1986-1)=0),FALSE),"Nummeret hopper over",IF(OR(NOT(ISNUMBER(B1986)),B1986&lt;DATE(2027,1,1),B1986&gt;DATE(2027,12,31)),"Datoen er ikke i 2027",""))))))</f>
        <v/>
      </c>
    </row>
    <row r="1987">
      <c r="A1987" s="17" t="n"/>
      <c r="B1987" s="9" t="n"/>
      <c r="C1987" s="8" t="n"/>
      <c r="D1987" s="8" t="n"/>
      <c r="E1987" s="8" t="n"/>
      <c r="F1987" s="14" t="n"/>
      <c r="G1987" s="14" t="n"/>
      <c r="H1987" s="8" t="n"/>
      <c r="I1987" s="8" t="n"/>
      <c r="J1987" s="8" t="n"/>
      <c r="K1987" s="18">
        <f>IF(B1987="","",IFERROR(MONTH(B1987),""))</f>
        <v/>
      </c>
      <c r="L1987" s="5">
        <f>IF(COUNTA(A1987:J1987)=0,"",IF(E1987="","Mangler motkonto",IF((F1987="")=(G1987=""),"Fyll ut enten Inn eller Ut",IF(OR(IFERROR(INDEX('Kontoplan'!$D$3:$D$302,MATCH(D1987,'Kontoplan'!$H$3:$H$302,0))="Støttes ikke",FALSE),IFERROR(INDEX('Kontoplan'!$D$3:$D$302,MATCH(E1987,'Kontoplan'!$H$3:$H$302,0))="Støttes ikke",FALSE)),"Kontoen støttes ikke",IF(IFERROR(AND(A1987&gt;1,COUNTIF($A$3:$A$2002,A1987-1)=0),FALSE),"Nummeret hopper over",IF(OR(NOT(ISNUMBER(B1987)),B1987&lt;DATE(2027,1,1),B1987&gt;DATE(2027,12,31)),"Datoen er ikke i 2027",""))))))</f>
        <v/>
      </c>
    </row>
    <row r="1988">
      <c r="A1988" s="17" t="n"/>
      <c r="B1988" s="9" t="n"/>
      <c r="C1988" s="8" t="n"/>
      <c r="D1988" s="8" t="n"/>
      <c r="E1988" s="8" t="n"/>
      <c r="F1988" s="14" t="n"/>
      <c r="G1988" s="14" t="n"/>
      <c r="H1988" s="8" t="n"/>
      <c r="I1988" s="8" t="n"/>
      <c r="J1988" s="8" t="n"/>
      <c r="K1988" s="18">
        <f>IF(B1988="","",IFERROR(MONTH(B1988),""))</f>
        <v/>
      </c>
      <c r="L1988" s="5">
        <f>IF(COUNTA(A1988:J1988)=0,"",IF(E1988="","Mangler motkonto",IF((F1988="")=(G1988=""),"Fyll ut enten Inn eller Ut",IF(OR(IFERROR(INDEX('Kontoplan'!$D$3:$D$302,MATCH(D1988,'Kontoplan'!$H$3:$H$302,0))="Støttes ikke",FALSE),IFERROR(INDEX('Kontoplan'!$D$3:$D$302,MATCH(E1988,'Kontoplan'!$H$3:$H$302,0))="Støttes ikke",FALSE)),"Kontoen støttes ikke",IF(IFERROR(AND(A1988&gt;1,COUNTIF($A$3:$A$2002,A1988-1)=0),FALSE),"Nummeret hopper over",IF(OR(NOT(ISNUMBER(B1988)),B1988&lt;DATE(2027,1,1),B1988&gt;DATE(2027,12,31)),"Datoen er ikke i 2027",""))))))</f>
        <v/>
      </c>
    </row>
    <row r="1989">
      <c r="A1989" s="17" t="n"/>
      <c r="B1989" s="9" t="n"/>
      <c r="C1989" s="8" t="n"/>
      <c r="D1989" s="8" t="n"/>
      <c r="E1989" s="8" t="n"/>
      <c r="F1989" s="14" t="n"/>
      <c r="G1989" s="14" t="n"/>
      <c r="H1989" s="8" t="n"/>
      <c r="I1989" s="8" t="n"/>
      <c r="J1989" s="8" t="n"/>
      <c r="K1989" s="18">
        <f>IF(B1989="","",IFERROR(MONTH(B1989),""))</f>
        <v/>
      </c>
      <c r="L1989" s="5">
        <f>IF(COUNTA(A1989:J1989)=0,"",IF(E1989="","Mangler motkonto",IF((F1989="")=(G1989=""),"Fyll ut enten Inn eller Ut",IF(OR(IFERROR(INDEX('Kontoplan'!$D$3:$D$302,MATCH(D1989,'Kontoplan'!$H$3:$H$302,0))="Støttes ikke",FALSE),IFERROR(INDEX('Kontoplan'!$D$3:$D$302,MATCH(E1989,'Kontoplan'!$H$3:$H$302,0))="Støttes ikke",FALSE)),"Kontoen støttes ikke",IF(IFERROR(AND(A1989&gt;1,COUNTIF($A$3:$A$2002,A1989-1)=0),FALSE),"Nummeret hopper over",IF(OR(NOT(ISNUMBER(B1989)),B1989&lt;DATE(2027,1,1),B1989&gt;DATE(2027,12,31)),"Datoen er ikke i 2027",""))))))</f>
        <v/>
      </c>
    </row>
    <row r="1990">
      <c r="A1990" s="17" t="n"/>
      <c r="B1990" s="9" t="n"/>
      <c r="C1990" s="8" t="n"/>
      <c r="D1990" s="8" t="n"/>
      <c r="E1990" s="8" t="n"/>
      <c r="F1990" s="14" t="n"/>
      <c r="G1990" s="14" t="n"/>
      <c r="H1990" s="8" t="n"/>
      <c r="I1990" s="8" t="n"/>
      <c r="J1990" s="8" t="n"/>
      <c r="K1990" s="18">
        <f>IF(B1990="","",IFERROR(MONTH(B1990),""))</f>
        <v/>
      </c>
      <c r="L1990" s="5">
        <f>IF(COUNTA(A1990:J1990)=0,"",IF(E1990="","Mangler motkonto",IF((F1990="")=(G1990=""),"Fyll ut enten Inn eller Ut",IF(OR(IFERROR(INDEX('Kontoplan'!$D$3:$D$302,MATCH(D1990,'Kontoplan'!$H$3:$H$302,0))="Støttes ikke",FALSE),IFERROR(INDEX('Kontoplan'!$D$3:$D$302,MATCH(E1990,'Kontoplan'!$H$3:$H$302,0))="Støttes ikke",FALSE)),"Kontoen støttes ikke",IF(IFERROR(AND(A1990&gt;1,COUNTIF($A$3:$A$2002,A1990-1)=0),FALSE),"Nummeret hopper over",IF(OR(NOT(ISNUMBER(B1990)),B1990&lt;DATE(2027,1,1),B1990&gt;DATE(2027,12,31)),"Datoen er ikke i 2027",""))))))</f>
        <v/>
      </c>
    </row>
    <row r="1991">
      <c r="A1991" s="17" t="n"/>
      <c r="B1991" s="9" t="n"/>
      <c r="C1991" s="8" t="n"/>
      <c r="D1991" s="8" t="n"/>
      <c r="E1991" s="8" t="n"/>
      <c r="F1991" s="14" t="n"/>
      <c r="G1991" s="14" t="n"/>
      <c r="H1991" s="8" t="n"/>
      <c r="I1991" s="8" t="n"/>
      <c r="J1991" s="8" t="n"/>
      <c r="K1991" s="18">
        <f>IF(B1991="","",IFERROR(MONTH(B1991),""))</f>
        <v/>
      </c>
      <c r="L1991" s="5">
        <f>IF(COUNTA(A1991:J1991)=0,"",IF(E1991="","Mangler motkonto",IF((F1991="")=(G1991=""),"Fyll ut enten Inn eller Ut",IF(OR(IFERROR(INDEX('Kontoplan'!$D$3:$D$302,MATCH(D1991,'Kontoplan'!$H$3:$H$302,0))="Støttes ikke",FALSE),IFERROR(INDEX('Kontoplan'!$D$3:$D$302,MATCH(E1991,'Kontoplan'!$H$3:$H$302,0))="Støttes ikke",FALSE)),"Kontoen støttes ikke",IF(IFERROR(AND(A1991&gt;1,COUNTIF($A$3:$A$2002,A1991-1)=0),FALSE),"Nummeret hopper over",IF(OR(NOT(ISNUMBER(B1991)),B1991&lt;DATE(2027,1,1),B1991&gt;DATE(2027,12,31)),"Datoen er ikke i 2027",""))))))</f>
        <v/>
      </c>
    </row>
    <row r="1992">
      <c r="A1992" s="17" t="n"/>
      <c r="B1992" s="9" t="n"/>
      <c r="C1992" s="8" t="n"/>
      <c r="D1992" s="8" t="n"/>
      <c r="E1992" s="8" t="n"/>
      <c r="F1992" s="14" t="n"/>
      <c r="G1992" s="14" t="n"/>
      <c r="H1992" s="8" t="n"/>
      <c r="I1992" s="8" t="n"/>
      <c r="J1992" s="8" t="n"/>
      <c r="K1992" s="18">
        <f>IF(B1992="","",IFERROR(MONTH(B1992),""))</f>
        <v/>
      </c>
      <c r="L1992" s="5">
        <f>IF(COUNTA(A1992:J1992)=0,"",IF(E1992="","Mangler motkonto",IF((F1992="")=(G1992=""),"Fyll ut enten Inn eller Ut",IF(OR(IFERROR(INDEX('Kontoplan'!$D$3:$D$302,MATCH(D1992,'Kontoplan'!$H$3:$H$302,0))="Støttes ikke",FALSE),IFERROR(INDEX('Kontoplan'!$D$3:$D$302,MATCH(E1992,'Kontoplan'!$H$3:$H$302,0))="Støttes ikke",FALSE)),"Kontoen støttes ikke",IF(IFERROR(AND(A1992&gt;1,COUNTIF($A$3:$A$2002,A1992-1)=0),FALSE),"Nummeret hopper over",IF(OR(NOT(ISNUMBER(B1992)),B1992&lt;DATE(2027,1,1),B1992&gt;DATE(2027,12,31)),"Datoen er ikke i 2027",""))))))</f>
        <v/>
      </c>
    </row>
    <row r="1993">
      <c r="A1993" s="17" t="n"/>
      <c r="B1993" s="9" t="n"/>
      <c r="C1993" s="8" t="n"/>
      <c r="D1993" s="8" t="n"/>
      <c r="E1993" s="8" t="n"/>
      <c r="F1993" s="14" t="n"/>
      <c r="G1993" s="14" t="n"/>
      <c r="H1993" s="8" t="n"/>
      <c r="I1993" s="8" t="n"/>
      <c r="J1993" s="8" t="n"/>
      <c r="K1993" s="18">
        <f>IF(B1993="","",IFERROR(MONTH(B1993),""))</f>
        <v/>
      </c>
      <c r="L1993" s="5">
        <f>IF(COUNTA(A1993:J1993)=0,"",IF(E1993="","Mangler motkonto",IF((F1993="")=(G1993=""),"Fyll ut enten Inn eller Ut",IF(OR(IFERROR(INDEX('Kontoplan'!$D$3:$D$302,MATCH(D1993,'Kontoplan'!$H$3:$H$302,0))="Støttes ikke",FALSE),IFERROR(INDEX('Kontoplan'!$D$3:$D$302,MATCH(E1993,'Kontoplan'!$H$3:$H$302,0))="Støttes ikke",FALSE)),"Kontoen støttes ikke",IF(IFERROR(AND(A1993&gt;1,COUNTIF($A$3:$A$2002,A1993-1)=0),FALSE),"Nummeret hopper over",IF(OR(NOT(ISNUMBER(B1993)),B1993&lt;DATE(2027,1,1),B1993&gt;DATE(2027,12,31)),"Datoen er ikke i 2027",""))))))</f>
        <v/>
      </c>
    </row>
    <row r="1994">
      <c r="A1994" s="17" t="n"/>
      <c r="B1994" s="9" t="n"/>
      <c r="C1994" s="8" t="n"/>
      <c r="D1994" s="8" t="n"/>
      <c r="E1994" s="8" t="n"/>
      <c r="F1994" s="14" t="n"/>
      <c r="G1994" s="14" t="n"/>
      <c r="H1994" s="8" t="n"/>
      <c r="I1994" s="8" t="n"/>
      <c r="J1994" s="8" t="n"/>
      <c r="K1994" s="18">
        <f>IF(B1994="","",IFERROR(MONTH(B1994),""))</f>
        <v/>
      </c>
      <c r="L1994" s="5">
        <f>IF(COUNTA(A1994:J1994)=0,"",IF(E1994="","Mangler motkonto",IF((F1994="")=(G1994=""),"Fyll ut enten Inn eller Ut",IF(OR(IFERROR(INDEX('Kontoplan'!$D$3:$D$302,MATCH(D1994,'Kontoplan'!$H$3:$H$302,0))="Støttes ikke",FALSE),IFERROR(INDEX('Kontoplan'!$D$3:$D$302,MATCH(E1994,'Kontoplan'!$H$3:$H$302,0))="Støttes ikke",FALSE)),"Kontoen støttes ikke",IF(IFERROR(AND(A1994&gt;1,COUNTIF($A$3:$A$2002,A1994-1)=0),FALSE),"Nummeret hopper over",IF(OR(NOT(ISNUMBER(B1994)),B1994&lt;DATE(2027,1,1),B1994&gt;DATE(2027,12,31)),"Datoen er ikke i 2027",""))))))</f>
        <v/>
      </c>
    </row>
    <row r="1995">
      <c r="A1995" s="17" t="n"/>
      <c r="B1995" s="9" t="n"/>
      <c r="C1995" s="8" t="n"/>
      <c r="D1995" s="8" t="n"/>
      <c r="E1995" s="8" t="n"/>
      <c r="F1995" s="14" t="n"/>
      <c r="G1995" s="14" t="n"/>
      <c r="H1995" s="8" t="n"/>
      <c r="I1995" s="8" t="n"/>
      <c r="J1995" s="8" t="n"/>
      <c r="K1995" s="18">
        <f>IF(B1995="","",IFERROR(MONTH(B1995),""))</f>
        <v/>
      </c>
      <c r="L1995" s="5">
        <f>IF(COUNTA(A1995:J1995)=0,"",IF(E1995="","Mangler motkonto",IF((F1995="")=(G1995=""),"Fyll ut enten Inn eller Ut",IF(OR(IFERROR(INDEX('Kontoplan'!$D$3:$D$302,MATCH(D1995,'Kontoplan'!$H$3:$H$302,0))="Støttes ikke",FALSE),IFERROR(INDEX('Kontoplan'!$D$3:$D$302,MATCH(E1995,'Kontoplan'!$H$3:$H$302,0))="Støttes ikke",FALSE)),"Kontoen støttes ikke",IF(IFERROR(AND(A1995&gt;1,COUNTIF($A$3:$A$2002,A1995-1)=0),FALSE),"Nummeret hopper over",IF(OR(NOT(ISNUMBER(B1995)),B1995&lt;DATE(2027,1,1),B1995&gt;DATE(2027,12,31)),"Datoen er ikke i 2027",""))))))</f>
        <v/>
      </c>
    </row>
    <row r="1996">
      <c r="A1996" s="17" t="n"/>
      <c r="B1996" s="9" t="n"/>
      <c r="C1996" s="8" t="n"/>
      <c r="D1996" s="8" t="n"/>
      <c r="E1996" s="8" t="n"/>
      <c r="F1996" s="14" t="n"/>
      <c r="G1996" s="14" t="n"/>
      <c r="H1996" s="8" t="n"/>
      <c r="I1996" s="8" t="n"/>
      <c r="J1996" s="8" t="n"/>
      <c r="K1996" s="18">
        <f>IF(B1996="","",IFERROR(MONTH(B1996),""))</f>
        <v/>
      </c>
      <c r="L1996" s="5">
        <f>IF(COUNTA(A1996:J1996)=0,"",IF(E1996="","Mangler motkonto",IF((F1996="")=(G1996=""),"Fyll ut enten Inn eller Ut",IF(OR(IFERROR(INDEX('Kontoplan'!$D$3:$D$302,MATCH(D1996,'Kontoplan'!$H$3:$H$302,0))="Støttes ikke",FALSE),IFERROR(INDEX('Kontoplan'!$D$3:$D$302,MATCH(E1996,'Kontoplan'!$H$3:$H$302,0))="Støttes ikke",FALSE)),"Kontoen støttes ikke",IF(IFERROR(AND(A1996&gt;1,COUNTIF($A$3:$A$2002,A1996-1)=0),FALSE),"Nummeret hopper over",IF(OR(NOT(ISNUMBER(B1996)),B1996&lt;DATE(2027,1,1),B1996&gt;DATE(2027,12,31)),"Datoen er ikke i 2027",""))))))</f>
        <v/>
      </c>
    </row>
    <row r="1997">
      <c r="A1997" s="17" t="n"/>
      <c r="B1997" s="9" t="n"/>
      <c r="C1997" s="8" t="n"/>
      <c r="D1997" s="8" t="n"/>
      <c r="E1997" s="8" t="n"/>
      <c r="F1997" s="14" t="n"/>
      <c r="G1997" s="14" t="n"/>
      <c r="H1997" s="8" t="n"/>
      <c r="I1997" s="8" t="n"/>
      <c r="J1997" s="8" t="n"/>
      <c r="K1997" s="18">
        <f>IF(B1997="","",IFERROR(MONTH(B1997),""))</f>
        <v/>
      </c>
      <c r="L1997" s="5">
        <f>IF(COUNTA(A1997:J1997)=0,"",IF(E1997="","Mangler motkonto",IF((F1997="")=(G1997=""),"Fyll ut enten Inn eller Ut",IF(OR(IFERROR(INDEX('Kontoplan'!$D$3:$D$302,MATCH(D1997,'Kontoplan'!$H$3:$H$302,0))="Støttes ikke",FALSE),IFERROR(INDEX('Kontoplan'!$D$3:$D$302,MATCH(E1997,'Kontoplan'!$H$3:$H$302,0))="Støttes ikke",FALSE)),"Kontoen støttes ikke",IF(IFERROR(AND(A1997&gt;1,COUNTIF($A$3:$A$2002,A1997-1)=0),FALSE),"Nummeret hopper over",IF(OR(NOT(ISNUMBER(B1997)),B1997&lt;DATE(2027,1,1),B1997&gt;DATE(2027,12,31)),"Datoen er ikke i 2027",""))))))</f>
        <v/>
      </c>
    </row>
    <row r="1998">
      <c r="A1998" s="17" t="n"/>
      <c r="B1998" s="9" t="n"/>
      <c r="C1998" s="8" t="n"/>
      <c r="D1998" s="8" t="n"/>
      <c r="E1998" s="8" t="n"/>
      <c r="F1998" s="14" t="n"/>
      <c r="G1998" s="14" t="n"/>
      <c r="H1998" s="8" t="n"/>
      <c r="I1998" s="8" t="n"/>
      <c r="J1998" s="8" t="n"/>
      <c r="K1998" s="18">
        <f>IF(B1998="","",IFERROR(MONTH(B1998),""))</f>
        <v/>
      </c>
      <c r="L1998" s="5">
        <f>IF(COUNTA(A1998:J1998)=0,"",IF(E1998="","Mangler motkonto",IF((F1998="")=(G1998=""),"Fyll ut enten Inn eller Ut",IF(OR(IFERROR(INDEX('Kontoplan'!$D$3:$D$302,MATCH(D1998,'Kontoplan'!$H$3:$H$302,0))="Støttes ikke",FALSE),IFERROR(INDEX('Kontoplan'!$D$3:$D$302,MATCH(E1998,'Kontoplan'!$H$3:$H$302,0))="Støttes ikke",FALSE)),"Kontoen støttes ikke",IF(IFERROR(AND(A1998&gt;1,COUNTIF($A$3:$A$2002,A1998-1)=0),FALSE),"Nummeret hopper over",IF(OR(NOT(ISNUMBER(B1998)),B1998&lt;DATE(2027,1,1),B1998&gt;DATE(2027,12,31)),"Datoen er ikke i 2027",""))))))</f>
        <v/>
      </c>
    </row>
    <row r="1999">
      <c r="A1999" s="17" t="n"/>
      <c r="B1999" s="9" t="n"/>
      <c r="C1999" s="8" t="n"/>
      <c r="D1999" s="8" t="n"/>
      <c r="E1999" s="8" t="n"/>
      <c r="F1999" s="14" t="n"/>
      <c r="G1999" s="14" t="n"/>
      <c r="H1999" s="8" t="n"/>
      <c r="I1999" s="8" t="n"/>
      <c r="J1999" s="8" t="n"/>
      <c r="K1999" s="18">
        <f>IF(B1999="","",IFERROR(MONTH(B1999),""))</f>
        <v/>
      </c>
      <c r="L1999" s="5">
        <f>IF(COUNTA(A1999:J1999)=0,"",IF(E1999="","Mangler motkonto",IF((F1999="")=(G1999=""),"Fyll ut enten Inn eller Ut",IF(OR(IFERROR(INDEX('Kontoplan'!$D$3:$D$302,MATCH(D1999,'Kontoplan'!$H$3:$H$302,0))="Støttes ikke",FALSE),IFERROR(INDEX('Kontoplan'!$D$3:$D$302,MATCH(E1999,'Kontoplan'!$H$3:$H$302,0))="Støttes ikke",FALSE)),"Kontoen støttes ikke",IF(IFERROR(AND(A1999&gt;1,COUNTIF($A$3:$A$2002,A1999-1)=0),FALSE),"Nummeret hopper over",IF(OR(NOT(ISNUMBER(B1999)),B1999&lt;DATE(2027,1,1),B1999&gt;DATE(2027,12,31)),"Datoen er ikke i 2027",""))))))</f>
        <v/>
      </c>
    </row>
    <row r="2000">
      <c r="A2000" s="17" t="n"/>
      <c r="B2000" s="9" t="n"/>
      <c r="C2000" s="8" t="n"/>
      <c r="D2000" s="8" t="n"/>
      <c r="E2000" s="8" t="n"/>
      <c r="F2000" s="14" t="n"/>
      <c r="G2000" s="14" t="n"/>
      <c r="H2000" s="8" t="n"/>
      <c r="I2000" s="8" t="n"/>
      <c r="J2000" s="8" t="n"/>
      <c r="K2000" s="18">
        <f>IF(B2000="","",IFERROR(MONTH(B2000),""))</f>
        <v/>
      </c>
      <c r="L2000" s="5">
        <f>IF(COUNTA(A2000:J2000)=0,"",IF(E2000="","Mangler motkonto",IF((F2000="")=(G2000=""),"Fyll ut enten Inn eller Ut",IF(OR(IFERROR(INDEX('Kontoplan'!$D$3:$D$302,MATCH(D2000,'Kontoplan'!$H$3:$H$302,0))="Støttes ikke",FALSE),IFERROR(INDEX('Kontoplan'!$D$3:$D$302,MATCH(E2000,'Kontoplan'!$H$3:$H$302,0))="Støttes ikke",FALSE)),"Kontoen støttes ikke",IF(IFERROR(AND(A2000&gt;1,COUNTIF($A$3:$A$2002,A2000-1)=0),FALSE),"Nummeret hopper over",IF(OR(NOT(ISNUMBER(B2000)),B2000&lt;DATE(2027,1,1),B2000&gt;DATE(2027,12,31)),"Datoen er ikke i 2027",""))))))</f>
        <v/>
      </c>
    </row>
    <row r="2001">
      <c r="A2001" s="17" t="n"/>
      <c r="B2001" s="9" t="n"/>
      <c r="C2001" s="8" t="n"/>
      <c r="D2001" s="8" t="n"/>
      <c r="E2001" s="8" t="n"/>
      <c r="F2001" s="14" t="n"/>
      <c r="G2001" s="14" t="n"/>
      <c r="H2001" s="8" t="n"/>
      <c r="I2001" s="8" t="n"/>
      <c r="J2001" s="8" t="n"/>
      <c r="K2001" s="18">
        <f>IF(B2001="","",IFERROR(MONTH(B2001),""))</f>
        <v/>
      </c>
      <c r="L2001" s="5">
        <f>IF(COUNTA(A2001:J2001)=0,"",IF(E2001="","Mangler motkonto",IF((F2001="")=(G2001=""),"Fyll ut enten Inn eller Ut",IF(OR(IFERROR(INDEX('Kontoplan'!$D$3:$D$302,MATCH(D2001,'Kontoplan'!$H$3:$H$302,0))="Støttes ikke",FALSE),IFERROR(INDEX('Kontoplan'!$D$3:$D$302,MATCH(E2001,'Kontoplan'!$H$3:$H$302,0))="Støttes ikke",FALSE)),"Kontoen støttes ikke",IF(IFERROR(AND(A2001&gt;1,COUNTIF($A$3:$A$2002,A2001-1)=0),FALSE),"Nummeret hopper over",IF(OR(NOT(ISNUMBER(B2001)),B2001&lt;DATE(2027,1,1),B2001&gt;DATE(2027,12,31)),"Datoen er ikke i 2027",""))))))</f>
        <v/>
      </c>
    </row>
    <row r="2002">
      <c r="A2002" s="17" t="n"/>
      <c r="B2002" s="9" t="n"/>
      <c r="C2002" s="8" t="n"/>
      <c r="D2002" s="8" t="n"/>
      <c r="E2002" s="8" t="n"/>
      <c r="F2002" s="14" t="n"/>
      <c r="G2002" s="14" t="n"/>
      <c r="H2002" s="8" t="n"/>
      <c r="I2002" s="8" t="n"/>
      <c r="J2002" s="8" t="n"/>
      <c r="K2002" s="18">
        <f>IF(B2002="","",IFERROR(MONTH(B2002),""))</f>
        <v/>
      </c>
      <c r="L2002" s="5">
        <f>IF(COUNTA(A2002:J2002)=0,"",IF(E2002="","Mangler motkonto",IF((F2002="")=(G2002=""),"Fyll ut enten Inn eller Ut",IF(OR(IFERROR(INDEX('Kontoplan'!$D$3:$D$302,MATCH(D2002,'Kontoplan'!$H$3:$H$302,0))="Støttes ikke",FALSE),IFERROR(INDEX('Kontoplan'!$D$3:$D$302,MATCH(E2002,'Kontoplan'!$H$3:$H$302,0))="Støttes ikke",FALSE)),"Kontoen støttes ikke",IF(IFERROR(AND(A2002&gt;1,COUNTIF($A$3:$A$2002,A2002-1)=0),FALSE),"Nummeret hopper over",IF(OR(NOT(ISNUMBER(B2002)),B2002&lt;DATE(2027,1,1),B2002&gt;DATE(2027,12,31)),"Datoen er ikke i 2027",""))))))</f>
        <v/>
      </c>
    </row>
  </sheetData>
  <sheetProtection selectLockedCells="0" selectUnlockedCells="0" sheet="1" objects="0" insertRows="1" insertHyperlinks="1" autoFilter="0" scenarios="0" formatColumns="1" deleteColumns="1" insertColumns="1" pivotTables="1" deleteRows="1" formatCells="1" formatRows="1" sort="0"/>
  <autoFilter ref="A1:L2002"/>
  <mergeCells count="1">
    <mergeCell ref="A2:L2"/>
  </mergeCells>
  <conditionalFormatting sqref="A3:L2002">
    <cfRule type="expression" priority="1" dxfId="0" stopIfTrue="0">
      <formula>$L3&lt;&gt;""</formula>
    </cfRule>
  </conditionalFormatting>
  <conditionalFormatting sqref="D3:E2002">
    <cfRule type="expression" priority="2" dxfId="0" stopIfTrue="0">
      <formula>IFERROR(INDEX('Kontoplan'!$D$3:$D$302,MATCH(D3,'Kontoplan'!$H$3:$H$302,0))="Støttes ikke",FALSE)</formula>
    </cfRule>
  </conditionalFormatting>
  <dataValidations count="10">
    <dataValidation sqref="A3:A2002" showDropDown="0" showInputMessage="0" showErrorMessage="1" allowBlank="1" errorTitle="Formells regnskapsmal" error="Bilagsnummeret er et helt tall fra 1 til 9999." type="whole" operator="between">
      <formula1>1</formula1>
      <formula2>9999</formula2>
    </dataValidation>
    <dataValidation sqref="B3:B2002" showDropDown="0" showInputMessage="0" showErrorMessage="1" allowBlank="1" errorTitle="Formells regnskapsmal" error="Datoen må være i 2027." type="date" operator="between">
      <formula1>DATE(2027,1,1)</formula1>
      <formula2>DATE(2027,12,31)</formula2>
    </dataValidation>
    <dataValidation sqref="C3:C2002" showDropDown="0" showInputMessage="0" showErrorMessage="1" allowBlank="1" type="textLength" operator="lessThanOrEqual">
      <formula1>200</formula1>
    </dataValidation>
    <dataValidation sqref="D3:D2002" showDropDown="0" showInputMessage="0" showErrorMessage="1" allowBlank="1" errorTitle="Formells regnskapsmal" error="Velg en konto fra «Kontoplan»." type="list">
      <formula1>'Kontoplan'!$H$3:$H$302</formula1>
    </dataValidation>
    <dataValidation sqref="E3:E2002" showDropDown="0" showInputMessage="1" showErrorMessage="1" allowBlank="1" errorTitle="Formells regnskapsmal" error="Velg en konto fra «Kontoplan»." prompt="Vanligvis bankkontoen." type="list">
      <formula1>'Kontoplan'!$H$3:$H$302</formula1>
    </dataValidation>
    <dataValidation sqref="F3:F2002" showDropDown="0" showInputMessage="0" showErrorMessage="1" allowBlank="1" errorTitle="Formells regnskapsmal" error="Skriv et positivt beløp med høyst to desimaler." type="custom">
      <formula1>AND(ISNUMBER(F3),F3&gt;0,ROUND(F3,2)=F3)</formula1>
    </dataValidation>
    <dataValidation sqref="G3:G2002" showDropDown="0" showInputMessage="0" showErrorMessage="1" allowBlank="1" errorTitle="Formells regnskapsmal" error="Skriv et positivt beløp med høyst to desimaler." type="custom">
      <formula1>AND(ISNUMBER(G3),G3&gt;0,ROUND(G3,2)=G3)</formula1>
    </dataValidation>
    <dataValidation sqref="H3:H2002" showDropDown="0" showInputMessage="0" showErrorMessage="1" allowBlank="1" type="textLength" operator="lessThanOrEqual">
      <formula1>255</formula1>
    </dataValidation>
    <dataValidation sqref="I3:I2002" showDropDown="0" showInputMessage="1" showErrorMessage="1" allowBlank="1" prompt="Navnet på filen med kvitteringen eller fakturaen, for eksempel 12-regnskap.pdf." type="textLength" operator="lessThanOrEqual">
      <formula1>255</formula1>
    </dataValidation>
    <dataValidation sqref="J3:J2002" showDropDown="0" showInputMessage="0" showErrorMessage="1" allowBlank="1" type="textLength" operator="lessThanOrEqual">
      <formula1>500</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14" customWidth="1" min="1" max="1"/>
    <col width="20" customWidth="1" min="2" max="2"/>
    <col width="22" customWidth="1" min="3" max="3"/>
    <col width="16" customWidth="1" min="4" max="4"/>
    <col width="14" customWidth="1" min="5" max="5"/>
    <col width="40" customWidth="1" min="6" max="6"/>
  </cols>
  <sheetData>
    <row r="1">
      <c r="A1" s="13" t="inlineStr">
        <is>
          <t>Bankavstemming 2027</t>
        </is>
      </c>
    </row>
    <row r="2" ht="30" customHeight="1">
      <c r="A2" s="11" t="inlineStr">
        <is>
          <t>Skriv saldoen fra kontoutskriften siste dag i hver måned. Differansen skal være 0. Er den ikke 0, mangler det et bilag, eller et beløp er feil.</t>
        </is>
      </c>
    </row>
    <row r="4">
      <c r="A4" s="15" t="inlineStr">
        <is>
          <t>Bankkonto</t>
        </is>
      </c>
      <c r="B4" s="8" t="n"/>
      <c r="C4" s="19" t="n"/>
    </row>
    <row r="5">
      <c r="A5" s="10" t="inlineStr">
        <is>
          <t>Måned</t>
        </is>
      </c>
      <c r="B5" s="10" t="inlineStr">
        <is>
          <t>Saldo i regnskapet</t>
        </is>
      </c>
      <c r="C5" s="10" t="inlineStr">
        <is>
          <t>Saldo på kontoutskriften</t>
        </is>
      </c>
      <c r="D5" s="10" t="inlineStr">
        <is>
          <t>Differanse</t>
        </is>
      </c>
      <c r="E5" s="10" t="inlineStr">
        <is>
          <t>Sjekket dato</t>
        </is>
      </c>
      <c r="F5" s="10" t="inlineStr">
        <is>
          <t>Kommentar</t>
        </is>
      </c>
    </row>
    <row r="6">
      <c r="A6" s="5" t="inlineStr">
        <is>
          <t>Januar</t>
        </is>
      </c>
      <c r="B6" s="20">
        <f>IF($B$4="","",SUMIFS('Åpningsbalanse'!$C$4:$C$103,'Åpningsbalanse'!$A$4:$A$103,SUBSTITUTE(SUBSTITUTE(SUBSTITUTE($B$4,"~","~~"),"*","~*"),"?","~?"))+SUMIFS('Journal'!$G$3:$G$2002,'Journal'!$D$3:$D$2002,SUBSTITUTE(SUBSTITUTE(SUBSTITUTE($B$4,"~","~~"),"*","~*"),"?","~?"),'Journal'!$B$3:$B$2002,"&lt;"&amp;DATE(2027,2,1))+SUMIFS('Journal'!$F$3:$F$2002,'Journal'!$E$3:$E$2002,SUBSTITUTE(SUBSTITUTE(SUBSTITUTE($B$4,"~","~~"),"*","~*"),"?","~?"),'Journal'!$B$3:$B$2002,"&lt;"&amp;DATE(2027,2,1))-(SUMIFS('Journal'!$F$3:$F$2002,'Journal'!$D$3:$D$2002,SUBSTITUTE(SUBSTITUTE(SUBSTITUTE($B$4,"~","~~"),"*","~*"),"?","~?"),'Journal'!$B$3:$B$2002,"&lt;"&amp;DATE(2027,2,1))+SUMIFS('Journal'!$G$3:$G$2002,'Journal'!$E$3:$E$2002,SUBSTITUTE(SUBSTITUTE(SUBSTITUTE($B$4,"~","~~"),"*","~*"),"?","~?"),'Journal'!$B$3:$B$2002,"&lt;"&amp;DATE(2027,2,1))))</f>
        <v/>
      </c>
      <c r="C6" s="14" t="n"/>
      <c r="D6" s="20">
        <f>IF(OR(C6="",B6=""),"",C6-B6)</f>
        <v/>
      </c>
      <c r="E6" s="9" t="n"/>
      <c r="F6" s="8" t="n"/>
    </row>
    <row r="7">
      <c r="A7" s="5" t="inlineStr">
        <is>
          <t>Februar</t>
        </is>
      </c>
      <c r="B7" s="20">
        <f>IF($B$4="","",SUMIFS('Åpningsbalanse'!$C$4:$C$103,'Åpningsbalanse'!$A$4:$A$103,SUBSTITUTE(SUBSTITUTE(SUBSTITUTE($B$4,"~","~~"),"*","~*"),"?","~?"))+SUMIFS('Journal'!$G$3:$G$2002,'Journal'!$D$3:$D$2002,SUBSTITUTE(SUBSTITUTE(SUBSTITUTE($B$4,"~","~~"),"*","~*"),"?","~?"),'Journal'!$B$3:$B$2002,"&lt;"&amp;DATE(2027,3,1))+SUMIFS('Journal'!$F$3:$F$2002,'Journal'!$E$3:$E$2002,SUBSTITUTE(SUBSTITUTE(SUBSTITUTE($B$4,"~","~~"),"*","~*"),"?","~?"),'Journal'!$B$3:$B$2002,"&lt;"&amp;DATE(2027,3,1))-(SUMIFS('Journal'!$F$3:$F$2002,'Journal'!$D$3:$D$2002,SUBSTITUTE(SUBSTITUTE(SUBSTITUTE($B$4,"~","~~"),"*","~*"),"?","~?"),'Journal'!$B$3:$B$2002,"&lt;"&amp;DATE(2027,3,1))+SUMIFS('Journal'!$G$3:$G$2002,'Journal'!$E$3:$E$2002,SUBSTITUTE(SUBSTITUTE(SUBSTITUTE($B$4,"~","~~"),"*","~*"),"?","~?"),'Journal'!$B$3:$B$2002,"&lt;"&amp;DATE(2027,3,1))))</f>
        <v/>
      </c>
      <c r="C7" s="14" t="n"/>
      <c r="D7" s="20">
        <f>IF(OR(C7="",B7=""),"",C7-B7)</f>
        <v/>
      </c>
      <c r="E7" s="9" t="n"/>
      <c r="F7" s="8" t="n"/>
    </row>
    <row r="8">
      <c r="A8" s="5" t="inlineStr">
        <is>
          <t>Mars</t>
        </is>
      </c>
      <c r="B8" s="20">
        <f>IF($B$4="","",SUMIFS('Åpningsbalanse'!$C$4:$C$103,'Åpningsbalanse'!$A$4:$A$103,SUBSTITUTE(SUBSTITUTE(SUBSTITUTE($B$4,"~","~~"),"*","~*"),"?","~?"))+SUMIFS('Journal'!$G$3:$G$2002,'Journal'!$D$3:$D$2002,SUBSTITUTE(SUBSTITUTE(SUBSTITUTE($B$4,"~","~~"),"*","~*"),"?","~?"),'Journal'!$B$3:$B$2002,"&lt;"&amp;DATE(2027,4,1))+SUMIFS('Journal'!$F$3:$F$2002,'Journal'!$E$3:$E$2002,SUBSTITUTE(SUBSTITUTE(SUBSTITUTE($B$4,"~","~~"),"*","~*"),"?","~?"),'Journal'!$B$3:$B$2002,"&lt;"&amp;DATE(2027,4,1))-(SUMIFS('Journal'!$F$3:$F$2002,'Journal'!$D$3:$D$2002,SUBSTITUTE(SUBSTITUTE(SUBSTITUTE($B$4,"~","~~"),"*","~*"),"?","~?"),'Journal'!$B$3:$B$2002,"&lt;"&amp;DATE(2027,4,1))+SUMIFS('Journal'!$G$3:$G$2002,'Journal'!$E$3:$E$2002,SUBSTITUTE(SUBSTITUTE(SUBSTITUTE($B$4,"~","~~"),"*","~*"),"?","~?"),'Journal'!$B$3:$B$2002,"&lt;"&amp;DATE(2027,4,1))))</f>
        <v/>
      </c>
      <c r="C8" s="14" t="n"/>
      <c r="D8" s="20">
        <f>IF(OR(C8="",B8=""),"",C8-B8)</f>
        <v/>
      </c>
      <c r="E8" s="9" t="n"/>
      <c r="F8" s="8" t="n"/>
    </row>
    <row r="9">
      <c r="A9" s="5" t="inlineStr">
        <is>
          <t>April</t>
        </is>
      </c>
      <c r="B9" s="20">
        <f>IF($B$4="","",SUMIFS('Åpningsbalanse'!$C$4:$C$103,'Åpningsbalanse'!$A$4:$A$103,SUBSTITUTE(SUBSTITUTE(SUBSTITUTE($B$4,"~","~~"),"*","~*"),"?","~?"))+SUMIFS('Journal'!$G$3:$G$2002,'Journal'!$D$3:$D$2002,SUBSTITUTE(SUBSTITUTE(SUBSTITUTE($B$4,"~","~~"),"*","~*"),"?","~?"),'Journal'!$B$3:$B$2002,"&lt;"&amp;DATE(2027,5,1))+SUMIFS('Journal'!$F$3:$F$2002,'Journal'!$E$3:$E$2002,SUBSTITUTE(SUBSTITUTE(SUBSTITUTE($B$4,"~","~~"),"*","~*"),"?","~?"),'Journal'!$B$3:$B$2002,"&lt;"&amp;DATE(2027,5,1))-(SUMIFS('Journal'!$F$3:$F$2002,'Journal'!$D$3:$D$2002,SUBSTITUTE(SUBSTITUTE(SUBSTITUTE($B$4,"~","~~"),"*","~*"),"?","~?"),'Journal'!$B$3:$B$2002,"&lt;"&amp;DATE(2027,5,1))+SUMIFS('Journal'!$G$3:$G$2002,'Journal'!$E$3:$E$2002,SUBSTITUTE(SUBSTITUTE(SUBSTITUTE($B$4,"~","~~"),"*","~*"),"?","~?"),'Journal'!$B$3:$B$2002,"&lt;"&amp;DATE(2027,5,1))))</f>
        <v/>
      </c>
      <c r="C9" s="14" t="n"/>
      <c r="D9" s="20">
        <f>IF(OR(C9="",B9=""),"",C9-B9)</f>
        <v/>
      </c>
      <c r="E9" s="9" t="n"/>
      <c r="F9" s="8" t="n"/>
    </row>
    <row r="10">
      <c r="A10" s="5" t="inlineStr">
        <is>
          <t>Mai</t>
        </is>
      </c>
      <c r="B10" s="20">
        <f>IF($B$4="","",SUMIFS('Åpningsbalanse'!$C$4:$C$103,'Åpningsbalanse'!$A$4:$A$103,SUBSTITUTE(SUBSTITUTE(SUBSTITUTE($B$4,"~","~~"),"*","~*"),"?","~?"))+SUMIFS('Journal'!$G$3:$G$2002,'Journal'!$D$3:$D$2002,SUBSTITUTE(SUBSTITUTE(SUBSTITUTE($B$4,"~","~~"),"*","~*"),"?","~?"),'Journal'!$B$3:$B$2002,"&lt;"&amp;DATE(2027,6,1))+SUMIFS('Journal'!$F$3:$F$2002,'Journal'!$E$3:$E$2002,SUBSTITUTE(SUBSTITUTE(SUBSTITUTE($B$4,"~","~~"),"*","~*"),"?","~?"),'Journal'!$B$3:$B$2002,"&lt;"&amp;DATE(2027,6,1))-(SUMIFS('Journal'!$F$3:$F$2002,'Journal'!$D$3:$D$2002,SUBSTITUTE(SUBSTITUTE(SUBSTITUTE($B$4,"~","~~"),"*","~*"),"?","~?"),'Journal'!$B$3:$B$2002,"&lt;"&amp;DATE(2027,6,1))+SUMIFS('Journal'!$G$3:$G$2002,'Journal'!$E$3:$E$2002,SUBSTITUTE(SUBSTITUTE(SUBSTITUTE($B$4,"~","~~"),"*","~*"),"?","~?"),'Journal'!$B$3:$B$2002,"&lt;"&amp;DATE(2027,6,1))))</f>
        <v/>
      </c>
      <c r="C10" s="14" t="n"/>
      <c r="D10" s="20">
        <f>IF(OR(C10="",B10=""),"",C10-B10)</f>
        <v/>
      </c>
      <c r="E10" s="9" t="n"/>
      <c r="F10" s="8" t="n"/>
    </row>
    <row r="11">
      <c r="A11" s="5" t="inlineStr">
        <is>
          <t>Juni</t>
        </is>
      </c>
      <c r="B11" s="20">
        <f>IF($B$4="","",SUMIFS('Åpningsbalanse'!$C$4:$C$103,'Åpningsbalanse'!$A$4:$A$103,SUBSTITUTE(SUBSTITUTE(SUBSTITUTE($B$4,"~","~~"),"*","~*"),"?","~?"))+SUMIFS('Journal'!$G$3:$G$2002,'Journal'!$D$3:$D$2002,SUBSTITUTE(SUBSTITUTE(SUBSTITUTE($B$4,"~","~~"),"*","~*"),"?","~?"),'Journal'!$B$3:$B$2002,"&lt;"&amp;DATE(2027,7,1))+SUMIFS('Journal'!$F$3:$F$2002,'Journal'!$E$3:$E$2002,SUBSTITUTE(SUBSTITUTE(SUBSTITUTE($B$4,"~","~~"),"*","~*"),"?","~?"),'Journal'!$B$3:$B$2002,"&lt;"&amp;DATE(2027,7,1))-(SUMIFS('Journal'!$F$3:$F$2002,'Journal'!$D$3:$D$2002,SUBSTITUTE(SUBSTITUTE(SUBSTITUTE($B$4,"~","~~"),"*","~*"),"?","~?"),'Journal'!$B$3:$B$2002,"&lt;"&amp;DATE(2027,7,1))+SUMIFS('Journal'!$G$3:$G$2002,'Journal'!$E$3:$E$2002,SUBSTITUTE(SUBSTITUTE(SUBSTITUTE($B$4,"~","~~"),"*","~*"),"?","~?"),'Journal'!$B$3:$B$2002,"&lt;"&amp;DATE(2027,7,1))))</f>
        <v/>
      </c>
      <c r="C11" s="14" t="n"/>
      <c r="D11" s="20">
        <f>IF(OR(C11="",B11=""),"",C11-B11)</f>
        <v/>
      </c>
      <c r="E11" s="9" t="n"/>
      <c r="F11" s="8" t="n"/>
    </row>
    <row r="12">
      <c r="A12" s="5" t="inlineStr">
        <is>
          <t>Juli</t>
        </is>
      </c>
      <c r="B12" s="20">
        <f>IF($B$4="","",SUMIFS('Åpningsbalanse'!$C$4:$C$103,'Åpningsbalanse'!$A$4:$A$103,SUBSTITUTE(SUBSTITUTE(SUBSTITUTE($B$4,"~","~~"),"*","~*"),"?","~?"))+SUMIFS('Journal'!$G$3:$G$2002,'Journal'!$D$3:$D$2002,SUBSTITUTE(SUBSTITUTE(SUBSTITUTE($B$4,"~","~~"),"*","~*"),"?","~?"),'Journal'!$B$3:$B$2002,"&lt;"&amp;DATE(2027,8,1))+SUMIFS('Journal'!$F$3:$F$2002,'Journal'!$E$3:$E$2002,SUBSTITUTE(SUBSTITUTE(SUBSTITUTE($B$4,"~","~~"),"*","~*"),"?","~?"),'Journal'!$B$3:$B$2002,"&lt;"&amp;DATE(2027,8,1))-(SUMIFS('Journal'!$F$3:$F$2002,'Journal'!$D$3:$D$2002,SUBSTITUTE(SUBSTITUTE(SUBSTITUTE($B$4,"~","~~"),"*","~*"),"?","~?"),'Journal'!$B$3:$B$2002,"&lt;"&amp;DATE(2027,8,1))+SUMIFS('Journal'!$G$3:$G$2002,'Journal'!$E$3:$E$2002,SUBSTITUTE(SUBSTITUTE(SUBSTITUTE($B$4,"~","~~"),"*","~*"),"?","~?"),'Journal'!$B$3:$B$2002,"&lt;"&amp;DATE(2027,8,1))))</f>
        <v/>
      </c>
      <c r="C12" s="14" t="n"/>
      <c r="D12" s="20">
        <f>IF(OR(C12="",B12=""),"",C12-B12)</f>
        <v/>
      </c>
      <c r="E12" s="9" t="n"/>
      <c r="F12" s="8" t="n"/>
    </row>
    <row r="13">
      <c r="A13" s="5" t="inlineStr">
        <is>
          <t>August</t>
        </is>
      </c>
      <c r="B13" s="20">
        <f>IF($B$4="","",SUMIFS('Åpningsbalanse'!$C$4:$C$103,'Åpningsbalanse'!$A$4:$A$103,SUBSTITUTE(SUBSTITUTE(SUBSTITUTE($B$4,"~","~~"),"*","~*"),"?","~?"))+SUMIFS('Journal'!$G$3:$G$2002,'Journal'!$D$3:$D$2002,SUBSTITUTE(SUBSTITUTE(SUBSTITUTE($B$4,"~","~~"),"*","~*"),"?","~?"),'Journal'!$B$3:$B$2002,"&lt;"&amp;DATE(2027,9,1))+SUMIFS('Journal'!$F$3:$F$2002,'Journal'!$E$3:$E$2002,SUBSTITUTE(SUBSTITUTE(SUBSTITUTE($B$4,"~","~~"),"*","~*"),"?","~?"),'Journal'!$B$3:$B$2002,"&lt;"&amp;DATE(2027,9,1))-(SUMIFS('Journal'!$F$3:$F$2002,'Journal'!$D$3:$D$2002,SUBSTITUTE(SUBSTITUTE(SUBSTITUTE($B$4,"~","~~"),"*","~*"),"?","~?"),'Journal'!$B$3:$B$2002,"&lt;"&amp;DATE(2027,9,1))+SUMIFS('Journal'!$G$3:$G$2002,'Journal'!$E$3:$E$2002,SUBSTITUTE(SUBSTITUTE(SUBSTITUTE($B$4,"~","~~"),"*","~*"),"?","~?"),'Journal'!$B$3:$B$2002,"&lt;"&amp;DATE(2027,9,1))))</f>
        <v/>
      </c>
      <c r="C13" s="14" t="n"/>
      <c r="D13" s="20">
        <f>IF(OR(C13="",B13=""),"",C13-B13)</f>
        <v/>
      </c>
      <c r="E13" s="9" t="n"/>
      <c r="F13" s="8" t="n"/>
    </row>
    <row r="14">
      <c r="A14" s="5" t="inlineStr">
        <is>
          <t>September</t>
        </is>
      </c>
      <c r="B14" s="20">
        <f>IF($B$4="","",SUMIFS('Åpningsbalanse'!$C$4:$C$103,'Åpningsbalanse'!$A$4:$A$103,SUBSTITUTE(SUBSTITUTE(SUBSTITUTE($B$4,"~","~~"),"*","~*"),"?","~?"))+SUMIFS('Journal'!$G$3:$G$2002,'Journal'!$D$3:$D$2002,SUBSTITUTE(SUBSTITUTE(SUBSTITUTE($B$4,"~","~~"),"*","~*"),"?","~?"),'Journal'!$B$3:$B$2002,"&lt;"&amp;DATE(2027,10,1))+SUMIFS('Journal'!$F$3:$F$2002,'Journal'!$E$3:$E$2002,SUBSTITUTE(SUBSTITUTE(SUBSTITUTE($B$4,"~","~~"),"*","~*"),"?","~?"),'Journal'!$B$3:$B$2002,"&lt;"&amp;DATE(2027,10,1))-(SUMIFS('Journal'!$F$3:$F$2002,'Journal'!$D$3:$D$2002,SUBSTITUTE(SUBSTITUTE(SUBSTITUTE($B$4,"~","~~"),"*","~*"),"?","~?"),'Journal'!$B$3:$B$2002,"&lt;"&amp;DATE(2027,10,1))+SUMIFS('Journal'!$G$3:$G$2002,'Journal'!$E$3:$E$2002,SUBSTITUTE(SUBSTITUTE(SUBSTITUTE($B$4,"~","~~"),"*","~*"),"?","~?"),'Journal'!$B$3:$B$2002,"&lt;"&amp;DATE(2027,10,1))))</f>
        <v/>
      </c>
      <c r="C14" s="14" t="n"/>
      <c r="D14" s="20">
        <f>IF(OR(C14="",B14=""),"",C14-B14)</f>
        <v/>
      </c>
      <c r="E14" s="9" t="n"/>
      <c r="F14" s="8" t="n"/>
    </row>
    <row r="15">
      <c r="A15" s="5" t="inlineStr">
        <is>
          <t>Oktober</t>
        </is>
      </c>
      <c r="B15" s="20">
        <f>IF($B$4="","",SUMIFS('Åpningsbalanse'!$C$4:$C$103,'Åpningsbalanse'!$A$4:$A$103,SUBSTITUTE(SUBSTITUTE(SUBSTITUTE($B$4,"~","~~"),"*","~*"),"?","~?"))+SUMIFS('Journal'!$G$3:$G$2002,'Journal'!$D$3:$D$2002,SUBSTITUTE(SUBSTITUTE(SUBSTITUTE($B$4,"~","~~"),"*","~*"),"?","~?"),'Journal'!$B$3:$B$2002,"&lt;"&amp;DATE(2027,11,1))+SUMIFS('Journal'!$F$3:$F$2002,'Journal'!$E$3:$E$2002,SUBSTITUTE(SUBSTITUTE(SUBSTITUTE($B$4,"~","~~"),"*","~*"),"?","~?"),'Journal'!$B$3:$B$2002,"&lt;"&amp;DATE(2027,11,1))-(SUMIFS('Journal'!$F$3:$F$2002,'Journal'!$D$3:$D$2002,SUBSTITUTE(SUBSTITUTE(SUBSTITUTE($B$4,"~","~~"),"*","~*"),"?","~?"),'Journal'!$B$3:$B$2002,"&lt;"&amp;DATE(2027,11,1))+SUMIFS('Journal'!$G$3:$G$2002,'Journal'!$E$3:$E$2002,SUBSTITUTE(SUBSTITUTE(SUBSTITUTE($B$4,"~","~~"),"*","~*"),"?","~?"),'Journal'!$B$3:$B$2002,"&lt;"&amp;DATE(2027,11,1))))</f>
        <v/>
      </c>
      <c r="C15" s="14" t="n"/>
      <c r="D15" s="20">
        <f>IF(OR(C15="",B15=""),"",C15-B15)</f>
        <v/>
      </c>
      <c r="E15" s="9" t="n"/>
      <c r="F15" s="8" t="n"/>
    </row>
    <row r="16">
      <c r="A16" s="5" t="inlineStr">
        <is>
          <t>November</t>
        </is>
      </c>
      <c r="B16" s="20">
        <f>IF($B$4="","",SUMIFS('Åpningsbalanse'!$C$4:$C$103,'Åpningsbalanse'!$A$4:$A$103,SUBSTITUTE(SUBSTITUTE(SUBSTITUTE($B$4,"~","~~"),"*","~*"),"?","~?"))+SUMIFS('Journal'!$G$3:$G$2002,'Journal'!$D$3:$D$2002,SUBSTITUTE(SUBSTITUTE(SUBSTITUTE($B$4,"~","~~"),"*","~*"),"?","~?"),'Journal'!$B$3:$B$2002,"&lt;"&amp;DATE(2027,12,1))+SUMIFS('Journal'!$F$3:$F$2002,'Journal'!$E$3:$E$2002,SUBSTITUTE(SUBSTITUTE(SUBSTITUTE($B$4,"~","~~"),"*","~*"),"?","~?"),'Journal'!$B$3:$B$2002,"&lt;"&amp;DATE(2027,12,1))-(SUMIFS('Journal'!$F$3:$F$2002,'Journal'!$D$3:$D$2002,SUBSTITUTE(SUBSTITUTE(SUBSTITUTE($B$4,"~","~~"),"*","~*"),"?","~?"),'Journal'!$B$3:$B$2002,"&lt;"&amp;DATE(2027,12,1))+SUMIFS('Journal'!$G$3:$G$2002,'Journal'!$E$3:$E$2002,SUBSTITUTE(SUBSTITUTE(SUBSTITUTE($B$4,"~","~~"),"*","~*"),"?","~?"),'Journal'!$B$3:$B$2002,"&lt;"&amp;DATE(2027,12,1))))</f>
        <v/>
      </c>
      <c r="C16" s="14" t="n"/>
      <c r="D16" s="20">
        <f>IF(OR(C16="",B16=""),"",C16-B16)</f>
        <v/>
      </c>
      <c r="E16" s="9" t="n"/>
      <c r="F16" s="8" t="n"/>
    </row>
    <row r="17">
      <c r="A17" s="5" t="inlineStr">
        <is>
          <t>Desember</t>
        </is>
      </c>
      <c r="B17" s="20">
        <f>IF($B$4="","",SUMIFS('Åpningsbalanse'!$C$4:$C$103,'Åpningsbalanse'!$A$4:$A$103,SUBSTITUTE(SUBSTITUTE(SUBSTITUTE($B$4,"~","~~"),"*","~*"),"?","~?"))+SUMIFS('Journal'!$G$3:$G$2002,'Journal'!$D$3:$D$2002,SUBSTITUTE(SUBSTITUTE(SUBSTITUTE($B$4,"~","~~"),"*","~*"),"?","~?"),'Journal'!$B$3:$B$2002,"&lt;"&amp;DATE(2028,1,1))+SUMIFS('Journal'!$F$3:$F$2002,'Journal'!$E$3:$E$2002,SUBSTITUTE(SUBSTITUTE(SUBSTITUTE($B$4,"~","~~"),"*","~*"),"?","~?"),'Journal'!$B$3:$B$2002,"&lt;"&amp;DATE(2028,1,1))-(SUMIFS('Journal'!$F$3:$F$2002,'Journal'!$D$3:$D$2002,SUBSTITUTE(SUBSTITUTE(SUBSTITUTE($B$4,"~","~~"),"*","~*"),"?","~?"),'Journal'!$B$3:$B$2002,"&lt;"&amp;DATE(2028,1,1))+SUMIFS('Journal'!$G$3:$G$2002,'Journal'!$E$3:$E$2002,SUBSTITUTE(SUBSTITUTE(SUBSTITUTE($B$4,"~","~~"),"*","~*"),"?","~?"),'Journal'!$B$3:$B$2002,"&lt;"&amp;DATE(2028,1,1))))</f>
        <v/>
      </c>
      <c r="C17" s="14" t="n"/>
      <c r="D17" s="20">
        <f>IF(OR(C17="",B17=""),"",C17-B17)</f>
        <v/>
      </c>
      <c r="E17" s="9" t="n"/>
      <c r="F17" s="8" t="n"/>
    </row>
    <row r="19">
      <c r="A19" s="15" t="inlineStr">
        <is>
          <t>Bankkonto</t>
        </is>
      </c>
      <c r="B19" s="8" t="n"/>
      <c r="C19" s="19" t="n"/>
    </row>
    <row r="20">
      <c r="A20" s="10" t="inlineStr">
        <is>
          <t>Måned</t>
        </is>
      </c>
      <c r="B20" s="10" t="inlineStr">
        <is>
          <t>Saldo i regnskapet</t>
        </is>
      </c>
      <c r="C20" s="10" t="inlineStr">
        <is>
          <t>Saldo på kontoutskriften</t>
        </is>
      </c>
      <c r="D20" s="10" t="inlineStr">
        <is>
          <t>Differanse</t>
        </is>
      </c>
      <c r="E20" s="10" t="inlineStr">
        <is>
          <t>Sjekket dato</t>
        </is>
      </c>
      <c r="F20" s="10" t="inlineStr">
        <is>
          <t>Kommentar</t>
        </is>
      </c>
    </row>
    <row r="21">
      <c r="A21" s="5" t="inlineStr">
        <is>
          <t>Januar</t>
        </is>
      </c>
      <c r="B21" s="20">
        <f>IF($B$19="","",SUMIFS('Åpningsbalanse'!$C$4:$C$103,'Åpningsbalanse'!$A$4:$A$103,SUBSTITUTE(SUBSTITUTE(SUBSTITUTE($B$19,"~","~~"),"*","~*"),"?","~?"))+SUMIFS('Journal'!$G$3:$G$2002,'Journal'!$D$3:$D$2002,SUBSTITUTE(SUBSTITUTE(SUBSTITUTE($B$19,"~","~~"),"*","~*"),"?","~?"),'Journal'!$B$3:$B$2002,"&lt;"&amp;DATE(2027,2,1))+SUMIFS('Journal'!$F$3:$F$2002,'Journal'!$E$3:$E$2002,SUBSTITUTE(SUBSTITUTE(SUBSTITUTE($B$19,"~","~~"),"*","~*"),"?","~?"),'Journal'!$B$3:$B$2002,"&lt;"&amp;DATE(2027,2,1))-(SUMIFS('Journal'!$F$3:$F$2002,'Journal'!$D$3:$D$2002,SUBSTITUTE(SUBSTITUTE(SUBSTITUTE($B$19,"~","~~"),"*","~*"),"?","~?"),'Journal'!$B$3:$B$2002,"&lt;"&amp;DATE(2027,2,1))+SUMIFS('Journal'!$G$3:$G$2002,'Journal'!$E$3:$E$2002,SUBSTITUTE(SUBSTITUTE(SUBSTITUTE($B$19,"~","~~"),"*","~*"),"?","~?"),'Journal'!$B$3:$B$2002,"&lt;"&amp;DATE(2027,2,1))))</f>
        <v/>
      </c>
      <c r="C21" s="14" t="n"/>
      <c r="D21" s="20">
        <f>IF(OR(C21="",B21=""),"",C21-B21)</f>
        <v/>
      </c>
      <c r="E21" s="9" t="n"/>
      <c r="F21" s="8" t="n"/>
    </row>
    <row r="22">
      <c r="A22" s="5" t="inlineStr">
        <is>
          <t>Februar</t>
        </is>
      </c>
      <c r="B22" s="20">
        <f>IF($B$19="","",SUMIFS('Åpningsbalanse'!$C$4:$C$103,'Åpningsbalanse'!$A$4:$A$103,SUBSTITUTE(SUBSTITUTE(SUBSTITUTE($B$19,"~","~~"),"*","~*"),"?","~?"))+SUMIFS('Journal'!$G$3:$G$2002,'Journal'!$D$3:$D$2002,SUBSTITUTE(SUBSTITUTE(SUBSTITUTE($B$19,"~","~~"),"*","~*"),"?","~?"),'Journal'!$B$3:$B$2002,"&lt;"&amp;DATE(2027,3,1))+SUMIFS('Journal'!$F$3:$F$2002,'Journal'!$E$3:$E$2002,SUBSTITUTE(SUBSTITUTE(SUBSTITUTE($B$19,"~","~~"),"*","~*"),"?","~?"),'Journal'!$B$3:$B$2002,"&lt;"&amp;DATE(2027,3,1))-(SUMIFS('Journal'!$F$3:$F$2002,'Journal'!$D$3:$D$2002,SUBSTITUTE(SUBSTITUTE(SUBSTITUTE($B$19,"~","~~"),"*","~*"),"?","~?"),'Journal'!$B$3:$B$2002,"&lt;"&amp;DATE(2027,3,1))+SUMIFS('Journal'!$G$3:$G$2002,'Journal'!$E$3:$E$2002,SUBSTITUTE(SUBSTITUTE(SUBSTITUTE($B$19,"~","~~"),"*","~*"),"?","~?"),'Journal'!$B$3:$B$2002,"&lt;"&amp;DATE(2027,3,1))))</f>
        <v/>
      </c>
      <c r="C22" s="14" t="n"/>
      <c r="D22" s="20">
        <f>IF(OR(C22="",B22=""),"",C22-B22)</f>
        <v/>
      </c>
      <c r="E22" s="9" t="n"/>
      <c r="F22" s="8" t="n"/>
    </row>
    <row r="23">
      <c r="A23" s="5" t="inlineStr">
        <is>
          <t>Mars</t>
        </is>
      </c>
      <c r="B23" s="20">
        <f>IF($B$19="","",SUMIFS('Åpningsbalanse'!$C$4:$C$103,'Åpningsbalanse'!$A$4:$A$103,SUBSTITUTE(SUBSTITUTE(SUBSTITUTE($B$19,"~","~~"),"*","~*"),"?","~?"))+SUMIFS('Journal'!$G$3:$G$2002,'Journal'!$D$3:$D$2002,SUBSTITUTE(SUBSTITUTE(SUBSTITUTE($B$19,"~","~~"),"*","~*"),"?","~?"),'Journal'!$B$3:$B$2002,"&lt;"&amp;DATE(2027,4,1))+SUMIFS('Journal'!$F$3:$F$2002,'Journal'!$E$3:$E$2002,SUBSTITUTE(SUBSTITUTE(SUBSTITUTE($B$19,"~","~~"),"*","~*"),"?","~?"),'Journal'!$B$3:$B$2002,"&lt;"&amp;DATE(2027,4,1))-(SUMIFS('Journal'!$F$3:$F$2002,'Journal'!$D$3:$D$2002,SUBSTITUTE(SUBSTITUTE(SUBSTITUTE($B$19,"~","~~"),"*","~*"),"?","~?"),'Journal'!$B$3:$B$2002,"&lt;"&amp;DATE(2027,4,1))+SUMIFS('Journal'!$G$3:$G$2002,'Journal'!$E$3:$E$2002,SUBSTITUTE(SUBSTITUTE(SUBSTITUTE($B$19,"~","~~"),"*","~*"),"?","~?"),'Journal'!$B$3:$B$2002,"&lt;"&amp;DATE(2027,4,1))))</f>
        <v/>
      </c>
      <c r="C23" s="14" t="n"/>
      <c r="D23" s="20">
        <f>IF(OR(C23="",B23=""),"",C23-B23)</f>
        <v/>
      </c>
      <c r="E23" s="9" t="n"/>
      <c r="F23" s="8" t="n"/>
    </row>
    <row r="24">
      <c r="A24" s="5" t="inlineStr">
        <is>
          <t>April</t>
        </is>
      </c>
      <c r="B24" s="20">
        <f>IF($B$19="","",SUMIFS('Åpningsbalanse'!$C$4:$C$103,'Åpningsbalanse'!$A$4:$A$103,SUBSTITUTE(SUBSTITUTE(SUBSTITUTE($B$19,"~","~~"),"*","~*"),"?","~?"))+SUMIFS('Journal'!$G$3:$G$2002,'Journal'!$D$3:$D$2002,SUBSTITUTE(SUBSTITUTE(SUBSTITUTE($B$19,"~","~~"),"*","~*"),"?","~?"),'Journal'!$B$3:$B$2002,"&lt;"&amp;DATE(2027,5,1))+SUMIFS('Journal'!$F$3:$F$2002,'Journal'!$E$3:$E$2002,SUBSTITUTE(SUBSTITUTE(SUBSTITUTE($B$19,"~","~~"),"*","~*"),"?","~?"),'Journal'!$B$3:$B$2002,"&lt;"&amp;DATE(2027,5,1))-(SUMIFS('Journal'!$F$3:$F$2002,'Journal'!$D$3:$D$2002,SUBSTITUTE(SUBSTITUTE(SUBSTITUTE($B$19,"~","~~"),"*","~*"),"?","~?"),'Journal'!$B$3:$B$2002,"&lt;"&amp;DATE(2027,5,1))+SUMIFS('Journal'!$G$3:$G$2002,'Journal'!$E$3:$E$2002,SUBSTITUTE(SUBSTITUTE(SUBSTITUTE($B$19,"~","~~"),"*","~*"),"?","~?"),'Journal'!$B$3:$B$2002,"&lt;"&amp;DATE(2027,5,1))))</f>
        <v/>
      </c>
      <c r="C24" s="14" t="n"/>
      <c r="D24" s="20">
        <f>IF(OR(C24="",B24=""),"",C24-B24)</f>
        <v/>
      </c>
      <c r="E24" s="9" t="n"/>
      <c r="F24" s="8" t="n"/>
    </row>
    <row r="25">
      <c r="A25" s="5" t="inlineStr">
        <is>
          <t>Mai</t>
        </is>
      </c>
      <c r="B25" s="20">
        <f>IF($B$19="","",SUMIFS('Åpningsbalanse'!$C$4:$C$103,'Åpningsbalanse'!$A$4:$A$103,SUBSTITUTE(SUBSTITUTE(SUBSTITUTE($B$19,"~","~~"),"*","~*"),"?","~?"))+SUMIFS('Journal'!$G$3:$G$2002,'Journal'!$D$3:$D$2002,SUBSTITUTE(SUBSTITUTE(SUBSTITUTE($B$19,"~","~~"),"*","~*"),"?","~?"),'Journal'!$B$3:$B$2002,"&lt;"&amp;DATE(2027,6,1))+SUMIFS('Journal'!$F$3:$F$2002,'Journal'!$E$3:$E$2002,SUBSTITUTE(SUBSTITUTE(SUBSTITUTE($B$19,"~","~~"),"*","~*"),"?","~?"),'Journal'!$B$3:$B$2002,"&lt;"&amp;DATE(2027,6,1))-(SUMIFS('Journal'!$F$3:$F$2002,'Journal'!$D$3:$D$2002,SUBSTITUTE(SUBSTITUTE(SUBSTITUTE($B$19,"~","~~"),"*","~*"),"?","~?"),'Journal'!$B$3:$B$2002,"&lt;"&amp;DATE(2027,6,1))+SUMIFS('Journal'!$G$3:$G$2002,'Journal'!$E$3:$E$2002,SUBSTITUTE(SUBSTITUTE(SUBSTITUTE($B$19,"~","~~"),"*","~*"),"?","~?"),'Journal'!$B$3:$B$2002,"&lt;"&amp;DATE(2027,6,1))))</f>
        <v/>
      </c>
      <c r="C25" s="14" t="n"/>
      <c r="D25" s="20">
        <f>IF(OR(C25="",B25=""),"",C25-B25)</f>
        <v/>
      </c>
      <c r="E25" s="9" t="n"/>
      <c r="F25" s="8" t="n"/>
    </row>
    <row r="26">
      <c r="A26" s="5" t="inlineStr">
        <is>
          <t>Juni</t>
        </is>
      </c>
      <c r="B26" s="20">
        <f>IF($B$19="","",SUMIFS('Åpningsbalanse'!$C$4:$C$103,'Åpningsbalanse'!$A$4:$A$103,SUBSTITUTE(SUBSTITUTE(SUBSTITUTE($B$19,"~","~~"),"*","~*"),"?","~?"))+SUMIFS('Journal'!$G$3:$G$2002,'Journal'!$D$3:$D$2002,SUBSTITUTE(SUBSTITUTE(SUBSTITUTE($B$19,"~","~~"),"*","~*"),"?","~?"),'Journal'!$B$3:$B$2002,"&lt;"&amp;DATE(2027,7,1))+SUMIFS('Journal'!$F$3:$F$2002,'Journal'!$E$3:$E$2002,SUBSTITUTE(SUBSTITUTE(SUBSTITUTE($B$19,"~","~~"),"*","~*"),"?","~?"),'Journal'!$B$3:$B$2002,"&lt;"&amp;DATE(2027,7,1))-(SUMIFS('Journal'!$F$3:$F$2002,'Journal'!$D$3:$D$2002,SUBSTITUTE(SUBSTITUTE(SUBSTITUTE($B$19,"~","~~"),"*","~*"),"?","~?"),'Journal'!$B$3:$B$2002,"&lt;"&amp;DATE(2027,7,1))+SUMIFS('Journal'!$G$3:$G$2002,'Journal'!$E$3:$E$2002,SUBSTITUTE(SUBSTITUTE(SUBSTITUTE($B$19,"~","~~"),"*","~*"),"?","~?"),'Journal'!$B$3:$B$2002,"&lt;"&amp;DATE(2027,7,1))))</f>
        <v/>
      </c>
      <c r="C26" s="14" t="n"/>
      <c r="D26" s="20">
        <f>IF(OR(C26="",B26=""),"",C26-B26)</f>
        <v/>
      </c>
      <c r="E26" s="9" t="n"/>
      <c r="F26" s="8" t="n"/>
    </row>
    <row r="27">
      <c r="A27" s="5" t="inlineStr">
        <is>
          <t>Juli</t>
        </is>
      </c>
      <c r="B27" s="20">
        <f>IF($B$19="","",SUMIFS('Åpningsbalanse'!$C$4:$C$103,'Åpningsbalanse'!$A$4:$A$103,SUBSTITUTE(SUBSTITUTE(SUBSTITUTE($B$19,"~","~~"),"*","~*"),"?","~?"))+SUMIFS('Journal'!$G$3:$G$2002,'Journal'!$D$3:$D$2002,SUBSTITUTE(SUBSTITUTE(SUBSTITUTE($B$19,"~","~~"),"*","~*"),"?","~?"),'Journal'!$B$3:$B$2002,"&lt;"&amp;DATE(2027,8,1))+SUMIFS('Journal'!$F$3:$F$2002,'Journal'!$E$3:$E$2002,SUBSTITUTE(SUBSTITUTE(SUBSTITUTE($B$19,"~","~~"),"*","~*"),"?","~?"),'Journal'!$B$3:$B$2002,"&lt;"&amp;DATE(2027,8,1))-(SUMIFS('Journal'!$F$3:$F$2002,'Journal'!$D$3:$D$2002,SUBSTITUTE(SUBSTITUTE(SUBSTITUTE($B$19,"~","~~"),"*","~*"),"?","~?"),'Journal'!$B$3:$B$2002,"&lt;"&amp;DATE(2027,8,1))+SUMIFS('Journal'!$G$3:$G$2002,'Journal'!$E$3:$E$2002,SUBSTITUTE(SUBSTITUTE(SUBSTITUTE($B$19,"~","~~"),"*","~*"),"?","~?"),'Journal'!$B$3:$B$2002,"&lt;"&amp;DATE(2027,8,1))))</f>
        <v/>
      </c>
      <c r="C27" s="14" t="n"/>
      <c r="D27" s="20">
        <f>IF(OR(C27="",B27=""),"",C27-B27)</f>
        <v/>
      </c>
      <c r="E27" s="9" t="n"/>
      <c r="F27" s="8" t="n"/>
    </row>
    <row r="28">
      <c r="A28" s="5" t="inlineStr">
        <is>
          <t>August</t>
        </is>
      </c>
      <c r="B28" s="20">
        <f>IF($B$19="","",SUMIFS('Åpningsbalanse'!$C$4:$C$103,'Åpningsbalanse'!$A$4:$A$103,SUBSTITUTE(SUBSTITUTE(SUBSTITUTE($B$19,"~","~~"),"*","~*"),"?","~?"))+SUMIFS('Journal'!$G$3:$G$2002,'Journal'!$D$3:$D$2002,SUBSTITUTE(SUBSTITUTE(SUBSTITUTE($B$19,"~","~~"),"*","~*"),"?","~?"),'Journal'!$B$3:$B$2002,"&lt;"&amp;DATE(2027,9,1))+SUMIFS('Journal'!$F$3:$F$2002,'Journal'!$E$3:$E$2002,SUBSTITUTE(SUBSTITUTE(SUBSTITUTE($B$19,"~","~~"),"*","~*"),"?","~?"),'Journal'!$B$3:$B$2002,"&lt;"&amp;DATE(2027,9,1))-(SUMIFS('Journal'!$F$3:$F$2002,'Journal'!$D$3:$D$2002,SUBSTITUTE(SUBSTITUTE(SUBSTITUTE($B$19,"~","~~"),"*","~*"),"?","~?"),'Journal'!$B$3:$B$2002,"&lt;"&amp;DATE(2027,9,1))+SUMIFS('Journal'!$G$3:$G$2002,'Journal'!$E$3:$E$2002,SUBSTITUTE(SUBSTITUTE(SUBSTITUTE($B$19,"~","~~"),"*","~*"),"?","~?"),'Journal'!$B$3:$B$2002,"&lt;"&amp;DATE(2027,9,1))))</f>
        <v/>
      </c>
      <c r="C28" s="14" t="n"/>
      <c r="D28" s="20">
        <f>IF(OR(C28="",B28=""),"",C28-B28)</f>
        <v/>
      </c>
      <c r="E28" s="9" t="n"/>
      <c r="F28" s="8" t="n"/>
    </row>
    <row r="29">
      <c r="A29" s="5" t="inlineStr">
        <is>
          <t>September</t>
        </is>
      </c>
      <c r="B29" s="20">
        <f>IF($B$19="","",SUMIFS('Åpningsbalanse'!$C$4:$C$103,'Åpningsbalanse'!$A$4:$A$103,SUBSTITUTE(SUBSTITUTE(SUBSTITUTE($B$19,"~","~~"),"*","~*"),"?","~?"))+SUMIFS('Journal'!$G$3:$G$2002,'Journal'!$D$3:$D$2002,SUBSTITUTE(SUBSTITUTE(SUBSTITUTE($B$19,"~","~~"),"*","~*"),"?","~?"),'Journal'!$B$3:$B$2002,"&lt;"&amp;DATE(2027,10,1))+SUMIFS('Journal'!$F$3:$F$2002,'Journal'!$E$3:$E$2002,SUBSTITUTE(SUBSTITUTE(SUBSTITUTE($B$19,"~","~~"),"*","~*"),"?","~?"),'Journal'!$B$3:$B$2002,"&lt;"&amp;DATE(2027,10,1))-(SUMIFS('Journal'!$F$3:$F$2002,'Journal'!$D$3:$D$2002,SUBSTITUTE(SUBSTITUTE(SUBSTITUTE($B$19,"~","~~"),"*","~*"),"?","~?"),'Journal'!$B$3:$B$2002,"&lt;"&amp;DATE(2027,10,1))+SUMIFS('Journal'!$G$3:$G$2002,'Journal'!$E$3:$E$2002,SUBSTITUTE(SUBSTITUTE(SUBSTITUTE($B$19,"~","~~"),"*","~*"),"?","~?"),'Journal'!$B$3:$B$2002,"&lt;"&amp;DATE(2027,10,1))))</f>
        <v/>
      </c>
      <c r="C29" s="14" t="n"/>
      <c r="D29" s="20">
        <f>IF(OR(C29="",B29=""),"",C29-B29)</f>
        <v/>
      </c>
      <c r="E29" s="9" t="n"/>
      <c r="F29" s="8" t="n"/>
    </row>
    <row r="30">
      <c r="A30" s="5" t="inlineStr">
        <is>
          <t>Oktober</t>
        </is>
      </c>
      <c r="B30" s="20">
        <f>IF($B$19="","",SUMIFS('Åpningsbalanse'!$C$4:$C$103,'Åpningsbalanse'!$A$4:$A$103,SUBSTITUTE(SUBSTITUTE(SUBSTITUTE($B$19,"~","~~"),"*","~*"),"?","~?"))+SUMIFS('Journal'!$G$3:$G$2002,'Journal'!$D$3:$D$2002,SUBSTITUTE(SUBSTITUTE(SUBSTITUTE($B$19,"~","~~"),"*","~*"),"?","~?"),'Journal'!$B$3:$B$2002,"&lt;"&amp;DATE(2027,11,1))+SUMIFS('Journal'!$F$3:$F$2002,'Journal'!$E$3:$E$2002,SUBSTITUTE(SUBSTITUTE(SUBSTITUTE($B$19,"~","~~"),"*","~*"),"?","~?"),'Journal'!$B$3:$B$2002,"&lt;"&amp;DATE(2027,11,1))-(SUMIFS('Journal'!$F$3:$F$2002,'Journal'!$D$3:$D$2002,SUBSTITUTE(SUBSTITUTE(SUBSTITUTE($B$19,"~","~~"),"*","~*"),"?","~?"),'Journal'!$B$3:$B$2002,"&lt;"&amp;DATE(2027,11,1))+SUMIFS('Journal'!$G$3:$G$2002,'Journal'!$E$3:$E$2002,SUBSTITUTE(SUBSTITUTE(SUBSTITUTE($B$19,"~","~~"),"*","~*"),"?","~?"),'Journal'!$B$3:$B$2002,"&lt;"&amp;DATE(2027,11,1))))</f>
        <v/>
      </c>
      <c r="C30" s="14" t="n"/>
      <c r="D30" s="20">
        <f>IF(OR(C30="",B30=""),"",C30-B30)</f>
        <v/>
      </c>
      <c r="E30" s="9" t="n"/>
      <c r="F30" s="8" t="n"/>
    </row>
    <row r="31">
      <c r="A31" s="5" t="inlineStr">
        <is>
          <t>November</t>
        </is>
      </c>
      <c r="B31" s="20">
        <f>IF($B$19="","",SUMIFS('Åpningsbalanse'!$C$4:$C$103,'Åpningsbalanse'!$A$4:$A$103,SUBSTITUTE(SUBSTITUTE(SUBSTITUTE($B$19,"~","~~"),"*","~*"),"?","~?"))+SUMIFS('Journal'!$G$3:$G$2002,'Journal'!$D$3:$D$2002,SUBSTITUTE(SUBSTITUTE(SUBSTITUTE($B$19,"~","~~"),"*","~*"),"?","~?"),'Journal'!$B$3:$B$2002,"&lt;"&amp;DATE(2027,12,1))+SUMIFS('Journal'!$F$3:$F$2002,'Journal'!$E$3:$E$2002,SUBSTITUTE(SUBSTITUTE(SUBSTITUTE($B$19,"~","~~"),"*","~*"),"?","~?"),'Journal'!$B$3:$B$2002,"&lt;"&amp;DATE(2027,12,1))-(SUMIFS('Journal'!$F$3:$F$2002,'Journal'!$D$3:$D$2002,SUBSTITUTE(SUBSTITUTE(SUBSTITUTE($B$19,"~","~~"),"*","~*"),"?","~?"),'Journal'!$B$3:$B$2002,"&lt;"&amp;DATE(2027,12,1))+SUMIFS('Journal'!$G$3:$G$2002,'Journal'!$E$3:$E$2002,SUBSTITUTE(SUBSTITUTE(SUBSTITUTE($B$19,"~","~~"),"*","~*"),"?","~?"),'Journal'!$B$3:$B$2002,"&lt;"&amp;DATE(2027,12,1))))</f>
        <v/>
      </c>
      <c r="C31" s="14" t="n"/>
      <c r="D31" s="20">
        <f>IF(OR(C31="",B31=""),"",C31-B31)</f>
        <v/>
      </c>
      <c r="E31" s="9" t="n"/>
      <c r="F31" s="8" t="n"/>
    </row>
    <row r="32">
      <c r="A32" s="5" t="inlineStr">
        <is>
          <t>Desember</t>
        </is>
      </c>
      <c r="B32" s="20">
        <f>IF($B$19="","",SUMIFS('Åpningsbalanse'!$C$4:$C$103,'Åpningsbalanse'!$A$4:$A$103,SUBSTITUTE(SUBSTITUTE(SUBSTITUTE($B$19,"~","~~"),"*","~*"),"?","~?"))+SUMIFS('Journal'!$G$3:$G$2002,'Journal'!$D$3:$D$2002,SUBSTITUTE(SUBSTITUTE(SUBSTITUTE($B$19,"~","~~"),"*","~*"),"?","~?"),'Journal'!$B$3:$B$2002,"&lt;"&amp;DATE(2028,1,1))+SUMIFS('Journal'!$F$3:$F$2002,'Journal'!$E$3:$E$2002,SUBSTITUTE(SUBSTITUTE(SUBSTITUTE($B$19,"~","~~"),"*","~*"),"?","~?"),'Journal'!$B$3:$B$2002,"&lt;"&amp;DATE(2028,1,1))-(SUMIFS('Journal'!$F$3:$F$2002,'Journal'!$D$3:$D$2002,SUBSTITUTE(SUBSTITUTE(SUBSTITUTE($B$19,"~","~~"),"*","~*"),"?","~?"),'Journal'!$B$3:$B$2002,"&lt;"&amp;DATE(2028,1,1))+SUMIFS('Journal'!$G$3:$G$2002,'Journal'!$E$3:$E$2002,SUBSTITUTE(SUBSTITUTE(SUBSTITUTE($B$19,"~","~~"),"*","~*"),"?","~?"),'Journal'!$B$3:$B$2002,"&lt;"&amp;DATE(2028,1,1))))</f>
        <v/>
      </c>
      <c r="C32" s="14" t="n"/>
      <c r="D32" s="20">
        <f>IF(OR(C32="",B32=""),"",C32-B32)</f>
        <v/>
      </c>
      <c r="E32" s="9" t="n"/>
      <c r="F32" s="8" t="n"/>
    </row>
    <row r="34">
      <c r="A34" s="15" t="inlineStr">
        <is>
          <t>Bankkonto</t>
        </is>
      </c>
      <c r="B34" s="8" t="n"/>
      <c r="C34" s="19" t="n"/>
    </row>
    <row r="35">
      <c r="A35" s="10" t="inlineStr">
        <is>
          <t>Måned</t>
        </is>
      </c>
      <c r="B35" s="10" t="inlineStr">
        <is>
          <t>Saldo i regnskapet</t>
        </is>
      </c>
      <c r="C35" s="10" t="inlineStr">
        <is>
          <t>Saldo på kontoutskriften</t>
        </is>
      </c>
      <c r="D35" s="10" t="inlineStr">
        <is>
          <t>Differanse</t>
        </is>
      </c>
      <c r="E35" s="10" t="inlineStr">
        <is>
          <t>Sjekket dato</t>
        </is>
      </c>
      <c r="F35" s="10" t="inlineStr">
        <is>
          <t>Kommentar</t>
        </is>
      </c>
    </row>
    <row r="36">
      <c r="A36" s="5" t="inlineStr">
        <is>
          <t>Januar</t>
        </is>
      </c>
      <c r="B36" s="20">
        <f>IF($B$34="","",SUMIFS('Åpningsbalanse'!$C$4:$C$103,'Åpningsbalanse'!$A$4:$A$103,SUBSTITUTE(SUBSTITUTE(SUBSTITUTE($B$34,"~","~~"),"*","~*"),"?","~?"))+SUMIFS('Journal'!$G$3:$G$2002,'Journal'!$D$3:$D$2002,SUBSTITUTE(SUBSTITUTE(SUBSTITUTE($B$34,"~","~~"),"*","~*"),"?","~?"),'Journal'!$B$3:$B$2002,"&lt;"&amp;DATE(2027,2,1))+SUMIFS('Journal'!$F$3:$F$2002,'Journal'!$E$3:$E$2002,SUBSTITUTE(SUBSTITUTE(SUBSTITUTE($B$34,"~","~~"),"*","~*"),"?","~?"),'Journal'!$B$3:$B$2002,"&lt;"&amp;DATE(2027,2,1))-(SUMIFS('Journal'!$F$3:$F$2002,'Journal'!$D$3:$D$2002,SUBSTITUTE(SUBSTITUTE(SUBSTITUTE($B$34,"~","~~"),"*","~*"),"?","~?"),'Journal'!$B$3:$B$2002,"&lt;"&amp;DATE(2027,2,1))+SUMIFS('Journal'!$G$3:$G$2002,'Journal'!$E$3:$E$2002,SUBSTITUTE(SUBSTITUTE(SUBSTITUTE($B$34,"~","~~"),"*","~*"),"?","~?"),'Journal'!$B$3:$B$2002,"&lt;"&amp;DATE(2027,2,1))))</f>
        <v/>
      </c>
      <c r="C36" s="14" t="n"/>
      <c r="D36" s="20">
        <f>IF(OR(C36="",B36=""),"",C36-B36)</f>
        <v/>
      </c>
      <c r="E36" s="9" t="n"/>
      <c r="F36" s="8" t="n"/>
    </row>
    <row r="37">
      <c r="A37" s="5" t="inlineStr">
        <is>
          <t>Februar</t>
        </is>
      </c>
      <c r="B37" s="20">
        <f>IF($B$34="","",SUMIFS('Åpningsbalanse'!$C$4:$C$103,'Åpningsbalanse'!$A$4:$A$103,SUBSTITUTE(SUBSTITUTE(SUBSTITUTE($B$34,"~","~~"),"*","~*"),"?","~?"))+SUMIFS('Journal'!$G$3:$G$2002,'Journal'!$D$3:$D$2002,SUBSTITUTE(SUBSTITUTE(SUBSTITUTE($B$34,"~","~~"),"*","~*"),"?","~?"),'Journal'!$B$3:$B$2002,"&lt;"&amp;DATE(2027,3,1))+SUMIFS('Journal'!$F$3:$F$2002,'Journal'!$E$3:$E$2002,SUBSTITUTE(SUBSTITUTE(SUBSTITUTE($B$34,"~","~~"),"*","~*"),"?","~?"),'Journal'!$B$3:$B$2002,"&lt;"&amp;DATE(2027,3,1))-(SUMIFS('Journal'!$F$3:$F$2002,'Journal'!$D$3:$D$2002,SUBSTITUTE(SUBSTITUTE(SUBSTITUTE($B$34,"~","~~"),"*","~*"),"?","~?"),'Journal'!$B$3:$B$2002,"&lt;"&amp;DATE(2027,3,1))+SUMIFS('Journal'!$G$3:$G$2002,'Journal'!$E$3:$E$2002,SUBSTITUTE(SUBSTITUTE(SUBSTITUTE($B$34,"~","~~"),"*","~*"),"?","~?"),'Journal'!$B$3:$B$2002,"&lt;"&amp;DATE(2027,3,1))))</f>
        <v/>
      </c>
      <c r="C37" s="14" t="n"/>
      <c r="D37" s="20">
        <f>IF(OR(C37="",B37=""),"",C37-B37)</f>
        <v/>
      </c>
      <c r="E37" s="9" t="n"/>
      <c r="F37" s="8" t="n"/>
    </row>
    <row r="38">
      <c r="A38" s="5" t="inlineStr">
        <is>
          <t>Mars</t>
        </is>
      </c>
      <c r="B38" s="20">
        <f>IF($B$34="","",SUMIFS('Åpningsbalanse'!$C$4:$C$103,'Åpningsbalanse'!$A$4:$A$103,SUBSTITUTE(SUBSTITUTE(SUBSTITUTE($B$34,"~","~~"),"*","~*"),"?","~?"))+SUMIFS('Journal'!$G$3:$G$2002,'Journal'!$D$3:$D$2002,SUBSTITUTE(SUBSTITUTE(SUBSTITUTE($B$34,"~","~~"),"*","~*"),"?","~?"),'Journal'!$B$3:$B$2002,"&lt;"&amp;DATE(2027,4,1))+SUMIFS('Journal'!$F$3:$F$2002,'Journal'!$E$3:$E$2002,SUBSTITUTE(SUBSTITUTE(SUBSTITUTE($B$34,"~","~~"),"*","~*"),"?","~?"),'Journal'!$B$3:$B$2002,"&lt;"&amp;DATE(2027,4,1))-(SUMIFS('Journal'!$F$3:$F$2002,'Journal'!$D$3:$D$2002,SUBSTITUTE(SUBSTITUTE(SUBSTITUTE($B$34,"~","~~"),"*","~*"),"?","~?"),'Journal'!$B$3:$B$2002,"&lt;"&amp;DATE(2027,4,1))+SUMIFS('Journal'!$G$3:$G$2002,'Journal'!$E$3:$E$2002,SUBSTITUTE(SUBSTITUTE(SUBSTITUTE($B$34,"~","~~"),"*","~*"),"?","~?"),'Journal'!$B$3:$B$2002,"&lt;"&amp;DATE(2027,4,1))))</f>
        <v/>
      </c>
      <c r="C38" s="14" t="n"/>
      <c r="D38" s="20">
        <f>IF(OR(C38="",B38=""),"",C38-B38)</f>
        <v/>
      </c>
      <c r="E38" s="9" t="n"/>
      <c r="F38" s="8" t="n"/>
    </row>
    <row r="39">
      <c r="A39" s="5" t="inlineStr">
        <is>
          <t>April</t>
        </is>
      </c>
      <c r="B39" s="20">
        <f>IF($B$34="","",SUMIFS('Åpningsbalanse'!$C$4:$C$103,'Åpningsbalanse'!$A$4:$A$103,SUBSTITUTE(SUBSTITUTE(SUBSTITUTE($B$34,"~","~~"),"*","~*"),"?","~?"))+SUMIFS('Journal'!$G$3:$G$2002,'Journal'!$D$3:$D$2002,SUBSTITUTE(SUBSTITUTE(SUBSTITUTE($B$34,"~","~~"),"*","~*"),"?","~?"),'Journal'!$B$3:$B$2002,"&lt;"&amp;DATE(2027,5,1))+SUMIFS('Journal'!$F$3:$F$2002,'Journal'!$E$3:$E$2002,SUBSTITUTE(SUBSTITUTE(SUBSTITUTE($B$34,"~","~~"),"*","~*"),"?","~?"),'Journal'!$B$3:$B$2002,"&lt;"&amp;DATE(2027,5,1))-(SUMIFS('Journal'!$F$3:$F$2002,'Journal'!$D$3:$D$2002,SUBSTITUTE(SUBSTITUTE(SUBSTITUTE($B$34,"~","~~"),"*","~*"),"?","~?"),'Journal'!$B$3:$B$2002,"&lt;"&amp;DATE(2027,5,1))+SUMIFS('Journal'!$G$3:$G$2002,'Journal'!$E$3:$E$2002,SUBSTITUTE(SUBSTITUTE(SUBSTITUTE($B$34,"~","~~"),"*","~*"),"?","~?"),'Journal'!$B$3:$B$2002,"&lt;"&amp;DATE(2027,5,1))))</f>
        <v/>
      </c>
      <c r="C39" s="14" t="n"/>
      <c r="D39" s="20">
        <f>IF(OR(C39="",B39=""),"",C39-B39)</f>
        <v/>
      </c>
      <c r="E39" s="9" t="n"/>
      <c r="F39" s="8" t="n"/>
    </row>
    <row r="40">
      <c r="A40" s="5" t="inlineStr">
        <is>
          <t>Mai</t>
        </is>
      </c>
      <c r="B40" s="20">
        <f>IF($B$34="","",SUMIFS('Åpningsbalanse'!$C$4:$C$103,'Åpningsbalanse'!$A$4:$A$103,SUBSTITUTE(SUBSTITUTE(SUBSTITUTE($B$34,"~","~~"),"*","~*"),"?","~?"))+SUMIFS('Journal'!$G$3:$G$2002,'Journal'!$D$3:$D$2002,SUBSTITUTE(SUBSTITUTE(SUBSTITUTE($B$34,"~","~~"),"*","~*"),"?","~?"),'Journal'!$B$3:$B$2002,"&lt;"&amp;DATE(2027,6,1))+SUMIFS('Journal'!$F$3:$F$2002,'Journal'!$E$3:$E$2002,SUBSTITUTE(SUBSTITUTE(SUBSTITUTE($B$34,"~","~~"),"*","~*"),"?","~?"),'Journal'!$B$3:$B$2002,"&lt;"&amp;DATE(2027,6,1))-(SUMIFS('Journal'!$F$3:$F$2002,'Journal'!$D$3:$D$2002,SUBSTITUTE(SUBSTITUTE(SUBSTITUTE($B$34,"~","~~"),"*","~*"),"?","~?"),'Journal'!$B$3:$B$2002,"&lt;"&amp;DATE(2027,6,1))+SUMIFS('Journal'!$G$3:$G$2002,'Journal'!$E$3:$E$2002,SUBSTITUTE(SUBSTITUTE(SUBSTITUTE($B$34,"~","~~"),"*","~*"),"?","~?"),'Journal'!$B$3:$B$2002,"&lt;"&amp;DATE(2027,6,1))))</f>
        <v/>
      </c>
      <c r="C40" s="14" t="n"/>
      <c r="D40" s="20">
        <f>IF(OR(C40="",B40=""),"",C40-B40)</f>
        <v/>
      </c>
      <c r="E40" s="9" t="n"/>
      <c r="F40" s="8" t="n"/>
    </row>
    <row r="41">
      <c r="A41" s="5" t="inlineStr">
        <is>
          <t>Juni</t>
        </is>
      </c>
      <c r="B41" s="20">
        <f>IF($B$34="","",SUMIFS('Åpningsbalanse'!$C$4:$C$103,'Åpningsbalanse'!$A$4:$A$103,SUBSTITUTE(SUBSTITUTE(SUBSTITUTE($B$34,"~","~~"),"*","~*"),"?","~?"))+SUMIFS('Journal'!$G$3:$G$2002,'Journal'!$D$3:$D$2002,SUBSTITUTE(SUBSTITUTE(SUBSTITUTE($B$34,"~","~~"),"*","~*"),"?","~?"),'Journal'!$B$3:$B$2002,"&lt;"&amp;DATE(2027,7,1))+SUMIFS('Journal'!$F$3:$F$2002,'Journal'!$E$3:$E$2002,SUBSTITUTE(SUBSTITUTE(SUBSTITUTE($B$34,"~","~~"),"*","~*"),"?","~?"),'Journal'!$B$3:$B$2002,"&lt;"&amp;DATE(2027,7,1))-(SUMIFS('Journal'!$F$3:$F$2002,'Journal'!$D$3:$D$2002,SUBSTITUTE(SUBSTITUTE(SUBSTITUTE($B$34,"~","~~"),"*","~*"),"?","~?"),'Journal'!$B$3:$B$2002,"&lt;"&amp;DATE(2027,7,1))+SUMIFS('Journal'!$G$3:$G$2002,'Journal'!$E$3:$E$2002,SUBSTITUTE(SUBSTITUTE(SUBSTITUTE($B$34,"~","~~"),"*","~*"),"?","~?"),'Journal'!$B$3:$B$2002,"&lt;"&amp;DATE(2027,7,1))))</f>
        <v/>
      </c>
      <c r="C41" s="14" t="n"/>
      <c r="D41" s="20">
        <f>IF(OR(C41="",B41=""),"",C41-B41)</f>
        <v/>
      </c>
      <c r="E41" s="9" t="n"/>
      <c r="F41" s="8" t="n"/>
    </row>
    <row r="42">
      <c r="A42" s="5" t="inlineStr">
        <is>
          <t>Juli</t>
        </is>
      </c>
      <c r="B42" s="20">
        <f>IF($B$34="","",SUMIFS('Åpningsbalanse'!$C$4:$C$103,'Åpningsbalanse'!$A$4:$A$103,SUBSTITUTE(SUBSTITUTE(SUBSTITUTE($B$34,"~","~~"),"*","~*"),"?","~?"))+SUMIFS('Journal'!$G$3:$G$2002,'Journal'!$D$3:$D$2002,SUBSTITUTE(SUBSTITUTE(SUBSTITUTE($B$34,"~","~~"),"*","~*"),"?","~?"),'Journal'!$B$3:$B$2002,"&lt;"&amp;DATE(2027,8,1))+SUMIFS('Journal'!$F$3:$F$2002,'Journal'!$E$3:$E$2002,SUBSTITUTE(SUBSTITUTE(SUBSTITUTE($B$34,"~","~~"),"*","~*"),"?","~?"),'Journal'!$B$3:$B$2002,"&lt;"&amp;DATE(2027,8,1))-(SUMIFS('Journal'!$F$3:$F$2002,'Journal'!$D$3:$D$2002,SUBSTITUTE(SUBSTITUTE(SUBSTITUTE($B$34,"~","~~"),"*","~*"),"?","~?"),'Journal'!$B$3:$B$2002,"&lt;"&amp;DATE(2027,8,1))+SUMIFS('Journal'!$G$3:$G$2002,'Journal'!$E$3:$E$2002,SUBSTITUTE(SUBSTITUTE(SUBSTITUTE($B$34,"~","~~"),"*","~*"),"?","~?"),'Journal'!$B$3:$B$2002,"&lt;"&amp;DATE(2027,8,1))))</f>
        <v/>
      </c>
      <c r="C42" s="14" t="n"/>
      <c r="D42" s="20">
        <f>IF(OR(C42="",B42=""),"",C42-B42)</f>
        <v/>
      </c>
      <c r="E42" s="9" t="n"/>
      <c r="F42" s="8" t="n"/>
    </row>
    <row r="43">
      <c r="A43" s="5" t="inlineStr">
        <is>
          <t>August</t>
        </is>
      </c>
      <c r="B43" s="20">
        <f>IF($B$34="","",SUMIFS('Åpningsbalanse'!$C$4:$C$103,'Åpningsbalanse'!$A$4:$A$103,SUBSTITUTE(SUBSTITUTE(SUBSTITUTE($B$34,"~","~~"),"*","~*"),"?","~?"))+SUMIFS('Journal'!$G$3:$G$2002,'Journal'!$D$3:$D$2002,SUBSTITUTE(SUBSTITUTE(SUBSTITUTE($B$34,"~","~~"),"*","~*"),"?","~?"),'Journal'!$B$3:$B$2002,"&lt;"&amp;DATE(2027,9,1))+SUMIFS('Journal'!$F$3:$F$2002,'Journal'!$E$3:$E$2002,SUBSTITUTE(SUBSTITUTE(SUBSTITUTE($B$34,"~","~~"),"*","~*"),"?","~?"),'Journal'!$B$3:$B$2002,"&lt;"&amp;DATE(2027,9,1))-(SUMIFS('Journal'!$F$3:$F$2002,'Journal'!$D$3:$D$2002,SUBSTITUTE(SUBSTITUTE(SUBSTITUTE($B$34,"~","~~"),"*","~*"),"?","~?"),'Journal'!$B$3:$B$2002,"&lt;"&amp;DATE(2027,9,1))+SUMIFS('Journal'!$G$3:$G$2002,'Journal'!$E$3:$E$2002,SUBSTITUTE(SUBSTITUTE(SUBSTITUTE($B$34,"~","~~"),"*","~*"),"?","~?"),'Journal'!$B$3:$B$2002,"&lt;"&amp;DATE(2027,9,1))))</f>
        <v/>
      </c>
      <c r="C43" s="14" t="n"/>
      <c r="D43" s="20">
        <f>IF(OR(C43="",B43=""),"",C43-B43)</f>
        <v/>
      </c>
      <c r="E43" s="9" t="n"/>
      <c r="F43" s="8" t="n"/>
    </row>
    <row r="44">
      <c r="A44" s="5" t="inlineStr">
        <is>
          <t>September</t>
        </is>
      </c>
      <c r="B44" s="20">
        <f>IF($B$34="","",SUMIFS('Åpningsbalanse'!$C$4:$C$103,'Åpningsbalanse'!$A$4:$A$103,SUBSTITUTE(SUBSTITUTE(SUBSTITUTE($B$34,"~","~~"),"*","~*"),"?","~?"))+SUMIFS('Journal'!$G$3:$G$2002,'Journal'!$D$3:$D$2002,SUBSTITUTE(SUBSTITUTE(SUBSTITUTE($B$34,"~","~~"),"*","~*"),"?","~?"),'Journal'!$B$3:$B$2002,"&lt;"&amp;DATE(2027,10,1))+SUMIFS('Journal'!$F$3:$F$2002,'Journal'!$E$3:$E$2002,SUBSTITUTE(SUBSTITUTE(SUBSTITUTE($B$34,"~","~~"),"*","~*"),"?","~?"),'Journal'!$B$3:$B$2002,"&lt;"&amp;DATE(2027,10,1))-(SUMIFS('Journal'!$F$3:$F$2002,'Journal'!$D$3:$D$2002,SUBSTITUTE(SUBSTITUTE(SUBSTITUTE($B$34,"~","~~"),"*","~*"),"?","~?"),'Journal'!$B$3:$B$2002,"&lt;"&amp;DATE(2027,10,1))+SUMIFS('Journal'!$G$3:$G$2002,'Journal'!$E$3:$E$2002,SUBSTITUTE(SUBSTITUTE(SUBSTITUTE($B$34,"~","~~"),"*","~*"),"?","~?"),'Journal'!$B$3:$B$2002,"&lt;"&amp;DATE(2027,10,1))))</f>
        <v/>
      </c>
      <c r="C44" s="14" t="n"/>
      <c r="D44" s="20">
        <f>IF(OR(C44="",B44=""),"",C44-B44)</f>
        <v/>
      </c>
      <c r="E44" s="9" t="n"/>
      <c r="F44" s="8" t="n"/>
    </row>
    <row r="45">
      <c r="A45" s="5" t="inlineStr">
        <is>
          <t>Oktober</t>
        </is>
      </c>
      <c r="B45" s="20">
        <f>IF($B$34="","",SUMIFS('Åpningsbalanse'!$C$4:$C$103,'Åpningsbalanse'!$A$4:$A$103,SUBSTITUTE(SUBSTITUTE(SUBSTITUTE($B$34,"~","~~"),"*","~*"),"?","~?"))+SUMIFS('Journal'!$G$3:$G$2002,'Journal'!$D$3:$D$2002,SUBSTITUTE(SUBSTITUTE(SUBSTITUTE($B$34,"~","~~"),"*","~*"),"?","~?"),'Journal'!$B$3:$B$2002,"&lt;"&amp;DATE(2027,11,1))+SUMIFS('Journal'!$F$3:$F$2002,'Journal'!$E$3:$E$2002,SUBSTITUTE(SUBSTITUTE(SUBSTITUTE($B$34,"~","~~"),"*","~*"),"?","~?"),'Journal'!$B$3:$B$2002,"&lt;"&amp;DATE(2027,11,1))-(SUMIFS('Journal'!$F$3:$F$2002,'Journal'!$D$3:$D$2002,SUBSTITUTE(SUBSTITUTE(SUBSTITUTE($B$34,"~","~~"),"*","~*"),"?","~?"),'Journal'!$B$3:$B$2002,"&lt;"&amp;DATE(2027,11,1))+SUMIFS('Journal'!$G$3:$G$2002,'Journal'!$E$3:$E$2002,SUBSTITUTE(SUBSTITUTE(SUBSTITUTE($B$34,"~","~~"),"*","~*"),"?","~?"),'Journal'!$B$3:$B$2002,"&lt;"&amp;DATE(2027,11,1))))</f>
        <v/>
      </c>
      <c r="C45" s="14" t="n"/>
      <c r="D45" s="20">
        <f>IF(OR(C45="",B45=""),"",C45-B45)</f>
        <v/>
      </c>
      <c r="E45" s="9" t="n"/>
      <c r="F45" s="8" t="n"/>
    </row>
    <row r="46">
      <c r="A46" s="5" t="inlineStr">
        <is>
          <t>November</t>
        </is>
      </c>
      <c r="B46" s="20">
        <f>IF($B$34="","",SUMIFS('Åpningsbalanse'!$C$4:$C$103,'Åpningsbalanse'!$A$4:$A$103,SUBSTITUTE(SUBSTITUTE(SUBSTITUTE($B$34,"~","~~"),"*","~*"),"?","~?"))+SUMIFS('Journal'!$G$3:$G$2002,'Journal'!$D$3:$D$2002,SUBSTITUTE(SUBSTITUTE(SUBSTITUTE($B$34,"~","~~"),"*","~*"),"?","~?"),'Journal'!$B$3:$B$2002,"&lt;"&amp;DATE(2027,12,1))+SUMIFS('Journal'!$F$3:$F$2002,'Journal'!$E$3:$E$2002,SUBSTITUTE(SUBSTITUTE(SUBSTITUTE($B$34,"~","~~"),"*","~*"),"?","~?"),'Journal'!$B$3:$B$2002,"&lt;"&amp;DATE(2027,12,1))-(SUMIFS('Journal'!$F$3:$F$2002,'Journal'!$D$3:$D$2002,SUBSTITUTE(SUBSTITUTE(SUBSTITUTE($B$34,"~","~~"),"*","~*"),"?","~?"),'Journal'!$B$3:$B$2002,"&lt;"&amp;DATE(2027,12,1))+SUMIFS('Journal'!$G$3:$G$2002,'Journal'!$E$3:$E$2002,SUBSTITUTE(SUBSTITUTE(SUBSTITUTE($B$34,"~","~~"),"*","~*"),"?","~?"),'Journal'!$B$3:$B$2002,"&lt;"&amp;DATE(2027,12,1))))</f>
        <v/>
      </c>
      <c r="C46" s="14" t="n"/>
      <c r="D46" s="20">
        <f>IF(OR(C46="",B46=""),"",C46-B46)</f>
        <v/>
      </c>
      <c r="E46" s="9" t="n"/>
      <c r="F46" s="8" t="n"/>
    </row>
    <row r="47">
      <c r="A47" s="5" t="inlineStr">
        <is>
          <t>Desember</t>
        </is>
      </c>
      <c r="B47" s="20">
        <f>IF($B$34="","",SUMIFS('Åpningsbalanse'!$C$4:$C$103,'Åpningsbalanse'!$A$4:$A$103,SUBSTITUTE(SUBSTITUTE(SUBSTITUTE($B$34,"~","~~"),"*","~*"),"?","~?"))+SUMIFS('Journal'!$G$3:$G$2002,'Journal'!$D$3:$D$2002,SUBSTITUTE(SUBSTITUTE(SUBSTITUTE($B$34,"~","~~"),"*","~*"),"?","~?"),'Journal'!$B$3:$B$2002,"&lt;"&amp;DATE(2028,1,1))+SUMIFS('Journal'!$F$3:$F$2002,'Journal'!$E$3:$E$2002,SUBSTITUTE(SUBSTITUTE(SUBSTITUTE($B$34,"~","~~"),"*","~*"),"?","~?"),'Journal'!$B$3:$B$2002,"&lt;"&amp;DATE(2028,1,1))-(SUMIFS('Journal'!$F$3:$F$2002,'Journal'!$D$3:$D$2002,SUBSTITUTE(SUBSTITUTE(SUBSTITUTE($B$34,"~","~~"),"*","~*"),"?","~?"),'Journal'!$B$3:$B$2002,"&lt;"&amp;DATE(2028,1,1))+SUMIFS('Journal'!$G$3:$G$2002,'Journal'!$E$3:$E$2002,SUBSTITUTE(SUBSTITUTE(SUBSTITUTE($B$34,"~","~~"),"*","~*"),"?","~?"),'Journal'!$B$3:$B$2002,"&lt;"&amp;DATE(2028,1,1))))</f>
        <v/>
      </c>
      <c r="C47" s="14" t="n"/>
      <c r="D47" s="20">
        <f>IF(OR(C47="",B47=""),"",C47-B47)</f>
        <v/>
      </c>
      <c r="E47" s="9" t="n"/>
      <c r="F47" s="8" t="n"/>
    </row>
    <row r="49">
      <c r="A49" s="15" t="inlineStr">
        <is>
          <t>Bankkonto</t>
        </is>
      </c>
      <c r="B49" s="8" t="n"/>
      <c r="C49" s="19" t="n"/>
    </row>
    <row r="50">
      <c r="A50" s="10" t="inlineStr">
        <is>
          <t>Måned</t>
        </is>
      </c>
      <c r="B50" s="10" t="inlineStr">
        <is>
          <t>Saldo i regnskapet</t>
        </is>
      </c>
      <c r="C50" s="10" t="inlineStr">
        <is>
          <t>Saldo på kontoutskriften</t>
        </is>
      </c>
      <c r="D50" s="10" t="inlineStr">
        <is>
          <t>Differanse</t>
        </is>
      </c>
      <c r="E50" s="10" t="inlineStr">
        <is>
          <t>Sjekket dato</t>
        </is>
      </c>
      <c r="F50" s="10" t="inlineStr">
        <is>
          <t>Kommentar</t>
        </is>
      </c>
    </row>
    <row r="51">
      <c r="A51" s="5" t="inlineStr">
        <is>
          <t>Januar</t>
        </is>
      </c>
      <c r="B51" s="20">
        <f>IF($B$49="","",SUMIFS('Åpningsbalanse'!$C$4:$C$103,'Åpningsbalanse'!$A$4:$A$103,SUBSTITUTE(SUBSTITUTE(SUBSTITUTE($B$49,"~","~~"),"*","~*"),"?","~?"))+SUMIFS('Journal'!$G$3:$G$2002,'Journal'!$D$3:$D$2002,SUBSTITUTE(SUBSTITUTE(SUBSTITUTE($B$49,"~","~~"),"*","~*"),"?","~?"),'Journal'!$B$3:$B$2002,"&lt;"&amp;DATE(2027,2,1))+SUMIFS('Journal'!$F$3:$F$2002,'Journal'!$E$3:$E$2002,SUBSTITUTE(SUBSTITUTE(SUBSTITUTE($B$49,"~","~~"),"*","~*"),"?","~?"),'Journal'!$B$3:$B$2002,"&lt;"&amp;DATE(2027,2,1))-(SUMIFS('Journal'!$F$3:$F$2002,'Journal'!$D$3:$D$2002,SUBSTITUTE(SUBSTITUTE(SUBSTITUTE($B$49,"~","~~"),"*","~*"),"?","~?"),'Journal'!$B$3:$B$2002,"&lt;"&amp;DATE(2027,2,1))+SUMIFS('Journal'!$G$3:$G$2002,'Journal'!$E$3:$E$2002,SUBSTITUTE(SUBSTITUTE(SUBSTITUTE($B$49,"~","~~"),"*","~*"),"?","~?"),'Journal'!$B$3:$B$2002,"&lt;"&amp;DATE(2027,2,1))))</f>
        <v/>
      </c>
      <c r="C51" s="14" t="n"/>
      <c r="D51" s="20">
        <f>IF(OR(C51="",B51=""),"",C51-B51)</f>
        <v/>
      </c>
      <c r="E51" s="9" t="n"/>
      <c r="F51" s="8" t="n"/>
    </row>
    <row r="52">
      <c r="A52" s="5" t="inlineStr">
        <is>
          <t>Februar</t>
        </is>
      </c>
      <c r="B52" s="20">
        <f>IF($B$49="","",SUMIFS('Åpningsbalanse'!$C$4:$C$103,'Åpningsbalanse'!$A$4:$A$103,SUBSTITUTE(SUBSTITUTE(SUBSTITUTE($B$49,"~","~~"),"*","~*"),"?","~?"))+SUMIFS('Journal'!$G$3:$G$2002,'Journal'!$D$3:$D$2002,SUBSTITUTE(SUBSTITUTE(SUBSTITUTE($B$49,"~","~~"),"*","~*"),"?","~?"),'Journal'!$B$3:$B$2002,"&lt;"&amp;DATE(2027,3,1))+SUMIFS('Journal'!$F$3:$F$2002,'Journal'!$E$3:$E$2002,SUBSTITUTE(SUBSTITUTE(SUBSTITUTE($B$49,"~","~~"),"*","~*"),"?","~?"),'Journal'!$B$3:$B$2002,"&lt;"&amp;DATE(2027,3,1))-(SUMIFS('Journal'!$F$3:$F$2002,'Journal'!$D$3:$D$2002,SUBSTITUTE(SUBSTITUTE(SUBSTITUTE($B$49,"~","~~"),"*","~*"),"?","~?"),'Journal'!$B$3:$B$2002,"&lt;"&amp;DATE(2027,3,1))+SUMIFS('Journal'!$G$3:$G$2002,'Journal'!$E$3:$E$2002,SUBSTITUTE(SUBSTITUTE(SUBSTITUTE($B$49,"~","~~"),"*","~*"),"?","~?"),'Journal'!$B$3:$B$2002,"&lt;"&amp;DATE(2027,3,1))))</f>
        <v/>
      </c>
      <c r="C52" s="14" t="n"/>
      <c r="D52" s="20">
        <f>IF(OR(C52="",B52=""),"",C52-B52)</f>
        <v/>
      </c>
      <c r="E52" s="9" t="n"/>
      <c r="F52" s="8" t="n"/>
    </row>
    <row r="53">
      <c r="A53" s="5" t="inlineStr">
        <is>
          <t>Mars</t>
        </is>
      </c>
      <c r="B53" s="20">
        <f>IF($B$49="","",SUMIFS('Åpningsbalanse'!$C$4:$C$103,'Åpningsbalanse'!$A$4:$A$103,SUBSTITUTE(SUBSTITUTE(SUBSTITUTE($B$49,"~","~~"),"*","~*"),"?","~?"))+SUMIFS('Journal'!$G$3:$G$2002,'Journal'!$D$3:$D$2002,SUBSTITUTE(SUBSTITUTE(SUBSTITUTE($B$49,"~","~~"),"*","~*"),"?","~?"),'Journal'!$B$3:$B$2002,"&lt;"&amp;DATE(2027,4,1))+SUMIFS('Journal'!$F$3:$F$2002,'Journal'!$E$3:$E$2002,SUBSTITUTE(SUBSTITUTE(SUBSTITUTE($B$49,"~","~~"),"*","~*"),"?","~?"),'Journal'!$B$3:$B$2002,"&lt;"&amp;DATE(2027,4,1))-(SUMIFS('Journal'!$F$3:$F$2002,'Journal'!$D$3:$D$2002,SUBSTITUTE(SUBSTITUTE(SUBSTITUTE($B$49,"~","~~"),"*","~*"),"?","~?"),'Journal'!$B$3:$B$2002,"&lt;"&amp;DATE(2027,4,1))+SUMIFS('Journal'!$G$3:$G$2002,'Journal'!$E$3:$E$2002,SUBSTITUTE(SUBSTITUTE(SUBSTITUTE($B$49,"~","~~"),"*","~*"),"?","~?"),'Journal'!$B$3:$B$2002,"&lt;"&amp;DATE(2027,4,1))))</f>
        <v/>
      </c>
      <c r="C53" s="14" t="n"/>
      <c r="D53" s="20">
        <f>IF(OR(C53="",B53=""),"",C53-B53)</f>
        <v/>
      </c>
      <c r="E53" s="9" t="n"/>
      <c r="F53" s="8" t="n"/>
    </row>
    <row r="54">
      <c r="A54" s="5" t="inlineStr">
        <is>
          <t>April</t>
        </is>
      </c>
      <c r="B54" s="20">
        <f>IF($B$49="","",SUMIFS('Åpningsbalanse'!$C$4:$C$103,'Åpningsbalanse'!$A$4:$A$103,SUBSTITUTE(SUBSTITUTE(SUBSTITUTE($B$49,"~","~~"),"*","~*"),"?","~?"))+SUMIFS('Journal'!$G$3:$G$2002,'Journal'!$D$3:$D$2002,SUBSTITUTE(SUBSTITUTE(SUBSTITUTE($B$49,"~","~~"),"*","~*"),"?","~?"),'Journal'!$B$3:$B$2002,"&lt;"&amp;DATE(2027,5,1))+SUMIFS('Journal'!$F$3:$F$2002,'Journal'!$E$3:$E$2002,SUBSTITUTE(SUBSTITUTE(SUBSTITUTE($B$49,"~","~~"),"*","~*"),"?","~?"),'Journal'!$B$3:$B$2002,"&lt;"&amp;DATE(2027,5,1))-(SUMIFS('Journal'!$F$3:$F$2002,'Journal'!$D$3:$D$2002,SUBSTITUTE(SUBSTITUTE(SUBSTITUTE($B$49,"~","~~"),"*","~*"),"?","~?"),'Journal'!$B$3:$B$2002,"&lt;"&amp;DATE(2027,5,1))+SUMIFS('Journal'!$G$3:$G$2002,'Journal'!$E$3:$E$2002,SUBSTITUTE(SUBSTITUTE(SUBSTITUTE($B$49,"~","~~"),"*","~*"),"?","~?"),'Journal'!$B$3:$B$2002,"&lt;"&amp;DATE(2027,5,1))))</f>
        <v/>
      </c>
      <c r="C54" s="14" t="n"/>
      <c r="D54" s="20">
        <f>IF(OR(C54="",B54=""),"",C54-B54)</f>
        <v/>
      </c>
      <c r="E54" s="9" t="n"/>
      <c r="F54" s="8" t="n"/>
    </row>
    <row r="55">
      <c r="A55" s="5" t="inlineStr">
        <is>
          <t>Mai</t>
        </is>
      </c>
      <c r="B55" s="20">
        <f>IF($B$49="","",SUMIFS('Åpningsbalanse'!$C$4:$C$103,'Åpningsbalanse'!$A$4:$A$103,SUBSTITUTE(SUBSTITUTE(SUBSTITUTE($B$49,"~","~~"),"*","~*"),"?","~?"))+SUMIFS('Journal'!$G$3:$G$2002,'Journal'!$D$3:$D$2002,SUBSTITUTE(SUBSTITUTE(SUBSTITUTE($B$49,"~","~~"),"*","~*"),"?","~?"),'Journal'!$B$3:$B$2002,"&lt;"&amp;DATE(2027,6,1))+SUMIFS('Journal'!$F$3:$F$2002,'Journal'!$E$3:$E$2002,SUBSTITUTE(SUBSTITUTE(SUBSTITUTE($B$49,"~","~~"),"*","~*"),"?","~?"),'Journal'!$B$3:$B$2002,"&lt;"&amp;DATE(2027,6,1))-(SUMIFS('Journal'!$F$3:$F$2002,'Journal'!$D$3:$D$2002,SUBSTITUTE(SUBSTITUTE(SUBSTITUTE($B$49,"~","~~"),"*","~*"),"?","~?"),'Journal'!$B$3:$B$2002,"&lt;"&amp;DATE(2027,6,1))+SUMIFS('Journal'!$G$3:$G$2002,'Journal'!$E$3:$E$2002,SUBSTITUTE(SUBSTITUTE(SUBSTITUTE($B$49,"~","~~"),"*","~*"),"?","~?"),'Journal'!$B$3:$B$2002,"&lt;"&amp;DATE(2027,6,1))))</f>
        <v/>
      </c>
      <c r="C55" s="14" t="n"/>
      <c r="D55" s="20">
        <f>IF(OR(C55="",B55=""),"",C55-B55)</f>
        <v/>
      </c>
      <c r="E55" s="9" t="n"/>
      <c r="F55" s="8" t="n"/>
    </row>
    <row r="56">
      <c r="A56" s="5" t="inlineStr">
        <is>
          <t>Juni</t>
        </is>
      </c>
      <c r="B56" s="20">
        <f>IF($B$49="","",SUMIFS('Åpningsbalanse'!$C$4:$C$103,'Åpningsbalanse'!$A$4:$A$103,SUBSTITUTE(SUBSTITUTE(SUBSTITUTE($B$49,"~","~~"),"*","~*"),"?","~?"))+SUMIFS('Journal'!$G$3:$G$2002,'Journal'!$D$3:$D$2002,SUBSTITUTE(SUBSTITUTE(SUBSTITUTE($B$49,"~","~~"),"*","~*"),"?","~?"),'Journal'!$B$3:$B$2002,"&lt;"&amp;DATE(2027,7,1))+SUMIFS('Journal'!$F$3:$F$2002,'Journal'!$E$3:$E$2002,SUBSTITUTE(SUBSTITUTE(SUBSTITUTE($B$49,"~","~~"),"*","~*"),"?","~?"),'Journal'!$B$3:$B$2002,"&lt;"&amp;DATE(2027,7,1))-(SUMIFS('Journal'!$F$3:$F$2002,'Journal'!$D$3:$D$2002,SUBSTITUTE(SUBSTITUTE(SUBSTITUTE($B$49,"~","~~"),"*","~*"),"?","~?"),'Journal'!$B$3:$B$2002,"&lt;"&amp;DATE(2027,7,1))+SUMIFS('Journal'!$G$3:$G$2002,'Journal'!$E$3:$E$2002,SUBSTITUTE(SUBSTITUTE(SUBSTITUTE($B$49,"~","~~"),"*","~*"),"?","~?"),'Journal'!$B$3:$B$2002,"&lt;"&amp;DATE(2027,7,1))))</f>
        <v/>
      </c>
      <c r="C56" s="14" t="n"/>
      <c r="D56" s="20">
        <f>IF(OR(C56="",B56=""),"",C56-B56)</f>
        <v/>
      </c>
      <c r="E56" s="9" t="n"/>
      <c r="F56" s="8" t="n"/>
    </row>
    <row r="57">
      <c r="A57" s="5" t="inlineStr">
        <is>
          <t>Juli</t>
        </is>
      </c>
      <c r="B57" s="20">
        <f>IF($B$49="","",SUMIFS('Åpningsbalanse'!$C$4:$C$103,'Åpningsbalanse'!$A$4:$A$103,SUBSTITUTE(SUBSTITUTE(SUBSTITUTE($B$49,"~","~~"),"*","~*"),"?","~?"))+SUMIFS('Journal'!$G$3:$G$2002,'Journal'!$D$3:$D$2002,SUBSTITUTE(SUBSTITUTE(SUBSTITUTE($B$49,"~","~~"),"*","~*"),"?","~?"),'Journal'!$B$3:$B$2002,"&lt;"&amp;DATE(2027,8,1))+SUMIFS('Journal'!$F$3:$F$2002,'Journal'!$E$3:$E$2002,SUBSTITUTE(SUBSTITUTE(SUBSTITUTE($B$49,"~","~~"),"*","~*"),"?","~?"),'Journal'!$B$3:$B$2002,"&lt;"&amp;DATE(2027,8,1))-(SUMIFS('Journal'!$F$3:$F$2002,'Journal'!$D$3:$D$2002,SUBSTITUTE(SUBSTITUTE(SUBSTITUTE($B$49,"~","~~"),"*","~*"),"?","~?"),'Journal'!$B$3:$B$2002,"&lt;"&amp;DATE(2027,8,1))+SUMIFS('Journal'!$G$3:$G$2002,'Journal'!$E$3:$E$2002,SUBSTITUTE(SUBSTITUTE(SUBSTITUTE($B$49,"~","~~"),"*","~*"),"?","~?"),'Journal'!$B$3:$B$2002,"&lt;"&amp;DATE(2027,8,1))))</f>
        <v/>
      </c>
      <c r="C57" s="14" t="n"/>
      <c r="D57" s="20">
        <f>IF(OR(C57="",B57=""),"",C57-B57)</f>
        <v/>
      </c>
      <c r="E57" s="9" t="n"/>
      <c r="F57" s="8" t="n"/>
    </row>
    <row r="58">
      <c r="A58" s="5" t="inlineStr">
        <is>
          <t>August</t>
        </is>
      </c>
      <c r="B58" s="20">
        <f>IF($B$49="","",SUMIFS('Åpningsbalanse'!$C$4:$C$103,'Åpningsbalanse'!$A$4:$A$103,SUBSTITUTE(SUBSTITUTE(SUBSTITUTE($B$49,"~","~~"),"*","~*"),"?","~?"))+SUMIFS('Journal'!$G$3:$G$2002,'Journal'!$D$3:$D$2002,SUBSTITUTE(SUBSTITUTE(SUBSTITUTE($B$49,"~","~~"),"*","~*"),"?","~?"),'Journal'!$B$3:$B$2002,"&lt;"&amp;DATE(2027,9,1))+SUMIFS('Journal'!$F$3:$F$2002,'Journal'!$E$3:$E$2002,SUBSTITUTE(SUBSTITUTE(SUBSTITUTE($B$49,"~","~~"),"*","~*"),"?","~?"),'Journal'!$B$3:$B$2002,"&lt;"&amp;DATE(2027,9,1))-(SUMIFS('Journal'!$F$3:$F$2002,'Journal'!$D$3:$D$2002,SUBSTITUTE(SUBSTITUTE(SUBSTITUTE($B$49,"~","~~"),"*","~*"),"?","~?"),'Journal'!$B$3:$B$2002,"&lt;"&amp;DATE(2027,9,1))+SUMIFS('Journal'!$G$3:$G$2002,'Journal'!$E$3:$E$2002,SUBSTITUTE(SUBSTITUTE(SUBSTITUTE($B$49,"~","~~"),"*","~*"),"?","~?"),'Journal'!$B$3:$B$2002,"&lt;"&amp;DATE(2027,9,1))))</f>
        <v/>
      </c>
      <c r="C58" s="14" t="n"/>
      <c r="D58" s="20">
        <f>IF(OR(C58="",B58=""),"",C58-B58)</f>
        <v/>
      </c>
      <c r="E58" s="9" t="n"/>
      <c r="F58" s="8" t="n"/>
    </row>
    <row r="59">
      <c r="A59" s="5" t="inlineStr">
        <is>
          <t>September</t>
        </is>
      </c>
      <c r="B59" s="20">
        <f>IF($B$49="","",SUMIFS('Åpningsbalanse'!$C$4:$C$103,'Åpningsbalanse'!$A$4:$A$103,SUBSTITUTE(SUBSTITUTE(SUBSTITUTE($B$49,"~","~~"),"*","~*"),"?","~?"))+SUMIFS('Journal'!$G$3:$G$2002,'Journal'!$D$3:$D$2002,SUBSTITUTE(SUBSTITUTE(SUBSTITUTE($B$49,"~","~~"),"*","~*"),"?","~?"),'Journal'!$B$3:$B$2002,"&lt;"&amp;DATE(2027,10,1))+SUMIFS('Journal'!$F$3:$F$2002,'Journal'!$E$3:$E$2002,SUBSTITUTE(SUBSTITUTE(SUBSTITUTE($B$49,"~","~~"),"*","~*"),"?","~?"),'Journal'!$B$3:$B$2002,"&lt;"&amp;DATE(2027,10,1))-(SUMIFS('Journal'!$F$3:$F$2002,'Journal'!$D$3:$D$2002,SUBSTITUTE(SUBSTITUTE(SUBSTITUTE($B$49,"~","~~"),"*","~*"),"?","~?"),'Journal'!$B$3:$B$2002,"&lt;"&amp;DATE(2027,10,1))+SUMIFS('Journal'!$G$3:$G$2002,'Journal'!$E$3:$E$2002,SUBSTITUTE(SUBSTITUTE(SUBSTITUTE($B$49,"~","~~"),"*","~*"),"?","~?"),'Journal'!$B$3:$B$2002,"&lt;"&amp;DATE(2027,10,1))))</f>
        <v/>
      </c>
      <c r="C59" s="14" t="n"/>
      <c r="D59" s="20">
        <f>IF(OR(C59="",B59=""),"",C59-B59)</f>
        <v/>
      </c>
      <c r="E59" s="9" t="n"/>
      <c r="F59" s="8" t="n"/>
    </row>
    <row r="60">
      <c r="A60" s="5" t="inlineStr">
        <is>
          <t>Oktober</t>
        </is>
      </c>
      <c r="B60" s="20">
        <f>IF($B$49="","",SUMIFS('Åpningsbalanse'!$C$4:$C$103,'Åpningsbalanse'!$A$4:$A$103,SUBSTITUTE(SUBSTITUTE(SUBSTITUTE($B$49,"~","~~"),"*","~*"),"?","~?"))+SUMIFS('Journal'!$G$3:$G$2002,'Journal'!$D$3:$D$2002,SUBSTITUTE(SUBSTITUTE(SUBSTITUTE($B$49,"~","~~"),"*","~*"),"?","~?"),'Journal'!$B$3:$B$2002,"&lt;"&amp;DATE(2027,11,1))+SUMIFS('Journal'!$F$3:$F$2002,'Journal'!$E$3:$E$2002,SUBSTITUTE(SUBSTITUTE(SUBSTITUTE($B$49,"~","~~"),"*","~*"),"?","~?"),'Journal'!$B$3:$B$2002,"&lt;"&amp;DATE(2027,11,1))-(SUMIFS('Journal'!$F$3:$F$2002,'Journal'!$D$3:$D$2002,SUBSTITUTE(SUBSTITUTE(SUBSTITUTE($B$49,"~","~~"),"*","~*"),"?","~?"),'Journal'!$B$3:$B$2002,"&lt;"&amp;DATE(2027,11,1))+SUMIFS('Journal'!$G$3:$G$2002,'Journal'!$E$3:$E$2002,SUBSTITUTE(SUBSTITUTE(SUBSTITUTE($B$49,"~","~~"),"*","~*"),"?","~?"),'Journal'!$B$3:$B$2002,"&lt;"&amp;DATE(2027,11,1))))</f>
        <v/>
      </c>
      <c r="C60" s="14" t="n"/>
      <c r="D60" s="20">
        <f>IF(OR(C60="",B60=""),"",C60-B60)</f>
        <v/>
      </c>
      <c r="E60" s="9" t="n"/>
      <c r="F60" s="8" t="n"/>
    </row>
    <row r="61">
      <c r="A61" s="5" t="inlineStr">
        <is>
          <t>November</t>
        </is>
      </c>
      <c r="B61" s="20">
        <f>IF($B$49="","",SUMIFS('Åpningsbalanse'!$C$4:$C$103,'Åpningsbalanse'!$A$4:$A$103,SUBSTITUTE(SUBSTITUTE(SUBSTITUTE($B$49,"~","~~"),"*","~*"),"?","~?"))+SUMIFS('Journal'!$G$3:$G$2002,'Journal'!$D$3:$D$2002,SUBSTITUTE(SUBSTITUTE(SUBSTITUTE($B$49,"~","~~"),"*","~*"),"?","~?"),'Journal'!$B$3:$B$2002,"&lt;"&amp;DATE(2027,12,1))+SUMIFS('Journal'!$F$3:$F$2002,'Journal'!$E$3:$E$2002,SUBSTITUTE(SUBSTITUTE(SUBSTITUTE($B$49,"~","~~"),"*","~*"),"?","~?"),'Journal'!$B$3:$B$2002,"&lt;"&amp;DATE(2027,12,1))-(SUMIFS('Journal'!$F$3:$F$2002,'Journal'!$D$3:$D$2002,SUBSTITUTE(SUBSTITUTE(SUBSTITUTE($B$49,"~","~~"),"*","~*"),"?","~?"),'Journal'!$B$3:$B$2002,"&lt;"&amp;DATE(2027,12,1))+SUMIFS('Journal'!$G$3:$G$2002,'Journal'!$E$3:$E$2002,SUBSTITUTE(SUBSTITUTE(SUBSTITUTE($B$49,"~","~~"),"*","~*"),"?","~?"),'Journal'!$B$3:$B$2002,"&lt;"&amp;DATE(2027,12,1))))</f>
        <v/>
      </c>
      <c r="C61" s="14" t="n"/>
      <c r="D61" s="20">
        <f>IF(OR(C61="",B61=""),"",C61-B61)</f>
        <v/>
      </c>
      <c r="E61" s="9" t="n"/>
      <c r="F61" s="8" t="n"/>
    </row>
    <row r="62">
      <c r="A62" s="5" t="inlineStr">
        <is>
          <t>Desember</t>
        </is>
      </c>
      <c r="B62" s="20">
        <f>IF($B$49="","",SUMIFS('Åpningsbalanse'!$C$4:$C$103,'Åpningsbalanse'!$A$4:$A$103,SUBSTITUTE(SUBSTITUTE(SUBSTITUTE($B$49,"~","~~"),"*","~*"),"?","~?"))+SUMIFS('Journal'!$G$3:$G$2002,'Journal'!$D$3:$D$2002,SUBSTITUTE(SUBSTITUTE(SUBSTITUTE($B$49,"~","~~"),"*","~*"),"?","~?"),'Journal'!$B$3:$B$2002,"&lt;"&amp;DATE(2028,1,1))+SUMIFS('Journal'!$F$3:$F$2002,'Journal'!$E$3:$E$2002,SUBSTITUTE(SUBSTITUTE(SUBSTITUTE($B$49,"~","~~"),"*","~*"),"?","~?"),'Journal'!$B$3:$B$2002,"&lt;"&amp;DATE(2028,1,1))-(SUMIFS('Journal'!$F$3:$F$2002,'Journal'!$D$3:$D$2002,SUBSTITUTE(SUBSTITUTE(SUBSTITUTE($B$49,"~","~~"),"*","~*"),"?","~?"),'Journal'!$B$3:$B$2002,"&lt;"&amp;DATE(2028,1,1))+SUMIFS('Journal'!$G$3:$G$2002,'Journal'!$E$3:$E$2002,SUBSTITUTE(SUBSTITUTE(SUBSTITUTE($B$49,"~","~~"),"*","~*"),"?","~?"),'Journal'!$B$3:$B$2002,"&lt;"&amp;DATE(2028,1,1))))</f>
        <v/>
      </c>
      <c r="C62" s="14" t="n"/>
      <c r="D62" s="20">
        <f>IF(OR(C62="",B62=""),"",C62-B62)</f>
        <v/>
      </c>
      <c r="E62" s="9" t="n"/>
      <c r="F62" s="8" t="n"/>
    </row>
    <row r="64">
      <c r="A64" s="15" t="inlineStr">
        <is>
          <t>Bankkonto</t>
        </is>
      </c>
      <c r="B64" s="8" t="n"/>
      <c r="C64" s="19" t="n"/>
    </row>
    <row r="65">
      <c r="A65" s="10" t="inlineStr">
        <is>
          <t>Måned</t>
        </is>
      </c>
      <c r="B65" s="10" t="inlineStr">
        <is>
          <t>Saldo i regnskapet</t>
        </is>
      </c>
      <c r="C65" s="10" t="inlineStr">
        <is>
          <t>Saldo på kontoutskriften</t>
        </is>
      </c>
      <c r="D65" s="10" t="inlineStr">
        <is>
          <t>Differanse</t>
        </is>
      </c>
      <c r="E65" s="10" t="inlineStr">
        <is>
          <t>Sjekket dato</t>
        </is>
      </c>
      <c r="F65" s="10" t="inlineStr">
        <is>
          <t>Kommentar</t>
        </is>
      </c>
    </row>
    <row r="66">
      <c r="A66" s="5" t="inlineStr">
        <is>
          <t>Januar</t>
        </is>
      </c>
      <c r="B66" s="20">
        <f>IF($B$64="","",SUMIFS('Åpningsbalanse'!$C$4:$C$103,'Åpningsbalanse'!$A$4:$A$103,SUBSTITUTE(SUBSTITUTE(SUBSTITUTE($B$64,"~","~~"),"*","~*"),"?","~?"))+SUMIFS('Journal'!$G$3:$G$2002,'Journal'!$D$3:$D$2002,SUBSTITUTE(SUBSTITUTE(SUBSTITUTE($B$64,"~","~~"),"*","~*"),"?","~?"),'Journal'!$B$3:$B$2002,"&lt;"&amp;DATE(2027,2,1))+SUMIFS('Journal'!$F$3:$F$2002,'Journal'!$E$3:$E$2002,SUBSTITUTE(SUBSTITUTE(SUBSTITUTE($B$64,"~","~~"),"*","~*"),"?","~?"),'Journal'!$B$3:$B$2002,"&lt;"&amp;DATE(2027,2,1))-(SUMIFS('Journal'!$F$3:$F$2002,'Journal'!$D$3:$D$2002,SUBSTITUTE(SUBSTITUTE(SUBSTITUTE($B$64,"~","~~"),"*","~*"),"?","~?"),'Journal'!$B$3:$B$2002,"&lt;"&amp;DATE(2027,2,1))+SUMIFS('Journal'!$G$3:$G$2002,'Journal'!$E$3:$E$2002,SUBSTITUTE(SUBSTITUTE(SUBSTITUTE($B$64,"~","~~"),"*","~*"),"?","~?"),'Journal'!$B$3:$B$2002,"&lt;"&amp;DATE(2027,2,1))))</f>
        <v/>
      </c>
      <c r="C66" s="14" t="n"/>
      <c r="D66" s="20">
        <f>IF(OR(C66="",B66=""),"",C66-B66)</f>
        <v/>
      </c>
      <c r="E66" s="9" t="n"/>
      <c r="F66" s="8" t="n"/>
    </row>
    <row r="67">
      <c r="A67" s="5" t="inlineStr">
        <is>
          <t>Februar</t>
        </is>
      </c>
      <c r="B67" s="20">
        <f>IF($B$64="","",SUMIFS('Åpningsbalanse'!$C$4:$C$103,'Åpningsbalanse'!$A$4:$A$103,SUBSTITUTE(SUBSTITUTE(SUBSTITUTE($B$64,"~","~~"),"*","~*"),"?","~?"))+SUMIFS('Journal'!$G$3:$G$2002,'Journal'!$D$3:$D$2002,SUBSTITUTE(SUBSTITUTE(SUBSTITUTE($B$64,"~","~~"),"*","~*"),"?","~?"),'Journal'!$B$3:$B$2002,"&lt;"&amp;DATE(2027,3,1))+SUMIFS('Journal'!$F$3:$F$2002,'Journal'!$E$3:$E$2002,SUBSTITUTE(SUBSTITUTE(SUBSTITUTE($B$64,"~","~~"),"*","~*"),"?","~?"),'Journal'!$B$3:$B$2002,"&lt;"&amp;DATE(2027,3,1))-(SUMIFS('Journal'!$F$3:$F$2002,'Journal'!$D$3:$D$2002,SUBSTITUTE(SUBSTITUTE(SUBSTITUTE($B$64,"~","~~"),"*","~*"),"?","~?"),'Journal'!$B$3:$B$2002,"&lt;"&amp;DATE(2027,3,1))+SUMIFS('Journal'!$G$3:$G$2002,'Journal'!$E$3:$E$2002,SUBSTITUTE(SUBSTITUTE(SUBSTITUTE($B$64,"~","~~"),"*","~*"),"?","~?"),'Journal'!$B$3:$B$2002,"&lt;"&amp;DATE(2027,3,1))))</f>
        <v/>
      </c>
      <c r="C67" s="14" t="n"/>
      <c r="D67" s="20">
        <f>IF(OR(C67="",B67=""),"",C67-B67)</f>
        <v/>
      </c>
      <c r="E67" s="9" t="n"/>
      <c r="F67" s="8" t="n"/>
    </row>
    <row r="68">
      <c r="A68" s="5" t="inlineStr">
        <is>
          <t>Mars</t>
        </is>
      </c>
      <c r="B68" s="20">
        <f>IF($B$64="","",SUMIFS('Åpningsbalanse'!$C$4:$C$103,'Åpningsbalanse'!$A$4:$A$103,SUBSTITUTE(SUBSTITUTE(SUBSTITUTE($B$64,"~","~~"),"*","~*"),"?","~?"))+SUMIFS('Journal'!$G$3:$G$2002,'Journal'!$D$3:$D$2002,SUBSTITUTE(SUBSTITUTE(SUBSTITUTE($B$64,"~","~~"),"*","~*"),"?","~?"),'Journal'!$B$3:$B$2002,"&lt;"&amp;DATE(2027,4,1))+SUMIFS('Journal'!$F$3:$F$2002,'Journal'!$E$3:$E$2002,SUBSTITUTE(SUBSTITUTE(SUBSTITUTE($B$64,"~","~~"),"*","~*"),"?","~?"),'Journal'!$B$3:$B$2002,"&lt;"&amp;DATE(2027,4,1))-(SUMIFS('Journal'!$F$3:$F$2002,'Journal'!$D$3:$D$2002,SUBSTITUTE(SUBSTITUTE(SUBSTITUTE($B$64,"~","~~"),"*","~*"),"?","~?"),'Journal'!$B$3:$B$2002,"&lt;"&amp;DATE(2027,4,1))+SUMIFS('Journal'!$G$3:$G$2002,'Journal'!$E$3:$E$2002,SUBSTITUTE(SUBSTITUTE(SUBSTITUTE($B$64,"~","~~"),"*","~*"),"?","~?"),'Journal'!$B$3:$B$2002,"&lt;"&amp;DATE(2027,4,1))))</f>
        <v/>
      </c>
      <c r="C68" s="14" t="n"/>
      <c r="D68" s="20">
        <f>IF(OR(C68="",B68=""),"",C68-B68)</f>
        <v/>
      </c>
      <c r="E68" s="9" t="n"/>
      <c r="F68" s="8" t="n"/>
    </row>
    <row r="69">
      <c r="A69" s="5" t="inlineStr">
        <is>
          <t>April</t>
        </is>
      </c>
      <c r="B69" s="20">
        <f>IF($B$64="","",SUMIFS('Åpningsbalanse'!$C$4:$C$103,'Åpningsbalanse'!$A$4:$A$103,SUBSTITUTE(SUBSTITUTE(SUBSTITUTE($B$64,"~","~~"),"*","~*"),"?","~?"))+SUMIFS('Journal'!$G$3:$G$2002,'Journal'!$D$3:$D$2002,SUBSTITUTE(SUBSTITUTE(SUBSTITUTE($B$64,"~","~~"),"*","~*"),"?","~?"),'Journal'!$B$3:$B$2002,"&lt;"&amp;DATE(2027,5,1))+SUMIFS('Journal'!$F$3:$F$2002,'Journal'!$E$3:$E$2002,SUBSTITUTE(SUBSTITUTE(SUBSTITUTE($B$64,"~","~~"),"*","~*"),"?","~?"),'Journal'!$B$3:$B$2002,"&lt;"&amp;DATE(2027,5,1))-(SUMIFS('Journal'!$F$3:$F$2002,'Journal'!$D$3:$D$2002,SUBSTITUTE(SUBSTITUTE(SUBSTITUTE($B$64,"~","~~"),"*","~*"),"?","~?"),'Journal'!$B$3:$B$2002,"&lt;"&amp;DATE(2027,5,1))+SUMIFS('Journal'!$G$3:$G$2002,'Journal'!$E$3:$E$2002,SUBSTITUTE(SUBSTITUTE(SUBSTITUTE($B$64,"~","~~"),"*","~*"),"?","~?"),'Journal'!$B$3:$B$2002,"&lt;"&amp;DATE(2027,5,1))))</f>
        <v/>
      </c>
      <c r="C69" s="14" t="n"/>
      <c r="D69" s="20">
        <f>IF(OR(C69="",B69=""),"",C69-B69)</f>
        <v/>
      </c>
      <c r="E69" s="9" t="n"/>
      <c r="F69" s="8" t="n"/>
    </row>
    <row r="70">
      <c r="A70" s="5" t="inlineStr">
        <is>
          <t>Mai</t>
        </is>
      </c>
      <c r="B70" s="20">
        <f>IF($B$64="","",SUMIFS('Åpningsbalanse'!$C$4:$C$103,'Åpningsbalanse'!$A$4:$A$103,SUBSTITUTE(SUBSTITUTE(SUBSTITUTE($B$64,"~","~~"),"*","~*"),"?","~?"))+SUMIFS('Journal'!$G$3:$G$2002,'Journal'!$D$3:$D$2002,SUBSTITUTE(SUBSTITUTE(SUBSTITUTE($B$64,"~","~~"),"*","~*"),"?","~?"),'Journal'!$B$3:$B$2002,"&lt;"&amp;DATE(2027,6,1))+SUMIFS('Journal'!$F$3:$F$2002,'Journal'!$E$3:$E$2002,SUBSTITUTE(SUBSTITUTE(SUBSTITUTE($B$64,"~","~~"),"*","~*"),"?","~?"),'Journal'!$B$3:$B$2002,"&lt;"&amp;DATE(2027,6,1))-(SUMIFS('Journal'!$F$3:$F$2002,'Journal'!$D$3:$D$2002,SUBSTITUTE(SUBSTITUTE(SUBSTITUTE($B$64,"~","~~"),"*","~*"),"?","~?"),'Journal'!$B$3:$B$2002,"&lt;"&amp;DATE(2027,6,1))+SUMIFS('Journal'!$G$3:$G$2002,'Journal'!$E$3:$E$2002,SUBSTITUTE(SUBSTITUTE(SUBSTITUTE($B$64,"~","~~"),"*","~*"),"?","~?"),'Journal'!$B$3:$B$2002,"&lt;"&amp;DATE(2027,6,1))))</f>
        <v/>
      </c>
      <c r="C70" s="14" t="n"/>
      <c r="D70" s="20">
        <f>IF(OR(C70="",B70=""),"",C70-B70)</f>
        <v/>
      </c>
      <c r="E70" s="9" t="n"/>
      <c r="F70" s="8" t="n"/>
    </row>
    <row r="71">
      <c r="A71" s="5" t="inlineStr">
        <is>
          <t>Juni</t>
        </is>
      </c>
      <c r="B71" s="20">
        <f>IF($B$64="","",SUMIFS('Åpningsbalanse'!$C$4:$C$103,'Åpningsbalanse'!$A$4:$A$103,SUBSTITUTE(SUBSTITUTE(SUBSTITUTE($B$64,"~","~~"),"*","~*"),"?","~?"))+SUMIFS('Journal'!$G$3:$G$2002,'Journal'!$D$3:$D$2002,SUBSTITUTE(SUBSTITUTE(SUBSTITUTE($B$64,"~","~~"),"*","~*"),"?","~?"),'Journal'!$B$3:$B$2002,"&lt;"&amp;DATE(2027,7,1))+SUMIFS('Journal'!$F$3:$F$2002,'Journal'!$E$3:$E$2002,SUBSTITUTE(SUBSTITUTE(SUBSTITUTE($B$64,"~","~~"),"*","~*"),"?","~?"),'Journal'!$B$3:$B$2002,"&lt;"&amp;DATE(2027,7,1))-(SUMIFS('Journal'!$F$3:$F$2002,'Journal'!$D$3:$D$2002,SUBSTITUTE(SUBSTITUTE(SUBSTITUTE($B$64,"~","~~"),"*","~*"),"?","~?"),'Journal'!$B$3:$B$2002,"&lt;"&amp;DATE(2027,7,1))+SUMIFS('Journal'!$G$3:$G$2002,'Journal'!$E$3:$E$2002,SUBSTITUTE(SUBSTITUTE(SUBSTITUTE($B$64,"~","~~"),"*","~*"),"?","~?"),'Journal'!$B$3:$B$2002,"&lt;"&amp;DATE(2027,7,1))))</f>
        <v/>
      </c>
      <c r="C71" s="14" t="n"/>
      <c r="D71" s="20">
        <f>IF(OR(C71="",B71=""),"",C71-B71)</f>
        <v/>
      </c>
      <c r="E71" s="9" t="n"/>
      <c r="F71" s="8" t="n"/>
    </row>
    <row r="72">
      <c r="A72" s="5" t="inlineStr">
        <is>
          <t>Juli</t>
        </is>
      </c>
      <c r="B72" s="20">
        <f>IF($B$64="","",SUMIFS('Åpningsbalanse'!$C$4:$C$103,'Åpningsbalanse'!$A$4:$A$103,SUBSTITUTE(SUBSTITUTE(SUBSTITUTE($B$64,"~","~~"),"*","~*"),"?","~?"))+SUMIFS('Journal'!$G$3:$G$2002,'Journal'!$D$3:$D$2002,SUBSTITUTE(SUBSTITUTE(SUBSTITUTE($B$64,"~","~~"),"*","~*"),"?","~?"),'Journal'!$B$3:$B$2002,"&lt;"&amp;DATE(2027,8,1))+SUMIFS('Journal'!$F$3:$F$2002,'Journal'!$E$3:$E$2002,SUBSTITUTE(SUBSTITUTE(SUBSTITUTE($B$64,"~","~~"),"*","~*"),"?","~?"),'Journal'!$B$3:$B$2002,"&lt;"&amp;DATE(2027,8,1))-(SUMIFS('Journal'!$F$3:$F$2002,'Journal'!$D$3:$D$2002,SUBSTITUTE(SUBSTITUTE(SUBSTITUTE($B$64,"~","~~"),"*","~*"),"?","~?"),'Journal'!$B$3:$B$2002,"&lt;"&amp;DATE(2027,8,1))+SUMIFS('Journal'!$G$3:$G$2002,'Journal'!$E$3:$E$2002,SUBSTITUTE(SUBSTITUTE(SUBSTITUTE($B$64,"~","~~"),"*","~*"),"?","~?"),'Journal'!$B$3:$B$2002,"&lt;"&amp;DATE(2027,8,1))))</f>
        <v/>
      </c>
      <c r="C72" s="14" t="n"/>
      <c r="D72" s="20">
        <f>IF(OR(C72="",B72=""),"",C72-B72)</f>
        <v/>
      </c>
      <c r="E72" s="9" t="n"/>
      <c r="F72" s="8" t="n"/>
    </row>
    <row r="73">
      <c r="A73" s="5" t="inlineStr">
        <is>
          <t>August</t>
        </is>
      </c>
      <c r="B73" s="20">
        <f>IF($B$64="","",SUMIFS('Åpningsbalanse'!$C$4:$C$103,'Åpningsbalanse'!$A$4:$A$103,SUBSTITUTE(SUBSTITUTE(SUBSTITUTE($B$64,"~","~~"),"*","~*"),"?","~?"))+SUMIFS('Journal'!$G$3:$G$2002,'Journal'!$D$3:$D$2002,SUBSTITUTE(SUBSTITUTE(SUBSTITUTE($B$64,"~","~~"),"*","~*"),"?","~?"),'Journal'!$B$3:$B$2002,"&lt;"&amp;DATE(2027,9,1))+SUMIFS('Journal'!$F$3:$F$2002,'Journal'!$E$3:$E$2002,SUBSTITUTE(SUBSTITUTE(SUBSTITUTE($B$64,"~","~~"),"*","~*"),"?","~?"),'Journal'!$B$3:$B$2002,"&lt;"&amp;DATE(2027,9,1))-(SUMIFS('Journal'!$F$3:$F$2002,'Journal'!$D$3:$D$2002,SUBSTITUTE(SUBSTITUTE(SUBSTITUTE($B$64,"~","~~"),"*","~*"),"?","~?"),'Journal'!$B$3:$B$2002,"&lt;"&amp;DATE(2027,9,1))+SUMIFS('Journal'!$G$3:$G$2002,'Journal'!$E$3:$E$2002,SUBSTITUTE(SUBSTITUTE(SUBSTITUTE($B$64,"~","~~"),"*","~*"),"?","~?"),'Journal'!$B$3:$B$2002,"&lt;"&amp;DATE(2027,9,1))))</f>
        <v/>
      </c>
      <c r="C73" s="14" t="n"/>
      <c r="D73" s="20">
        <f>IF(OR(C73="",B73=""),"",C73-B73)</f>
        <v/>
      </c>
      <c r="E73" s="9" t="n"/>
      <c r="F73" s="8" t="n"/>
    </row>
    <row r="74">
      <c r="A74" s="5" t="inlineStr">
        <is>
          <t>September</t>
        </is>
      </c>
      <c r="B74" s="20">
        <f>IF($B$64="","",SUMIFS('Åpningsbalanse'!$C$4:$C$103,'Åpningsbalanse'!$A$4:$A$103,SUBSTITUTE(SUBSTITUTE(SUBSTITUTE($B$64,"~","~~"),"*","~*"),"?","~?"))+SUMIFS('Journal'!$G$3:$G$2002,'Journal'!$D$3:$D$2002,SUBSTITUTE(SUBSTITUTE(SUBSTITUTE($B$64,"~","~~"),"*","~*"),"?","~?"),'Journal'!$B$3:$B$2002,"&lt;"&amp;DATE(2027,10,1))+SUMIFS('Journal'!$F$3:$F$2002,'Journal'!$E$3:$E$2002,SUBSTITUTE(SUBSTITUTE(SUBSTITUTE($B$64,"~","~~"),"*","~*"),"?","~?"),'Journal'!$B$3:$B$2002,"&lt;"&amp;DATE(2027,10,1))-(SUMIFS('Journal'!$F$3:$F$2002,'Journal'!$D$3:$D$2002,SUBSTITUTE(SUBSTITUTE(SUBSTITUTE($B$64,"~","~~"),"*","~*"),"?","~?"),'Journal'!$B$3:$B$2002,"&lt;"&amp;DATE(2027,10,1))+SUMIFS('Journal'!$G$3:$G$2002,'Journal'!$E$3:$E$2002,SUBSTITUTE(SUBSTITUTE(SUBSTITUTE($B$64,"~","~~"),"*","~*"),"?","~?"),'Journal'!$B$3:$B$2002,"&lt;"&amp;DATE(2027,10,1))))</f>
        <v/>
      </c>
      <c r="C74" s="14" t="n"/>
      <c r="D74" s="20">
        <f>IF(OR(C74="",B74=""),"",C74-B74)</f>
        <v/>
      </c>
      <c r="E74" s="9" t="n"/>
      <c r="F74" s="8" t="n"/>
    </row>
    <row r="75">
      <c r="A75" s="5" t="inlineStr">
        <is>
          <t>Oktober</t>
        </is>
      </c>
      <c r="B75" s="20">
        <f>IF($B$64="","",SUMIFS('Åpningsbalanse'!$C$4:$C$103,'Åpningsbalanse'!$A$4:$A$103,SUBSTITUTE(SUBSTITUTE(SUBSTITUTE($B$64,"~","~~"),"*","~*"),"?","~?"))+SUMIFS('Journal'!$G$3:$G$2002,'Journal'!$D$3:$D$2002,SUBSTITUTE(SUBSTITUTE(SUBSTITUTE($B$64,"~","~~"),"*","~*"),"?","~?"),'Journal'!$B$3:$B$2002,"&lt;"&amp;DATE(2027,11,1))+SUMIFS('Journal'!$F$3:$F$2002,'Journal'!$E$3:$E$2002,SUBSTITUTE(SUBSTITUTE(SUBSTITUTE($B$64,"~","~~"),"*","~*"),"?","~?"),'Journal'!$B$3:$B$2002,"&lt;"&amp;DATE(2027,11,1))-(SUMIFS('Journal'!$F$3:$F$2002,'Journal'!$D$3:$D$2002,SUBSTITUTE(SUBSTITUTE(SUBSTITUTE($B$64,"~","~~"),"*","~*"),"?","~?"),'Journal'!$B$3:$B$2002,"&lt;"&amp;DATE(2027,11,1))+SUMIFS('Journal'!$G$3:$G$2002,'Journal'!$E$3:$E$2002,SUBSTITUTE(SUBSTITUTE(SUBSTITUTE($B$64,"~","~~"),"*","~*"),"?","~?"),'Journal'!$B$3:$B$2002,"&lt;"&amp;DATE(2027,11,1))))</f>
        <v/>
      </c>
      <c r="C75" s="14" t="n"/>
      <c r="D75" s="20">
        <f>IF(OR(C75="",B75=""),"",C75-B75)</f>
        <v/>
      </c>
      <c r="E75" s="9" t="n"/>
      <c r="F75" s="8" t="n"/>
    </row>
    <row r="76">
      <c r="A76" s="5" t="inlineStr">
        <is>
          <t>November</t>
        </is>
      </c>
      <c r="B76" s="20">
        <f>IF($B$64="","",SUMIFS('Åpningsbalanse'!$C$4:$C$103,'Åpningsbalanse'!$A$4:$A$103,SUBSTITUTE(SUBSTITUTE(SUBSTITUTE($B$64,"~","~~"),"*","~*"),"?","~?"))+SUMIFS('Journal'!$G$3:$G$2002,'Journal'!$D$3:$D$2002,SUBSTITUTE(SUBSTITUTE(SUBSTITUTE($B$64,"~","~~"),"*","~*"),"?","~?"),'Journal'!$B$3:$B$2002,"&lt;"&amp;DATE(2027,12,1))+SUMIFS('Journal'!$F$3:$F$2002,'Journal'!$E$3:$E$2002,SUBSTITUTE(SUBSTITUTE(SUBSTITUTE($B$64,"~","~~"),"*","~*"),"?","~?"),'Journal'!$B$3:$B$2002,"&lt;"&amp;DATE(2027,12,1))-(SUMIFS('Journal'!$F$3:$F$2002,'Journal'!$D$3:$D$2002,SUBSTITUTE(SUBSTITUTE(SUBSTITUTE($B$64,"~","~~"),"*","~*"),"?","~?"),'Journal'!$B$3:$B$2002,"&lt;"&amp;DATE(2027,12,1))+SUMIFS('Journal'!$G$3:$G$2002,'Journal'!$E$3:$E$2002,SUBSTITUTE(SUBSTITUTE(SUBSTITUTE($B$64,"~","~~"),"*","~*"),"?","~?"),'Journal'!$B$3:$B$2002,"&lt;"&amp;DATE(2027,12,1))))</f>
        <v/>
      </c>
      <c r="C76" s="14" t="n"/>
      <c r="D76" s="20">
        <f>IF(OR(C76="",B76=""),"",C76-B76)</f>
        <v/>
      </c>
      <c r="E76" s="9" t="n"/>
      <c r="F76" s="8" t="n"/>
    </row>
    <row r="77">
      <c r="A77" s="5" t="inlineStr">
        <is>
          <t>Desember</t>
        </is>
      </c>
      <c r="B77" s="20">
        <f>IF($B$64="","",SUMIFS('Åpningsbalanse'!$C$4:$C$103,'Åpningsbalanse'!$A$4:$A$103,SUBSTITUTE(SUBSTITUTE(SUBSTITUTE($B$64,"~","~~"),"*","~*"),"?","~?"))+SUMIFS('Journal'!$G$3:$G$2002,'Journal'!$D$3:$D$2002,SUBSTITUTE(SUBSTITUTE(SUBSTITUTE($B$64,"~","~~"),"*","~*"),"?","~?"),'Journal'!$B$3:$B$2002,"&lt;"&amp;DATE(2028,1,1))+SUMIFS('Journal'!$F$3:$F$2002,'Journal'!$E$3:$E$2002,SUBSTITUTE(SUBSTITUTE(SUBSTITUTE($B$64,"~","~~"),"*","~*"),"?","~?"),'Journal'!$B$3:$B$2002,"&lt;"&amp;DATE(2028,1,1))-(SUMIFS('Journal'!$F$3:$F$2002,'Journal'!$D$3:$D$2002,SUBSTITUTE(SUBSTITUTE(SUBSTITUTE($B$64,"~","~~"),"*","~*"),"?","~?"),'Journal'!$B$3:$B$2002,"&lt;"&amp;DATE(2028,1,1))+SUMIFS('Journal'!$G$3:$G$2002,'Journal'!$E$3:$E$2002,SUBSTITUTE(SUBSTITUTE(SUBSTITUTE($B$64,"~","~~"),"*","~*"),"?","~?"),'Journal'!$B$3:$B$2002,"&lt;"&amp;DATE(2028,1,1))))</f>
        <v/>
      </c>
      <c r="C77" s="14" t="n"/>
      <c r="D77" s="20">
        <f>IF(OR(C77="",B77=""),"",C77-B77)</f>
        <v/>
      </c>
      <c r="E77" s="9" t="n"/>
      <c r="F77" s="8" t="n"/>
    </row>
  </sheetData>
  <sheetProtection selectLockedCells="0" selectUnlockedCells="0" sheet="1" objects="0" insertRows="1" insertHyperlinks="1" autoFilter="1" scenarios="0" formatColumns="1" deleteColumns="1" insertColumns="1" pivotTables="1" deleteRows="1" formatCells="1" formatRows="1" sort="1"/>
  <mergeCells count="6">
    <mergeCell ref="A2:F2"/>
    <mergeCell ref="B64:C64"/>
    <mergeCell ref="B19:C19"/>
    <mergeCell ref="B34:C34"/>
    <mergeCell ref="B49:C49"/>
    <mergeCell ref="B4:C4"/>
  </mergeCells>
  <conditionalFormatting sqref="D6:D17">
    <cfRule type="expression" priority="1" dxfId="0" stopIfTrue="0">
      <formula>AND(D6&lt;&gt;"",ROUND(N(D6),2)&lt;&gt;0)</formula>
    </cfRule>
  </conditionalFormatting>
  <conditionalFormatting sqref="D21:D32">
    <cfRule type="expression" priority="2" dxfId="0" stopIfTrue="0">
      <formula>AND(D21&lt;&gt;"",ROUND(N(D21),2)&lt;&gt;0)</formula>
    </cfRule>
  </conditionalFormatting>
  <conditionalFormatting sqref="D36:D47">
    <cfRule type="expression" priority="3" dxfId="0" stopIfTrue="0">
      <formula>AND(D36&lt;&gt;"",ROUND(N(D36),2)&lt;&gt;0)</formula>
    </cfRule>
  </conditionalFormatting>
  <conditionalFormatting sqref="D51:D62">
    <cfRule type="expression" priority="4" dxfId="0" stopIfTrue="0">
      <formula>AND(D51&lt;&gt;"",ROUND(N(D51),2)&lt;&gt;0)</formula>
    </cfRule>
  </conditionalFormatting>
  <conditionalFormatting sqref="D66:D77">
    <cfRule type="expression" priority="5" dxfId="0" stopIfTrue="0">
      <formula>AND(D66&lt;&gt;"",ROUND(N(D66),2)&lt;&gt;0)</formula>
    </cfRule>
  </conditionalFormatting>
  <dataValidations count="15">
    <dataValidation sqref="B4" showDropDown="0" showInputMessage="0" showErrorMessage="1" allowBlank="1" errorTitle="Formells regnskapsmal" error="Velg en bankkonto fra «Kontoplan»." type="list">
      <formula1>'_lister'!$L$2:$L$21</formula1>
    </dataValidation>
    <dataValidation sqref="C6:C17" showDropDown="0" showInputMessage="0" showErrorMessage="1" allowBlank="1" errorTitle="Formells regnskapsmal" error="Skriv saldoen som et tall." type="decimal" operator="between">
      <formula1>-1000000000000</formula1>
      <formula2>1000000000000</formula2>
    </dataValidation>
    <dataValidation sqref="E6:E17" showDropDown="0" showInputMessage="0" showErrorMessage="1" allowBlank="1" errorTitle="Formells regnskapsmal" error="Skriv en dato." type="date" operator="greaterThan">
      <formula1>DATE(2000,1,1)</formula1>
    </dataValidation>
    <dataValidation sqref="B19" showDropDown="0" showInputMessage="0" showErrorMessage="1" allowBlank="1" errorTitle="Formells regnskapsmal" error="Velg en bankkonto fra «Kontoplan»." type="list">
      <formula1>'_lister'!$L$2:$L$21</formula1>
    </dataValidation>
    <dataValidation sqref="C21:C32" showDropDown="0" showInputMessage="0" showErrorMessage="1" allowBlank="1" errorTitle="Formells regnskapsmal" error="Skriv saldoen som et tall." type="decimal" operator="between">
      <formula1>-1000000000000</formula1>
      <formula2>1000000000000</formula2>
    </dataValidation>
    <dataValidation sqref="E21:E32" showDropDown="0" showInputMessage="0" showErrorMessage="1" allowBlank="1" errorTitle="Formells regnskapsmal" error="Skriv en dato." type="date" operator="greaterThan">
      <formula1>DATE(2000,1,1)</formula1>
    </dataValidation>
    <dataValidation sqref="B34" showDropDown="0" showInputMessage="0" showErrorMessage="1" allowBlank="1" errorTitle="Formells regnskapsmal" error="Velg en bankkonto fra «Kontoplan»." type="list">
      <formula1>'_lister'!$L$2:$L$21</formula1>
    </dataValidation>
    <dataValidation sqref="C36:C47" showDropDown="0" showInputMessage="0" showErrorMessage="1" allowBlank="1" errorTitle="Formells regnskapsmal" error="Skriv saldoen som et tall." type="decimal" operator="between">
      <formula1>-1000000000000</formula1>
      <formula2>1000000000000</formula2>
    </dataValidation>
    <dataValidation sqref="E36:E47" showDropDown="0" showInputMessage="0" showErrorMessage="1" allowBlank="1" errorTitle="Formells regnskapsmal" error="Skriv en dato." type="date" operator="greaterThan">
      <formula1>DATE(2000,1,1)</formula1>
    </dataValidation>
    <dataValidation sqref="B49" showDropDown="0" showInputMessage="0" showErrorMessage="1" allowBlank="1" errorTitle="Formells regnskapsmal" error="Velg en bankkonto fra «Kontoplan»." type="list">
      <formula1>'_lister'!$L$2:$L$21</formula1>
    </dataValidation>
    <dataValidation sqref="C51:C62" showDropDown="0" showInputMessage="0" showErrorMessage="1" allowBlank="1" errorTitle="Formells regnskapsmal" error="Skriv saldoen som et tall." type="decimal" operator="between">
      <formula1>-1000000000000</formula1>
      <formula2>1000000000000</formula2>
    </dataValidation>
    <dataValidation sqref="E51:E62" showDropDown="0" showInputMessage="0" showErrorMessage="1" allowBlank="1" errorTitle="Formells regnskapsmal" error="Skriv en dato." type="date" operator="greaterThan">
      <formula1>DATE(2000,1,1)</formula1>
    </dataValidation>
    <dataValidation sqref="B64" showDropDown="0" showInputMessage="0" showErrorMessage="1" allowBlank="1" errorTitle="Formells regnskapsmal" error="Velg en bankkonto fra «Kontoplan»." type="list">
      <formula1>'_lister'!$L$2:$L$21</formula1>
    </dataValidation>
    <dataValidation sqref="C66:C77" showDropDown="0" showInputMessage="0" showErrorMessage="1" allowBlank="1" errorTitle="Formells regnskapsmal" error="Skriv saldoen som et tall." type="decimal" operator="between">
      <formula1>-1000000000000</formula1>
      <formula2>1000000000000</formula2>
    </dataValidation>
    <dataValidation sqref="E66:E77" showDropDown="0" showInputMessage="0" showErrorMessage="1" allowBlank="1" errorTitle="Formells regnskapsmal" error="Skriv en dato." type="date" operator="greaterThan">
      <formula1>DATE(2000,1,1)</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304"/>
  <sheetViews>
    <sheetView workbookViewId="0">
      <pane ySplit="2" topLeftCell="A3" activePane="bottomLeft" state="frozen"/>
      <selection pane="bottomLeft" activeCell="A1" sqref="A1"/>
    </sheetView>
  </sheetViews>
  <sheetFormatPr baseColWidth="8" defaultRowHeight="15"/>
  <cols>
    <col width="10" customWidth="1" min="1" max="1"/>
    <col width="40" customWidth="1" min="2" max="2"/>
    <col width="40" customWidth="1" min="3" max="3"/>
    <col width="16" customWidth="1" min="4" max="4"/>
    <col width="16" customWidth="1" min="5" max="5"/>
    <col width="16" customWidth="1" min="6" max="6"/>
    <col width="16" customWidth="1" min="7" max="7"/>
    <col width="22" customWidth="1" min="8" max="8"/>
    <col width="30" customWidth="1" min="9" max="9"/>
  </cols>
  <sheetData>
    <row r="1">
      <c r="A1" s="10" t="inlineStr">
        <is>
          <t>Konto</t>
        </is>
      </c>
      <c r="B1" s="10" t="inlineStr">
        <is>
          <t>Kontonavn</t>
        </is>
      </c>
      <c r="C1" s="10" t="inlineStr">
        <is>
          <t>Regnskapspost</t>
        </is>
      </c>
      <c r="D1" s="10" t="inlineStr">
        <is>
          <t>Inngående saldo</t>
        </is>
      </c>
      <c r="E1" s="10" t="inlineStr">
        <is>
          <t>Debet</t>
        </is>
      </c>
      <c r="F1" s="10" t="inlineStr">
        <is>
          <t>Kredit</t>
        </is>
      </c>
      <c r="G1" s="10" t="inlineStr">
        <is>
          <t>Utgående saldo</t>
        </is>
      </c>
      <c r="H1" s="10" t="inlineStr">
        <is>
          <t>Utgående saldo (bare saldobalanse)</t>
        </is>
      </c>
      <c r="I1" s="10" t="inlineStr">
        <is>
          <t>Merknad</t>
        </is>
      </c>
    </row>
    <row r="2" ht="30" customHeight="1">
      <c r="A2" s="11" t="inlineStr">
        <is>
          <t>Beregnes av malen. Debet er positive tall og kredit negative tall. Bruker du «Bare saldobalanse», skriver du utgående saldo i kolonne H.</t>
        </is>
      </c>
    </row>
    <row r="3">
      <c r="A3" s="5">
        <f>IF('Kontoplan'!A3="","",'Kontoplan'!A3)</f>
        <v/>
      </c>
      <c r="B3" s="5">
        <f>IF($A3="","",'Kontoplan'!B3)</f>
        <v/>
      </c>
      <c r="C3" s="5">
        <f>IF($A3="","",'Kontoplan'!C3)</f>
        <v/>
      </c>
      <c r="D3" s="20">
        <f>IF($A3="","",SUMIFS('Åpningsbalanse'!$C$4:$C$103,'Åpningsbalanse'!$A$4:$A$103,SUBSTITUTE(SUBSTITUTE(SUBSTITUTE('Kontoplan'!$H3,"~","~~"),"*","~*"),"?","~?"))*IFERROR(INDEX('_lister'!$C$2:$C$62,MATCH(C3,'_lister'!$A$2:$A$62,0)),1))</f>
        <v/>
      </c>
      <c r="E3" s="20">
        <f>IF($A3="","",SUMIFS('Journal'!$G$3:$G$2002,'Journal'!$D$3:$D$2002,SUBSTITUTE(SUBSTITUTE(SUBSTITUTE('Kontoplan'!$H3,"~","~~"),"*","~*"),"?","~?"))+SUMIFS('Journal'!$F$3:$F$2002,'Journal'!$E$3:$E$2002,SUBSTITUTE(SUBSTITUTE(SUBSTITUTE('Kontoplan'!$H3,"~","~~"),"*","~*"),"?","~?")))</f>
        <v/>
      </c>
      <c r="F3" s="20">
        <f>IF($A3="","",SUMIFS('Journal'!$F$3:$F$2002,'Journal'!$D$3:$D$2002,SUBSTITUTE(SUBSTITUTE(SUBSTITUTE('Kontoplan'!$H3,"~","~~"),"*","~*"),"?","~?"))+SUMIFS('Journal'!$G$3:$G$2002,'Journal'!$E$3:$E$2002,SUBSTITUTE(SUBSTITUTE(SUBSTITUTE('Kontoplan'!$H3,"~","~~"),"*","~*"),"?","~?")))</f>
        <v/>
      </c>
      <c r="G3" s="20">
        <f>IF($A3="","",D3+E3-F3)</f>
        <v/>
      </c>
      <c r="H3" s="14" t="n"/>
      <c r="I3" s="8" t="n"/>
    </row>
    <row r="4">
      <c r="A4" s="5">
        <f>IF('Kontoplan'!A4="","",'Kontoplan'!A4)</f>
        <v/>
      </c>
      <c r="B4" s="5">
        <f>IF($A4="","",'Kontoplan'!B4)</f>
        <v/>
      </c>
      <c r="C4" s="5">
        <f>IF($A4="","",'Kontoplan'!C4)</f>
        <v/>
      </c>
      <c r="D4" s="20">
        <f>IF($A4="","",SUMIFS('Åpningsbalanse'!$C$4:$C$103,'Åpningsbalanse'!$A$4:$A$103,SUBSTITUTE(SUBSTITUTE(SUBSTITUTE('Kontoplan'!$H4,"~","~~"),"*","~*"),"?","~?"))*IFERROR(INDEX('_lister'!$C$2:$C$62,MATCH(C4,'_lister'!$A$2:$A$62,0)),1))</f>
        <v/>
      </c>
      <c r="E4" s="20">
        <f>IF($A4="","",SUMIFS('Journal'!$G$3:$G$2002,'Journal'!$D$3:$D$2002,SUBSTITUTE(SUBSTITUTE(SUBSTITUTE('Kontoplan'!$H4,"~","~~"),"*","~*"),"?","~?"))+SUMIFS('Journal'!$F$3:$F$2002,'Journal'!$E$3:$E$2002,SUBSTITUTE(SUBSTITUTE(SUBSTITUTE('Kontoplan'!$H4,"~","~~"),"*","~*"),"?","~?")))</f>
        <v/>
      </c>
      <c r="F4" s="20">
        <f>IF($A4="","",SUMIFS('Journal'!$F$3:$F$2002,'Journal'!$D$3:$D$2002,SUBSTITUTE(SUBSTITUTE(SUBSTITUTE('Kontoplan'!$H4,"~","~~"),"*","~*"),"?","~?"))+SUMIFS('Journal'!$G$3:$G$2002,'Journal'!$E$3:$E$2002,SUBSTITUTE(SUBSTITUTE(SUBSTITUTE('Kontoplan'!$H4,"~","~~"),"*","~*"),"?","~?")))</f>
        <v/>
      </c>
      <c r="G4" s="20">
        <f>IF($A4="","",D4+E4-F4)</f>
        <v/>
      </c>
      <c r="H4" s="14" t="n"/>
      <c r="I4" s="8" t="n"/>
    </row>
    <row r="5">
      <c r="A5" s="5">
        <f>IF('Kontoplan'!A5="","",'Kontoplan'!A5)</f>
        <v/>
      </c>
      <c r="B5" s="5">
        <f>IF($A5="","",'Kontoplan'!B5)</f>
        <v/>
      </c>
      <c r="C5" s="5">
        <f>IF($A5="","",'Kontoplan'!C5)</f>
        <v/>
      </c>
      <c r="D5" s="20">
        <f>IF($A5="","",SUMIFS('Åpningsbalanse'!$C$4:$C$103,'Åpningsbalanse'!$A$4:$A$103,SUBSTITUTE(SUBSTITUTE(SUBSTITUTE('Kontoplan'!$H5,"~","~~"),"*","~*"),"?","~?"))*IFERROR(INDEX('_lister'!$C$2:$C$62,MATCH(C5,'_lister'!$A$2:$A$62,0)),1))</f>
        <v/>
      </c>
      <c r="E5" s="20">
        <f>IF($A5="","",SUMIFS('Journal'!$G$3:$G$2002,'Journal'!$D$3:$D$2002,SUBSTITUTE(SUBSTITUTE(SUBSTITUTE('Kontoplan'!$H5,"~","~~"),"*","~*"),"?","~?"))+SUMIFS('Journal'!$F$3:$F$2002,'Journal'!$E$3:$E$2002,SUBSTITUTE(SUBSTITUTE(SUBSTITUTE('Kontoplan'!$H5,"~","~~"),"*","~*"),"?","~?")))</f>
        <v/>
      </c>
      <c r="F5" s="20">
        <f>IF($A5="","",SUMIFS('Journal'!$F$3:$F$2002,'Journal'!$D$3:$D$2002,SUBSTITUTE(SUBSTITUTE(SUBSTITUTE('Kontoplan'!$H5,"~","~~"),"*","~*"),"?","~?"))+SUMIFS('Journal'!$G$3:$G$2002,'Journal'!$E$3:$E$2002,SUBSTITUTE(SUBSTITUTE(SUBSTITUTE('Kontoplan'!$H5,"~","~~"),"*","~*"),"?","~?")))</f>
        <v/>
      </c>
      <c r="G5" s="20">
        <f>IF($A5="","",D5+E5-F5)</f>
        <v/>
      </c>
      <c r="H5" s="14" t="n"/>
      <c r="I5" s="8" t="n"/>
    </row>
    <row r="6">
      <c r="A6" s="5">
        <f>IF('Kontoplan'!A6="","",'Kontoplan'!A6)</f>
        <v/>
      </c>
      <c r="B6" s="5">
        <f>IF($A6="","",'Kontoplan'!B6)</f>
        <v/>
      </c>
      <c r="C6" s="5">
        <f>IF($A6="","",'Kontoplan'!C6)</f>
        <v/>
      </c>
      <c r="D6" s="20">
        <f>IF($A6="","",SUMIFS('Åpningsbalanse'!$C$4:$C$103,'Åpningsbalanse'!$A$4:$A$103,SUBSTITUTE(SUBSTITUTE(SUBSTITUTE('Kontoplan'!$H6,"~","~~"),"*","~*"),"?","~?"))*IFERROR(INDEX('_lister'!$C$2:$C$62,MATCH(C6,'_lister'!$A$2:$A$62,0)),1))</f>
        <v/>
      </c>
      <c r="E6" s="20">
        <f>IF($A6="","",SUMIFS('Journal'!$G$3:$G$2002,'Journal'!$D$3:$D$2002,SUBSTITUTE(SUBSTITUTE(SUBSTITUTE('Kontoplan'!$H6,"~","~~"),"*","~*"),"?","~?"))+SUMIFS('Journal'!$F$3:$F$2002,'Journal'!$E$3:$E$2002,SUBSTITUTE(SUBSTITUTE(SUBSTITUTE('Kontoplan'!$H6,"~","~~"),"*","~*"),"?","~?")))</f>
        <v/>
      </c>
      <c r="F6" s="20">
        <f>IF($A6="","",SUMIFS('Journal'!$F$3:$F$2002,'Journal'!$D$3:$D$2002,SUBSTITUTE(SUBSTITUTE(SUBSTITUTE('Kontoplan'!$H6,"~","~~"),"*","~*"),"?","~?"))+SUMIFS('Journal'!$G$3:$G$2002,'Journal'!$E$3:$E$2002,SUBSTITUTE(SUBSTITUTE(SUBSTITUTE('Kontoplan'!$H6,"~","~~"),"*","~*"),"?","~?")))</f>
        <v/>
      </c>
      <c r="G6" s="20">
        <f>IF($A6="","",D6+E6-F6)</f>
        <v/>
      </c>
      <c r="H6" s="14" t="n"/>
      <c r="I6" s="8" t="n"/>
    </row>
    <row r="7">
      <c r="A7" s="5">
        <f>IF('Kontoplan'!A7="","",'Kontoplan'!A7)</f>
        <v/>
      </c>
      <c r="B7" s="5">
        <f>IF($A7="","",'Kontoplan'!B7)</f>
        <v/>
      </c>
      <c r="C7" s="5">
        <f>IF($A7="","",'Kontoplan'!C7)</f>
        <v/>
      </c>
      <c r="D7" s="20">
        <f>IF($A7="","",SUMIFS('Åpningsbalanse'!$C$4:$C$103,'Åpningsbalanse'!$A$4:$A$103,SUBSTITUTE(SUBSTITUTE(SUBSTITUTE('Kontoplan'!$H7,"~","~~"),"*","~*"),"?","~?"))*IFERROR(INDEX('_lister'!$C$2:$C$62,MATCH(C7,'_lister'!$A$2:$A$62,0)),1))</f>
        <v/>
      </c>
      <c r="E7" s="20">
        <f>IF($A7="","",SUMIFS('Journal'!$G$3:$G$2002,'Journal'!$D$3:$D$2002,SUBSTITUTE(SUBSTITUTE(SUBSTITUTE('Kontoplan'!$H7,"~","~~"),"*","~*"),"?","~?"))+SUMIFS('Journal'!$F$3:$F$2002,'Journal'!$E$3:$E$2002,SUBSTITUTE(SUBSTITUTE(SUBSTITUTE('Kontoplan'!$H7,"~","~~"),"*","~*"),"?","~?")))</f>
        <v/>
      </c>
      <c r="F7" s="20">
        <f>IF($A7="","",SUMIFS('Journal'!$F$3:$F$2002,'Journal'!$D$3:$D$2002,SUBSTITUTE(SUBSTITUTE(SUBSTITUTE('Kontoplan'!$H7,"~","~~"),"*","~*"),"?","~?"))+SUMIFS('Journal'!$G$3:$G$2002,'Journal'!$E$3:$E$2002,SUBSTITUTE(SUBSTITUTE(SUBSTITUTE('Kontoplan'!$H7,"~","~~"),"*","~*"),"?","~?")))</f>
        <v/>
      </c>
      <c r="G7" s="20">
        <f>IF($A7="","",D7+E7-F7)</f>
        <v/>
      </c>
      <c r="H7" s="14" t="n"/>
      <c r="I7" s="8" t="n"/>
    </row>
    <row r="8">
      <c r="A8" s="5">
        <f>IF('Kontoplan'!A8="","",'Kontoplan'!A8)</f>
        <v/>
      </c>
      <c r="B8" s="5">
        <f>IF($A8="","",'Kontoplan'!B8)</f>
        <v/>
      </c>
      <c r="C8" s="5">
        <f>IF($A8="","",'Kontoplan'!C8)</f>
        <v/>
      </c>
      <c r="D8" s="20">
        <f>IF($A8="","",SUMIFS('Åpningsbalanse'!$C$4:$C$103,'Åpningsbalanse'!$A$4:$A$103,SUBSTITUTE(SUBSTITUTE(SUBSTITUTE('Kontoplan'!$H8,"~","~~"),"*","~*"),"?","~?"))*IFERROR(INDEX('_lister'!$C$2:$C$62,MATCH(C8,'_lister'!$A$2:$A$62,0)),1))</f>
        <v/>
      </c>
      <c r="E8" s="20">
        <f>IF($A8="","",SUMIFS('Journal'!$G$3:$G$2002,'Journal'!$D$3:$D$2002,SUBSTITUTE(SUBSTITUTE(SUBSTITUTE('Kontoplan'!$H8,"~","~~"),"*","~*"),"?","~?"))+SUMIFS('Journal'!$F$3:$F$2002,'Journal'!$E$3:$E$2002,SUBSTITUTE(SUBSTITUTE(SUBSTITUTE('Kontoplan'!$H8,"~","~~"),"*","~*"),"?","~?")))</f>
        <v/>
      </c>
      <c r="F8" s="20">
        <f>IF($A8="","",SUMIFS('Journal'!$F$3:$F$2002,'Journal'!$D$3:$D$2002,SUBSTITUTE(SUBSTITUTE(SUBSTITUTE('Kontoplan'!$H8,"~","~~"),"*","~*"),"?","~?"))+SUMIFS('Journal'!$G$3:$G$2002,'Journal'!$E$3:$E$2002,SUBSTITUTE(SUBSTITUTE(SUBSTITUTE('Kontoplan'!$H8,"~","~~"),"*","~*"),"?","~?")))</f>
        <v/>
      </c>
      <c r="G8" s="20">
        <f>IF($A8="","",D8+E8-F8)</f>
        <v/>
      </c>
      <c r="H8" s="14" t="n"/>
      <c r="I8" s="8" t="n"/>
    </row>
    <row r="9">
      <c r="A9" s="5">
        <f>IF('Kontoplan'!A9="","",'Kontoplan'!A9)</f>
        <v/>
      </c>
      <c r="B9" s="5">
        <f>IF($A9="","",'Kontoplan'!B9)</f>
        <v/>
      </c>
      <c r="C9" s="5">
        <f>IF($A9="","",'Kontoplan'!C9)</f>
        <v/>
      </c>
      <c r="D9" s="20">
        <f>IF($A9="","",SUMIFS('Åpningsbalanse'!$C$4:$C$103,'Åpningsbalanse'!$A$4:$A$103,SUBSTITUTE(SUBSTITUTE(SUBSTITUTE('Kontoplan'!$H9,"~","~~"),"*","~*"),"?","~?"))*IFERROR(INDEX('_lister'!$C$2:$C$62,MATCH(C9,'_lister'!$A$2:$A$62,0)),1))</f>
        <v/>
      </c>
      <c r="E9" s="20">
        <f>IF($A9="","",SUMIFS('Journal'!$G$3:$G$2002,'Journal'!$D$3:$D$2002,SUBSTITUTE(SUBSTITUTE(SUBSTITUTE('Kontoplan'!$H9,"~","~~"),"*","~*"),"?","~?"))+SUMIFS('Journal'!$F$3:$F$2002,'Journal'!$E$3:$E$2002,SUBSTITUTE(SUBSTITUTE(SUBSTITUTE('Kontoplan'!$H9,"~","~~"),"*","~*"),"?","~?")))</f>
        <v/>
      </c>
      <c r="F9" s="20">
        <f>IF($A9="","",SUMIFS('Journal'!$F$3:$F$2002,'Journal'!$D$3:$D$2002,SUBSTITUTE(SUBSTITUTE(SUBSTITUTE('Kontoplan'!$H9,"~","~~"),"*","~*"),"?","~?"))+SUMIFS('Journal'!$G$3:$G$2002,'Journal'!$E$3:$E$2002,SUBSTITUTE(SUBSTITUTE(SUBSTITUTE('Kontoplan'!$H9,"~","~~"),"*","~*"),"?","~?")))</f>
        <v/>
      </c>
      <c r="G9" s="20">
        <f>IF($A9="","",D9+E9-F9)</f>
        <v/>
      </c>
      <c r="H9" s="14" t="n"/>
      <c r="I9" s="8" t="n"/>
    </row>
    <row r="10">
      <c r="A10" s="5">
        <f>IF('Kontoplan'!A10="","",'Kontoplan'!A10)</f>
        <v/>
      </c>
      <c r="B10" s="5">
        <f>IF($A10="","",'Kontoplan'!B10)</f>
        <v/>
      </c>
      <c r="C10" s="5">
        <f>IF($A10="","",'Kontoplan'!C10)</f>
        <v/>
      </c>
      <c r="D10" s="20">
        <f>IF($A10="","",SUMIFS('Åpningsbalanse'!$C$4:$C$103,'Åpningsbalanse'!$A$4:$A$103,SUBSTITUTE(SUBSTITUTE(SUBSTITUTE('Kontoplan'!$H10,"~","~~"),"*","~*"),"?","~?"))*IFERROR(INDEX('_lister'!$C$2:$C$62,MATCH(C10,'_lister'!$A$2:$A$62,0)),1))</f>
        <v/>
      </c>
      <c r="E10" s="20">
        <f>IF($A10="","",SUMIFS('Journal'!$G$3:$G$2002,'Journal'!$D$3:$D$2002,SUBSTITUTE(SUBSTITUTE(SUBSTITUTE('Kontoplan'!$H10,"~","~~"),"*","~*"),"?","~?"))+SUMIFS('Journal'!$F$3:$F$2002,'Journal'!$E$3:$E$2002,SUBSTITUTE(SUBSTITUTE(SUBSTITUTE('Kontoplan'!$H10,"~","~~"),"*","~*"),"?","~?")))</f>
        <v/>
      </c>
      <c r="F10" s="20">
        <f>IF($A10="","",SUMIFS('Journal'!$F$3:$F$2002,'Journal'!$D$3:$D$2002,SUBSTITUTE(SUBSTITUTE(SUBSTITUTE('Kontoplan'!$H10,"~","~~"),"*","~*"),"?","~?"))+SUMIFS('Journal'!$G$3:$G$2002,'Journal'!$E$3:$E$2002,SUBSTITUTE(SUBSTITUTE(SUBSTITUTE('Kontoplan'!$H10,"~","~~"),"*","~*"),"?","~?")))</f>
        <v/>
      </c>
      <c r="G10" s="20">
        <f>IF($A10="","",D10+E10-F10)</f>
        <v/>
      </c>
      <c r="H10" s="14" t="n"/>
      <c r="I10" s="8" t="n"/>
    </row>
    <row r="11">
      <c r="A11" s="5">
        <f>IF('Kontoplan'!A11="","",'Kontoplan'!A11)</f>
        <v/>
      </c>
      <c r="B11" s="5">
        <f>IF($A11="","",'Kontoplan'!B11)</f>
        <v/>
      </c>
      <c r="C11" s="5">
        <f>IF($A11="","",'Kontoplan'!C11)</f>
        <v/>
      </c>
      <c r="D11" s="20">
        <f>IF($A11="","",SUMIFS('Åpningsbalanse'!$C$4:$C$103,'Åpningsbalanse'!$A$4:$A$103,SUBSTITUTE(SUBSTITUTE(SUBSTITUTE('Kontoplan'!$H11,"~","~~"),"*","~*"),"?","~?"))*IFERROR(INDEX('_lister'!$C$2:$C$62,MATCH(C11,'_lister'!$A$2:$A$62,0)),1))</f>
        <v/>
      </c>
      <c r="E11" s="20">
        <f>IF($A11="","",SUMIFS('Journal'!$G$3:$G$2002,'Journal'!$D$3:$D$2002,SUBSTITUTE(SUBSTITUTE(SUBSTITUTE('Kontoplan'!$H11,"~","~~"),"*","~*"),"?","~?"))+SUMIFS('Journal'!$F$3:$F$2002,'Journal'!$E$3:$E$2002,SUBSTITUTE(SUBSTITUTE(SUBSTITUTE('Kontoplan'!$H11,"~","~~"),"*","~*"),"?","~?")))</f>
        <v/>
      </c>
      <c r="F11" s="20">
        <f>IF($A11="","",SUMIFS('Journal'!$F$3:$F$2002,'Journal'!$D$3:$D$2002,SUBSTITUTE(SUBSTITUTE(SUBSTITUTE('Kontoplan'!$H11,"~","~~"),"*","~*"),"?","~?"))+SUMIFS('Journal'!$G$3:$G$2002,'Journal'!$E$3:$E$2002,SUBSTITUTE(SUBSTITUTE(SUBSTITUTE('Kontoplan'!$H11,"~","~~"),"*","~*"),"?","~?")))</f>
        <v/>
      </c>
      <c r="G11" s="20">
        <f>IF($A11="","",D11+E11-F11)</f>
        <v/>
      </c>
      <c r="H11" s="14" t="n"/>
      <c r="I11" s="8" t="n"/>
    </row>
    <row r="12">
      <c r="A12" s="5">
        <f>IF('Kontoplan'!A12="","",'Kontoplan'!A12)</f>
        <v/>
      </c>
      <c r="B12" s="5">
        <f>IF($A12="","",'Kontoplan'!B12)</f>
        <v/>
      </c>
      <c r="C12" s="5">
        <f>IF($A12="","",'Kontoplan'!C12)</f>
        <v/>
      </c>
      <c r="D12" s="20">
        <f>IF($A12="","",SUMIFS('Åpningsbalanse'!$C$4:$C$103,'Åpningsbalanse'!$A$4:$A$103,SUBSTITUTE(SUBSTITUTE(SUBSTITUTE('Kontoplan'!$H12,"~","~~"),"*","~*"),"?","~?"))*IFERROR(INDEX('_lister'!$C$2:$C$62,MATCH(C12,'_lister'!$A$2:$A$62,0)),1))</f>
        <v/>
      </c>
      <c r="E12" s="20">
        <f>IF($A12="","",SUMIFS('Journal'!$G$3:$G$2002,'Journal'!$D$3:$D$2002,SUBSTITUTE(SUBSTITUTE(SUBSTITUTE('Kontoplan'!$H12,"~","~~"),"*","~*"),"?","~?"))+SUMIFS('Journal'!$F$3:$F$2002,'Journal'!$E$3:$E$2002,SUBSTITUTE(SUBSTITUTE(SUBSTITUTE('Kontoplan'!$H12,"~","~~"),"*","~*"),"?","~?")))</f>
        <v/>
      </c>
      <c r="F12" s="20">
        <f>IF($A12="","",SUMIFS('Journal'!$F$3:$F$2002,'Journal'!$D$3:$D$2002,SUBSTITUTE(SUBSTITUTE(SUBSTITUTE('Kontoplan'!$H12,"~","~~"),"*","~*"),"?","~?"))+SUMIFS('Journal'!$G$3:$G$2002,'Journal'!$E$3:$E$2002,SUBSTITUTE(SUBSTITUTE(SUBSTITUTE('Kontoplan'!$H12,"~","~~"),"*","~*"),"?","~?")))</f>
        <v/>
      </c>
      <c r="G12" s="20">
        <f>IF($A12="","",D12+E12-F12)</f>
        <v/>
      </c>
      <c r="H12" s="14" t="n"/>
      <c r="I12" s="8" t="n"/>
    </row>
    <row r="13">
      <c r="A13" s="5">
        <f>IF('Kontoplan'!A13="","",'Kontoplan'!A13)</f>
        <v/>
      </c>
      <c r="B13" s="5">
        <f>IF($A13="","",'Kontoplan'!B13)</f>
        <v/>
      </c>
      <c r="C13" s="5">
        <f>IF($A13="","",'Kontoplan'!C13)</f>
        <v/>
      </c>
      <c r="D13" s="20">
        <f>IF($A13="","",SUMIFS('Åpningsbalanse'!$C$4:$C$103,'Åpningsbalanse'!$A$4:$A$103,SUBSTITUTE(SUBSTITUTE(SUBSTITUTE('Kontoplan'!$H13,"~","~~"),"*","~*"),"?","~?"))*IFERROR(INDEX('_lister'!$C$2:$C$62,MATCH(C13,'_lister'!$A$2:$A$62,0)),1))</f>
        <v/>
      </c>
      <c r="E13" s="20">
        <f>IF($A13="","",SUMIFS('Journal'!$G$3:$G$2002,'Journal'!$D$3:$D$2002,SUBSTITUTE(SUBSTITUTE(SUBSTITUTE('Kontoplan'!$H13,"~","~~"),"*","~*"),"?","~?"))+SUMIFS('Journal'!$F$3:$F$2002,'Journal'!$E$3:$E$2002,SUBSTITUTE(SUBSTITUTE(SUBSTITUTE('Kontoplan'!$H13,"~","~~"),"*","~*"),"?","~?")))</f>
        <v/>
      </c>
      <c r="F13" s="20">
        <f>IF($A13="","",SUMIFS('Journal'!$F$3:$F$2002,'Journal'!$D$3:$D$2002,SUBSTITUTE(SUBSTITUTE(SUBSTITUTE('Kontoplan'!$H13,"~","~~"),"*","~*"),"?","~?"))+SUMIFS('Journal'!$G$3:$G$2002,'Journal'!$E$3:$E$2002,SUBSTITUTE(SUBSTITUTE(SUBSTITUTE('Kontoplan'!$H13,"~","~~"),"*","~*"),"?","~?")))</f>
        <v/>
      </c>
      <c r="G13" s="20">
        <f>IF($A13="","",D13+E13-F13)</f>
        <v/>
      </c>
      <c r="H13" s="14" t="n"/>
      <c r="I13" s="8" t="n"/>
    </row>
    <row r="14">
      <c r="A14" s="5">
        <f>IF('Kontoplan'!A14="","",'Kontoplan'!A14)</f>
        <v/>
      </c>
      <c r="B14" s="5">
        <f>IF($A14="","",'Kontoplan'!B14)</f>
        <v/>
      </c>
      <c r="C14" s="5">
        <f>IF($A14="","",'Kontoplan'!C14)</f>
        <v/>
      </c>
      <c r="D14" s="20">
        <f>IF($A14="","",SUMIFS('Åpningsbalanse'!$C$4:$C$103,'Åpningsbalanse'!$A$4:$A$103,SUBSTITUTE(SUBSTITUTE(SUBSTITUTE('Kontoplan'!$H14,"~","~~"),"*","~*"),"?","~?"))*IFERROR(INDEX('_lister'!$C$2:$C$62,MATCH(C14,'_lister'!$A$2:$A$62,0)),1))</f>
        <v/>
      </c>
      <c r="E14" s="20">
        <f>IF($A14="","",SUMIFS('Journal'!$G$3:$G$2002,'Journal'!$D$3:$D$2002,SUBSTITUTE(SUBSTITUTE(SUBSTITUTE('Kontoplan'!$H14,"~","~~"),"*","~*"),"?","~?"))+SUMIFS('Journal'!$F$3:$F$2002,'Journal'!$E$3:$E$2002,SUBSTITUTE(SUBSTITUTE(SUBSTITUTE('Kontoplan'!$H14,"~","~~"),"*","~*"),"?","~?")))</f>
        <v/>
      </c>
      <c r="F14" s="20">
        <f>IF($A14="","",SUMIFS('Journal'!$F$3:$F$2002,'Journal'!$D$3:$D$2002,SUBSTITUTE(SUBSTITUTE(SUBSTITUTE('Kontoplan'!$H14,"~","~~"),"*","~*"),"?","~?"))+SUMIFS('Journal'!$G$3:$G$2002,'Journal'!$E$3:$E$2002,SUBSTITUTE(SUBSTITUTE(SUBSTITUTE('Kontoplan'!$H14,"~","~~"),"*","~*"),"?","~?")))</f>
        <v/>
      </c>
      <c r="G14" s="20">
        <f>IF($A14="","",D14+E14-F14)</f>
        <v/>
      </c>
      <c r="H14" s="14" t="n"/>
      <c r="I14" s="8" t="n"/>
    </row>
    <row r="15">
      <c r="A15" s="5">
        <f>IF('Kontoplan'!A15="","",'Kontoplan'!A15)</f>
        <v/>
      </c>
      <c r="B15" s="5">
        <f>IF($A15="","",'Kontoplan'!B15)</f>
        <v/>
      </c>
      <c r="C15" s="5">
        <f>IF($A15="","",'Kontoplan'!C15)</f>
        <v/>
      </c>
      <c r="D15" s="20">
        <f>IF($A15="","",SUMIFS('Åpningsbalanse'!$C$4:$C$103,'Åpningsbalanse'!$A$4:$A$103,SUBSTITUTE(SUBSTITUTE(SUBSTITUTE('Kontoplan'!$H15,"~","~~"),"*","~*"),"?","~?"))*IFERROR(INDEX('_lister'!$C$2:$C$62,MATCH(C15,'_lister'!$A$2:$A$62,0)),1))</f>
        <v/>
      </c>
      <c r="E15" s="20">
        <f>IF($A15="","",SUMIFS('Journal'!$G$3:$G$2002,'Journal'!$D$3:$D$2002,SUBSTITUTE(SUBSTITUTE(SUBSTITUTE('Kontoplan'!$H15,"~","~~"),"*","~*"),"?","~?"))+SUMIFS('Journal'!$F$3:$F$2002,'Journal'!$E$3:$E$2002,SUBSTITUTE(SUBSTITUTE(SUBSTITUTE('Kontoplan'!$H15,"~","~~"),"*","~*"),"?","~?")))</f>
        <v/>
      </c>
      <c r="F15" s="20">
        <f>IF($A15="","",SUMIFS('Journal'!$F$3:$F$2002,'Journal'!$D$3:$D$2002,SUBSTITUTE(SUBSTITUTE(SUBSTITUTE('Kontoplan'!$H15,"~","~~"),"*","~*"),"?","~?"))+SUMIFS('Journal'!$G$3:$G$2002,'Journal'!$E$3:$E$2002,SUBSTITUTE(SUBSTITUTE(SUBSTITUTE('Kontoplan'!$H15,"~","~~"),"*","~*"),"?","~?")))</f>
        <v/>
      </c>
      <c r="G15" s="20">
        <f>IF($A15="","",D15+E15-F15)</f>
        <v/>
      </c>
      <c r="H15" s="14" t="n"/>
      <c r="I15" s="8" t="n"/>
    </row>
    <row r="16">
      <c r="A16" s="5">
        <f>IF('Kontoplan'!A16="","",'Kontoplan'!A16)</f>
        <v/>
      </c>
      <c r="B16" s="5">
        <f>IF($A16="","",'Kontoplan'!B16)</f>
        <v/>
      </c>
      <c r="C16" s="5">
        <f>IF($A16="","",'Kontoplan'!C16)</f>
        <v/>
      </c>
      <c r="D16" s="20">
        <f>IF($A16="","",SUMIFS('Åpningsbalanse'!$C$4:$C$103,'Åpningsbalanse'!$A$4:$A$103,SUBSTITUTE(SUBSTITUTE(SUBSTITUTE('Kontoplan'!$H16,"~","~~"),"*","~*"),"?","~?"))*IFERROR(INDEX('_lister'!$C$2:$C$62,MATCH(C16,'_lister'!$A$2:$A$62,0)),1))</f>
        <v/>
      </c>
      <c r="E16" s="20">
        <f>IF($A16="","",SUMIFS('Journal'!$G$3:$G$2002,'Journal'!$D$3:$D$2002,SUBSTITUTE(SUBSTITUTE(SUBSTITUTE('Kontoplan'!$H16,"~","~~"),"*","~*"),"?","~?"))+SUMIFS('Journal'!$F$3:$F$2002,'Journal'!$E$3:$E$2002,SUBSTITUTE(SUBSTITUTE(SUBSTITUTE('Kontoplan'!$H16,"~","~~"),"*","~*"),"?","~?")))</f>
        <v/>
      </c>
      <c r="F16" s="20">
        <f>IF($A16="","",SUMIFS('Journal'!$F$3:$F$2002,'Journal'!$D$3:$D$2002,SUBSTITUTE(SUBSTITUTE(SUBSTITUTE('Kontoplan'!$H16,"~","~~"),"*","~*"),"?","~?"))+SUMIFS('Journal'!$G$3:$G$2002,'Journal'!$E$3:$E$2002,SUBSTITUTE(SUBSTITUTE(SUBSTITUTE('Kontoplan'!$H16,"~","~~"),"*","~*"),"?","~?")))</f>
        <v/>
      </c>
      <c r="G16" s="20">
        <f>IF($A16="","",D16+E16-F16)</f>
        <v/>
      </c>
      <c r="H16" s="14" t="n"/>
      <c r="I16" s="8" t="n"/>
    </row>
    <row r="17">
      <c r="A17" s="5">
        <f>IF('Kontoplan'!A17="","",'Kontoplan'!A17)</f>
        <v/>
      </c>
      <c r="B17" s="5">
        <f>IF($A17="","",'Kontoplan'!B17)</f>
        <v/>
      </c>
      <c r="C17" s="5">
        <f>IF($A17="","",'Kontoplan'!C17)</f>
        <v/>
      </c>
      <c r="D17" s="20">
        <f>IF($A17="","",SUMIFS('Åpningsbalanse'!$C$4:$C$103,'Åpningsbalanse'!$A$4:$A$103,SUBSTITUTE(SUBSTITUTE(SUBSTITUTE('Kontoplan'!$H17,"~","~~"),"*","~*"),"?","~?"))*IFERROR(INDEX('_lister'!$C$2:$C$62,MATCH(C17,'_lister'!$A$2:$A$62,0)),1))</f>
        <v/>
      </c>
      <c r="E17" s="20">
        <f>IF($A17="","",SUMIFS('Journal'!$G$3:$G$2002,'Journal'!$D$3:$D$2002,SUBSTITUTE(SUBSTITUTE(SUBSTITUTE('Kontoplan'!$H17,"~","~~"),"*","~*"),"?","~?"))+SUMIFS('Journal'!$F$3:$F$2002,'Journal'!$E$3:$E$2002,SUBSTITUTE(SUBSTITUTE(SUBSTITUTE('Kontoplan'!$H17,"~","~~"),"*","~*"),"?","~?")))</f>
        <v/>
      </c>
      <c r="F17" s="20">
        <f>IF($A17="","",SUMIFS('Journal'!$F$3:$F$2002,'Journal'!$D$3:$D$2002,SUBSTITUTE(SUBSTITUTE(SUBSTITUTE('Kontoplan'!$H17,"~","~~"),"*","~*"),"?","~?"))+SUMIFS('Journal'!$G$3:$G$2002,'Journal'!$E$3:$E$2002,SUBSTITUTE(SUBSTITUTE(SUBSTITUTE('Kontoplan'!$H17,"~","~~"),"*","~*"),"?","~?")))</f>
        <v/>
      </c>
      <c r="G17" s="20">
        <f>IF($A17="","",D17+E17-F17)</f>
        <v/>
      </c>
      <c r="H17" s="14" t="n"/>
      <c r="I17" s="8" t="n"/>
    </row>
    <row r="18">
      <c r="A18" s="5">
        <f>IF('Kontoplan'!A18="","",'Kontoplan'!A18)</f>
        <v/>
      </c>
      <c r="B18" s="5">
        <f>IF($A18="","",'Kontoplan'!B18)</f>
        <v/>
      </c>
      <c r="C18" s="5">
        <f>IF($A18="","",'Kontoplan'!C18)</f>
        <v/>
      </c>
      <c r="D18" s="20">
        <f>IF($A18="","",SUMIFS('Åpningsbalanse'!$C$4:$C$103,'Åpningsbalanse'!$A$4:$A$103,SUBSTITUTE(SUBSTITUTE(SUBSTITUTE('Kontoplan'!$H18,"~","~~"),"*","~*"),"?","~?"))*IFERROR(INDEX('_lister'!$C$2:$C$62,MATCH(C18,'_lister'!$A$2:$A$62,0)),1))</f>
        <v/>
      </c>
      <c r="E18" s="20">
        <f>IF($A18="","",SUMIFS('Journal'!$G$3:$G$2002,'Journal'!$D$3:$D$2002,SUBSTITUTE(SUBSTITUTE(SUBSTITUTE('Kontoplan'!$H18,"~","~~"),"*","~*"),"?","~?"))+SUMIFS('Journal'!$F$3:$F$2002,'Journal'!$E$3:$E$2002,SUBSTITUTE(SUBSTITUTE(SUBSTITUTE('Kontoplan'!$H18,"~","~~"),"*","~*"),"?","~?")))</f>
        <v/>
      </c>
      <c r="F18" s="20">
        <f>IF($A18="","",SUMIFS('Journal'!$F$3:$F$2002,'Journal'!$D$3:$D$2002,SUBSTITUTE(SUBSTITUTE(SUBSTITUTE('Kontoplan'!$H18,"~","~~"),"*","~*"),"?","~?"))+SUMIFS('Journal'!$G$3:$G$2002,'Journal'!$E$3:$E$2002,SUBSTITUTE(SUBSTITUTE(SUBSTITUTE('Kontoplan'!$H18,"~","~~"),"*","~*"),"?","~?")))</f>
        <v/>
      </c>
      <c r="G18" s="20">
        <f>IF($A18="","",D18+E18-F18)</f>
        <v/>
      </c>
      <c r="H18" s="14" t="n"/>
      <c r="I18" s="8" t="n"/>
    </row>
    <row r="19">
      <c r="A19" s="5">
        <f>IF('Kontoplan'!A19="","",'Kontoplan'!A19)</f>
        <v/>
      </c>
      <c r="B19" s="5">
        <f>IF($A19="","",'Kontoplan'!B19)</f>
        <v/>
      </c>
      <c r="C19" s="5">
        <f>IF($A19="","",'Kontoplan'!C19)</f>
        <v/>
      </c>
      <c r="D19" s="20">
        <f>IF($A19="","",SUMIFS('Åpningsbalanse'!$C$4:$C$103,'Åpningsbalanse'!$A$4:$A$103,SUBSTITUTE(SUBSTITUTE(SUBSTITUTE('Kontoplan'!$H19,"~","~~"),"*","~*"),"?","~?"))*IFERROR(INDEX('_lister'!$C$2:$C$62,MATCH(C19,'_lister'!$A$2:$A$62,0)),1))</f>
        <v/>
      </c>
      <c r="E19" s="20">
        <f>IF($A19="","",SUMIFS('Journal'!$G$3:$G$2002,'Journal'!$D$3:$D$2002,SUBSTITUTE(SUBSTITUTE(SUBSTITUTE('Kontoplan'!$H19,"~","~~"),"*","~*"),"?","~?"))+SUMIFS('Journal'!$F$3:$F$2002,'Journal'!$E$3:$E$2002,SUBSTITUTE(SUBSTITUTE(SUBSTITUTE('Kontoplan'!$H19,"~","~~"),"*","~*"),"?","~?")))</f>
        <v/>
      </c>
      <c r="F19" s="20">
        <f>IF($A19="","",SUMIFS('Journal'!$F$3:$F$2002,'Journal'!$D$3:$D$2002,SUBSTITUTE(SUBSTITUTE(SUBSTITUTE('Kontoplan'!$H19,"~","~~"),"*","~*"),"?","~?"))+SUMIFS('Journal'!$G$3:$G$2002,'Journal'!$E$3:$E$2002,SUBSTITUTE(SUBSTITUTE(SUBSTITUTE('Kontoplan'!$H19,"~","~~"),"*","~*"),"?","~?")))</f>
        <v/>
      </c>
      <c r="G19" s="20">
        <f>IF($A19="","",D19+E19-F19)</f>
        <v/>
      </c>
      <c r="H19" s="14" t="n"/>
      <c r="I19" s="8" t="n"/>
    </row>
    <row r="20">
      <c r="A20" s="5">
        <f>IF('Kontoplan'!A20="","",'Kontoplan'!A20)</f>
        <v/>
      </c>
      <c r="B20" s="5">
        <f>IF($A20="","",'Kontoplan'!B20)</f>
        <v/>
      </c>
      <c r="C20" s="5">
        <f>IF($A20="","",'Kontoplan'!C20)</f>
        <v/>
      </c>
      <c r="D20" s="20">
        <f>IF($A20="","",SUMIFS('Åpningsbalanse'!$C$4:$C$103,'Åpningsbalanse'!$A$4:$A$103,SUBSTITUTE(SUBSTITUTE(SUBSTITUTE('Kontoplan'!$H20,"~","~~"),"*","~*"),"?","~?"))*IFERROR(INDEX('_lister'!$C$2:$C$62,MATCH(C20,'_lister'!$A$2:$A$62,0)),1))</f>
        <v/>
      </c>
      <c r="E20" s="20">
        <f>IF($A20="","",SUMIFS('Journal'!$G$3:$G$2002,'Journal'!$D$3:$D$2002,SUBSTITUTE(SUBSTITUTE(SUBSTITUTE('Kontoplan'!$H20,"~","~~"),"*","~*"),"?","~?"))+SUMIFS('Journal'!$F$3:$F$2002,'Journal'!$E$3:$E$2002,SUBSTITUTE(SUBSTITUTE(SUBSTITUTE('Kontoplan'!$H20,"~","~~"),"*","~*"),"?","~?")))</f>
        <v/>
      </c>
      <c r="F20" s="20">
        <f>IF($A20="","",SUMIFS('Journal'!$F$3:$F$2002,'Journal'!$D$3:$D$2002,SUBSTITUTE(SUBSTITUTE(SUBSTITUTE('Kontoplan'!$H20,"~","~~"),"*","~*"),"?","~?"))+SUMIFS('Journal'!$G$3:$G$2002,'Journal'!$E$3:$E$2002,SUBSTITUTE(SUBSTITUTE(SUBSTITUTE('Kontoplan'!$H20,"~","~~"),"*","~*"),"?","~?")))</f>
        <v/>
      </c>
      <c r="G20" s="20">
        <f>IF($A20="","",D20+E20-F20)</f>
        <v/>
      </c>
      <c r="H20" s="14" t="n"/>
      <c r="I20" s="8" t="n"/>
    </row>
    <row r="21">
      <c r="A21" s="5">
        <f>IF('Kontoplan'!A21="","",'Kontoplan'!A21)</f>
        <v/>
      </c>
      <c r="B21" s="5">
        <f>IF($A21="","",'Kontoplan'!B21)</f>
        <v/>
      </c>
      <c r="C21" s="5">
        <f>IF($A21="","",'Kontoplan'!C21)</f>
        <v/>
      </c>
      <c r="D21" s="20">
        <f>IF($A21="","",SUMIFS('Åpningsbalanse'!$C$4:$C$103,'Åpningsbalanse'!$A$4:$A$103,SUBSTITUTE(SUBSTITUTE(SUBSTITUTE('Kontoplan'!$H21,"~","~~"),"*","~*"),"?","~?"))*IFERROR(INDEX('_lister'!$C$2:$C$62,MATCH(C21,'_lister'!$A$2:$A$62,0)),1))</f>
        <v/>
      </c>
      <c r="E21" s="20">
        <f>IF($A21="","",SUMIFS('Journal'!$G$3:$G$2002,'Journal'!$D$3:$D$2002,SUBSTITUTE(SUBSTITUTE(SUBSTITUTE('Kontoplan'!$H21,"~","~~"),"*","~*"),"?","~?"))+SUMIFS('Journal'!$F$3:$F$2002,'Journal'!$E$3:$E$2002,SUBSTITUTE(SUBSTITUTE(SUBSTITUTE('Kontoplan'!$H21,"~","~~"),"*","~*"),"?","~?")))</f>
        <v/>
      </c>
      <c r="F21" s="20">
        <f>IF($A21="","",SUMIFS('Journal'!$F$3:$F$2002,'Journal'!$D$3:$D$2002,SUBSTITUTE(SUBSTITUTE(SUBSTITUTE('Kontoplan'!$H21,"~","~~"),"*","~*"),"?","~?"))+SUMIFS('Journal'!$G$3:$G$2002,'Journal'!$E$3:$E$2002,SUBSTITUTE(SUBSTITUTE(SUBSTITUTE('Kontoplan'!$H21,"~","~~"),"*","~*"),"?","~?")))</f>
        <v/>
      </c>
      <c r="G21" s="20">
        <f>IF($A21="","",D21+E21-F21)</f>
        <v/>
      </c>
      <c r="H21" s="14" t="n"/>
      <c r="I21" s="8" t="n"/>
    </row>
    <row r="22">
      <c r="A22" s="5">
        <f>IF('Kontoplan'!A22="","",'Kontoplan'!A22)</f>
        <v/>
      </c>
      <c r="B22" s="5">
        <f>IF($A22="","",'Kontoplan'!B22)</f>
        <v/>
      </c>
      <c r="C22" s="5">
        <f>IF($A22="","",'Kontoplan'!C22)</f>
        <v/>
      </c>
      <c r="D22" s="20">
        <f>IF($A22="","",SUMIFS('Åpningsbalanse'!$C$4:$C$103,'Åpningsbalanse'!$A$4:$A$103,SUBSTITUTE(SUBSTITUTE(SUBSTITUTE('Kontoplan'!$H22,"~","~~"),"*","~*"),"?","~?"))*IFERROR(INDEX('_lister'!$C$2:$C$62,MATCH(C22,'_lister'!$A$2:$A$62,0)),1))</f>
        <v/>
      </c>
      <c r="E22" s="20">
        <f>IF($A22="","",SUMIFS('Journal'!$G$3:$G$2002,'Journal'!$D$3:$D$2002,SUBSTITUTE(SUBSTITUTE(SUBSTITUTE('Kontoplan'!$H22,"~","~~"),"*","~*"),"?","~?"))+SUMIFS('Journal'!$F$3:$F$2002,'Journal'!$E$3:$E$2002,SUBSTITUTE(SUBSTITUTE(SUBSTITUTE('Kontoplan'!$H22,"~","~~"),"*","~*"),"?","~?")))</f>
        <v/>
      </c>
      <c r="F22" s="20">
        <f>IF($A22="","",SUMIFS('Journal'!$F$3:$F$2002,'Journal'!$D$3:$D$2002,SUBSTITUTE(SUBSTITUTE(SUBSTITUTE('Kontoplan'!$H22,"~","~~"),"*","~*"),"?","~?"))+SUMIFS('Journal'!$G$3:$G$2002,'Journal'!$E$3:$E$2002,SUBSTITUTE(SUBSTITUTE(SUBSTITUTE('Kontoplan'!$H22,"~","~~"),"*","~*"),"?","~?")))</f>
        <v/>
      </c>
      <c r="G22" s="20">
        <f>IF($A22="","",D22+E22-F22)</f>
        <v/>
      </c>
      <c r="H22" s="14" t="n"/>
      <c r="I22" s="8" t="n"/>
    </row>
    <row r="23">
      <c r="A23" s="5">
        <f>IF('Kontoplan'!A23="","",'Kontoplan'!A23)</f>
        <v/>
      </c>
      <c r="B23" s="5">
        <f>IF($A23="","",'Kontoplan'!B23)</f>
        <v/>
      </c>
      <c r="C23" s="5">
        <f>IF($A23="","",'Kontoplan'!C23)</f>
        <v/>
      </c>
      <c r="D23" s="20">
        <f>IF($A23="","",SUMIFS('Åpningsbalanse'!$C$4:$C$103,'Åpningsbalanse'!$A$4:$A$103,SUBSTITUTE(SUBSTITUTE(SUBSTITUTE('Kontoplan'!$H23,"~","~~"),"*","~*"),"?","~?"))*IFERROR(INDEX('_lister'!$C$2:$C$62,MATCH(C23,'_lister'!$A$2:$A$62,0)),1))</f>
        <v/>
      </c>
      <c r="E23" s="20">
        <f>IF($A23="","",SUMIFS('Journal'!$G$3:$G$2002,'Journal'!$D$3:$D$2002,SUBSTITUTE(SUBSTITUTE(SUBSTITUTE('Kontoplan'!$H23,"~","~~"),"*","~*"),"?","~?"))+SUMIFS('Journal'!$F$3:$F$2002,'Journal'!$E$3:$E$2002,SUBSTITUTE(SUBSTITUTE(SUBSTITUTE('Kontoplan'!$H23,"~","~~"),"*","~*"),"?","~?")))</f>
        <v/>
      </c>
      <c r="F23" s="20">
        <f>IF($A23="","",SUMIFS('Journal'!$F$3:$F$2002,'Journal'!$D$3:$D$2002,SUBSTITUTE(SUBSTITUTE(SUBSTITUTE('Kontoplan'!$H23,"~","~~"),"*","~*"),"?","~?"))+SUMIFS('Journal'!$G$3:$G$2002,'Journal'!$E$3:$E$2002,SUBSTITUTE(SUBSTITUTE(SUBSTITUTE('Kontoplan'!$H23,"~","~~"),"*","~*"),"?","~?")))</f>
        <v/>
      </c>
      <c r="G23" s="20">
        <f>IF($A23="","",D23+E23-F23)</f>
        <v/>
      </c>
      <c r="H23" s="14" t="n"/>
      <c r="I23" s="8" t="n"/>
    </row>
    <row r="24">
      <c r="A24" s="5">
        <f>IF('Kontoplan'!A24="","",'Kontoplan'!A24)</f>
        <v/>
      </c>
      <c r="B24" s="5">
        <f>IF($A24="","",'Kontoplan'!B24)</f>
        <v/>
      </c>
      <c r="C24" s="5">
        <f>IF($A24="","",'Kontoplan'!C24)</f>
        <v/>
      </c>
      <c r="D24" s="20">
        <f>IF($A24="","",SUMIFS('Åpningsbalanse'!$C$4:$C$103,'Åpningsbalanse'!$A$4:$A$103,SUBSTITUTE(SUBSTITUTE(SUBSTITUTE('Kontoplan'!$H24,"~","~~"),"*","~*"),"?","~?"))*IFERROR(INDEX('_lister'!$C$2:$C$62,MATCH(C24,'_lister'!$A$2:$A$62,0)),1))</f>
        <v/>
      </c>
      <c r="E24" s="20">
        <f>IF($A24="","",SUMIFS('Journal'!$G$3:$G$2002,'Journal'!$D$3:$D$2002,SUBSTITUTE(SUBSTITUTE(SUBSTITUTE('Kontoplan'!$H24,"~","~~"),"*","~*"),"?","~?"))+SUMIFS('Journal'!$F$3:$F$2002,'Journal'!$E$3:$E$2002,SUBSTITUTE(SUBSTITUTE(SUBSTITUTE('Kontoplan'!$H24,"~","~~"),"*","~*"),"?","~?")))</f>
        <v/>
      </c>
      <c r="F24" s="20">
        <f>IF($A24="","",SUMIFS('Journal'!$F$3:$F$2002,'Journal'!$D$3:$D$2002,SUBSTITUTE(SUBSTITUTE(SUBSTITUTE('Kontoplan'!$H24,"~","~~"),"*","~*"),"?","~?"))+SUMIFS('Journal'!$G$3:$G$2002,'Journal'!$E$3:$E$2002,SUBSTITUTE(SUBSTITUTE(SUBSTITUTE('Kontoplan'!$H24,"~","~~"),"*","~*"),"?","~?")))</f>
        <v/>
      </c>
      <c r="G24" s="20">
        <f>IF($A24="","",D24+E24-F24)</f>
        <v/>
      </c>
      <c r="H24" s="14" t="n"/>
      <c r="I24" s="8" t="n"/>
    </row>
    <row r="25">
      <c r="A25" s="5">
        <f>IF('Kontoplan'!A25="","",'Kontoplan'!A25)</f>
        <v/>
      </c>
      <c r="B25" s="5">
        <f>IF($A25="","",'Kontoplan'!B25)</f>
        <v/>
      </c>
      <c r="C25" s="5">
        <f>IF($A25="","",'Kontoplan'!C25)</f>
        <v/>
      </c>
      <c r="D25" s="20">
        <f>IF($A25="","",SUMIFS('Åpningsbalanse'!$C$4:$C$103,'Åpningsbalanse'!$A$4:$A$103,SUBSTITUTE(SUBSTITUTE(SUBSTITUTE('Kontoplan'!$H25,"~","~~"),"*","~*"),"?","~?"))*IFERROR(INDEX('_lister'!$C$2:$C$62,MATCH(C25,'_lister'!$A$2:$A$62,0)),1))</f>
        <v/>
      </c>
      <c r="E25" s="20">
        <f>IF($A25="","",SUMIFS('Journal'!$G$3:$G$2002,'Journal'!$D$3:$D$2002,SUBSTITUTE(SUBSTITUTE(SUBSTITUTE('Kontoplan'!$H25,"~","~~"),"*","~*"),"?","~?"))+SUMIFS('Journal'!$F$3:$F$2002,'Journal'!$E$3:$E$2002,SUBSTITUTE(SUBSTITUTE(SUBSTITUTE('Kontoplan'!$H25,"~","~~"),"*","~*"),"?","~?")))</f>
        <v/>
      </c>
      <c r="F25" s="20">
        <f>IF($A25="","",SUMIFS('Journal'!$F$3:$F$2002,'Journal'!$D$3:$D$2002,SUBSTITUTE(SUBSTITUTE(SUBSTITUTE('Kontoplan'!$H25,"~","~~"),"*","~*"),"?","~?"))+SUMIFS('Journal'!$G$3:$G$2002,'Journal'!$E$3:$E$2002,SUBSTITUTE(SUBSTITUTE(SUBSTITUTE('Kontoplan'!$H25,"~","~~"),"*","~*"),"?","~?")))</f>
        <v/>
      </c>
      <c r="G25" s="20">
        <f>IF($A25="","",D25+E25-F25)</f>
        <v/>
      </c>
      <c r="H25" s="14" t="n"/>
      <c r="I25" s="8" t="n"/>
    </row>
    <row r="26">
      <c r="A26" s="5">
        <f>IF('Kontoplan'!A26="","",'Kontoplan'!A26)</f>
        <v/>
      </c>
      <c r="B26" s="5">
        <f>IF($A26="","",'Kontoplan'!B26)</f>
        <v/>
      </c>
      <c r="C26" s="5">
        <f>IF($A26="","",'Kontoplan'!C26)</f>
        <v/>
      </c>
      <c r="D26" s="20">
        <f>IF($A26="","",SUMIFS('Åpningsbalanse'!$C$4:$C$103,'Åpningsbalanse'!$A$4:$A$103,SUBSTITUTE(SUBSTITUTE(SUBSTITUTE('Kontoplan'!$H26,"~","~~"),"*","~*"),"?","~?"))*IFERROR(INDEX('_lister'!$C$2:$C$62,MATCH(C26,'_lister'!$A$2:$A$62,0)),1))</f>
        <v/>
      </c>
      <c r="E26" s="20">
        <f>IF($A26="","",SUMIFS('Journal'!$G$3:$G$2002,'Journal'!$D$3:$D$2002,SUBSTITUTE(SUBSTITUTE(SUBSTITUTE('Kontoplan'!$H26,"~","~~"),"*","~*"),"?","~?"))+SUMIFS('Journal'!$F$3:$F$2002,'Journal'!$E$3:$E$2002,SUBSTITUTE(SUBSTITUTE(SUBSTITUTE('Kontoplan'!$H26,"~","~~"),"*","~*"),"?","~?")))</f>
        <v/>
      </c>
      <c r="F26" s="20">
        <f>IF($A26="","",SUMIFS('Journal'!$F$3:$F$2002,'Journal'!$D$3:$D$2002,SUBSTITUTE(SUBSTITUTE(SUBSTITUTE('Kontoplan'!$H26,"~","~~"),"*","~*"),"?","~?"))+SUMIFS('Journal'!$G$3:$G$2002,'Journal'!$E$3:$E$2002,SUBSTITUTE(SUBSTITUTE(SUBSTITUTE('Kontoplan'!$H26,"~","~~"),"*","~*"),"?","~?")))</f>
        <v/>
      </c>
      <c r="G26" s="20">
        <f>IF($A26="","",D26+E26-F26)</f>
        <v/>
      </c>
      <c r="H26" s="14" t="n"/>
      <c r="I26" s="8" t="n"/>
    </row>
    <row r="27">
      <c r="A27" s="5">
        <f>IF('Kontoplan'!A27="","",'Kontoplan'!A27)</f>
        <v/>
      </c>
      <c r="B27" s="5">
        <f>IF($A27="","",'Kontoplan'!B27)</f>
        <v/>
      </c>
      <c r="C27" s="5">
        <f>IF($A27="","",'Kontoplan'!C27)</f>
        <v/>
      </c>
      <c r="D27" s="20">
        <f>IF($A27="","",SUMIFS('Åpningsbalanse'!$C$4:$C$103,'Åpningsbalanse'!$A$4:$A$103,SUBSTITUTE(SUBSTITUTE(SUBSTITUTE('Kontoplan'!$H27,"~","~~"),"*","~*"),"?","~?"))*IFERROR(INDEX('_lister'!$C$2:$C$62,MATCH(C27,'_lister'!$A$2:$A$62,0)),1))</f>
        <v/>
      </c>
      <c r="E27" s="20">
        <f>IF($A27="","",SUMIFS('Journal'!$G$3:$G$2002,'Journal'!$D$3:$D$2002,SUBSTITUTE(SUBSTITUTE(SUBSTITUTE('Kontoplan'!$H27,"~","~~"),"*","~*"),"?","~?"))+SUMIFS('Journal'!$F$3:$F$2002,'Journal'!$E$3:$E$2002,SUBSTITUTE(SUBSTITUTE(SUBSTITUTE('Kontoplan'!$H27,"~","~~"),"*","~*"),"?","~?")))</f>
        <v/>
      </c>
      <c r="F27" s="20">
        <f>IF($A27="","",SUMIFS('Journal'!$F$3:$F$2002,'Journal'!$D$3:$D$2002,SUBSTITUTE(SUBSTITUTE(SUBSTITUTE('Kontoplan'!$H27,"~","~~"),"*","~*"),"?","~?"))+SUMIFS('Journal'!$G$3:$G$2002,'Journal'!$E$3:$E$2002,SUBSTITUTE(SUBSTITUTE(SUBSTITUTE('Kontoplan'!$H27,"~","~~"),"*","~*"),"?","~?")))</f>
        <v/>
      </c>
      <c r="G27" s="20">
        <f>IF($A27="","",D27+E27-F27)</f>
        <v/>
      </c>
      <c r="H27" s="14" t="n"/>
      <c r="I27" s="8" t="n"/>
    </row>
    <row r="28">
      <c r="A28" s="5">
        <f>IF('Kontoplan'!A28="","",'Kontoplan'!A28)</f>
        <v/>
      </c>
      <c r="B28" s="5">
        <f>IF($A28="","",'Kontoplan'!B28)</f>
        <v/>
      </c>
      <c r="C28" s="5">
        <f>IF($A28="","",'Kontoplan'!C28)</f>
        <v/>
      </c>
      <c r="D28" s="20">
        <f>IF($A28="","",SUMIFS('Åpningsbalanse'!$C$4:$C$103,'Åpningsbalanse'!$A$4:$A$103,SUBSTITUTE(SUBSTITUTE(SUBSTITUTE('Kontoplan'!$H28,"~","~~"),"*","~*"),"?","~?"))*IFERROR(INDEX('_lister'!$C$2:$C$62,MATCH(C28,'_lister'!$A$2:$A$62,0)),1))</f>
        <v/>
      </c>
      <c r="E28" s="20">
        <f>IF($A28="","",SUMIFS('Journal'!$G$3:$G$2002,'Journal'!$D$3:$D$2002,SUBSTITUTE(SUBSTITUTE(SUBSTITUTE('Kontoplan'!$H28,"~","~~"),"*","~*"),"?","~?"))+SUMIFS('Journal'!$F$3:$F$2002,'Journal'!$E$3:$E$2002,SUBSTITUTE(SUBSTITUTE(SUBSTITUTE('Kontoplan'!$H28,"~","~~"),"*","~*"),"?","~?")))</f>
        <v/>
      </c>
      <c r="F28" s="20">
        <f>IF($A28="","",SUMIFS('Journal'!$F$3:$F$2002,'Journal'!$D$3:$D$2002,SUBSTITUTE(SUBSTITUTE(SUBSTITUTE('Kontoplan'!$H28,"~","~~"),"*","~*"),"?","~?"))+SUMIFS('Journal'!$G$3:$G$2002,'Journal'!$E$3:$E$2002,SUBSTITUTE(SUBSTITUTE(SUBSTITUTE('Kontoplan'!$H28,"~","~~"),"*","~*"),"?","~?")))</f>
        <v/>
      </c>
      <c r="G28" s="20">
        <f>IF($A28="","",D28+E28-F28)</f>
        <v/>
      </c>
      <c r="H28" s="14" t="n"/>
      <c r="I28" s="8" t="n"/>
    </row>
    <row r="29">
      <c r="A29" s="5">
        <f>IF('Kontoplan'!A29="","",'Kontoplan'!A29)</f>
        <v/>
      </c>
      <c r="B29" s="5">
        <f>IF($A29="","",'Kontoplan'!B29)</f>
        <v/>
      </c>
      <c r="C29" s="5">
        <f>IF($A29="","",'Kontoplan'!C29)</f>
        <v/>
      </c>
      <c r="D29" s="20">
        <f>IF($A29="","",SUMIFS('Åpningsbalanse'!$C$4:$C$103,'Åpningsbalanse'!$A$4:$A$103,SUBSTITUTE(SUBSTITUTE(SUBSTITUTE('Kontoplan'!$H29,"~","~~"),"*","~*"),"?","~?"))*IFERROR(INDEX('_lister'!$C$2:$C$62,MATCH(C29,'_lister'!$A$2:$A$62,0)),1))</f>
        <v/>
      </c>
      <c r="E29" s="20">
        <f>IF($A29="","",SUMIFS('Journal'!$G$3:$G$2002,'Journal'!$D$3:$D$2002,SUBSTITUTE(SUBSTITUTE(SUBSTITUTE('Kontoplan'!$H29,"~","~~"),"*","~*"),"?","~?"))+SUMIFS('Journal'!$F$3:$F$2002,'Journal'!$E$3:$E$2002,SUBSTITUTE(SUBSTITUTE(SUBSTITUTE('Kontoplan'!$H29,"~","~~"),"*","~*"),"?","~?")))</f>
        <v/>
      </c>
      <c r="F29" s="20">
        <f>IF($A29="","",SUMIFS('Journal'!$F$3:$F$2002,'Journal'!$D$3:$D$2002,SUBSTITUTE(SUBSTITUTE(SUBSTITUTE('Kontoplan'!$H29,"~","~~"),"*","~*"),"?","~?"))+SUMIFS('Journal'!$G$3:$G$2002,'Journal'!$E$3:$E$2002,SUBSTITUTE(SUBSTITUTE(SUBSTITUTE('Kontoplan'!$H29,"~","~~"),"*","~*"),"?","~?")))</f>
        <v/>
      </c>
      <c r="G29" s="20">
        <f>IF($A29="","",D29+E29-F29)</f>
        <v/>
      </c>
      <c r="H29" s="14" t="n"/>
      <c r="I29" s="8" t="n"/>
    </row>
    <row r="30">
      <c r="A30" s="5">
        <f>IF('Kontoplan'!A30="","",'Kontoplan'!A30)</f>
        <v/>
      </c>
      <c r="B30" s="5">
        <f>IF($A30="","",'Kontoplan'!B30)</f>
        <v/>
      </c>
      <c r="C30" s="5">
        <f>IF($A30="","",'Kontoplan'!C30)</f>
        <v/>
      </c>
      <c r="D30" s="20">
        <f>IF($A30="","",SUMIFS('Åpningsbalanse'!$C$4:$C$103,'Åpningsbalanse'!$A$4:$A$103,SUBSTITUTE(SUBSTITUTE(SUBSTITUTE('Kontoplan'!$H30,"~","~~"),"*","~*"),"?","~?"))*IFERROR(INDEX('_lister'!$C$2:$C$62,MATCH(C30,'_lister'!$A$2:$A$62,0)),1))</f>
        <v/>
      </c>
      <c r="E30" s="20">
        <f>IF($A30="","",SUMIFS('Journal'!$G$3:$G$2002,'Journal'!$D$3:$D$2002,SUBSTITUTE(SUBSTITUTE(SUBSTITUTE('Kontoplan'!$H30,"~","~~"),"*","~*"),"?","~?"))+SUMIFS('Journal'!$F$3:$F$2002,'Journal'!$E$3:$E$2002,SUBSTITUTE(SUBSTITUTE(SUBSTITUTE('Kontoplan'!$H30,"~","~~"),"*","~*"),"?","~?")))</f>
        <v/>
      </c>
      <c r="F30" s="20">
        <f>IF($A30="","",SUMIFS('Journal'!$F$3:$F$2002,'Journal'!$D$3:$D$2002,SUBSTITUTE(SUBSTITUTE(SUBSTITUTE('Kontoplan'!$H30,"~","~~"),"*","~*"),"?","~?"))+SUMIFS('Journal'!$G$3:$G$2002,'Journal'!$E$3:$E$2002,SUBSTITUTE(SUBSTITUTE(SUBSTITUTE('Kontoplan'!$H30,"~","~~"),"*","~*"),"?","~?")))</f>
        <v/>
      </c>
      <c r="G30" s="20">
        <f>IF($A30="","",D30+E30-F30)</f>
        <v/>
      </c>
      <c r="H30" s="14" t="n"/>
      <c r="I30" s="8" t="n"/>
    </row>
    <row r="31">
      <c r="A31" s="5">
        <f>IF('Kontoplan'!A31="","",'Kontoplan'!A31)</f>
        <v/>
      </c>
      <c r="B31" s="5">
        <f>IF($A31="","",'Kontoplan'!B31)</f>
        <v/>
      </c>
      <c r="C31" s="5">
        <f>IF($A31="","",'Kontoplan'!C31)</f>
        <v/>
      </c>
      <c r="D31" s="20">
        <f>IF($A31="","",SUMIFS('Åpningsbalanse'!$C$4:$C$103,'Åpningsbalanse'!$A$4:$A$103,SUBSTITUTE(SUBSTITUTE(SUBSTITUTE('Kontoplan'!$H31,"~","~~"),"*","~*"),"?","~?"))*IFERROR(INDEX('_lister'!$C$2:$C$62,MATCH(C31,'_lister'!$A$2:$A$62,0)),1))</f>
        <v/>
      </c>
      <c r="E31" s="20">
        <f>IF($A31="","",SUMIFS('Journal'!$G$3:$G$2002,'Journal'!$D$3:$D$2002,SUBSTITUTE(SUBSTITUTE(SUBSTITUTE('Kontoplan'!$H31,"~","~~"),"*","~*"),"?","~?"))+SUMIFS('Journal'!$F$3:$F$2002,'Journal'!$E$3:$E$2002,SUBSTITUTE(SUBSTITUTE(SUBSTITUTE('Kontoplan'!$H31,"~","~~"),"*","~*"),"?","~?")))</f>
        <v/>
      </c>
      <c r="F31" s="20">
        <f>IF($A31="","",SUMIFS('Journal'!$F$3:$F$2002,'Journal'!$D$3:$D$2002,SUBSTITUTE(SUBSTITUTE(SUBSTITUTE('Kontoplan'!$H31,"~","~~"),"*","~*"),"?","~?"))+SUMIFS('Journal'!$G$3:$G$2002,'Journal'!$E$3:$E$2002,SUBSTITUTE(SUBSTITUTE(SUBSTITUTE('Kontoplan'!$H31,"~","~~"),"*","~*"),"?","~?")))</f>
        <v/>
      </c>
      <c r="G31" s="20">
        <f>IF($A31="","",D31+E31-F31)</f>
        <v/>
      </c>
      <c r="H31" s="14" t="n"/>
      <c r="I31" s="8" t="n"/>
    </row>
    <row r="32">
      <c r="A32" s="5">
        <f>IF('Kontoplan'!A32="","",'Kontoplan'!A32)</f>
        <v/>
      </c>
      <c r="B32" s="5">
        <f>IF($A32="","",'Kontoplan'!B32)</f>
        <v/>
      </c>
      <c r="C32" s="5">
        <f>IF($A32="","",'Kontoplan'!C32)</f>
        <v/>
      </c>
      <c r="D32" s="20">
        <f>IF($A32="","",SUMIFS('Åpningsbalanse'!$C$4:$C$103,'Åpningsbalanse'!$A$4:$A$103,SUBSTITUTE(SUBSTITUTE(SUBSTITUTE('Kontoplan'!$H32,"~","~~"),"*","~*"),"?","~?"))*IFERROR(INDEX('_lister'!$C$2:$C$62,MATCH(C32,'_lister'!$A$2:$A$62,0)),1))</f>
        <v/>
      </c>
      <c r="E32" s="20">
        <f>IF($A32="","",SUMIFS('Journal'!$G$3:$G$2002,'Journal'!$D$3:$D$2002,SUBSTITUTE(SUBSTITUTE(SUBSTITUTE('Kontoplan'!$H32,"~","~~"),"*","~*"),"?","~?"))+SUMIFS('Journal'!$F$3:$F$2002,'Journal'!$E$3:$E$2002,SUBSTITUTE(SUBSTITUTE(SUBSTITUTE('Kontoplan'!$H32,"~","~~"),"*","~*"),"?","~?")))</f>
        <v/>
      </c>
      <c r="F32" s="20">
        <f>IF($A32="","",SUMIFS('Journal'!$F$3:$F$2002,'Journal'!$D$3:$D$2002,SUBSTITUTE(SUBSTITUTE(SUBSTITUTE('Kontoplan'!$H32,"~","~~"),"*","~*"),"?","~?"))+SUMIFS('Journal'!$G$3:$G$2002,'Journal'!$E$3:$E$2002,SUBSTITUTE(SUBSTITUTE(SUBSTITUTE('Kontoplan'!$H32,"~","~~"),"*","~*"),"?","~?")))</f>
        <v/>
      </c>
      <c r="G32" s="20">
        <f>IF($A32="","",D32+E32-F32)</f>
        <v/>
      </c>
      <c r="H32" s="14" t="n"/>
      <c r="I32" s="8" t="n"/>
    </row>
    <row r="33">
      <c r="A33" s="5">
        <f>IF('Kontoplan'!A33="","",'Kontoplan'!A33)</f>
        <v/>
      </c>
      <c r="B33" s="5">
        <f>IF($A33="","",'Kontoplan'!B33)</f>
        <v/>
      </c>
      <c r="C33" s="5">
        <f>IF($A33="","",'Kontoplan'!C33)</f>
        <v/>
      </c>
      <c r="D33" s="20">
        <f>IF($A33="","",SUMIFS('Åpningsbalanse'!$C$4:$C$103,'Åpningsbalanse'!$A$4:$A$103,SUBSTITUTE(SUBSTITUTE(SUBSTITUTE('Kontoplan'!$H33,"~","~~"),"*","~*"),"?","~?"))*IFERROR(INDEX('_lister'!$C$2:$C$62,MATCH(C33,'_lister'!$A$2:$A$62,0)),1))</f>
        <v/>
      </c>
      <c r="E33" s="20">
        <f>IF($A33="","",SUMIFS('Journal'!$G$3:$G$2002,'Journal'!$D$3:$D$2002,SUBSTITUTE(SUBSTITUTE(SUBSTITUTE('Kontoplan'!$H33,"~","~~"),"*","~*"),"?","~?"))+SUMIFS('Journal'!$F$3:$F$2002,'Journal'!$E$3:$E$2002,SUBSTITUTE(SUBSTITUTE(SUBSTITUTE('Kontoplan'!$H33,"~","~~"),"*","~*"),"?","~?")))</f>
        <v/>
      </c>
      <c r="F33" s="20">
        <f>IF($A33="","",SUMIFS('Journal'!$F$3:$F$2002,'Journal'!$D$3:$D$2002,SUBSTITUTE(SUBSTITUTE(SUBSTITUTE('Kontoplan'!$H33,"~","~~"),"*","~*"),"?","~?"))+SUMIFS('Journal'!$G$3:$G$2002,'Journal'!$E$3:$E$2002,SUBSTITUTE(SUBSTITUTE(SUBSTITUTE('Kontoplan'!$H33,"~","~~"),"*","~*"),"?","~?")))</f>
        <v/>
      </c>
      <c r="G33" s="20">
        <f>IF($A33="","",D33+E33-F33)</f>
        <v/>
      </c>
      <c r="H33" s="14" t="n"/>
      <c r="I33" s="8" t="n"/>
    </row>
    <row r="34">
      <c r="A34" s="5">
        <f>IF('Kontoplan'!A34="","",'Kontoplan'!A34)</f>
        <v/>
      </c>
      <c r="B34" s="5">
        <f>IF($A34="","",'Kontoplan'!B34)</f>
        <v/>
      </c>
      <c r="C34" s="5">
        <f>IF($A34="","",'Kontoplan'!C34)</f>
        <v/>
      </c>
      <c r="D34" s="20">
        <f>IF($A34="","",SUMIFS('Åpningsbalanse'!$C$4:$C$103,'Åpningsbalanse'!$A$4:$A$103,SUBSTITUTE(SUBSTITUTE(SUBSTITUTE('Kontoplan'!$H34,"~","~~"),"*","~*"),"?","~?"))*IFERROR(INDEX('_lister'!$C$2:$C$62,MATCH(C34,'_lister'!$A$2:$A$62,0)),1))</f>
        <v/>
      </c>
      <c r="E34" s="20">
        <f>IF($A34="","",SUMIFS('Journal'!$G$3:$G$2002,'Journal'!$D$3:$D$2002,SUBSTITUTE(SUBSTITUTE(SUBSTITUTE('Kontoplan'!$H34,"~","~~"),"*","~*"),"?","~?"))+SUMIFS('Journal'!$F$3:$F$2002,'Journal'!$E$3:$E$2002,SUBSTITUTE(SUBSTITUTE(SUBSTITUTE('Kontoplan'!$H34,"~","~~"),"*","~*"),"?","~?")))</f>
        <v/>
      </c>
      <c r="F34" s="20">
        <f>IF($A34="","",SUMIFS('Journal'!$F$3:$F$2002,'Journal'!$D$3:$D$2002,SUBSTITUTE(SUBSTITUTE(SUBSTITUTE('Kontoplan'!$H34,"~","~~"),"*","~*"),"?","~?"))+SUMIFS('Journal'!$G$3:$G$2002,'Journal'!$E$3:$E$2002,SUBSTITUTE(SUBSTITUTE(SUBSTITUTE('Kontoplan'!$H34,"~","~~"),"*","~*"),"?","~?")))</f>
        <v/>
      </c>
      <c r="G34" s="20">
        <f>IF($A34="","",D34+E34-F34)</f>
        <v/>
      </c>
      <c r="H34" s="14" t="n"/>
      <c r="I34" s="8" t="n"/>
    </row>
    <row r="35">
      <c r="A35" s="5">
        <f>IF('Kontoplan'!A35="","",'Kontoplan'!A35)</f>
        <v/>
      </c>
      <c r="B35" s="5">
        <f>IF($A35="","",'Kontoplan'!B35)</f>
        <v/>
      </c>
      <c r="C35" s="5">
        <f>IF($A35="","",'Kontoplan'!C35)</f>
        <v/>
      </c>
      <c r="D35" s="20">
        <f>IF($A35="","",SUMIFS('Åpningsbalanse'!$C$4:$C$103,'Åpningsbalanse'!$A$4:$A$103,SUBSTITUTE(SUBSTITUTE(SUBSTITUTE('Kontoplan'!$H35,"~","~~"),"*","~*"),"?","~?"))*IFERROR(INDEX('_lister'!$C$2:$C$62,MATCH(C35,'_lister'!$A$2:$A$62,0)),1))</f>
        <v/>
      </c>
      <c r="E35" s="20">
        <f>IF($A35="","",SUMIFS('Journal'!$G$3:$G$2002,'Journal'!$D$3:$D$2002,SUBSTITUTE(SUBSTITUTE(SUBSTITUTE('Kontoplan'!$H35,"~","~~"),"*","~*"),"?","~?"))+SUMIFS('Journal'!$F$3:$F$2002,'Journal'!$E$3:$E$2002,SUBSTITUTE(SUBSTITUTE(SUBSTITUTE('Kontoplan'!$H35,"~","~~"),"*","~*"),"?","~?")))</f>
        <v/>
      </c>
      <c r="F35" s="20">
        <f>IF($A35="","",SUMIFS('Journal'!$F$3:$F$2002,'Journal'!$D$3:$D$2002,SUBSTITUTE(SUBSTITUTE(SUBSTITUTE('Kontoplan'!$H35,"~","~~"),"*","~*"),"?","~?"))+SUMIFS('Journal'!$G$3:$G$2002,'Journal'!$E$3:$E$2002,SUBSTITUTE(SUBSTITUTE(SUBSTITUTE('Kontoplan'!$H35,"~","~~"),"*","~*"),"?","~?")))</f>
        <v/>
      </c>
      <c r="G35" s="20">
        <f>IF($A35="","",D35+E35-F35)</f>
        <v/>
      </c>
      <c r="H35" s="14" t="n"/>
      <c r="I35" s="8" t="n"/>
    </row>
    <row r="36">
      <c r="A36" s="5">
        <f>IF('Kontoplan'!A36="","",'Kontoplan'!A36)</f>
        <v/>
      </c>
      <c r="B36" s="5">
        <f>IF($A36="","",'Kontoplan'!B36)</f>
        <v/>
      </c>
      <c r="C36" s="5">
        <f>IF($A36="","",'Kontoplan'!C36)</f>
        <v/>
      </c>
      <c r="D36" s="20">
        <f>IF($A36="","",SUMIFS('Åpningsbalanse'!$C$4:$C$103,'Åpningsbalanse'!$A$4:$A$103,SUBSTITUTE(SUBSTITUTE(SUBSTITUTE('Kontoplan'!$H36,"~","~~"),"*","~*"),"?","~?"))*IFERROR(INDEX('_lister'!$C$2:$C$62,MATCH(C36,'_lister'!$A$2:$A$62,0)),1))</f>
        <v/>
      </c>
      <c r="E36" s="20">
        <f>IF($A36="","",SUMIFS('Journal'!$G$3:$G$2002,'Journal'!$D$3:$D$2002,SUBSTITUTE(SUBSTITUTE(SUBSTITUTE('Kontoplan'!$H36,"~","~~"),"*","~*"),"?","~?"))+SUMIFS('Journal'!$F$3:$F$2002,'Journal'!$E$3:$E$2002,SUBSTITUTE(SUBSTITUTE(SUBSTITUTE('Kontoplan'!$H36,"~","~~"),"*","~*"),"?","~?")))</f>
        <v/>
      </c>
      <c r="F36" s="20">
        <f>IF($A36="","",SUMIFS('Journal'!$F$3:$F$2002,'Journal'!$D$3:$D$2002,SUBSTITUTE(SUBSTITUTE(SUBSTITUTE('Kontoplan'!$H36,"~","~~"),"*","~*"),"?","~?"))+SUMIFS('Journal'!$G$3:$G$2002,'Journal'!$E$3:$E$2002,SUBSTITUTE(SUBSTITUTE(SUBSTITUTE('Kontoplan'!$H36,"~","~~"),"*","~*"),"?","~?")))</f>
        <v/>
      </c>
      <c r="G36" s="20">
        <f>IF($A36="","",D36+E36-F36)</f>
        <v/>
      </c>
      <c r="H36" s="14" t="n"/>
      <c r="I36" s="8" t="n"/>
    </row>
    <row r="37">
      <c r="A37" s="5">
        <f>IF('Kontoplan'!A37="","",'Kontoplan'!A37)</f>
        <v/>
      </c>
      <c r="B37" s="5">
        <f>IF($A37="","",'Kontoplan'!B37)</f>
        <v/>
      </c>
      <c r="C37" s="5">
        <f>IF($A37="","",'Kontoplan'!C37)</f>
        <v/>
      </c>
      <c r="D37" s="20">
        <f>IF($A37="","",SUMIFS('Åpningsbalanse'!$C$4:$C$103,'Åpningsbalanse'!$A$4:$A$103,SUBSTITUTE(SUBSTITUTE(SUBSTITUTE('Kontoplan'!$H37,"~","~~"),"*","~*"),"?","~?"))*IFERROR(INDEX('_lister'!$C$2:$C$62,MATCH(C37,'_lister'!$A$2:$A$62,0)),1))</f>
        <v/>
      </c>
      <c r="E37" s="20">
        <f>IF($A37="","",SUMIFS('Journal'!$G$3:$G$2002,'Journal'!$D$3:$D$2002,SUBSTITUTE(SUBSTITUTE(SUBSTITUTE('Kontoplan'!$H37,"~","~~"),"*","~*"),"?","~?"))+SUMIFS('Journal'!$F$3:$F$2002,'Journal'!$E$3:$E$2002,SUBSTITUTE(SUBSTITUTE(SUBSTITUTE('Kontoplan'!$H37,"~","~~"),"*","~*"),"?","~?")))</f>
        <v/>
      </c>
      <c r="F37" s="20">
        <f>IF($A37="","",SUMIFS('Journal'!$F$3:$F$2002,'Journal'!$D$3:$D$2002,SUBSTITUTE(SUBSTITUTE(SUBSTITUTE('Kontoplan'!$H37,"~","~~"),"*","~*"),"?","~?"))+SUMIFS('Journal'!$G$3:$G$2002,'Journal'!$E$3:$E$2002,SUBSTITUTE(SUBSTITUTE(SUBSTITUTE('Kontoplan'!$H37,"~","~~"),"*","~*"),"?","~?")))</f>
        <v/>
      </c>
      <c r="G37" s="20">
        <f>IF($A37="","",D37+E37-F37)</f>
        <v/>
      </c>
      <c r="H37" s="14" t="n"/>
      <c r="I37" s="8" t="n"/>
    </row>
    <row r="38">
      <c r="A38" s="5">
        <f>IF('Kontoplan'!A38="","",'Kontoplan'!A38)</f>
        <v/>
      </c>
      <c r="B38" s="5">
        <f>IF($A38="","",'Kontoplan'!B38)</f>
        <v/>
      </c>
      <c r="C38" s="5">
        <f>IF($A38="","",'Kontoplan'!C38)</f>
        <v/>
      </c>
      <c r="D38" s="20">
        <f>IF($A38="","",SUMIFS('Åpningsbalanse'!$C$4:$C$103,'Åpningsbalanse'!$A$4:$A$103,SUBSTITUTE(SUBSTITUTE(SUBSTITUTE('Kontoplan'!$H38,"~","~~"),"*","~*"),"?","~?"))*IFERROR(INDEX('_lister'!$C$2:$C$62,MATCH(C38,'_lister'!$A$2:$A$62,0)),1))</f>
        <v/>
      </c>
      <c r="E38" s="20">
        <f>IF($A38="","",SUMIFS('Journal'!$G$3:$G$2002,'Journal'!$D$3:$D$2002,SUBSTITUTE(SUBSTITUTE(SUBSTITUTE('Kontoplan'!$H38,"~","~~"),"*","~*"),"?","~?"))+SUMIFS('Journal'!$F$3:$F$2002,'Journal'!$E$3:$E$2002,SUBSTITUTE(SUBSTITUTE(SUBSTITUTE('Kontoplan'!$H38,"~","~~"),"*","~*"),"?","~?")))</f>
        <v/>
      </c>
      <c r="F38" s="20">
        <f>IF($A38="","",SUMIFS('Journal'!$F$3:$F$2002,'Journal'!$D$3:$D$2002,SUBSTITUTE(SUBSTITUTE(SUBSTITUTE('Kontoplan'!$H38,"~","~~"),"*","~*"),"?","~?"))+SUMIFS('Journal'!$G$3:$G$2002,'Journal'!$E$3:$E$2002,SUBSTITUTE(SUBSTITUTE(SUBSTITUTE('Kontoplan'!$H38,"~","~~"),"*","~*"),"?","~?")))</f>
        <v/>
      </c>
      <c r="G38" s="20">
        <f>IF($A38="","",D38+E38-F38)</f>
        <v/>
      </c>
      <c r="H38" s="14" t="n"/>
      <c r="I38" s="8" t="n"/>
    </row>
    <row r="39">
      <c r="A39" s="5">
        <f>IF('Kontoplan'!A39="","",'Kontoplan'!A39)</f>
        <v/>
      </c>
      <c r="B39" s="5">
        <f>IF($A39="","",'Kontoplan'!B39)</f>
        <v/>
      </c>
      <c r="C39" s="5">
        <f>IF($A39="","",'Kontoplan'!C39)</f>
        <v/>
      </c>
      <c r="D39" s="20">
        <f>IF($A39="","",SUMIFS('Åpningsbalanse'!$C$4:$C$103,'Åpningsbalanse'!$A$4:$A$103,SUBSTITUTE(SUBSTITUTE(SUBSTITUTE('Kontoplan'!$H39,"~","~~"),"*","~*"),"?","~?"))*IFERROR(INDEX('_lister'!$C$2:$C$62,MATCH(C39,'_lister'!$A$2:$A$62,0)),1))</f>
        <v/>
      </c>
      <c r="E39" s="20">
        <f>IF($A39="","",SUMIFS('Journal'!$G$3:$G$2002,'Journal'!$D$3:$D$2002,SUBSTITUTE(SUBSTITUTE(SUBSTITUTE('Kontoplan'!$H39,"~","~~"),"*","~*"),"?","~?"))+SUMIFS('Journal'!$F$3:$F$2002,'Journal'!$E$3:$E$2002,SUBSTITUTE(SUBSTITUTE(SUBSTITUTE('Kontoplan'!$H39,"~","~~"),"*","~*"),"?","~?")))</f>
        <v/>
      </c>
      <c r="F39" s="20">
        <f>IF($A39="","",SUMIFS('Journal'!$F$3:$F$2002,'Journal'!$D$3:$D$2002,SUBSTITUTE(SUBSTITUTE(SUBSTITUTE('Kontoplan'!$H39,"~","~~"),"*","~*"),"?","~?"))+SUMIFS('Journal'!$G$3:$G$2002,'Journal'!$E$3:$E$2002,SUBSTITUTE(SUBSTITUTE(SUBSTITUTE('Kontoplan'!$H39,"~","~~"),"*","~*"),"?","~?")))</f>
        <v/>
      </c>
      <c r="G39" s="20">
        <f>IF($A39="","",D39+E39-F39)</f>
        <v/>
      </c>
      <c r="H39" s="14" t="n"/>
      <c r="I39" s="8" t="n"/>
    </row>
    <row r="40">
      <c r="A40" s="5">
        <f>IF('Kontoplan'!A40="","",'Kontoplan'!A40)</f>
        <v/>
      </c>
      <c r="B40" s="5">
        <f>IF($A40="","",'Kontoplan'!B40)</f>
        <v/>
      </c>
      <c r="C40" s="5">
        <f>IF($A40="","",'Kontoplan'!C40)</f>
        <v/>
      </c>
      <c r="D40" s="20">
        <f>IF($A40="","",SUMIFS('Åpningsbalanse'!$C$4:$C$103,'Åpningsbalanse'!$A$4:$A$103,SUBSTITUTE(SUBSTITUTE(SUBSTITUTE('Kontoplan'!$H40,"~","~~"),"*","~*"),"?","~?"))*IFERROR(INDEX('_lister'!$C$2:$C$62,MATCH(C40,'_lister'!$A$2:$A$62,0)),1))</f>
        <v/>
      </c>
      <c r="E40" s="20">
        <f>IF($A40="","",SUMIFS('Journal'!$G$3:$G$2002,'Journal'!$D$3:$D$2002,SUBSTITUTE(SUBSTITUTE(SUBSTITUTE('Kontoplan'!$H40,"~","~~"),"*","~*"),"?","~?"))+SUMIFS('Journal'!$F$3:$F$2002,'Journal'!$E$3:$E$2002,SUBSTITUTE(SUBSTITUTE(SUBSTITUTE('Kontoplan'!$H40,"~","~~"),"*","~*"),"?","~?")))</f>
        <v/>
      </c>
      <c r="F40" s="20">
        <f>IF($A40="","",SUMIFS('Journal'!$F$3:$F$2002,'Journal'!$D$3:$D$2002,SUBSTITUTE(SUBSTITUTE(SUBSTITUTE('Kontoplan'!$H40,"~","~~"),"*","~*"),"?","~?"))+SUMIFS('Journal'!$G$3:$G$2002,'Journal'!$E$3:$E$2002,SUBSTITUTE(SUBSTITUTE(SUBSTITUTE('Kontoplan'!$H40,"~","~~"),"*","~*"),"?","~?")))</f>
        <v/>
      </c>
      <c r="G40" s="20">
        <f>IF($A40="","",D40+E40-F40)</f>
        <v/>
      </c>
      <c r="H40" s="14" t="n"/>
      <c r="I40" s="8" t="n"/>
    </row>
    <row r="41">
      <c r="A41" s="5">
        <f>IF('Kontoplan'!A41="","",'Kontoplan'!A41)</f>
        <v/>
      </c>
      <c r="B41" s="5">
        <f>IF($A41="","",'Kontoplan'!B41)</f>
        <v/>
      </c>
      <c r="C41" s="5">
        <f>IF($A41="","",'Kontoplan'!C41)</f>
        <v/>
      </c>
      <c r="D41" s="20">
        <f>IF($A41="","",SUMIFS('Åpningsbalanse'!$C$4:$C$103,'Åpningsbalanse'!$A$4:$A$103,SUBSTITUTE(SUBSTITUTE(SUBSTITUTE('Kontoplan'!$H41,"~","~~"),"*","~*"),"?","~?"))*IFERROR(INDEX('_lister'!$C$2:$C$62,MATCH(C41,'_lister'!$A$2:$A$62,0)),1))</f>
        <v/>
      </c>
      <c r="E41" s="20">
        <f>IF($A41="","",SUMIFS('Journal'!$G$3:$G$2002,'Journal'!$D$3:$D$2002,SUBSTITUTE(SUBSTITUTE(SUBSTITUTE('Kontoplan'!$H41,"~","~~"),"*","~*"),"?","~?"))+SUMIFS('Journal'!$F$3:$F$2002,'Journal'!$E$3:$E$2002,SUBSTITUTE(SUBSTITUTE(SUBSTITUTE('Kontoplan'!$H41,"~","~~"),"*","~*"),"?","~?")))</f>
        <v/>
      </c>
      <c r="F41" s="20">
        <f>IF($A41="","",SUMIFS('Journal'!$F$3:$F$2002,'Journal'!$D$3:$D$2002,SUBSTITUTE(SUBSTITUTE(SUBSTITUTE('Kontoplan'!$H41,"~","~~"),"*","~*"),"?","~?"))+SUMIFS('Journal'!$G$3:$G$2002,'Journal'!$E$3:$E$2002,SUBSTITUTE(SUBSTITUTE(SUBSTITUTE('Kontoplan'!$H41,"~","~~"),"*","~*"),"?","~?")))</f>
        <v/>
      </c>
      <c r="G41" s="20">
        <f>IF($A41="","",D41+E41-F41)</f>
        <v/>
      </c>
      <c r="H41" s="14" t="n"/>
      <c r="I41" s="8" t="n"/>
    </row>
    <row r="42">
      <c r="A42" s="5">
        <f>IF('Kontoplan'!A42="","",'Kontoplan'!A42)</f>
        <v/>
      </c>
      <c r="B42" s="5">
        <f>IF($A42="","",'Kontoplan'!B42)</f>
        <v/>
      </c>
      <c r="C42" s="5">
        <f>IF($A42="","",'Kontoplan'!C42)</f>
        <v/>
      </c>
      <c r="D42" s="20">
        <f>IF($A42="","",SUMIFS('Åpningsbalanse'!$C$4:$C$103,'Åpningsbalanse'!$A$4:$A$103,SUBSTITUTE(SUBSTITUTE(SUBSTITUTE('Kontoplan'!$H42,"~","~~"),"*","~*"),"?","~?"))*IFERROR(INDEX('_lister'!$C$2:$C$62,MATCH(C42,'_lister'!$A$2:$A$62,0)),1))</f>
        <v/>
      </c>
      <c r="E42" s="20">
        <f>IF($A42="","",SUMIFS('Journal'!$G$3:$G$2002,'Journal'!$D$3:$D$2002,SUBSTITUTE(SUBSTITUTE(SUBSTITUTE('Kontoplan'!$H42,"~","~~"),"*","~*"),"?","~?"))+SUMIFS('Journal'!$F$3:$F$2002,'Journal'!$E$3:$E$2002,SUBSTITUTE(SUBSTITUTE(SUBSTITUTE('Kontoplan'!$H42,"~","~~"),"*","~*"),"?","~?")))</f>
        <v/>
      </c>
      <c r="F42" s="20">
        <f>IF($A42="","",SUMIFS('Journal'!$F$3:$F$2002,'Journal'!$D$3:$D$2002,SUBSTITUTE(SUBSTITUTE(SUBSTITUTE('Kontoplan'!$H42,"~","~~"),"*","~*"),"?","~?"))+SUMIFS('Journal'!$G$3:$G$2002,'Journal'!$E$3:$E$2002,SUBSTITUTE(SUBSTITUTE(SUBSTITUTE('Kontoplan'!$H42,"~","~~"),"*","~*"),"?","~?")))</f>
        <v/>
      </c>
      <c r="G42" s="20">
        <f>IF($A42="","",D42+E42-F42)</f>
        <v/>
      </c>
      <c r="H42" s="14" t="n"/>
      <c r="I42" s="8" t="n"/>
    </row>
    <row r="43">
      <c r="A43" s="5">
        <f>IF('Kontoplan'!A43="","",'Kontoplan'!A43)</f>
        <v/>
      </c>
      <c r="B43" s="5">
        <f>IF($A43="","",'Kontoplan'!B43)</f>
        <v/>
      </c>
      <c r="C43" s="5">
        <f>IF($A43="","",'Kontoplan'!C43)</f>
        <v/>
      </c>
      <c r="D43" s="20">
        <f>IF($A43="","",SUMIFS('Åpningsbalanse'!$C$4:$C$103,'Åpningsbalanse'!$A$4:$A$103,SUBSTITUTE(SUBSTITUTE(SUBSTITUTE('Kontoplan'!$H43,"~","~~"),"*","~*"),"?","~?"))*IFERROR(INDEX('_lister'!$C$2:$C$62,MATCH(C43,'_lister'!$A$2:$A$62,0)),1))</f>
        <v/>
      </c>
      <c r="E43" s="20">
        <f>IF($A43="","",SUMIFS('Journal'!$G$3:$G$2002,'Journal'!$D$3:$D$2002,SUBSTITUTE(SUBSTITUTE(SUBSTITUTE('Kontoplan'!$H43,"~","~~"),"*","~*"),"?","~?"))+SUMIFS('Journal'!$F$3:$F$2002,'Journal'!$E$3:$E$2002,SUBSTITUTE(SUBSTITUTE(SUBSTITUTE('Kontoplan'!$H43,"~","~~"),"*","~*"),"?","~?")))</f>
        <v/>
      </c>
      <c r="F43" s="20">
        <f>IF($A43="","",SUMIFS('Journal'!$F$3:$F$2002,'Journal'!$D$3:$D$2002,SUBSTITUTE(SUBSTITUTE(SUBSTITUTE('Kontoplan'!$H43,"~","~~"),"*","~*"),"?","~?"))+SUMIFS('Journal'!$G$3:$G$2002,'Journal'!$E$3:$E$2002,SUBSTITUTE(SUBSTITUTE(SUBSTITUTE('Kontoplan'!$H43,"~","~~"),"*","~*"),"?","~?")))</f>
        <v/>
      </c>
      <c r="G43" s="20">
        <f>IF($A43="","",D43+E43-F43)</f>
        <v/>
      </c>
      <c r="H43" s="14" t="n"/>
      <c r="I43" s="8" t="n"/>
    </row>
    <row r="44">
      <c r="A44" s="5">
        <f>IF('Kontoplan'!A44="","",'Kontoplan'!A44)</f>
        <v/>
      </c>
      <c r="B44" s="5">
        <f>IF($A44="","",'Kontoplan'!B44)</f>
        <v/>
      </c>
      <c r="C44" s="5">
        <f>IF($A44="","",'Kontoplan'!C44)</f>
        <v/>
      </c>
      <c r="D44" s="20">
        <f>IF($A44="","",SUMIFS('Åpningsbalanse'!$C$4:$C$103,'Åpningsbalanse'!$A$4:$A$103,SUBSTITUTE(SUBSTITUTE(SUBSTITUTE('Kontoplan'!$H44,"~","~~"),"*","~*"),"?","~?"))*IFERROR(INDEX('_lister'!$C$2:$C$62,MATCH(C44,'_lister'!$A$2:$A$62,0)),1))</f>
        <v/>
      </c>
      <c r="E44" s="20">
        <f>IF($A44="","",SUMIFS('Journal'!$G$3:$G$2002,'Journal'!$D$3:$D$2002,SUBSTITUTE(SUBSTITUTE(SUBSTITUTE('Kontoplan'!$H44,"~","~~"),"*","~*"),"?","~?"))+SUMIFS('Journal'!$F$3:$F$2002,'Journal'!$E$3:$E$2002,SUBSTITUTE(SUBSTITUTE(SUBSTITUTE('Kontoplan'!$H44,"~","~~"),"*","~*"),"?","~?")))</f>
        <v/>
      </c>
      <c r="F44" s="20">
        <f>IF($A44="","",SUMIFS('Journal'!$F$3:$F$2002,'Journal'!$D$3:$D$2002,SUBSTITUTE(SUBSTITUTE(SUBSTITUTE('Kontoplan'!$H44,"~","~~"),"*","~*"),"?","~?"))+SUMIFS('Journal'!$G$3:$G$2002,'Journal'!$E$3:$E$2002,SUBSTITUTE(SUBSTITUTE(SUBSTITUTE('Kontoplan'!$H44,"~","~~"),"*","~*"),"?","~?")))</f>
        <v/>
      </c>
      <c r="G44" s="20">
        <f>IF($A44="","",D44+E44-F44)</f>
        <v/>
      </c>
      <c r="H44" s="14" t="n"/>
      <c r="I44" s="8" t="n"/>
    </row>
    <row r="45">
      <c r="A45" s="5">
        <f>IF('Kontoplan'!A45="","",'Kontoplan'!A45)</f>
        <v/>
      </c>
      <c r="B45" s="5">
        <f>IF($A45="","",'Kontoplan'!B45)</f>
        <v/>
      </c>
      <c r="C45" s="5">
        <f>IF($A45="","",'Kontoplan'!C45)</f>
        <v/>
      </c>
      <c r="D45" s="20">
        <f>IF($A45="","",SUMIFS('Åpningsbalanse'!$C$4:$C$103,'Åpningsbalanse'!$A$4:$A$103,SUBSTITUTE(SUBSTITUTE(SUBSTITUTE('Kontoplan'!$H45,"~","~~"),"*","~*"),"?","~?"))*IFERROR(INDEX('_lister'!$C$2:$C$62,MATCH(C45,'_lister'!$A$2:$A$62,0)),1))</f>
        <v/>
      </c>
      <c r="E45" s="20">
        <f>IF($A45="","",SUMIFS('Journal'!$G$3:$G$2002,'Journal'!$D$3:$D$2002,SUBSTITUTE(SUBSTITUTE(SUBSTITUTE('Kontoplan'!$H45,"~","~~"),"*","~*"),"?","~?"))+SUMIFS('Journal'!$F$3:$F$2002,'Journal'!$E$3:$E$2002,SUBSTITUTE(SUBSTITUTE(SUBSTITUTE('Kontoplan'!$H45,"~","~~"),"*","~*"),"?","~?")))</f>
        <v/>
      </c>
      <c r="F45" s="20">
        <f>IF($A45="","",SUMIFS('Journal'!$F$3:$F$2002,'Journal'!$D$3:$D$2002,SUBSTITUTE(SUBSTITUTE(SUBSTITUTE('Kontoplan'!$H45,"~","~~"),"*","~*"),"?","~?"))+SUMIFS('Journal'!$G$3:$G$2002,'Journal'!$E$3:$E$2002,SUBSTITUTE(SUBSTITUTE(SUBSTITUTE('Kontoplan'!$H45,"~","~~"),"*","~*"),"?","~?")))</f>
        <v/>
      </c>
      <c r="G45" s="20">
        <f>IF($A45="","",D45+E45-F45)</f>
        <v/>
      </c>
      <c r="H45" s="14" t="n"/>
      <c r="I45" s="8" t="n"/>
    </row>
    <row r="46">
      <c r="A46" s="5">
        <f>IF('Kontoplan'!A46="","",'Kontoplan'!A46)</f>
        <v/>
      </c>
      <c r="B46" s="5">
        <f>IF($A46="","",'Kontoplan'!B46)</f>
        <v/>
      </c>
      <c r="C46" s="5">
        <f>IF($A46="","",'Kontoplan'!C46)</f>
        <v/>
      </c>
      <c r="D46" s="20">
        <f>IF($A46="","",SUMIFS('Åpningsbalanse'!$C$4:$C$103,'Åpningsbalanse'!$A$4:$A$103,SUBSTITUTE(SUBSTITUTE(SUBSTITUTE('Kontoplan'!$H46,"~","~~"),"*","~*"),"?","~?"))*IFERROR(INDEX('_lister'!$C$2:$C$62,MATCH(C46,'_lister'!$A$2:$A$62,0)),1))</f>
        <v/>
      </c>
      <c r="E46" s="20">
        <f>IF($A46="","",SUMIFS('Journal'!$G$3:$G$2002,'Journal'!$D$3:$D$2002,SUBSTITUTE(SUBSTITUTE(SUBSTITUTE('Kontoplan'!$H46,"~","~~"),"*","~*"),"?","~?"))+SUMIFS('Journal'!$F$3:$F$2002,'Journal'!$E$3:$E$2002,SUBSTITUTE(SUBSTITUTE(SUBSTITUTE('Kontoplan'!$H46,"~","~~"),"*","~*"),"?","~?")))</f>
        <v/>
      </c>
      <c r="F46" s="20">
        <f>IF($A46="","",SUMIFS('Journal'!$F$3:$F$2002,'Journal'!$D$3:$D$2002,SUBSTITUTE(SUBSTITUTE(SUBSTITUTE('Kontoplan'!$H46,"~","~~"),"*","~*"),"?","~?"))+SUMIFS('Journal'!$G$3:$G$2002,'Journal'!$E$3:$E$2002,SUBSTITUTE(SUBSTITUTE(SUBSTITUTE('Kontoplan'!$H46,"~","~~"),"*","~*"),"?","~?")))</f>
        <v/>
      </c>
      <c r="G46" s="20">
        <f>IF($A46="","",D46+E46-F46)</f>
        <v/>
      </c>
      <c r="H46" s="14" t="n"/>
      <c r="I46" s="8" t="n"/>
    </row>
    <row r="47">
      <c r="A47" s="5">
        <f>IF('Kontoplan'!A47="","",'Kontoplan'!A47)</f>
        <v/>
      </c>
      <c r="B47" s="5">
        <f>IF($A47="","",'Kontoplan'!B47)</f>
        <v/>
      </c>
      <c r="C47" s="5">
        <f>IF($A47="","",'Kontoplan'!C47)</f>
        <v/>
      </c>
      <c r="D47" s="20">
        <f>IF($A47="","",SUMIFS('Åpningsbalanse'!$C$4:$C$103,'Åpningsbalanse'!$A$4:$A$103,SUBSTITUTE(SUBSTITUTE(SUBSTITUTE('Kontoplan'!$H47,"~","~~"),"*","~*"),"?","~?"))*IFERROR(INDEX('_lister'!$C$2:$C$62,MATCH(C47,'_lister'!$A$2:$A$62,0)),1))</f>
        <v/>
      </c>
      <c r="E47" s="20">
        <f>IF($A47="","",SUMIFS('Journal'!$G$3:$G$2002,'Journal'!$D$3:$D$2002,SUBSTITUTE(SUBSTITUTE(SUBSTITUTE('Kontoplan'!$H47,"~","~~"),"*","~*"),"?","~?"))+SUMIFS('Journal'!$F$3:$F$2002,'Journal'!$E$3:$E$2002,SUBSTITUTE(SUBSTITUTE(SUBSTITUTE('Kontoplan'!$H47,"~","~~"),"*","~*"),"?","~?")))</f>
        <v/>
      </c>
      <c r="F47" s="20">
        <f>IF($A47="","",SUMIFS('Journal'!$F$3:$F$2002,'Journal'!$D$3:$D$2002,SUBSTITUTE(SUBSTITUTE(SUBSTITUTE('Kontoplan'!$H47,"~","~~"),"*","~*"),"?","~?"))+SUMIFS('Journal'!$G$3:$G$2002,'Journal'!$E$3:$E$2002,SUBSTITUTE(SUBSTITUTE(SUBSTITUTE('Kontoplan'!$H47,"~","~~"),"*","~*"),"?","~?")))</f>
        <v/>
      </c>
      <c r="G47" s="20">
        <f>IF($A47="","",D47+E47-F47)</f>
        <v/>
      </c>
      <c r="H47" s="14" t="n"/>
      <c r="I47" s="8" t="n"/>
    </row>
    <row r="48">
      <c r="A48" s="5">
        <f>IF('Kontoplan'!A48="","",'Kontoplan'!A48)</f>
        <v/>
      </c>
      <c r="B48" s="5">
        <f>IF($A48="","",'Kontoplan'!B48)</f>
        <v/>
      </c>
      <c r="C48" s="5">
        <f>IF($A48="","",'Kontoplan'!C48)</f>
        <v/>
      </c>
      <c r="D48" s="20">
        <f>IF($A48="","",SUMIFS('Åpningsbalanse'!$C$4:$C$103,'Åpningsbalanse'!$A$4:$A$103,SUBSTITUTE(SUBSTITUTE(SUBSTITUTE('Kontoplan'!$H48,"~","~~"),"*","~*"),"?","~?"))*IFERROR(INDEX('_lister'!$C$2:$C$62,MATCH(C48,'_lister'!$A$2:$A$62,0)),1))</f>
        <v/>
      </c>
      <c r="E48" s="20">
        <f>IF($A48="","",SUMIFS('Journal'!$G$3:$G$2002,'Journal'!$D$3:$D$2002,SUBSTITUTE(SUBSTITUTE(SUBSTITUTE('Kontoplan'!$H48,"~","~~"),"*","~*"),"?","~?"))+SUMIFS('Journal'!$F$3:$F$2002,'Journal'!$E$3:$E$2002,SUBSTITUTE(SUBSTITUTE(SUBSTITUTE('Kontoplan'!$H48,"~","~~"),"*","~*"),"?","~?")))</f>
        <v/>
      </c>
      <c r="F48" s="20">
        <f>IF($A48="","",SUMIFS('Journal'!$F$3:$F$2002,'Journal'!$D$3:$D$2002,SUBSTITUTE(SUBSTITUTE(SUBSTITUTE('Kontoplan'!$H48,"~","~~"),"*","~*"),"?","~?"))+SUMIFS('Journal'!$G$3:$G$2002,'Journal'!$E$3:$E$2002,SUBSTITUTE(SUBSTITUTE(SUBSTITUTE('Kontoplan'!$H48,"~","~~"),"*","~*"),"?","~?")))</f>
        <v/>
      </c>
      <c r="G48" s="20">
        <f>IF($A48="","",D48+E48-F48)</f>
        <v/>
      </c>
      <c r="H48" s="14" t="n"/>
      <c r="I48" s="8" t="n"/>
    </row>
    <row r="49">
      <c r="A49" s="5">
        <f>IF('Kontoplan'!A49="","",'Kontoplan'!A49)</f>
        <v/>
      </c>
      <c r="B49" s="5">
        <f>IF($A49="","",'Kontoplan'!B49)</f>
        <v/>
      </c>
      <c r="C49" s="5">
        <f>IF($A49="","",'Kontoplan'!C49)</f>
        <v/>
      </c>
      <c r="D49" s="20">
        <f>IF($A49="","",SUMIFS('Åpningsbalanse'!$C$4:$C$103,'Åpningsbalanse'!$A$4:$A$103,SUBSTITUTE(SUBSTITUTE(SUBSTITUTE('Kontoplan'!$H49,"~","~~"),"*","~*"),"?","~?"))*IFERROR(INDEX('_lister'!$C$2:$C$62,MATCH(C49,'_lister'!$A$2:$A$62,0)),1))</f>
        <v/>
      </c>
      <c r="E49" s="20">
        <f>IF($A49="","",SUMIFS('Journal'!$G$3:$G$2002,'Journal'!$D$3:$D$2002,SUBSTITUTE(SUBSTITUTE(SUBSTITUTE('Kontoplan'!$H49,"~","~~"),"*","~*"),"?","~?"))+SUMIFS('Journal'!$F$3:$F$2002,'Journal'!$E$3:$E$2002,SUBSTITUTE(SUBSTITUTE(SUBSTITUTE('Kontoplan'!$H49,"~","~~"),"*","~*"),"?","~?")))</f>
        <v/>
      </c>
      <c r="F49" s="20">
        <f>IF($A49="","",SUMIFS('Journal'!$F$3:$F$2002,'Journal'!$D$3:$D$2002,SUBSTITUTE(SUBSTITUTE(SUBSTITUTE('Kontoplan'!$H49,"~","~~"),"*","~*"),"?","~?"))+SUMIFS('Journal'!$G$3:$G$2002,'Journal'!$E$3:$E$2002,SUBSTITUTE(SUBSTITUTE(SUBSTITUTE('Kontoplan'!$H49,"~","~~"),"*","~*"),"?","~?")))</f>
        <v/>
      </c>
      <c r="G49" s="20">
        <f>IF($A49="","",D49+E49-F49)</f>
        <v/>
      </c>
      <c r="H49" s="14" t="n"/>
      <c r="I49" s="8" t="n"/>
    </row>
    <row r="50">
      <c r="A50" s="5">
        <f>IF('Kontoplan'!A50="","",'Kontoplan'!A50)</f>
        <v/>
      </c>
      <c r="B50" s="5">
        <f>IF($A50="","",'Kontoplan'!B50)</f>
        <v/>
      </c>
      <c r="C50" s="5">
        <f>IF($A50="","",'Kontoplan'!C50)</f>
        <v/>
      </c>
      <c r="D50" s="20">
        <f>IF($A50="","",SUMIFS('Åpningsbalanse'!$C$4:$C$103,'Åpningsbalanse'!$A$4:$A$103,SUBSTITUTE(SUBSTITUTE(SUBSTITUTE('Kontoplan'!$H50,"~","~~"),"*","~*"),"?","~?"))*IFERROR(INDEX('_lister'!$C$2:$C$62,MATCH(C50,'_lister'!$A$2:$A$62,0)),1))</f>
        <v/>
      </c>
      <c r="E50" s="20">
        <f>IF($A50="","",SUMIFS('Journal'!$G$3:$G$2002,'Journal'!$D$3:$D$2002,SUBSTITUTE(SUBSTITUTE(SUBSTITUTE('Kontoplan'!$H50,"~","~~"),"*","~*"),"?","~?"))+SUMIFS('Journal'!$F$3:$F$2002,'Journal'!$E$3:$E$2002,SUBSTITUTE(SUBSTITUTE(SUBSTITUTE('Kontoplan'!$H50,"~","~~"),"*","~*"),"?","~?")))</f>
        <v/>
      </c>
      <c r="F50" s="20">
        <f>IF($A50="","",SUMIFS('Journal'!$F$3:$F$2002,'Journal'!$D$3:$D$2002,SUBSTITUTE(SUBSTITUTE(SUBSTITUTE('Kontoplan'!$H50,"~","~~"),"*","~*"),"?","~?"))+SUMIFS('Journal'!$G$3:$G$2002,'Journal'!$E$3:$E$2002,SUBSTITUTE(SUBSTITUTE(SUBSTITUTE('Kontoplan'!$H50,"~","~~"),"*","~*"),"?","~?")))</f>
        <v/>
      </c>
      <c r="G50" s="20">
        <f>IF($A50="","",D50+E50-F50)</f>
        <v/>
      </c>
      <c r="H50" s="14" t="n"/>
      <c r="I50" s="8" t="n"/>
    </row>
    <row r="51">
      <c r="A51" s="5">
        <f>IF('Kontoplan'!A51="","",'Kontoplan'!A51)</f>
        <v/>
      </c>
      <c r="B51" s="5">
        <f>IF($A51="","",'Kontoplan'!B51)</f>
        <v/>
      </c>
      <c r="C51" s="5">
        <f>IF($A51="","",'Kontoplan'!C51)</f>
        <v/>
      </c>
      <c r="D51" s="20">
        <f>IF($A51="","",SUMIFS('Åpningsbalanse'!$C$4:$C$103,'Åpningsbalanse'!$A$4:$A$103,SUBSTITUTE(SUBSTITUTE(SUBSTITUTE('Kontoplan'!$H51,"~","~~"),"*","~*"),"?","~?"))*IFERROR(INDEX('_lister'!$C$2:$C$62,MATCH(C51,'_lister'!$A$2:$A$62,0)),1))</f>
        <v/>
      </c>
      <c r="E51" s="20">
        <f>IF($A51="","",SUMIFS('Journal'!$G$3:$G$2002,'Journal'!$D$3:$D$2002,SUBSTITUTE(SUBSTITUTE(SUBSTITUTE('Kontoplan'!$H51,"~","~~"),"*","~*"),"?","~?"))+SUMIFS('Journal'!$F$3:$F$2002,'Journal'!$E$3:$E$2002,SUBSTITUTE(SUBSTITUTE(SUBSTITUTE('Kontoplan'!$H51,"~","~~"),"*","~*"),"?","~?")))</f>
        <v/>
      </c>
      <c r="F51" s="20">
        <f>IF($A51="","",SUMIFS('Journal'!$F$3:$F$2002,'Journal'!$D$3:$D$2002,SUBSTITUTE(SUBSTITUTE(SUBSTITUTE('Kontoplan'!$H51,"~","~~"),"*","~*"),"?","~?"))+SUMIFS('Journal'!$G$3:$G$2002,'Journal'!$E$3:$E$2002,SUBSTITUTE(SUBSTITUTE(SUBSTITUTE('Kontoplan'!$H51,"~","~~"),"*","~*"),"?","~?")))</f>
        <v/>
      </c>
      <c r="G51" s="20">
        <f>IF($A51="","",D51+E51-F51)</f>
        <v/>
      </c>
      <c r="H51" s="14" t="n"/>
      <c r="I51" s="8" t="n"/>
    </row>
    <row r="52">
      <c r="A52" s="5">
        <f>IF('Kontoplan'!A52="","",'Kontoplan'!A52)</f>
        <v/>
      </c>
      <c r="B52" s="5">
        <f>IF($A52="","",'Kontoplan'!B52)</f>
        <v/>
      </c>
      <c r="C52" s="5">
        <f>IF($A52="","",'Kontoplan'!C52)</f>
        <v/>
      </c>
      <c r="D52" s="20">
        <f>IF($A52="","",SUMIFS('Åpningsbalanse'!$C$4:$C$103,'Åpningsbalanse'!$A$4:$A$103,SUBSTITUTE(SUBSTITUTE(SUBSTITUTE('Kontoplan'!$H52,"~","~~"),"*","~*"),"?","~?"))*IFERROR(INDEX('_lister'!$C$2:$C$62,MATCH(C52,'_lister'!$A$2:$A$62,0)),1))</f>
        <v/>
      </c>
      <c r="E52" s="20">
        <f>IF($A52="","",SUMIFS('Journal'!$G$3:$G$2002,'Journal'!$D$3:$D$2002,SUBSTITUTE(SUBSTITUTE(SUBSTITUTE('Kontoplan'!$H52,"~","~~"),"*","~*"),"?","~?"))+SUMIFS('Journal'!$F$3:$F$2002,'Journal'!$E$3:$E$2002,SUBSTITUTE(SUBSTITUTE(SUBSTITUTE('Kontoplan'!$H52,"~","~~"),"*","~*"),"?","~?")))</f>
        <v/>
      </c>
      <c r="F52" s="20">
        <f>IF($A52="","",SUMIFS('Journal'!$F$3:$F$2002,'Journal'!$D$3:$D$2002,SUBSTITUTE(SUBSTITUTE(SUBSTITUTE('Kontoplan'!$H52,"~","~~"),"*","~*"),"?","~?"))+SUMIFS('Journal'!$G$3:$G$2002,'Journal'!$E$3:$E$2002,SUBSTITUTE(SUBSTITUTE(SUBSTITUTE('Kontoplan'!$H52,"~","~~"),"*","~*"),"?","~?")))</f>
        <v/>
      </c>
      <c r="G52" s="20">
        <f>IF($A52="","",D52+E52-F52)</f>
        <v/>
      </c>
      <c r="H52" s="14" t="n"/>
      <c r="I52" s="8" t="n"/>
    </row>
    <row r="53">
      <c r="A53" s="5">
        <f>IF('Kontoplan'!A53="","",'Kontoplan'!A53)</f>
        <v/>
      </c>
      <c r="B53" s="5">
        <f>IF($A53="","",'Kontoplan'!B53)</f>
        <v/>
      </c>
      <c r="C53" s="5">
        <f>IF($A53="","",'Kontoplan'!C53)</f>
        <v/>
      </c>
      <c r="D53" s="20">
        <f>IF($A53="","",SUMIFS('Åpningsbalanse'!$C$4:$C$103,'Åpningsbalanse'!$A$4:$A$103,SUBSTITUTE(SUBSTITUTE(SUBSTITUTE('Kontoplan'!$H53,"~","~~"),"*","~*"),"?","~?"))*IFERROR(INDEX('_lister'!$C$2:$C$62,MATCH(C53,'_lister'!$A$2:$A$62,0)),1))</f>
        <v/>
      </c>
      <c r="E53" s="20">
        <f>IF($A53="","",SUMIFS('Journal'!$G$3:$G$2002,'Journal'!$D$3:$D$2002,SUBSTITUTE(SUBSTITUTE(SUBSTITUTE('Kontoplan'!$H53,"~","~~"),"*","~*"),"?","~?"))+SUMIFS('Journal'!$F$3:$F$2002,'Journal'!$E$3:$E$2002,SUBSTITUTE(SUBSTITUTE(SUBSTITUTE('Kontoplan'!$H53,"~","~~"),"*","~*"),"?","~?")))</f>
        <v/>
      </c>
      <c r="F53" s="20">
        <f>IF($A53="","",SUMIFS('Journal'!$F$3:$F$2002,'Journal'!$D$3:$D$2002,SUBSTITUTE(SUBSTITUTE(SUBSTITUTE('Kontoplan'!$H53,"~","~~"),"*","~*"),"?","~?"))+SUMIFS('Journal'!$G$3:$G$2002,'Journal'!$E$3:$E$2002,SUBSTITUTE(SUBSTITUTE(SUBSTITUTE('Kontoplan'!$H53,"~","~~"),"*","~*"),"?","~?")))</f>
        <v/>
      </c>
      <c r="G53" s="20">
        <f>IF($A53="","",D53+E53-F53)</f>
        <v/>
      </c>
      <c r="H53" s="14" t="n"/>
      <c r="I53" s="8" t="n"/>
    </row>
    <row r="54">
      <c r="A54" s="5">
        <f>IF('Kontoplan'!A54="","",'Kontoplan'!A54)</f>
        <v/>
      </c>
      <c r="B54" s="5">
        <f>IF($A54="","",'Kontoplan'!B54)</f>
        <v/>
      </c>
      <c r="C54" s="5">
        <f>IF($A54="","",'Kontoplan'!C54)</f>
        <v/>
      </c>
      <c r="D54" s="20">
        <f>IF($A54="","",SUMIFS('Åpningsbalanse'!$C$4:$C$103,'Åpningsbalanse'!$A$4:$A$103,SUBSTITUTE(SUBSTITUTE(SUBSTITUTE('Kontoplan'!$H54,"~","~~"),"*","~*"),"?","~?"))*IFERROR(INDEX('_lister'!$C$2:$C$62,MATCH(C54,'_lister'!$A$2:$A$62,0)),1))</f>
        <v/>
      </c>
      <c r="E54" s="20">
        <f>IF($A54="","",SUMIFS('Journal'!$G$3:$G$2002,'Journal'!$D$3:$D$2002,SUBSTITUTE(SUBSTITUTE(SUBSTITUTE('Kontoplan'!$H54,"~","~~"),"*","~*"),"?","~?"))+SUMIFS('Journal'!$F$3:$F$2002,'Journal'!$E$3:$E$2002,SUBSTITUTE(SUBSTITUTE(SUBSTITUTE('Kontoplan'!$H54,"~","~~"),"*","~*"),"?","~?")))</f>
        <v/>
      </c>
      <c r="F54" s="20">
        <f>IF($A54="","",SUMIFS('Journal'!$F$3:$F$2002,'Journal'!$D$3:$D$2002,SUBSTITUTE(SUBSTITUTE(SUBSTITUTE('Kontoplan'!$H54,"~","~~"),"*","~*"),"?","~?"))+SUMIFS('Journal'!$G$3:$G$2002,'Journal'!$E$3:$E$2002,SUBSTITUTE(SUBSTITUTE(SUBSTITUTE('Kontoplan'!$H54,"~","~~"),"*","~*"),"?","~?")))</f>
        <v/>
      </c>
      <c r="G54" s="20">
        <f>IF($A54="","",D54+E54-F54)</f>
        <v/>
      </c>
      <c r="H54" s="14" t="n"/>
      <c r="I54" s="8" t="n"/>
    </row>
    <row r="55">
      <c r="A55" s="5">
        <f>IF('Kontoplan'!A55="","",'Kontoplan'!A55)</f>
        <v/>
      </c>
      <c r="B55" s="5">
        <f>IF($A55="","",'Kontoplan'!B55)</f>
        <v/>
      </c>
      <c r="C55" s="5">
        <f>IF($A55="","",'Kontoplan'!C55)</f>
        <v/>
      </c>
      <c r="D55" s="20">
        <f>IF($A55="","",SUMIFS('Åpningsbalanse'!$C$4:$C$103,'Åpningsbalanse'!$A$4:$A$103,SUBSTITUTE(SUBSTITUTE(SUBSTITUTE('Kontoplan'!$H55,"~","~~"),"*","~*"),"?","~?"))*IFERROR(INDEX('_lister'!$C$2:$C$62,MATCH(C55,'_lister'!$A$2:$A$62,0)),1))</f>
        <v/>
      </c>
      <c r="E55" s="20">
        <f>IF($A55="","",SUMIFS('Journal'!$G$3:$G$2002,'Journal'!$D$3:$D$2002,SUBSTITUTE(SUBSTITUTE(SUBSTITUTE('Kontoplan'!$H55,"~","~~"),"*","~*"),"?","~?"))+SUMIFS('Journal'!$F$3:$F$2002,'Journal'!$E$3:$E$2002,SUBSTITUTE(SUBSTITUTE(SUBSTITUTE('Kontoplan'!$H55,"~","~~"),"*","~*"),"?","~?")))</f>
        <v/>
      </c>
      <c r="F55" s="20">
        <f>IF($A55="","",SUMIFS('Journal'!$F$3:$F$2002,'Journal'!$D$3:$D$2002,SUBSTITUTE(SUBSTITUTE(SUBSTITUTE('Kontoplan'!$H55,"~","~~"),"*","~*"),"?","~?"))+SUMIFS('Journal'!$G$3:$G$2002,'Journal'!$E$3:$E$2002,SUBSTITUTE(SUBSTITUTE(SUBSTITUTE('Kontoplan'!$H55,"~","~~"),"*","~*"),"?","~?")))</f>
        <v/>
      </c>
      <c r="G55" s="20">
        <f>IF($A55="","",D55+E55-F55)</f>
        <v/>
      </c>
      <c r="H55" s="14" t="n"/>
      <c r="I55" s="8" t="n"/>
    </row>
    <row r="56">
      <c r="A56" s="5">
        <f>IF('Kontoplan'!A56="","",'Kontoplan'!A56)</f>
        <v/>
      </c>
      <c r="B56" s="5">
        <f>IF($A56="","",'Kontoplan'!B56)</f>
        <v/>
      </c>
      <c r="C56" s="5">
        <f>IF($A56="","",'Kontoplan'!C56)</f>
        <v/>
      </c>
      <c r="D56" s="20">
        <f>IF($A56="","",SUMIFS('Åpningsbalanse'!$C$4:$C$103,'Åpningsbalanse'!$A$4:$A$103,SUBSTITUTE(SUBSTITUTE(SUBSTITUTE('Kontoplan'!$H56,"~","~~"),"*","~*"),"?","~?"))*IFERROR(INDEX('_lister'!$C$2:$C$62,MATCH(C56,'_lister'!$A$2:$A$62,0)),1))</f>
        <v/>
      </c>
      <c r="E56" s="20">
        <f>IF($A56="","",SUMIFS('Journal'!$G$3:$G$2002,'Journal'!$D$3:$D$2002,SUBSTITUTE(SUBSTITUTE(SUBSTITUTE('Kontoplan'!$H56,"~","~~"),"*","~*"),"?","~?"))+SUMIFS('Journal'!$F$3:$F$2002,'Journal'!$E$3:$E$2002,SUBSTITUTE(SUBSTITUTE(SUBSTITUTE('Kontoplan'!$H56,"~","~~"),"*","~*"),"?","~?")))</f>
        <v/>
      </c>
      <c r="F56" s="20">
        <f>IF($A56="","",SUMIFS('Journal'!$F$3:$F$2002,'Journal'!$D$3:$D$2002,SUBSTITUTE(SUBSTITUTE(SUBSTITUTE('Kontoplan'!$H56,"~","~~"),"*","~*"),"?","~?"))+SUMIFS('Journal'!$G$3:$G$2002,'Journal'!$E$3:$E$2002,SUBSTITUTE(SUBSTITUTE(SUBSTITUTE('Kontoplan'!$H56,"~","~~"),"*","~*"),"?","~?")))</f>
        <v/>
      </c>
      <c r="G56" s="20">
        <f>IF($A56="","",D56+E56-F56)</f>
        <v/>
      </c>
      <c r="H56" s="14" t="n"/>
      <c r="I56" s="8" t="n"/>
    </row>
    <row r="57">
      <c r="A57" s="5">
        <f>IF('Kontoplan'!A57="","",'Kontoplan'!A57)</f>
        <v/>
      </c>
      <c r="B57" s="5">
        <f>IF($A57="","",'Kontoplan'!B57)</f>
        <v/>
      </c>
      <c r="C57" s="5">
        <f>IF($A57="","",'Kontoplan'!C57)</f>
        <v/>
      </c>
      <c r="D57" s="20">
        <f>IF($A57="","",SUMIFS('Åpningsbalanse'!$C$4:$C$103,'Åpningsbalanse'!$A$4:$A$103,SUBSTITUTE(SUBSTITUTE(SUBSTITUTE('Kontoplan'!$H57,"~","~~"),"*","~*"),"?","~?"))*IFERROR(INDEX('_lister'!$C$2:$C$62,MATCH(C57,'_lister'!$A$2:$A$62,0)),1))</f>
        <v/>
      </c>
      <c r="E57" s="20">
        <f>IF($A57="","",SUMIFS('Journal'!$G$3:$G$2002,'Journal'!$D$3:$D$2002,SUBSTITUTE(SUBSTITUTE(SUBSTITUTE('Kontoplan'!$H57,"~","~~"),"*","~*"),"?","~?"))+SUMIFS('Journal'!$F$3:$F$2002,'Journal'!$E$3:$E$2002,SUBSTITUTE(SUBSTITUTE(SUBSTITUTE('Kontoplan'!$H57,"~","~~"),"*","~*"),"?","~?")))</f>
        <v/>
      </c>
      <c r="F57" s="20">
        <f>IF($A57="","",SUMIFS('Journal'!$F$3:$F$2002,'Journal'!$D$3:$D$2002,SUBSTITUTE(SUBSTITUTE(SUBSTITUTE('Kontoplan'!$H57,"~","~~"),"*","~*"),"?","~?"))+SUMIFS('Journal'!$G$3:$G$2002,'Journal'!$E$3:$E$2002,SUBSTITUTE(SUBSTITUTE(SUBSTITUTE('Kontoplan'!$H57,"~","~~"),"*","~*"),"?","~?")))</f>
        <v/>
      </c>
      <c r="G57" s="20">
        <f>IF($A57="","",D57+E57-F57)</f>
        <v/>
      </c>
      <c r="H57" s="14" t="n"/>
      <c r="I57" s="8" t="n"/>
    </row>
    <row r="58">
      <c r="A58" s="5">
        <f>IF('Kontoplan'!A58="","",'Kontoplan'!A58)</f>
        <v/>
      </c>
      <c r="B58" s="5">
        <f>IF($A58="","",'Kontoplan'!B58)</f>
        <v/>
      </c>
      <c r="C58" s="5">
        <f>IF($A58="","",'Kontoplan'!C58)</f>
        <v/>
      </c>
      <c r="D58" s="20">
        <f>IF($A58="","",SUMIFS('Åpningsbalanse'!$C$4:$C$103,'Åpningsbalanse'!$A$4:$A$103,SUBSTITUTE(SUBSTITUTE(SUBSTITUTE('Kontoplan'!$H58,"~","~~"),"*","~*"),"?","~?"))*IFERROR(INDEX('_lister'!$C$2:$C$62,MATCH(C58,'_lister'!$A$2:$A$62,0)),1))</f>
        <v/>
      </c>
      <c r="E58" s="20">
        <f>IF($A58="","",SUMIFS('Journal'!$G$3:$G$2002,'Journal'!$D$3:$D$2002,SUBSTITUTE(SUBSTITUTE(SUBSTITUTE('Kontoplan'!$H58,"~","~~"),"*","~*"),"?","~?"))+SUMIFS('Journal'!$F$3:$F$2002,'Journal'!$E$3:$E$2002,SUBSTITUTE(SUBSTITUTE(SUBSTITUTE('Kontoplan'!$H58,"~","~~"),"*","~*"),"?","~?")))</f>
        <v/>
      </c>
      <c r="F58" s="20">
        <f>IF($A58="","",SUMIFS('Journal'!$F$3:$F$2002,'Journal'!$D$3:$D$2002,SUBSTITUTE(SUBSTITUTE(SUBSTITUTE('Kontoplan'!$H58,"~","~~"),"*","~*"),"?","~?"))+SUMIFS('Journal'!$G$3:$G$2002,'Journal'!$E$3:$E$2002,SUBSTITUTE(SUBSTITUTE(SUBSTITUTE('Kontoplan'!$H58,"~","~~"),"*","~*"),"?","~?")))</f>
        <v/>
      </c>
      <c r="G58" s="20">
        <f>IF($A58="","",D58+E58-F58)</f>
        <v/>
      </c>
      <c r="H58" s="14" t="n"/>
      <c r="I58" s="8" t="n"/>
    </row>
    <row r="59">
      <c r="A59" s="5">
        <f>IF('Kontoplan'!A59="","",'Kontoplan'!A59)</f>
        <v/>
      </c>
      <c r="B59" s="5">
        <f>IF($A59="","",'Kontoplan'!B59)</f>
        <v/>
      </c>
      <c r="C59" s="5">
        <f>IF($A59="","",'Kontoplan'!C59)</f>
        <v/>
      </c>
      <c r="D59" s="20">
        <f>IF($A59="","",SUMIFS('Åpningsbalanse'!$C$4:$C$103,'Åpningsbalanse'!$A$4:$A$103,SUBSTITUTE(SUBSTITUTE(SUBSTITUTE('Kontoplan'!$H59,"~","~~"),"*","~*"),"?","~?"))*IFERROR(INDEX('_lister'!$C$2:$C$62,MATCH(C59,'_lister'!$A$2:$A$62,0)),1))</f>
        <v/>
      </c>
      <c r="E59" s="20">
        <f>IF($A59="","",SUMIFS('Journal'!$G$3:$G$2002,'Journal'!$D$3:$D$2002,SUBSTITUTE(SUBSTITUTE(SUBSTITUTE('Kontoplan'!$H59,"~","~~"),"*","~*"),"?","~?"))+SUMIFS('Journal'!$F$3:$F$2002,'Journal'!$E$3:$E$2002,SUBSTITUTE(SUBSTITUTE(SUBSTITUTE('Kontoplan'!$H59,"~","~~"),"*","~*"),"?","~?")))</f>
        <v/>
      </c>
      <c r="F59" s="20">
        <f>IF($A59="","",SUMIFS('Journal'!$F$3:$F$2002,'Journal'!$D$3:$D$2002,SUBSTITUTE(SUBSTITUTE(SUBSTITUTE('Kontoplan'!$H59,"~","~~"),"*","~*"),"?","~?"))+SUMIFS('Journal'!$G$3:$G$2002,'Journal'!$E$3:$E$2002,SUBSTITUTE(SUBSTITUTE(SUBSTITUTE('Kontoplan'!$H59,"~","~~"),"*","~*"),"?","~?")))</f>
        <v/>
      </c>
      <c r="G59" s="20">
        <f>IF($A59="","",D59+E59-F59)</f>
        <v/>
      </c>
      <c r="H59" s="14" t="n"/>
      <c r="I59" s="8" t="n"/>
    </row>
    <row r="60">
      <c r="A60" s="5">
        <f>IF('Kontoplan'!A60="","",'Kontoplan'!A60)</f>
        <v/>
      </c>
      <c r="B60" s="5">
        <f>IF($A60="","",'Kontoplan'!B60)</f>
        <v/>
      </c>
      <c r="C60" s="5">
        <f>IF($A60="","",'Kontoplan'!C60)</f>
        <v/>
      </c>
      <c r="D60" s="20">
        <f>IF($A60="","",SUMIFS('Åpningsbalanse'!$C$4:$C$103,'Åpningsbalanse'!$A$4:$A$103,SUBSTITUTE(SUBSTITUTE(SUBSTITUTE('Kontoplan'!$H60,"~","~~"),"*","~*"),"?","~?"))*IFERROR(INDEX('_lister'!$C$2:$C$62,MATCH(C60,'_lister'!$A$2:$A$62,0)),1))</f>
        <v/>
      </c>
      <c r="E60" s="20">
        <f>IF($A60="","",SUMIFS('Journal'!$G$3:$G$2002,'Journal'!$D$3:$D$2002,SUBSTITUTE(SUBSTITUTE(SUBSTITUTE('Kontoplan'!$H60,"~","~~"),"*","~*"),"?","~?"))+SUMIFS('Journal'!$F$3:$F$2002,'Journal'!$E$3:$E$2002,SUBSTITUTE(SUBSTITUTE(SUBSTITUTE('Kontoplan'!$H60,"~","~~"),"*","~*"),"?","~?")))</f>
        <v/>
      </c>
      <c r="F60" s="20">
        <f>IF($A60="","",SUMIFS('Journal'!$F$3:$F$2002,'Journal'!$D$3:$D$2002,SUBSTITUTE(SUBSTITUTE(SUBSTITUTE('Kontoplan'!$H60,"~","~~"),"*","~*"),"?","~?"))+SUMIFS('Journal'!$G$3:$G$2002,'Journal'!$E$3:$E$2002,SUBSTITUTE(SUBSTITUTE(SUBSTITUTE('Kontoplan'!$H60,"~","~~"),"*","~*"),"?","~?")))</f>
        <v/>
      </c>
      <c r="G60" s="20">
        <f>IF($A60="","",D60+E60-F60)</f>
        <v/>
      </c>
      <c r="H60" s="14" t="n"/>
      <c r="I60" s="8" t="n"/>
    </row>
    <row r="61">
      <c r="A61" s="5">
        <f>IF('Kontoplan'!A61="","",'Kontoplan'!A61)</f>
        <v/>
      </c>
      <c r="B61" s="5">
        <f>IF($A61="","",'Kontoplan'!B61)</f>
        <v/>
      </c>
      <c r="C61" s="5">
        <f>IF($A61="","",'Kontoplan'!C61)</f>
        <v/>
      </c>
      <c r="D61" s="20">
        <f>IF($A61="","",SUMIFS('Åpningsbalanse'!$C$4:$C$103,'Åpningsbalanse'!$A$4:$A$103,SUBSTITUTE(SUBSTITUTE(SUBSTITUTE('Kontoplan'!$H61,"~","~~"),"*","~*"),"?","~?"))*IFERROR(INDEX('_lister'!$C$2:$C$62,MATCH(C61,'_lister'!$A$2:$A$62,0)),1))</f>
        <v/>
      </c>
      <c r="E61" s="20">
        <f>IF($A61="","",SUMIFS('Journal'!$G$3:$G$2002,'Journal'!$D$3:$D$2002,SUBSTITUTE(SUBSTITUTE(SUBSTITUTE('Kontoplan'!$H61,"~","~~"),"*","~*"),"?","~?"))+SUMIFS('Journal'!$F$3:$F$2002,'Journal'!$E$3:$E$2002,SUBSTITUTE(SUBSTITUTE(SUBSTITUTE('Kontoplan'!$H61,"~","~~"),"*","~*"),"?","~?")))</f>
        <v/>
      </c>
      <c r="F61" s="20">
        <f>IF($A61="","",SUMIFS('Journal'!$F$3:$F$2002,'Journal'!$D$3:$D$2002,SUBSTITUTE(SUBSTITUTE(SUBSTITUTE('Kontoplan'!$H61,"~","~~"),"*","~*"),"?","~?"))+SUMIFS('Journal'!$G$3:$G$2002,'Journal'!$E$3:$E$2002,SUBSTITUTE(SUBSTITUTE(SUBSTITUTE('Kontoplan'!$H61,"~","~~"),"*","~*"),"?","~?")))</f>
        <v/>
      </c>
      <c r="G61" s="20">
        <f>IF($A61="","",D61+E61-F61)</f>
        <v/>
      </c>
      <c r="H61" s="14" t="n"/>
      <c r="I61" s="8" t="n"/>
    </row>
    <row r="62">
      <c r="A62" s="5">
        <f>IF('Kontoplan'!A62="","",'Kontoplan'!A62)</f>
        <v/>
      </c>
      <c r="B62" s="5">
        <f>IF($A62="","",'Kontoplan'!B62)</f>
        <v/>
      </c>
      <c r="C62" s="5">
        <f>IF($A62="","",'Kontoplan'!C62)</f>
        <v/>
      </c>
      <c r="D62" s="20">
        <f>IF($A62="","",SUMIFS('Åpningsbalanse'!$C$4:$C$103,'Åpningsbalanse'!$A$4:$A$103,SUBSTITUTE(SUBSTITUTE(SUBSTITUTE('Kontoplan'!$H62,"~","~~"),"*","~*"),"?","~?"))*IFERROR(INDEX('_lister'!$C$2:$C$62,MATCH(C62,'_lister'!$A$2:$A$62,0)),1))</f>
        <v/>
      </c>
      <c r="E62" s="20">
        <f>IF($A62="","",SUMIFS('Journal'!$G$3:$G$2002,'Journal'!$D$3:$D$2002,SUBSTITUTE(SUBSTITUTE(SUBSTITUTE('Kontoplan'!$H62,"~","~~"),"*","~*"),"?","~?"))+SUMIFS('Journal'!$F$3:$F$2002,'Journal'!$E$3:$E$2002,SUBSTITUTE(SUBSTITUTE(SUBSTITUTE('Kontoplan'!$H62,"~","~~"),"*","~*"),"?","~?")))</f>
        <v/>
      </c>
      <c r="F62" s="20">
        <f>IF($A62="","",SUMIFS('Journal'!$F$3:$F$2002,'Journal'!$D$3:$D$2002,SUBSTITUTE(SUBSTITUTE(SUBSTITUTE('Kontoplan'!$H62,"~","~~"),"*","~*"),"?","~?"))+SUMIFS('Journal'!$G$3:$G$2002,'Journal'!$E$3:$E$2002,SUBSTITUTE(SUBSTITUTE(SUBSTITUTE('Kontoplan'!$H62,"~","~~"),"*","~*"),"?","~?")))</f>
        <v/>
      </c>
      <c r="G62" s="20">
        <f>IF($A62="","",D62+E62-F62)</f>
        <v/>
      </c>
      <c r="H62" s="14" t="n"/>
      <c r="I62" s="8" t="n"/>
    </row>
    <row r="63">
      <c r="A63" s="5">
        <f>IF('Kontoplan'!A63="","",'Kontoplan'!A63)</f>
        <v/>
      </c>
      <c r="B63" s="5">
        <f>IF($A63="","",'Kontoplan'!B63)</f>
        <v/>
      </c>
      <c r="C63" s="5">
        <f>IF($A63="","",'Kontoplan'!C63)</f>
        <v/>
      </c>
      <c r="D63" s="20">
        <f>IF($A63="","",SUMIFS('Åpningsbalanse'!$C$4:$C$103,'Åpningsbalanse'!$A$4:$A$103,SUBSTITUTE(SUBSTITUTE(SUBSTITUTE('Kontoplan'!$H63,"~","~~"),"*","~*"),"?","~?"))*IFERROR(INDEX('_lister'!$C$2:$C$62,MATCH(C63,'_lister'!$A$2:$A$62,0)),1))</f>
        <v/>
      </c>
      <c r="E63" s="20">
        <f>IF($A63="","",SUMIFS('Journal'!$G$3:$G$2002,'Journal'!$D$3:$D$2002,SUBSTITUTE(SUBSTITUTE(SUBSTITUTE('Kontoplan'!$H63,"~","~~"),"*","~*"),"?","~?"))+SUMIFS('Journal'!$F$3:$F$2002,'Journal'!$E$3:$E$2002,SUBSTITUTE(SUBSTITUTE(SUBSTITUTE('Kontoplan'!$H63,"~","~~"),"*","~*"),"?","~?")))</f>
        <v/>
      </c>
      <c r="F63" s="20">
        <f>IF($A63="","",SUMIFS('Journal'!$F$3:$F$2002,'Journal'!$D$3:$D$2002,SUBSTITUTE(SUBSTITUTE(SUBSTITUTE('Kontoplan'!$H63,"~","~~"),"*","~*"),"?","~?"))+SUMIFS('Journal'!$G$3:$G$2002,'Journal'!$E$3:$E$2002,SUBSTITUTE(SUBSTITUTE(SUBSTITUTE('Kontoplan'!$H63,"~","~~"),"*","~*"),"?","~?")))</f>
        <v/>
      </c>
      <c r="G63" s="20">
        <f>IF($A63="","",D63+E63-F63)</f>
        <v/>
      </c>
      <c r="H63" s="14" t="n"/>
      <c r="I63" s="8" t="n"/>
    </row>
    <row r="64">
      <c r="A64" s="5">
        <f>IF('Kontoplan'!A64="","",'Kontoplan'!A64)</f>
        <v/>
      </c>
      <c r="B64" s="5">
        <f>IF($A64="","",'Kontoplan'!B64)</f>
        <v/>
      </c>
      <c r="C64" s="5">
        <f>IF($A64="","",'Kontoplan'!C64)</f>
        <v/>
      </c>
      <c r="D64" s="20">
        <f>IF($A64="","",SUMIFS('Åpningsbalanse'!$C$4:$C$103,'Åpningsbalanse'!$A$4:$A$103,SUBSTITUTE(SUBSTITUTE(SUBSTITUTE('Kontoplan'!$H64,"~","~~"),"*","~*"),"?","~?"))*IFERROR(INDEX('_lister'!$C$2:$C$62,MATCH(C64,'_lister'!$A$2:$A$62,0)),1))</f>
        <v/>
      </c>
      <c r="E64" s="20">
        <f>IF($A64="","",SUMIFS('Journal'!$G$3:$G$2002,'Journal'!$D$3:$D$2002,SUBSTITUTE(SUBSTITUTE(SUBSTITUTE('Kontoplan'!$H64,"~","~~"),"*","~*"),"?","~?"))+SUMIFS('Journal'!$F$3:$F$2002,'Journal'!$E$3:$E$2002,SUBSTITUTE(SUBSTITUTE(SUBSTITUTE('Kontoplan'!$H64,"~","~~"),"*","~*"),"?","~?")))</f>
        <v/>
      </c>
      <c r="F64" s="20">
        <f>IF($A64="","",SUMIFS('Journal'!$F$3:$F$2002,'Journal'!$D$3:$D$2002,SUBSTITUTE(SUBSTITUTE(SUBSTITUTE('Kontoplan'!$H64,"~","~~"),"*","~*"),"?","~?"))+SUMIFS('Journal'!$G$3:$G$2002,'Journal'!$E$3:$E$2002,SUBSTITUTE(SUBSTITUTE(SUBSTITUTE('Kontoplan'!$H64,"~","~~"),"*","~*"),"?","~?")))</f>
        <v/>
      </c>
      <c r="G64" s="20">
        <f>IF($A64="","",D64+E64-F64)</f>
        <v/>
      </c>
      <c r="H64" s="14" t="n"/>
      <c r="I64" s="8" t="n"/>
    </row>
    <row r="65">
      <c r="A65" s="5">
        <f>IF('Kontoplan'!A65="","",'Kontoplan'!A65)</f>
        <v/>
      </c>
      <c r="B65" s="5">
        <f>IF($A65="","",'Kontoplan'!B65)</f>
        <v/>
      </c>
      <c r="C65" s="5">
        <f>IF($A65="","",'Kontoplan'!C65)</f>
        <v/>
      </c>
      <c r="D65" s="20">
        <f>IF($A65="","",SUMIFS('Åpningsbalanse'!$C$4:$C$103,'Åpningsbalanse'!$A$4:$A$103,SUBSTITUTE(SUBSTITUTE(SUBSTITUTE('Kontoplan'!$H65,"~","~~"),"*","~*"),"?","~?"))*IFERROR(INDEX('_lister'!$C$2:$C$62,MATCH(C65,'_lister'!$A$2:$A$62,0)),1))</f>
        <v/>
      </c>
      <c r="E65" s="20">
        <f>IF($A65="","",SUMIFS('Journal'!$G$3:$G$2002,'Journal'!$D$3:$D$2002,SUBSTITUTE(SUBSTITUTE(SUBSTITUTE('Kontoplan'!$H65,"~","~~"),"*","~*"),"?","~?"))+SUMIFS('Journal'!$F$3:$F$2002,'Journal'!$E$3:$E$2002,SUBSTITUTE(SUBSTITUTE(SUBSTITUTE('Kontoplan'!$H65,"~","~~"),"*","~*"),"?","~?")))</f>
        <v/>
      </c>
      <c r="F65" s="20">
        <f>IF($A65="","",SUMIFS('Journal'!$F$3:$F$2002,'Journal'!$D$3:$D$2002,SUBSTITUTE(SUBSTITUTE(SUBSTITUTE('Kontoplan'!$H65,"~","~~"),"*","~*"),"?","~?"))+SUMIFS('Journal'!$G$3:$G$2002,'Journal'!$E$3:$E$2002,SUBSTITUTE(SUBSTITUTE(SUBSTITUTE('Kontoplan'!$H65,"~","~~"),"*","~*"),"?","~?")))</f>
        <v/>
      </c>
      <c r="G65" s="20">
        <f>IF($A65="","",D65+E65-F65)</f>
        <v/>
      </c>
      <c r="H65" s="14" t="n"/>
      <c r="I65" s="8" t="n"/>
    </row>
    <row r="66">
      <c r="A66" s="5">
        <f>IF('Kontoplan'!A66="","",'Kontoplan'!A66)</f>
        <v/>
      </c>
      <c r="B66" s="5">
        <f>IF($A66="","",'Kontoplan'!B66)</f>
        <v/>
      </c>
      <c r="C66" s="5">
        <f>IF($A66="","",'Kontoplan'!C66)</f>
        <v/>
      </c>
      <c r="D66" s="20">
        <f>IF($A66="","",SUMIFS('Åpningsbalanse'!$C$4:$C$103,'Åpningsbalanse'!$A$4:$A$103,SUBSTITUTE(SUBSTITUTE(SUBSTITUTE('Kontoplan'!$H66,"~","~~"),"*","~*"),"?","~?"))*IFERROR(INDEX('_lister'!$C$2:$C$62,MATCH(C66,'_lister'!$A$2:$A$62,0)),1))</f>
        <v/>
      </c>
      <c r="E66" s="20">
        <f>IF($A66="","",SUMIFS('Journal'!$G$3:$G$2002,'Journal'!$D$3:$D$2002,SUBSTITUTE(SUBSTITUTE(SUBSTITUTE('Kontoplan'!$H66,"~","~~"),"*","~*"),"?","~?"))+SUMIFS('Journal'!$F$3:$F$2002,'Journal'!$E$3:$E$2002,SUBSTITUTE(SUBSTITUTE(SUBSTITUTE('Kontoplan'!$H66,"~","~~"),"*","~*"),"?","~?")))</f>
        <v/>
      </c>
      <c r="F66" s="20">
        <f>IF($A66="","",SUMIFS('Journal'!$F$3:$F$2002,'Journal'!$D$3:$D$2002,SUBSTITUTE(SUBSTITUTE(SUBSTITUTE('Kontoplan'!$H66,"~","~~"),"*","~*"),"?","~?"))+SUMIFS('Journal'!$G$3:$G$2002,'Journal'!$E$3:$E$2002,SUBSTITUTE(SUBSTITUTE(SUBSTITUTE('Kontoplan'!$H66,"~","~~"),"*","~*"),"?","~?")))</f>
        <v/>
      </c>
      <c r="G66" s="20">
        <f>IF($A66="","",D66+E66-F66)</f>
        <v/>
      </c>
      <c r="H66" s="14" t="n"/>
      <c r="I66" s="8" t="n"/>
    </row>
    <row r="67">
      <c r="A67" s="5">
        <f>IF('Kontoplan'!A67="","",'Kontoplan'!A67)</f>
        <v/>
      </c>
      <c r="B67" s="5">
        <f>IF($A67="","",'Kontoplan'!B67)</f>
        <v/>
      </c>
      <c r="C67" s="5">
        <f>IF($A67="","",'Kontoplan'!C67)</f>
        <v/>
      </c>
      <c r="D67" s="20">
        <f>IF($A67="","",SUMIFS('Åpningsbalanse'!$C$4:$C$103,'Åpningsbalanse'!$A$4:$A$103,SUBSTITUTE(SUBSTITUTE(SUBSTITUTE('Kontoplan'!$H67,"~","~~"),"*","~*"),"?","~?"))*IFERROR(INDEX('_lister'!$C$2:$C$62,MATCH(C67,'_lister'!$A$2:$A$62,0)),1))</f>
        <v/>
      </c>
      <c r="E67" s="20">
        <f>IF($A67="","",SUMIFS('Journal'!$G$3:$G$2002,'Journal'!$D$3:$D$2002,SUBSTITUTE(SUBSTITUTE(SUBSTITUTE('Kontoplan'!$H67,"~","~~"),"*","~*"),"?","~?"))+SUMIFS('Journal'!$F$3:$F$2002,'Journal'!$E$3:$E$2002,SUBSTITUTE(SUBSTITUTE(SUBSTITUTE('Kontoplan'!$H67,"~","~~"),"*","~*"),"?","~?")))</f>
        <v/>
      </c>
      <c r="F67" s="20">
        <f>IF($A67="","",SUMIFS('Journal'!$F$3:$F$2002,'Journal'!$D$3:$D$2002,SUBSTITUTE(SUBSTITUTE(SUBSTITUTE('Kontoplan'!$H67,"~","~~"),"*","~*"),"?","~?"))+SUMIFS('Journal'!$G$3:$G$2002,'Journal'!$E$3:$E$2002,SUBSTITUTE(SUBSTITUTE(SUBSTITUTE('Kontoplan'!$H67,"~","~~"),"*","~*"),"?","~?")))</f>
        <v/>
      </c>
      <c r="G67" s="20">
        <f>IF($A67="","",D67+E67-F67)</f>
        <v/>
      </c>
      <c r="H67" s="14" t="n"/>
      <c r="I67" s="8" t="n"/>
    </row>
    <row r="68">
      <c r="A68" s="5">
        <f>IF('Kontoplan'!A68="","",'Kontoplan'!A68)</f>
        <v/>
      </c>
      <c r="B68" s="5">
        <f>IF($A68="","",'Kontoplan'!B68)</f>
        <v/>
      </c>
      <c r="C68" s="5">
        <f>IF($A68="","",'Kontoplan'!C68)</f>
        <v/>
      </c>
      <c r="D68" s="20">
        <f>IF($A68="","",SUMIFS('Åpningsbalanse'!$C$4:$C$103,'Åpningsbalanse'!$A$4:$A$103,SUBSTITUTE(SUBSTITUTE(SUBSTITUTE('Kontoplan'!$H68,"~","~~"),"*","~*"),"?","~?"))*IFERROR(INDEX('_lister'!$C$2:$C$62,MATCH(C68,'_lister'!$A$2:$A$62,0)),1))</f>
        <v/>
      </c>
      <c r="E68" s="20">
        <f>IF($A68="","",SUMIFS('Journal'!$G$3:$G$2002,'Journal'!$D$3:$D$2002,SUBSTITUTE(SUBSTITUTE(SUBSTITUTE('Kontoplan'!$H68,"~","~~"),"*","~*"),"?","~?"))+SUMIFS('Journal'!$F$3:$F$2002,'Journal'!$E$3:$E$2002,SUBSTITUTE(SUBSTITUTE(SUBSTITUTE('Kontoplan'!$H68,"~","~~"),"*","~*"),"?","~?")))</f>
        <v/>
      </c>
      <c r="F68" s="20">
        <f>IF($A68="","",SUMIFS('Journal'!$F$3:$F$2002,'Journal'!$D$3:$D$2002,SUBSTITUTE(SUBSTITUTE(SUBSTITUTE('Kontoplan'!$H68,"~","~~"),"*","~*"),"?","~?"))+SUMIFS('Journal'!$G$3:$G$2002,'Journal'!$E$3:$E$2002,SUBSTITUTE(SUBSTITUTE(SUBSTITUTE('Kontoplan'!$H68,"~","~~"),"*","~*"),"?","~?")))</f>
        <v/>
      </c>
      <c r="G68" s="20">
        <f>IF($A68="","",D68+E68-F68)</f>
        <v/>
      </c>
      <c r="H68" s="14" t="n"/>
      <c r="I68" s="8" t="n"/>
    </row>
    <row r="69">
      <c r="A69" s="5">
        <f>IF('Kontoplan'!A69="","",'Kontoplan'!A69)</f>
        <v/>
      </c>
      <c r="B69" s="5">
        <f>IF($A69="","",'Kontoplan'!B69)</f>
        <v/>
      </c>
      <c r="C69" s="5">
        <f>IF($A69="","",'Kontoplan'!C69)</f>
        <v/>
      </c>
      <c r="D69" s="20">
        <f>IF($A69="","",SUMIFS('Åpningsbalanse'!$C$4:$C$103,'Åpningsbalanse'!$A$4:$A$103,SUBSTITUTE(SUBSTITUTE(SUBSTITUTE('Kontoplan'!$H69,"~","~~"),"*","~*"),"?","~?"))*IFERROR(INDEX('_lister'!$C$2:$C$62,MATCH(C69,'_lister'!$A$2:$A$62,0)),1))</f>
        <v/>
      </c>
      <c r="E69" s="20">
        <f>IF($A69="","",SUMIFS('Journal'!$G$3:$G$2002,'Journal'!$D$3:$D$2002,SUBSTITUTE(SUBSTITUTE(SUBSTITUTE('Kontoplan'!$H69,"~","~~"),"*","~*"),"?","~?"))+SUMIFS('Journal'!$F$3:$F$2002,'Journal'!$E$3:$E$2002,SUBSTITUTE(SUBSTITUTE(SUBSTITUTE('Kontoplan'!$H69,"~","~~"),"*","~*"),"?","~?")))</f>
        <v/>
      </c>
      <c r="F69" s="20">
        <f>IF($A69="","",SUMIFS('Journal'!$F$3:$F$2002,'Journal'!$D$3:$D$2002,SUBSTITUTE(SUBSTITUTE(SUBSTITUTE('Kontoplan'!$H69,"~","~~"),"*","~*"),"?","~?"))+SUMIFS('Journal'!$G$3:$G$2002,'Journal'!$E$3:$E$2002,SUBSTITUTE(SUBSTITUTE(SUBSTITUTE('Kontoplan'!$H69,"~","~~"),"*","~*"),"?","~?")))</f>
        <v/>
      </c>
      <c r="G69" s="20">
        <f>IF($A69="","",D69+E69-F69)</f>
        <v/>
      </c>
      <c r="H69" s="14" t="n"/>
      <c r="I69" s="8" t="n"/>
    </row>
    <row r="70">
      <c r="A70" s="5">
        <f>IF('Kontoplan'!A70="","",'Kontoplan'!A70)</f>
        <v/>
      </c>
      <c r="B70" s="5">
        <f>IF($A70="","",'Kontoplan'!B70)</f>
        <v/>
      </c>
      <c r="C70" s="5">
        <f>IF($A70="","",'Kontoplan'!C70)</f>
        <v/>
      </c>
      <c r="D70" s="20">
        <f>IF($A70="","",SUMIFS('Åpningsbalanse'!$C$4:$C$103,'Åpningsbalanse'!$A$4:$A$103,SUBSTITUTE(SUBSTITUTE(SUBSTITUTE('Kontoplan'!$H70,"~","~~"),"*","~*"),"?","~?"))*IFERROR(INDEX('_lister'!$C$2:$C$62,MATCH(C70,'_lister'!$A$2:$A$62,0)),1))</f>
        <v/>
      </c>
      <c r="E70" s="20">
        <f>IF($A70="","",SUMIFS('Journal'!$G$3:$G$2002,'Journal'!$D$3:$D$2002,SUBSTITUTE(SUBSTITUTE(SUBSTITUTE('Kontoplan'!$H70,"~","~~"),"*","~*"),"?","~?"))+SUMIFS('Journal'!$F$3:$F$2002,'Journal'!$E$3:$E$2002,SUBSTITUTE(SUBSTITUTE(SUBSTITUTE('Kontoplan'!$H70,"~","~~"),"*","~*"),"?","~?")))</f>
        <v/>
      </c>
      <c r="F70" s="20">
        <f>IF($A70="","",SUMIFS('Journal'!$F$3:$F$2002,'Journal'!$D$3:$D$2002,SUBSTITUTE(SUBSTITUTE(SUBSTITUTE('Kontoplan'!$H70,"~","~~"),"*","~*"),"?","~?"))+SUMIFS('Journal'!$G$3:$G$2002,'Journal'!$E$3:$E$2002,SUBSTITUTE(SUBSTITUTE(SUBSTITUTE('Kontoplan'!$H70,"~","~~"),"*","~*"),"?","~?")))</f>
        <v/>
      </c>
      <c r="G70" s="20">
        <f>IF($A70="","",D70+E70-F70)</f>
        <v/>
      </c>
      <c r="H70" s="14" t="n"/>
      <c r="I70" s="8" t="n"/>
    </row>
    <row r="71">
      <c r="A71" s="5">
        <f>IF('Kontoplan'!A71="","",'Kontoplan'!A71)</f>
        <v/>
      </c>
      <c r="B71" s="5">
        <f>IF($A71="","",'Kontoplan'!B71)</f>
        <v/>
      </c>
      <c r="C71" s="5">
        <f>IF($A71="","",'Kontoplan'!C71)</f>
        <v/>
      </c>
      <c r="D71" s="20">
        <f>IF($A71="","",SUMIFS('Åpningsbalanse'!$C$4:$C$103,'Åpningsbalanse'!$A$4:$A$103,SUBSTITUTE(SUBSTITUTE(SUBSTITUTE('Kontoplan'!$H71,"~","~~"),"*","~*"),"?","~?"))*IFERROR(INDEX('_lister'!$C$2:$C$62,MATCH(C71,'_lister'!$A$2:$A$62,0)),1))</f>
        <v/>
      </c>
      <c r="E71" s="20">
        <f>IF($A71="","",SUMIFS('Journal'!$G$3:$G$2002,'Journal'!$D$3:$D$2002,SUBSTITUTE(SUBSTITUTE(SUBSTITUTE('Kontoplan'!$H71,"~","~~"),"*","~*"),"?","~?"))+SUMIFS('Journal'!$F$3:$F$2002,'Journal'!$E$3:$E$2002,SUBSTITUTE(SUBSTITUTE(SUBSTITUTE('Kontoplan'!$H71,"~","~~"),"*","~*"),"?","~?")))</f>
        <v/>
      </c>
      <c r="F71" s="20">
        <f>IF($A71="","",SUMIFS('Journal'!$F$3:$F$2002,'Journal'!$D$3:$D$2002,SUBSTITUTE(SUBSTITUTE(SUBSTITUTE('Kontoplan'!$H71,"~","~~"),"*","~*"),"?","~?"))+SUMIFS('Journal'!$G$3:$G$2002,'Journal'!$E$3:$E$2002,SUBSTITUTE(SUBSTITUTE(SUBSTITUTE('Kontoplan'!$H71,"~","~~"),"*","~*"),"?","~?")))</f>
        <v/>
      </c>
      <c r="G71" s="20">
        <f>IF($A71="","",D71+E71-F71)</f>
        <v/>
      </c>
      <c r="H71" s="14" t="n"/>
      <c r="I71" s="8" t="n"/>
    </row>
    <row r="72">
      <c r="A72" s="5">
        <f>IF('Kontoplan'!A72="","",'Kontoplan'!A72)</f>
        <v/>
      </c>
      <c r="B72" s="5">
        <f>IF($A72="","",'Kontoplan'!B72)</f>
        <v/>
      </c>
      <c r="C72" s="5">
        <f>IF($A72="","",'Kontoplan'!C72)</f>
        <v/>
      </c>
      <c r="D72" s="20">
        <f>IF($A72="","",SUMIFS('Åpningsbalanse'!$C$4:$C$103,'Åpningsbalanse'!$A$4:$A$103,SUBSTITUTE(SUBSTITUTE(SUBSTITUTE('Kontoplan'!$H72,"~","~~"),"*","~*"),"?","~?"))*IFERROR(INDEX('_lister'!$C$2:$C$62,MATCH(C72,'_lister'!$A$2:$A$62,0)),1))</f>
        <v/>
      </c>
      <c r="E72" s="20">
        <f>IF($A72="","",SUMIFS('Journal'!$G$3:$G$2002,'Journal'!$D$3:$D$2002,SUBSTITUTE(SUBSTITUTE(SUBSTITUTE('Kontoplan'!$H72,"~","~~"),"*","~*"),"?","~?"))+SUMIFS('Journal'!$F$3:$F$2002,'Journal'!$E$3:$E$2002,SUBSTITUTE(SUBSTITUTE(SUBSTITUTE('Kontoplan'!$H72,"~","~~"),"*","~*"),"?","~?")))</f>
        <v/>
      </c>
      <c r="F72" s="20">
        <f>IF($A72="","",SUMIFS('Journal'!$F$3:$F$2002,'Journal'!$D$3:$D$2002,SUBSTITUTE(SUBSTITUTE(SUBSTITUTE('Kontoplan'!$H72,"~","~~"),"*","~*"),"?","~?"))+SUMIFS('Journal'!$G$3:$G$2002,'Journal'!$E$3:$E$2002,SUBSTITUTE(SUBSTITUTE(SUBSTITUTE('Kontoplan'!$H72,"~","~~"),"*","~*"),"?","~?")))</f>
        <v/>
      </c>
      <c r="G72" s="20">
        <f>IF($A72="","",D72+E72-F72)</f>
        <v/>
      </c>
      <c r="H72" s="14" t="n"/>
      <c r="I72" s="8" t="n"/>
    </row>
    <row r="73">
      <c r="A73" s="5">
        <f>IF('Kontoplan'!A73="","",'Kontoplan'!A73)</f>
        <v/>
      </c>
      <c r="B73" s="5">
        <f>IF($A73="","",'Kontoplan'!B73)</f>
        <v/>
      </c>
      <c r="C73" s="5">
        <f>IF($A73="","",'Kontoplan'!C73)</f>
        <v/>
      </c>
      <c r="D73" s="20">
        <f>IF($A73="","",SUMIFS('Åpningsbalanse'!$C$4:$C$103,'Åpningsbalanse'!$A$4:$A$103,SUBSTITUTE(SUBSTITUTE(SUBSTITUTE('Kontoplan'!$H73,"~","~~"),"*","~*"),"?","~?"))*IFERROR(INDEX('_lister'!$C$2:$C$62,MATCH(C73,'_lister'!$A$2:$A$62,0)),1))</f>
        <v/>
      </c>
      <c r="E73" s="20">
        <f>IF($A73="","",SUMIFS('Journal'!$G$3:$G$2002,'Journal'!$D$3:$D$2002,SUBSTITUTE(SUBSTITUTE(SUBSTITUTE('Kontoplan'!$H73,"~","~~"),"*","~*"),"?","~?"))+SUMIFS('Journal'!$F$3:$F$2002,'Journal'!$E$3:$E$2002,SUBSTITUTE(SUBSTITUTE(SUBSTITUTE('Kontoplan'!$H73,"~","~~"),"*","~*"),"?","~?")))</f>
        <v/>
      </c>
      <c r="F73" s="20">
        <f>IF($A73="","",SUMIFS('Journal'!$F$3:$F$2002,'Journal'!$D$3:$D$2002,SUBSTITUTE(SUBSTITUTE(SUBSTITUTE('Kontoplan'!$H73,"~","~~"),"*","~*"),"?","~?"))+SUMIFS('Journal'!$G$3:$G$2002,'Journal'!$E$3:$E$2002,SUBSTITUTE(SUBSTITUTE(SUBSTITUTE('Kontoplan'!$H73,"~","~~"),"*","~*"),"?","~?")))</f>
        <v/>
      </c>
      <c r="G73" s="20">
        <f>IF($A73="","",D73+E73-F73)</f>
        <v/>
      </c>
      <c r="H73" s="14" t="n"/>
      <c r="I73" s="8" t="n"/>
    </row>
    <row r="74">
      <c r="A74" s="5">
        <f>IF('Kontoplan'!A74="","",'Kontoplan'!A74)</f>
        <v/>
      </c>
      <c r="B74" s="5">
        <f>IF($A74="","",'Kontoplan'!B74)</f>
        <v/>
      </c>
      <c r="C74" s="5">
        <f>IF($A74="","",'Kontoplan'!C74)</f>
        <v/>
      </c>
      <c r="D74" s="20">
        <f>IF($A74="","",SUMIFS('Åpningsbalanse'!$C$4:$C$103,'Åpningsbalanse'!$A$4:$A$103,SUBSTITUTE(SUBSTITUTE(SUBSTITUTE('Kontoplan'!$H74,"~","~~"),"*","~*"),"?","~?"))*IFERROR(INDEX('_lister'!$C$2:$C$62,MATCH(C74,'_lister'!$A$2:$A$62,0)),1))</f>
        <v/>
      </c>
      <c r="E74" s="20">
        <f>IF($A74="","",SUMIFS('Journal'!$G$3:$G$2002,'Journal'!$D$3:$D$2002,SUBSTITUTE(SUBSTITUTE(SUBSTITUTE('Kontoplan'!$H74,"~","~~"),"*","~*"),"?","~?"))+SUMIFS('Journal'!$F$3:$F$2002,'Journal'!$E$3:$E$2002,SUBSTITUTE(SUBSTITUTE(SUBSTITUTE('Kontoplan'!$H74,"~","~~"),"*","~*"),"?","~?")))</f>
        <v/>
      </c>
      <c r="F74" s="20">
        <f>IF($A74="","",SUMIFS('Journal'!$F$3:$F$2002,'Journal'!$D$3:$D$2002,SUBSTITUTE(SUBSTITUTE(SUBSTITUTE('Kontoplan'!$H74,"~","~~"),"*","~*"),"?","~?"))+SUMIFS('Journal'!$G$3:$G$2002,'Journal'!$E$3:$E$2002,SUBSTITUTE(SUBSTITUTE(SUBSTITUTE('Kontoplan'!$H74,"~","~~"),"*","~*"),"?","~?")))</f>
        <v/>
      </c>
      <c r="G74" s="20">
        <f>IF($A74="","",D74+E74-F74)</f>
        <v/>
      </c>
      <c r="H74" s="14" t="n"/>
      <c r="I74" s="8" t="n"/>
    </row>
    <row r="75">
      <c r="A75" s="5">
        <f>IF('Kontoplan'!A75="","",'Kontoplan'!A75)</f>
        <v/>
      </c>
      <c r="B75" s="5">
        <f>IF($A75="","",'Kontoplan'!B75)</f>
        <v/>
      </c>
      <c r="C75" s="5">
        <f>IF($A75="","",'Kontoplan'!C75)</f>
        <v/>
      </c>
      <c r="D75" s="20">
        <f>IF($A75="","",SUMIFS('Åpningsbalanse'!$C$4:$C$103,'Åpningsbalanse'!$A$4:$A$103,SUBSTITUTE(SUBSTITUTE(SUBSTITUTE('Kontoplan'!$H75,"~","~~"),"*","~*"),"?","~?"))*IFERROR(INDEX('_lister'!$C$2:$C$62,MATCH(C75,'_lister'!$A$2:$A$62,0)),1))</f>
        <v/>
      </c>
      <c r="E75" s="20">
        <f>IF($A75="","",SUMIFS('Journal'!$G$3:$G$2002,'Journal'!$D$3:$D$2002,SUBSTITUTE(SUBSTITUTE(SUBSTITUTE('Kontoplan'!$H75,"~","~~"),"*","~*"),"?","~?"))+SUMIFS('Journal'!$F$3:$F$2002,'Journal'!$E$3:$E$2002,SUBSTITUTE(SUBSTITUTE(SUBSTITUTE('Kontoplan'!$H75,"~","~~"),"*","~*"),"?","~?")))</f>
        <v/>
      </c>
      <c r="F75" s="20">
        <f>IF($A75="","",SUMIFS('Journal'!$F$3:$F$2002,'Journal'!$D$3:$D$2002,SUBSTITUTE(SUBSTITUTE(SUBSTITUTE('Kontoplan'!$H75,"~","~~"),"*","~*"),"?","~?"))+SUMIFS('Journal'!$G$3:$G$2002,'Journal'!$E$3:$E$2002,SUBSTITUTE(SUBSTITUTE(SUBSTITUTE('Kontoplan'!$H75,"~","~~"),"*","~*"),"?","~?")))</f>
        <v/>
      </c>
      <c r="G75" s="20">
        <f>IF($A75="","",D75+E75-F75)</f>
        <v/>
      </c>
      <c r="H75" s="14" t="n"/>
      <c r="I75" s="8" t="n"/>
    </row>
    <row r="76">
      <c r="A76" s="5">
        <f>IF('Kontoplan'!A76="","",'Kontoplan'!A76)</f>
        <v/>
      </c>
      <c r="B76" s="5">
        <f>IF($A76="","",'Kontoplan'!B76)</f>
        <v/>
      </c>
      <c r="C76" s="5">
        <f>IF($A76="","",'Kontoplan'!C76)</f>
        <v/>
      </c>
      <c r="D76" s="20">
        <f>IF($A76="","",SUMIFS('Åpningsbalanse'!$C$4:$C$103,'Åpningsbalanse'!$A$4:$A$103,SUBSTITUTE(SUBSTITUTE(SUBSTITUTE('Kontoplan'!$H76,"~","~~"),"*","~*"),"?","~?"))*IFERROR(INDEX('_lister'!$C$2:$C$62,MATCH(C76,'_lister'!$A$2:$A$62,0)),1))</f>
        <v/>
      </c>
      <c r="E76" s="20">
        <f>IF($A76="","",SUMIFS('Journal'!$G$3:$G$2002,'Journal'!$D$3:$D$2002,SUBSTITUTE(SUBSTITUTE(SUBSTITUTE('Kontoplan'!$H76,"~","~~"),"*","~*"),"?","~?"))+SUMIFS('Journal'!$F$3:$F$2002,'Journal'!$E$3:$E$2002,SUBSTITUTE(SUBSTITUTE(SUBSTITUTE('Kontoplan'!$H76,"~","~~"),"*","~*"),"?","~?")))</f>
        <v/>
      </c>
      <c r="F76" s="20">
        <f>IF($A76="","",SUMIFS('Journal'!$F$3:$F$2002,'Journal'!$D$3:$D$2002,SUBSTITUTE(SUBSTITUTE(SUBSTITUTE('Kontoplan'!$H76,"~","~~"),"*","~*"),"?","~?"))+SUMIFS('Journal'!$G$3:$G$2002,'Journal'!$E$3:$E$2002,SUBSTITUTE(SUBSTITUTE(SUBSTITUTE('Kontoplan'!$H76,"~","~~"),"*","~*"),"?","~?")))</f>
        <v/>
      </c>
      <c r="G76" s="20">
        <f>IF($A76="","",D76+E76-F76)</f>
        <v/>
      </c>
      <c r="H76" s="14" t="n"/>
      <c r="I76" s="8" t="n"/>
    </row>
    <row r="77">
      <c r="A77" s="5">
        <f>IF('Kontoplan'!A77="","",'Kontoplan'!A77)</f>
        <v/>
      </c>
      <c r="B77" s="5">
        <f>IF($A77="","",'Kontoplan'!B77)</f>
        <v/>
      </c>
      <c r="C77" s="5">
        <f>IF($A77="","",'Kontoplan'!C77)</f>
        <v/>
      </c>
      <c r="D77" s="20">
        <f>IF($A77="","",SUMIFS('Åpningsbalanse'!$C$4:$C$103,'Åpningsbalanse'!$A$4:$A$103,SUBSTITUTE(SUBSTITUTE(SUBSTITUTE('Kontoplan'!$H77,"~","~~"),"*","~*"),"?","~?"))*IFERROR(INDEX('_lister'!$C$2:$C$62,MATCH(C77,'_lister'!$A$2:$A$62,0)),1))</f>
        <v/>
      </c>
      <c r="E77" s="20">
        <f>IF($A77="","",SUMIFS('Journal'!$G$3:$G$2002,'Journal'!$D$3:$D$2002,SUBSTITUTE(SUBSTITUTE(SUBSTITUTE('Kontoplan'!$H77,"~","~~"),"*","~*"),"?","~?"))+SUMIFS('Journal'!$F$3:$F$2002,'Journal'!$E$3:$E$2002,SUBSTITUTE(SUBSTITUTE(SUBSTITUTE('Kontoplan'!$H77,"~","~~"),"*","~*"),"?","~?")))</f>
        <v/>
      </c>
      <c r="F77" s="20">
        <f>IF($A77="","",SUMIFS('Journal'!$F$3:$F$2002,'Journal'!$D$3:$D$2002,SUBSTITUTE(SUBSTITUTE(SUBSTITUTE('Kontoplan'!$H77,"~","~~"),"*","~*"),"?","~?"))+SUMIFS('Journal'!$G$3:$G$2002,'Journal'!$E$3:$E$2002,SUBSTITUTE(SUBSTITUTE(SUBSTITUTE('Kontoplan'!$H77,"~","~~"),"*","~*"),"?","~?")))</f>
        <v/>
      </c>
      <c r="G77" s="20">
        <f>IF($A77="","",D77+E77-F77)</f>
        <v/>
      </c>
      <c r="H77" s="14" t="n"/>
      <c r="I77" s="8" t="n"/>
    </row>
    <row r="78">
      <c r="A78" s="5">
        <f>IF('Kontoplan'!A78="","",'Kontoplan'!A78)</f>
        <v/>
      </c>
      <c r="B78" s="5">
        <f>IF($A78="","",'Kontoplan'!B78)</f>
        <v/>
      </c>
      <c r="C78" s="5">
        <f>IF($A78="","",'Kontoplan'!C78)</f>
        <v/>
      </c>
      <c r="D78" s="20">
        <f>IF($A78="","",SUMIFS('Åpningsbalanse'!$C$4:$C$103,'Åpningsbalanse'!$A$4:$A$103,SUBSTITUTE(SUBSTITUTE(SUBSTITUTE('Kontoplan'!$H78,"~","~~"),"*","~*"),"?","~?"))*IFERROR(INDEX('_lister'!$C$2:$C$62,MATCH(C78,'_lister'!$A$2:$A$62,0)),1))</f>
        <v/>
      </c>
      <c r="E78" s="20">
        <f>IF($A78="","",SUMIFS('Journal'!$G$3:$G$2002,'Journal'!$D$3:$D$2002,SUBSTITUTE(SUBSTITUTE(SUBSTITUTE('Kontoplan'!$H78,"~","~~"),"*","~*"),"?","~?"))+SUMIFS('Journal'!$F$3:$F$2002,'Journal'!$E$3:$E$2002,SUBSTITUTE(SUBSTITUTE(SUBSTITUTE('Kontoplan'!$H78,"~","~~"),"*","~*"),"?","~?")))</f>
        <v/>
      </c>
      <c r="F78" s="20">
        <f>IF($A78="","",SUMIFS('Journal'!$F$3:$F$2002,'Journal'!$D$3:$D$2002,SUBSTITUTE(SUBSTITUTE(SUBSTITUTE('Kontoplan'!$H78,"~","~~"),"*","~*"),"?","~?"))+SUMIFS('Journal'!$G$3:$G$2002,'Journal'!$E$3:$E$2002,SUBSTITUTE(SUBSTITUTE(SUBSTITUTE('Kontoplan'!$H78,"~","~~"),"*","~*"),"?","~?")))</f>
        <v/>
      </c>
      <c r="G78" s="20">
        <f>IF($A78="","",D78+E78-F78)</f>
        <v/>
      </c>
      <c r="H78" s="14" t="n"/>
      <c r="I78" s="8" t="n"/>
    </row>
    <row r="79">
      <c r="A79" s="5">
        <f>IF('Kontoplan'!A79="","",'Kontoplan'!A79)</f>
        <v/>
      </c>
      <c r="B79" s="5">
        <f>IF($A79="","",'Kontoplan'!B79)</f>
        <v/>
      </c>
      <c r="C79" s="5">
        <f>IF($A79="","",'Kontoplan'!C79)</f>
        <v/>
      </c>
      <c r="D79" s="20">
        <f>IF($A79="","",SUMIFS('Åpningsbalanse'!$C$4:$C$103,'Åpningsbalanse'!$A$4:$A$103,SUBSTITUTE(SUBSTITUTE(SUBSTITUTE('Kontoplan'!$H79,"~","~~"),"*","~*"),"?","~?"))*IFERROR(INDEX('_lister'!$C$2:$C$62,MATCH(C79,'_lister'!$A$2:$A$62,0)),1))</f>
        <v/>
      </c>
      <c r="E79" s="20">
        <f>IF($A79="","",SUMIFS('Journal'!$G$3:$G$2002,'Journal'!$D$3:$D$2002,SUBSTITUTE(SUBSTITUTE(SUBSTITUTE('Kontoplan'!$H79,"~","~~"),"*","~*"),"?","~?"))+SUMIFS('Journal'!$F$3:$F$2002,'Journal'!$E$3:$E$2002,SUBSTITUTE(SUBSTITUTE(SUBSTITUTE('Kontoplan'!$H79,"~","~~"),"*","~*"),"?","~?")))</f>
        <v/>
      </c>
      <c r="F79" s="20">
        <f>IF($A79="","",SUMIFS('Journal'!$F$3:$F$2002,'Journal'!$D$3:$D$2002,SUBSTITUTE(SUBSTITUTE(SUBSTITUTE('Kontoplan'!$H79,"~","~~"),"*","~*"),"?","~?"))+SUMIFS('Journal'!$G$3:$G$2002,'Journal'!$E$3:$E$2002,SUBSTITUTE(SUBSTITUTE(SUBSTITUTE('Kontoplan'!$H79,"~","~~"),"*","~*"),"?","~?")))</f>
        <v/>
      </c>
      <c r="G79" s="20">
        <f>IF($A79="","",D79+E79-F79)</f>
        <v/>
      </c>
      <c r="H79" s="14" t="n"/>
      <c r="I79" s="8" t="n"/>
    </row>
    <row r="80">
      <c r="A80" s="5">
        <f>IF('Kontoplan'!A80="","",'Kontoplan'!A80)</f>
        <v/>
      </c>
      <c r="B80" s="5">
        <f>IF($A80="","",'Kontoplan'!B80)</f>
        <v/>
      </c>
      <c r="C80" s="5">
        <f>IF($A80="","",'Kontoplan'!C80)</f>
        <v/>
      </c>
      <c r="D80" s="20">
        <f>IF($A80="","",SUMIFS('Åpningsbalanse'!$C$4:$C$103,'Åpningsbalanse'!$A$4:$A$103,SUBSTITUTE(SUBSTITUTE(SUBSTITUTE('Kontoplan'!$H80,"~","~~"),"*","~*"),"?","~?"))*IFERROR(INDEX('_lister'!$C$2:$C$62,MATCH(C80,'_lister'!$A$2:$A$62,0)),1))</f>
        <v/>
      </c>
      <c r="E80" s="20">
        <f>IF($A80="","",SUMIFS('Journal'!$G$3:$G$2002,'Journal'!$D$3:$D$2002,SUBSTITUTE(SUBSTITUTE(SUBSTITUTE('Kontoplan'!$H80,"~","~~"),"*","~*"),"?","~?"))+SUMIFS('Journal'!$F$3:$F$2002,'Journal'!$E$3:$E$2002,SUBSTITUTE(SUBSTITUTE(SUBSTITUTE('Kontoplan'!$H80,"~","~~"),"*","~*"),"?","~?")))</f>
        <v/>
      </c>
      <c r="F80" s="20">
        <f>IF($A80="","",SUMIFS('Journal'!$F$3:$F$2002,'Journal'!$D$3:$D$2002,SUBSTITUTE(SUBSTITUTE(SUBSTITUTE('Kontoplan'!$H80,"~","~~"),"*","~*"),"?","~?"))+SUMIFS('Journal'!$G$3:$G$2002,'Journal'!$E$3:$E$2002,SUBSTITUTE(SUBSTITUTE(SUBSTITUTE('Kontoplan'!$H80,"~","~~"),"*","~*"),"?","~?")))</f>
        <v/>
      </c>
      <c r="G80" s="20">
        <f>IF($A80="","",D80+E80-F80)</f>
        <v/>
      </c>
      <c r="H80" s="14" t="n"/>
      <c r="I80" s="8" t="n"/>
    </row>
    <row r="81">
      <c r="A81" s="5">
        <f>IF('Kontoplan'!A81="","",'Kontoplan'!A81)</f>
        <v/>
      </c>
      <c r="B81" s="5">
        <f>IF($A81="","",'Kontoplan'!B81)</f>
        <v/>
      </c>
      <c r="C81" s="5">
        <f>IF($A81="","",'Kontoplan'!C81)</f>
        <v/>
      </c>
      <c r="D81" s="20">
        <f>IF($A81="","",SUMIFS('Åpningsbalanse'!$C$4:$C$103,'Åpningsbalanse'!$A$4:$A$103,SUBSTITUTE(SUBSTITUTE(SUBSTITUTE('Kontoplan'!$H81,"~","~~"),"*","~*"),"?","~?"))*IFERROR(INDEX('_lister'!$C$2:$C$62,MATCH(C81,'_lister'!$A$2:$A$62,0)),1))</f>
        <v/>
      </c>
      <c r="E81" s="20">
        <f>IF($A81="","",SUMIFS('Journal'!$G$3:$G$2002,'Journal'!$D$3:$D$2002,SUBSTITUTE(SUBSTITUTE(SUBSTITUTE('Kontoplan'!$H81,"~","~~"),"*","~*"),"?","~?"))+SUMIFS('Journal'!$F$3:$F$2002,'Journal'!$E$3:$E$2002,SUBSTITUTE(SUBSTITUTE(SUBSTITUTE('Kontoplan'!$H81,"~","~~"),"*","~*"),"?","~?")))</f>
        <v/>
      </c>
      <c r="F81" s="20">
        <f>IF($A81="","",SUMIFS('Journal'!$F$3:$F$2002,'Journal'!$D$3:$D$2002,SUBSTITUTE(SUBSTITUTE(SUBSTITUTE('Kontoplan'!$H81,"~","~~"),"*","~*"),"?","~?"))+SUMIFS('Journal'!$G$3:$G$2002,'Journal'!$E$3:$E$2002,SUBSTITUTE(SUBSTITUTE(SUBSTITUTE('Kontoplan'!$H81,"~","~~"),"*","~*"),"?","~?")))</f>
        <v/>
      </c>
      <c r="G81" s="20">
        <f>IF($A81="","",D81+E81-F81)</f>
        <v/>
      </c>
      <c r="H81" s="14" t="n"/>
      <c r="I81" s="8" t="n"/>
    </row>
    <row r="82">
      <c r="A82" s="5">
        <f>IF('Kontoplan'!A82="","",'Kontoplan'!A82)</f>
        <v/>
      </c>
      <c r="B82" s="5">
        <f>IF($A82="","",'Kontoplan'!B82)</f>
        <v/>
      </c>
      <c r="C82" s="5">
        <f>IF($A82="","",'Kontoplan'!C82)</f>
        <v/>
      </c>
      <c r="D82" s="20">
        <f>IF($A82="","",SUMIFS('Åpningsbalanse'!$C$4:$C$103,'Åpningsbalanse'!$A$4:$A$103,SUBSTITUTE(SUBSTITUTE(SUBSTITUTE('Kontoplan'!$H82,"~","~~"),"*","~*"),"?","~?"))*IFERROR(INDEX('_lister'!$C$2:$C$62,MATCH(C82,'_lister'!$A$2:$A$62,0)),1))</f>
        <v/>
      </c>
      <c r="E82" s="20">
        <f>IF($A82="","",SUMIFS('Journal'!$G$3:$G$2002,'Journal'!$D$3:$D$2002,SUBSTITUTE(SUBSTITUTE(SUBSTITUTE('Kontoplan'!$H82,"~","~~"),"*","~*"),"?","~?"))+SUMIFS('Journal'!$F$3:$F$2002,'Journal'!$E$3:$E$2002,SUBSTITUTE(SUBSTITUTE(SUBSTITUTE('Kontoplan'!$H82,"~","~~"),"*","~*"),"?","~?")))</f>
        <v/>
      </c>
      <c r="F82" s="20">
        <f>IF($A82="","",SUMIFS('Journal'!$F$3:$F$2002,'Journal'!$D$3:$D$2002,SUBSTITUTE(SUBSTITUTE(SUBSTITUTE('Kontoplan'!$H82,"~","~~"),"*","~*"),"?","~?"))+SUMIFS('Journal'!$G$3:$G$2002,'Journal'!$E$3:$E$2002,SUBSTITUTE(SUBSTITUTE(SUBSTITUTE('Kontoplan'!$H82,"~","~~"),"*","~*"),"?","~?")))</f>
        <v/>
      </c>
      <c r="G82" s="20">
        <f>IF($A82="","",D82+E82-F82)</f>
        <v/>
      </c>
      <c r="H82" s="14" t="n"/>
      <c r="I82" s="8" t="n"/>
    </row>
    <row r="83">
      <c r="A83" s="5">
        <f>IF('Kontoplan'!A83="","",'Kontoplan'!A83)</f>
        <v/>
      </c>
      <c r="B83" s="5">
        <f>IF($A83="","",'Kontoplan'!B83)</f>
        <v/>
      </c>
      <c r="C83" s="5">
        <f>IF($A83="","",'Kontoplan'!C83)</f>
        <v/>
      </c>
      <c r="D83" s="20">
        <f>IF($A83="","",SUMIFS('Åpningsbalanse'!$C$4:$C$103,'Åpningsbalanse'!$A$4:$A$103,SUBSTITUTE(SUBSTITUTE(SUBSTITUTE('Kontoplan'!$H83,"~","~~"),"*","~*"),"?","~?"))*IFERROR(INDEX('_lister'!$C$2:$C$62,MATCH(C83,'_lister'!$A$2:$A$62,0)),1))</f>
        <v/>
      </c>
      <c r="E83" s="20">
        <f>IF($A83="","",SUMIFS('Journal'!$G$3:$G$2002,'Journal'!$D$3:$D$2002,SUBSTITUTE(SUBSTITUTE(SUBSTITUTE('Kontoplan'!$H83,"~","~~"),"*","~*"),"?","~?"))+SUMIFS('Journal'!$F$3:$F$2002,'Journal'!$E$3:$E$2002,SUBSTITUTE(SUBSTITUTE(SUBSTITUTE('Kontoplan'!$H83,"~","~~"),"*","~*"),"?","~?")))</f>
        <v/>
      </c>
      <c r="F83" s="20">
        <f>IF($A83="","",SUMIFS('Journal'!$F$3:$F$2002,'Journal'!$D$3:$D$2002,SUBSTITUTE(SUBSTITUTE(SUBSTITUTE('Kontoplan'!$H83,"~","~~"),"*","~*"),"?","~?"))+SUMIFS('Journal'!$G$3:$G$2002,'Journal'!$E$3:$E$2002,SUBSTITUTE(SUBSTITUTE(SUBSTITUTE('Kontoplan'!$H83,"~","~~"),"*","~*"),"?","~?")))</f>
        <v/>
      </c>
      <c r="G83" s="20">
        <f>IF($A83="","",D83+E83-F83)</f>
        <v/>
      </c>
      <c r="H83" s="14" t="n"/>
      <c r="I83" s="8" t="n"/>
    </row>
    <row r="84">
      <c r="A84" s="5">
        <f>IF('Kontoplan'!A84="","",'Kontoplan'!A84)</f>
        <v/>
      </c>
      <c r="B84" s="5">
        <f>IF($A84="","",'Kontoplan'!B84)</f>
        <v/>
      </c>
      <c r="C84" s="5">
        <f>IF($A84="","",'Kontoplan'!C84)</f>
        <v/>
      </c>
      <c r="D84" s="20">
        <f>IF($A84="","",SUMIFS('Åpningsbalanse'!$C$4:$C$103,'Åpningsbalanse'!$A$4:$A$103,SUBSTITUTE(SUBSTITUTE(SUBSTITUTE('Kontoplan'!$H84,"~","~~"),"*","~*"),"?","~?"))*IFERROR(INDEX('_lister'!$C$2:$C$62,MATCH(C84,'_lister'!$A$2:$A$62,0)),1))</f>
        <v/>
      </c>
      <c r="E84" s="20">
        <f>IF($A84="","",SUMIFS('Journal'!$G$3:$G$2002,'Journal'!$D$3:$D$2002,SUBSTITUTE(SUBSTITUTE(SUBSTITUTE('Kontoplan'!$H84,"~","~~"),"*","~*"),"?","~?"))+SUMIFS('Journal'!$F$3:$F$2002,'Journal'!$E$3:$E$2002,SUBSTITUTE(SUBSTITUTE(SUBSTITUTE('Kontoplan'!$H84,"~","~~"),"*","~*"),"?","~?")))</f>
        <v/>
      </c>
      <c r="F84" s="20">
        <f>IF($A84="","",SUMIFS('Journal'!$F$3:$F$2002,'Journal'!$D$3:$D$2002,SUBSTITUTE(SUBSTITUTE(SUBSTITUTE('Kontoplan'!$H84,"~","~~"),"*","~*"),"?","~?"))+SUMIFS('Journal'!$G$3:$G$2002,'Journal'!$E$3:$E$2002,SUBSTITUTE(SUBSTITUTE(SUBSTITUTE('Kontoplan'!$H84,"~","~~"),"*","~*"),"?","~?")))</f>
        <v/>
      </c>
      <c r="G84" s="20">
        <f>IF($A84="","",D84+E84-F84)</f>
        <v/>
      </c>
      <c r="H84" s="14" t="n"/>
      <c r="I84" s="8" t="n"/>
    </row>
    <row r="85">
      <c r="A85" s="5">
        <f>IF('Kontoplan'!A85="","",'Kontoplan'!A85)</f>
        <v/>
      </c>
      <c r="B85" s="5">
        <f>IF($A85="","",'Kontoplan'!B85)</f>
        <v/>
      </c>
      <c r="C85" s="5">
        <f>IF($A85="","",'Kontoplan'!C85)</f>
        <v/>
      </c>
      <c r="D85" s="20">
        <f>IF($A85="","",SUMIFS('Åpningsbalanse'!$C$4:$C$103,'Åpningsbalanse'!$A$4:$A$103,SUBSTITUTE(SUBSTITUTE(SUBSTITUTE('Kontoplan'!$H85,"~","~~"),"*","~*"),"?","~?"))*IFERROR(INDEX('_lister'!$C$2:$C$62,MATCH(C85,'_lister'!$A$2:$A$62,0)),1))</f>
        <v/>
      </c>
      <c r="E85" s="20">
        <f>IF($A85="","",SUMIFS('Journal'!$G$3:$G$2002,'Journal'!$D$3:$D$2002,SUBSTITUTE(SUBSTITUTE(SUBSTITUTE('Kontoplan'!$H85,"~","~~"),"*","~*"),"?","~?"))+SUMIFS('Journal'!$F$3:$F$2002,'Journal'!$E$3:$E$2002,SUBSTITUTE(SUBSTITUTE(SUBSTITUTE('Kontoplan'!$H85,"~","~~"),"*","~*"),"?","~?")))</f>
        <v/>
      </c>
      <c r="F85" s="20">
        <f>IF($A85="","",SUMIFS('Journal'!$F$3:$F$2002,'Journal'!$D$3:$D$2002,SUBSTITUTE(SUBSTITUTE(SUBSTITUTE('Kontoplan'!$H85,"~","~~"),"*","~*"),"?","~?"))+SUMIFS('Journal'!$G$3:$G$2002,'Journal'!$E$3:$E$2002,SUBSTITUTE(SUBSTITUTE(SUBSTITUTE('Kontoplan'!$H85,"~","~~"),"*","~*"),"?","~?")))</f>
        <v/>
      </c>
      <c r="G85" s="20">
        <f>IF($A85="","",D85+E85-F85)</f>
        <v/>
      </c>
      <c r="H85" s="14" t="n"/>
      <c r="I85" s="8" t="n"/>
    </row>
    <row r="86">
      <c r="A86" s="5">
        <f>IF('Kontoplan'!A86="","",'Kontoplan'!A86)</f>
        <v/>
      </c>
      <c r="B86" s="5">
        <f>IF($A86="","",'Kontoplan'!B86)</f>
        <v/>
      </c>
      <c r="C86" s="5">
        <f>IF($A86="","",'Kontoplan'!C86)</f>
        <v/>
      </c>
      <c r="D86" s="20">
        <f>IF($A86="","",SUMIFS('Åpningsbalanse'!$C$4:$C$103,'Åpningsbalanse'!$A$4:$A$103,SUBSTITUTE(SUBSTITUTE(SUBSTITUTE('Kontoplan'!$H86,"~","~~"),"*","~*"),"?","~?"))*IFERROR(INDEX('_lister'!$C$2:$C$62,MATCH(C86,'_lister'!$A$2:$A$62,0)),1))</f>
        <v/>
      </c>
      <c r="E86" s="20">
        <f>IF($A86="","",SUMIFS('Journal'!$G$3:$G$2002,'Journal'!$D$3:$D$2002,SUBSTITUTE(SUBSTITUTE(SUBSTITUTE('Kontoplan'!$H86,"~","~~"),"*","~*"),"?","~?"))+SUMIFS('Journal'!$F$3:$F$2002,'Journal'!$E$3:$E$2002,SUBSTITUTE(SUBSTITUTE(SUBSTITUTE('Kontoplan'!$H86,"~","~~"),"*","~*"),"?","~?")))</f>
        <v/>
      </c>
      <c r="F86" s="20">
        <f>IF($A86="","",SUMIFS('Journal'!$F$3:$F$2002,'Journal'!$D$3:$D$2002,SUBSTITUTE(SUBSTITUTE(SUBSTITUTE('Kontoplan'!$H86,"~","~~"),"*","~*"),"?","~?"))+SUMIFS('Journal'!$G$3:$G$2002,'Journal'!$E$3:$E$2002,SUBSTITUTE(SUBSTITUTE(SUBSTITUTE('Kontoplan'!$H86,"~","~~"),"*","~*"),"?","~?")))</f>
        <v/>
      </c>
      <c r="G86" s="20">
        <f>IF($A86="","",D86+E86-F86)</f>
        <v/>
      </c>
      <c r="H86" s="14" t="n"/>
      <c r="I86" s="8" t="n"/>
    </row>
    <row r="87">
      <c r="A87" s="5">
        <f>IF('Kontoplan'!A87="","",'Kontoplan'!A87)</f>
        <v/>
      </c>
      <c r="B87" s="5">
        <f>IF($A87="","",'Kontoplan'!B87)</f>
        <v/>
      </c>
      <c r="C87" s="5">
        <f>IF($A87="","",'Kontoplan'!C87)</f>
        <v/>
      </c>
      <c r="D87" s="20">
        <f>IF($A87="","",SUMIFS('Åpningsbalanse'!$C$4:$C$103,'Åpningsbalanse'!$A$4:$A$103,SUBSTITUTE(SUBSTITUTE(SUBSTITUTE('Kontoplan'!$H87,"~","~~"),"*","~*"),"?","~?"))*IFERROR(INDEX('_lister'!$C$2:$C$62,MATCH(C87,'_lister'!$A$2:$A$62,0)),1))</f>
        <v/>
      </c>
      <c r="E87" s="20">
        <f>IF($A87="","",SUMIFS('Journal'!$G$3:$G$2002,'Journal'!$D$3:$D$2002,SUBSTITUTE(SUBSTITUTE(SUBSTITUTE('Kontoplan'!$H87,"~","~~"),"*","~*"),"?","~?"))+SUMIFS('Journal'!$F$3:$F$2002,'Journal'!$E$3:$E$2002,SUBSTITUTE(SUBSTITUTE(SUBSTITUTE('Kontoplan'!$H87,"~","~~"),"*","~*"),"?","~?")))</f>
        <v/>
      </c>
      <c r="F87" s="20">
        <f>IF($A87="","",SUMIFS('Journal'!$F$3:$F$2002,'Journal'!$D$3:$D$2002,SUBSTITUTE(SUBSTITUTE(SUBSTITUTE('Kontoplan'!$H87,"~","~~"),"*","~*"),"?","~?"))+SUMIFS('Journal'!$G$3:$G$2002,'Journal'!$E$3:$E$2002,SUBSTITUTE(SUBSTITUTE(SUBSTITUTE('Kontoplan'!$H87,"~","~~"),"*","~*"),"?","~?")))</f>
        <v/>
      </c>
      <c r="G87" s="20">
        <f>IF($A87="","",D87+E87-F87)</f>
        <v/>
      </c>
      <c r="H87" s="14" t="n"/>
      <c r="I87" s="8" t="n"/>
    </row>
    <row r="88">
      <c r="A88" s="5">
        <f>IF('Kontoplan'!A88="","",'Kontoplan'!A88)</f>
        <v/>
      </c>
      <c r="B88" s="5">
        <f>IF($A88="","",'Kontoplan'!B88)</f>
        <v/>
      </c>
      <c r="C88" s="5">
        <f>IF($A88="","",'Kontoplan'!C88)</f>
        <v/>
      </c>
      <c r="D88" s="20">
        <f>IF($A88="","",SUMIFS('Åpningsbalanse'!$C$4:$C$103,'Åpningsbalanse'!$A$4:$A$103,SUBSTITUTE(SUBSTITUTE(SUBSTITUTE('Kontoplan'!$H88,"~","~~"),"*","~*"),"?","~?"))*IFERROR(INDEX('_lister'!$C$2:$C$62,MATCH(C88,'_lister'!$A$2:$A$62,0)),1))</f>
        <v/>
      </c>
      <c r="E88" s="20">
        <f>IF($A88="","",SUMIFS('Journal'!$G$3:$G$2002,'Journal'!$D$3:$D$2002,SUBSTITUTE(SUBSTITUTE(SUBSTITUTE('Kontoplan'!$H88,"~","~~"),"*","~*"),"?","~?"))+SUMIFS('Journal'!$F$3:$F$2002,'Journal'!$E$3:$E$2002,SUBSTITUTE(SUBSTITUTE(SUBSTITUTE('Kontoplan'!$H88,"~","~~"),"*","~*"),"?","~?")))</f>
        <v/>
      </c>
      <c r="F88" s="20">
        <f>IF($A88="","",SUMIFS('Journal'!$F$3:$F$2002,'Journal'!$D$3:$D$2002,SUBSTITUTE(SUBSTITUTE(SUBSTITUTE('Kontoplan'!$H88,"~","~~"),"*","~*"),"?","~?"))+SUMIFS('Journal'!$G$3:$G$2002,'Journal'!$E$3:$E$2002,SUBSTITUTE(SUBSTITUTE(SUBSTITUTE('Kontoplan'!$H88,"~","~~"),"*","~*"),"?","~?")))</f>
        <v/>
      </c>
      <c r="G88" s="20">
        <f>IF($A88="","",D88+E88-F88)</f>
        <v/>
      </c>
      <c r="H88" s="14" t="n"/>
      <c r="I88" s="8" t="n"/>
    </row>
    <row r="89">
      <c r="A89" s="5">
        <f>IF('Kontoplan'!A89="","",'Kontoplan'!A89)</f>
        <v/>
      </c>
      <c r="B89" s="5">
        <f>IF($A89="","",'Kontoplan'!B89)</f>
        <v/>
      </c>
      <c r="C89" s="5">
        <f>IF($A89="","",'Kontoplan'!C89)</f>
        <v/>
      </c>
      <c r="D89" s="20">
        <f>IF($A89="","",SUMIFS('Åpningsbalanse'!$C$4:$C$103,'Åpningsbalanse'!$A$4:$A$103,SUBSTITUTE(SUBSTITUTE(SUBSTITUTE('Kontoplan'!$H89,"~","~~"),"*","~*"),"?","~?"))*IFERROR(INDEX('_lister'!$C$2:$C$62,MATCH(C89,'_lister'!$A$2:$A$62,0)),1))</f>
        <v/>
      </c>
      <c r="E89" s="20">
        <f>IF($A89="","",SUMIFS('Journal'!$G$3:$G$2002,'Journal'!$D$3:$D$2002,SUBSTITUTE(SUBSTITUTE(SUBSTITUTE('Kontoplan'!$H89,"~","~~"),"*","~*"),"?","~?"))+SUMIFS('Journal'!$F$3:$F$2002,'Journal'!$E$3:$E$2002,SUBSTITUTE(SUBSTITUTE(SUBSTITUTE('Kontoplan'!$H89,"~","~~"),"*","~*"),"?","~?")))</f>
        <v/>
      </c>
      <c r="F89" s="20">
        <f>IF($A89="","",SUMIFS('Journal'!$F$3:$F$2002,'Journal'!$D$3:$D$2002,SUBSTITUTE(SUBSTITUTE(SUBSTITUTE('Kontoplan'!$H89,"~","~~"),"*","~*"),"?","~?"))+SUMIFS('Journal'!$G$3:$G$2002,'Journal'!$E$3:$E$2002,SUBSTITUTE(SUBSTITUTE(SUBSTITUTE('Kontoplan'!$H89,"~","~~"),"*","~*"),"?","~?")))</f>
        <v/>
      </c>
      <c r="G89" s="20">
        <f>IF($A89="","",D89+E89-F89)</f>
        <v/>
      </c>
      <c r="H89" s="14" t="n"/>
      <c r="I89" s="8" t="n"/>
    </row>
    <row r="90">
      <c r="A90" s="5">
        <f>IF('Kontoplan'!A90="","",'Kontoplan'!A90)</f>
        <v/>
      </c>
      <c r="B90" s="5">
        <f>IF($A90="","",'Kontoplan'!B90)</f>
        <v/>
      </c>
      <c r="C90" s="5">
        <f>IF($A90="","",'Kontoplan'!C90)</f>
        <v/>
      </c>
      <c r="D90" s="20">
        <f>IF($A90="","",SUMIFS('Åpningsbalanse'!$C$4:$C$103,'Åpningsbalanse'!$A$4:$A$103,SUBSTITUTE(SUBSTITUTE(SUBSTITUTE('Kontoplan'!$H90,"~","~~"),"*","~*"),"?","~?"))*IFERROR(INDEX('_lister'!$C$2:$C$62,MATCH(C90,'_lister'!$A$2:$A$62,0)),1))</f>
        <v/>
      </c>
      <c r="E90" s="20">
        <f>IF($A90="","",SUMIFS('Journal'!$G$3:$G$2002,'Journal'!$D$3:$D$2002,SUBSTITUTE(SUBSTITUTE(SUBSTITUTE('Kontoplan'!$H90,"~","~~"),"*","~*"),"?","~?"))+SUMIFS('Journal'!$F$3:$F$2002,'Journal'!$E$3:$E$2002,SUBSTITUTE(SUBSTITUTE(SUBSTITUTE('Kontoplan'!$H90,"~","~~"),"*","~*"),"?","~?")))</f>
        <v/>
      </c>
      <c r="F90" s="20">
        <f>IF($A90="","",SUMIFS('Journal'!$F$3:$F$2002,'Journal'!$D$3:$D$2002,SUBSTITUTE(SUBSTITUTE(SUBSTITUTE('Kontoplan'!$H90,"~","~~"),"*","~*"),"?","~?"))+SUMIFS('Journal'!$G$3:$G$2002,'Journal'!$E$3:$E$2002,SUBSTITUTE(SUBSTITUTE(SUBSTITUTE('Kontoplan'!$H90,"~","~~"),"*","~*"),"?","~?")))</f>
        <v/>
      </c>
      <c r="G90" s="20">
        <f>IF($A90="","",D90+E90-F90)</f>
        <v/>
      </c>
      <c r="H90" s="14" t="n"/>
      <c r="I90" s="8" t="n"/>
    </row>
    <row r="91">
      <c r="A91" s="5">
        <f>IF('Kontoplan'!A91="","",'Kontoplan'!A91)</f>
        <v/>
      </c>
      <c r="B91" s="5">
        <f>IF($A91="","",'Kontoplan'!B91)</f>
        <v/>
      </c>
      <c r="C91" s="5">
        <f>IF($A91="","",'Kontoplan'!C91)</f>
        <v/>
      </c>
      <c r="D91" s="20">
        <f>IF($A91="","",SUMIFS('Åpningsbalanse'!$C$4:$C$103,'Åpningsbalanse'!$A$4:$A$103,SUBSTITUTE(SUBSTITUTE(SUBSTITUTE('Kontoplan'!$H91,"~","~~"),"*","~*"),"?","~?"))*IFERROR(INDEX('_lister'!$C$2:$C$62,MATCH(C91,'_lister'!$A$2:$A$62,0)),1))</f>
        <v/>
      </c>
      <c r="E91" s="20">
        <f>IF($A91="","",SUMIFS('Journal'!$G$3:$G$2002,'Journal'!$D$3:$D$2002,SUBSTITUTE(SUBSTITUTE(SUBSTITUTE('Kontoplan'!$H91,"~","~~"),"*","~*"),"?","~?"))+SUMIFS('Journal'!$F$3:$F$2002,'Journal'!$E$3:$E$2002,SUBSTITUTE(SUBSTITUTE(SUBSTITUTE('Kontoplan'!$H91,"~","~~"),"*","~*"),"?","~?")))</f>
        <v/>
      </c>
      <c r="F91" s="20">
        <f>IF($A91="","",SUMIFS('Journal'!$F$3:$F$2002,'Journal'!$D$3:$D$2002,SUBSTITUTE(SUBSTITUTE(SUBSTITUTE('Kontoplan'!$H91,"~","~~"),"*","~*"),"?","~?"))+SUMIFS('Journal'!$G$3:$G$2002,'Journal'!$E$3:$E$2002,SUBSTITUTE(SUBSTITUTE(SUBSTITUTE('Kontoplan'!$H91,"~","~~"),"*","~*"),"?","~?")))</f>
        <v/>
      </c>
      <c r="G91" s="20">
        <f>IF($A91="","",D91+E91-F91)</f>
        <v/>
      </c>
      <c r="H91" s="14" t="n"/>
      <c r="I91" s="8" t="n"/>
    </row>
    <row r="92">
      <c r="A92" s="5">
        <f>IF('Kontoplan'!A92="","",'Kontoplan'!A92)</f>
        <v/>
      </c>
      <c r="B92" s="5">
        <f>IF($A92="","",'Kontoplan'!B92)</f>
        <v/>
      </c>
      <c r="C92" s="5">
        <f>IF($A92="","",'Kontoplan'!C92)</f>
        <v/>
      </c>
      <c r="D92" s="20">
        <f>IF($A92="","",SUMIFS('Åpningsbalanse'!$C$4:$C$103,'Åpningsbalanse'!$A$4:$A$103,SUBSTITUTE(SUBSTITUTE(SUBSTITUTE('Kontoplan'!$H92,"~","~~"),"*","~*"),"?","~?"))*IFERROR(INDEX('_lister'!$C$2:$C$62,MATCH(C92,'_lister'!$A$2:$A$62,0)),1))</f>
        <v/>
      </c>
      <c r="E92" s="20">
        <f>IF($A92="","",SUMIFS('Journal'!$G$3:$G$2002,'Journal'!$D$3:$D$2002,SUBSTITUTE(SUBSTITUTE(SUBSTITUTE('Kontoplan'!$H92,"~","~~"),"*","~*"),"?","~?"))+SUMIFS('Journal'!$F$3:$F$2002,'Journal'!$E$3:$E$2002,SUBSTITUTE(SUBSTITUTE(SUBSTITUTE('Kontoplan'!$H92,"~","~~"),"*","~*"),"?","~?")))</f>
        <v/>
      </c>
      <c r="F92" s="20">
        <f>IF($A92="","",SUMIFS('Journal'!$F$3:$F$2002,'Journal'!$D$3:$D$2002,SUBSTITUTE(SUBSTITUTE(SUBSTITUTE('Kontoplan'!$H92,"~","~~"),"*","~*"),"?","~?"))+SUMIFS('Journal'!$G$3:$G$2002,'Journal'!$E$3:$E$2002,SUBSTITUTE(SUBSTITUTE(SUBSTITUTE('Kontoplan'!$H92,"~","~~"),"*","~*"),"?","~?")))</f>
        <v/>
      </c>
      <c r="G92" s="20">
        <f>IF($A92="","",D92+E92-F92)</f>
        <v/>
      </c>
      <c r="H92" s="14" t="n"/>
      <c r="I92" s="8" t="n"/>
    </row>
    <row r="93">
      <c r="A93" s="5">
        <f>IF('Kontoplan'!A93="","",'Kontoplan'!A93)</f>
        <v/>
      </c>
      <c r="B93" s="5">
        <f>IF($A93="","",'Kontoplan'!B93)</f>
        <v/>
      </c>
      <c r="C93" s="5">
        <f>IF($A93="","",'Kontoplan'!C93)</f>
        <v/>
      </c>
      <c r="D93" s="20">
        <f>IF($A93="","",SUMIFS('Åpningsbalanse'!$C$4:$C$103,'Åpningsbalanse'!$A$4:$A$103,SUBSTITUTE(SUBSTITUTE(SUBSTITUTE('Kontoplan'!$H93,"~","~~"),"*","~*"),"?","~?"))*IFERROR(INDEX('_lister'!$C$2:$C$62,MATCH(C93,'_lister'!$A$2:$A$62,0)),1))</f>
        <v/>
      </c>
      <c r="E93" s="20">
        <f>IF($A93="","",SUMIFS('Journal'!$G$3:$G$2002,'Journal'!$D$3:$D$2002,SUBSTITUTE(SUBSTITUTE(SUBSTITUTE('Kontoplan'!$H93,"~","~~"),"*","~*"),"?","~?"))+SUMIFS('Journal'!$F$3:$F$2002,'Journal'!$E$3:$E$2002,SUBSTITUTE(SUBSTITUTE(SUBSTITUTE('Kontoplan'!$H93,"~","~~"),"*","~*"),"?","~?")))</f>
        <v/>
      </c>
      <c r="F93" s="20">
        <f>IF($A93="","",SUMIFS('Journal'!$F$3:$F$2002,'Journal'!$D$3:$D$2002,SUBSTITUTE(SUBSTITUTE(SUBSTITUTE('Kontoplan'!$H93,"~","~~"),"*","~*"),"?","~?"))+SUMIFS('Journal'!$G$3:$G$2002,'Journal'!$E$3:$E$2002,SUBSTITUTE(SUBSTITUTE(SUBSTITUTE('Kontoplan'!$H93,"~","~~"),"*","~*"),"?","~?")))</f>
        <v/>
      </c>
      <c r="G93" s="20">
        <f>IF($A93="","",D93+E93-F93)</f>
        <v/>
      </c>
      <c r="H93" s="14" t="n"/>
      <c r="I93" s="8" t="n"/>
    </row>
    <row r="94">
      <c r="A94" s="5">
        <f>IF('Kontoplan'!A94="","",'Kontoplan'!A94)</f>
        <v/>
      </c>
      <c r="B94" s="5">
        <f>IF($A94="","",'Kontoplan'!B94)</f>
        <v/>
      </c>
      <c r="C94" s="5">
        <f>IF($A94="","",'Kontoplan'!C94)</f>
        <v/>
      </c>
      <c r="D94" s="20">
        <f>IF($A94="","",SUMIFS('Åpningsbalanse'!$C$4:$C$103,'Åpningsbalanse'!$A$4:$A$103,SUBSTITUTE(SUBSTITUTE(SUBSTITUTE('Kontoplan'!$H94,"~","~~"),"*","~*"),"?","~?"))*IFERROR(INDEX('_lister'!$C$2:$C$62,MATCH(C94,'_lister'!$A$2:$A$62,0)),1))</f>
        <v/>
      </c>
      <c r="E94" s="20">
        <f>IF($A94="","",SUMIFS('Journal'!$G$3:$G$2002,'Journal'!$D$3:$D$2002,SUBSTITUTE(SUBSTITUTE(SUBSTITUTE('Kontoplan'!$H94,"~","~~"),"*","~*"),"?","~?"))+SUMIFS('Journal'!$F$3:$F$2002,'Journal'!$E$3:$E$2002,SUBSTITUTE(SUBSTITUTE(SUBSTITUTE('Kontoplan'!$H94,"~","~~"),"*","~*"),"?","~?")))</f>
        <v/>
      </c>
      <c r="F94" s="20">
        <f>IF($A94="","",SUMIFS('Journal'!$F$3:$F$2002,'Journal'!$D$3:$D$2002,SUBSTITUTE(SUBSTITUTE(SUBSTITUTE('Kontoplan'!$H94,"~","~~"),"*","~*"),"?","~?"))+SUMIFS('Journal'!$G$3:$G$2002,'Journal'!$E$3:$E$2002,SUBSTITUTE(SUBSTITUTE(SUBSTITUTE('Kontoplan'!$H94,"~","~~"),"*","~*"),"?","~?")))</f>
        <v/>
      </c>
      <c r="G94" s="20">
        <f>IF($A94="","",D94+E94-F94)</f>
        <v/>
      </c>
      <c r="H94" s="14" t="n"/>
      <c r="I94" s="8" t="n"/>
    </row>
    <row r="95">
      <c r="A95" s="5">
        <f>IF('Kontoplan'!A95="","",'Kontoplan'!A95)</f>
        <v/>
      </c>
      <c r="B95" s="5">
        <f>IF($A95="","",'Kontoplan'!B95)</f>
        <v/>
      </c>
      <c r="C95" s="5">
        <f>IF($A95="","",'Kontoplan'!C95)</f>
        <v/>
      </c>
      <c r="D95" s="20">
        <f>IF($A95="","",SUMIFS('Åpningsbalanse'!$C$4:$C$103,'Åpningsbalanse'!$A$4:$A$103,SUBSTITUTE(SUBSTITUTE(SUBSTITUTE('Kontoplan'!$H95,"~","~~"),"*","~*"),"?","~?"))*IFERROR(INDEX('_lister'!$C$2:$C$62,MATCH(C95,'_lister'!$A$2:$A$62,0)),1))</f>
        <v/>
      </c>
      <c r="E95" s="20">
        <f>IF($A95="","",SUMIFS('Journal'!$G$3:$G$2002,'Journal'!$D$3:$D$2002,SUBSTITUTE(SUBSTITUTE(SUBSTITUTE('Kontoplan'!$H95,"~","~~"),"*","~*"),"?","~?"))+SUMIFS('Journal'!$F$3:$F$2002,'Journal'!$E$3:$E$2002,SUBSTITUTE(SUBSTITUTE(SUBSTITUTE('Kontoplan'!$H95,"~","~~"),"*","~*"),"?","~?")))</f>
        <v/>
      </c>
      <c r="F95" s="20">
        <f>IF($A95="","",SUMIFS('Journal'!$F$3:$F$2002,'Journal'!$D$3:$D$2002,SUBSTITUTE(SUBSTITUTE(SUBSTITUTE('Kontoplan'!$H95,"~","~~"),"*","~*"),"?","~?"))+SUMIFS('Journal'!$G$3:$G$2002,'Journal'!$E$3:$E$2002,SUBSTITUTE(SUBSTITUTE(SUBSTITUTE('Kontoplan'!$H95,"~","~~"),"*","~*"),"?","~?")))</f>
        <v/>
      </c>
      <c r="G95" s="20">
        <f>IF($A95="","",D95+E95-F95)</f>
        <v/>
      </c>
      <c r="H95" s="14" t="n"/>
      <c r="I95" s="8" t="n"/>
    </row>
    <row r="96">
      <c r="A96" s="5">
        <f>IF('Kontoplan'!A96="","",'Kontoplan'!A96)</f>
        <v/>
      </c>
      <c r="B96" s="5">
        <f>IF($A96="","",'Kontoplan'!B96)</f>
        <v/>
      </c>
      <c r="C96" s="5">
        <f>IF($A96="","",'Kontoplan'!C96)</f>
        <v/>
      </c>
      <c r="D96" s="20">
        <f>IF($A96="","",SUMIFS('Åpningsbalanse'!$C$4:$C$103,'Åpningsbalanse'!$A$4:$A$103,SUBSTITUTE(SUBSTITUTE(SUBSTITUTE('Kontoplan'!$H96,"~","~~"),"*","~*"),"?","~?"))*IFERROR(INDEX('_lister'!$C$2:$C$62,MATCH(C96,'_lister'!$A$2:$A$62,0)),1))</f>
        <v/>
      </c>
      <c r="E96" s="20">
        <f>IF($A96="","",SUMIFS('Journal'!$G$3:$G$2002,'Journal'!$D$3:$D$2002,SUBSTITUTE(SUBSTITUTE(SUBSTITUTE('Kontoplan'!$H96,"~","~~"),"*","~*"),"?","~?"))+SUMIFS('Journal'!$F$3:$F$2002,'Journal'!$E$3:$E$2002,SUBSTITUTE(SUBSTITUTE(SUBSTITUTE('Kontoplan'!$H96,"~","~~"),"*","~*"),"?","~?")))</f>
        <v/>
      </c>
      <c r="F96" s="20">
        <f>IF($A96="","",SUMIFS('Journal'!$F$3:$F$2002,'Journal'!$D$3:$D$2002,SUBSTITUTE(SUBSTITUTE(SUBSTITUTE('Kontoplan'!$H96,"~","~~"),"*","~*"),"?","~?"))+SUMIFS('Journal'!$G$3:$G$2002,'Journal'!$E$3:$E$2002,SUBSTITUTE(SUBSTITUTE(SUBSTITUTE('Kontoplan'!$H96,"~","~~"),"*","~*"),"?","~?")))</f>
        <v/>
      </c>
      <c r="G96" s="20">
        <f>IF($A96="","",D96+E96-F96)</f>
        <v/>
      </c>
      <c r="H96" s="14" t="n"/>
      <c r="I96" s="8" t="n"/>
    </row>
    <row r="97">
      <c r="A97" s="5">
        <f>IF('Kontoplan'!A97="","",'Kontoplan'!A97)</f>
        <v/>
      </c>
      <c r="B97" s="5">
        <f>IF($A97="","",'Kontoplan'!B97)</f>
        <v/>
      </c>
      <c r="C97" s="5">
        <f>IF($A97="","",'Kontoplan'!C97)</f>
        <v/>
      </c>
      <c r="D97" s="20">
        <f>IF($A97="","",SUMIFS('Åpningsbalanse'!$C$4:$C$103,'Åpningsbalanse'!$A$4:$A$103,SUBSTITUTE(SUBSTITUTE(SUBSTITUTE('Kontoplan'!$H97,"~","~~"),"*","~*"),"?","~?"))*IFERROR(INDEX('_lister'!$C$2:$C$62,MATCH(C97,'_lister'!$A$2:$A$62,0)),1))</f>
        <v/>
      </c>
      <c r="E97" s="20">
        <f>IF($A97="","",SUMIFS('Journal'!$G$3:$G$2002,'Journal'!$D$3:$D$2002,SUBSTITUTE(SUBSTITUTE(SUBSTITUTE('Kontoplan'!$H97,"~","~~"),"*","~*"),"?","~?"))+SUMIFS('Journal'!$F$3:$F$2002,'Journal'!$E$3:$E$2002,SUBSTITUTE(SUBSTITUTE(SUBSTITUTE('Kontoplan'!$H97,"~","~~"),"*","~*"),"?","~?")))</f>
        <v/>
      </c>
      <c r="F97" s="20">
        <f>IF($A97="","",SUMIFS('Journal'!$F$3:$F$2002,'Journal'!$D$3:$D$2002,SUBSTITUTE(SUBSTITUTE(SUBSTITUTE('Kontoplan'!$H97,"~","~~"),"*","~*"),"?","~?"))+SUMIFS('Journal'!$G$3:$G$2002,'Journal'!$E$3:$E$2002,SUBSTITUTE(SUBSTITUTE(SUBSTITUTE('Kontoplan'!$H97,"~","~~"),"*","~*"),"?","~?")))</f>
        <v/>
      </c>
      <c r="G97" s="20">
        <f>IF($A97="","",D97+E97-F97)</f>
        <v/>
      </c>
      <c r="H97" s="14" t="n"/>
      <c r="I97" s="8" t="n"/>
    </row>
    <row r="98">
      <c r="A98" s="5">
        <f>IF('Kontoplan'!A98="","",'Kontoplan'!A98)</f>
        <v/>
      </c>
      <c r="B98" s="5">
        <f>IF($A98="","",'Kontoplan'!B98)</f>
        <v/>
      </c>
      <c r="C98" s="5">
        <f>IF($A98="","",'Kontoplan'!C98)</f>
        <v/>
      </c>
      <c r="D98" s="20">
        <f>IF($A98="","",SUMIFS('Åpningsbalanse'!$C$4:$C$103,'Åpningsbalanse'!$A$4:$A$103,SUBSTITUTE(SUBSTITUTE(SUBSTITUTE('Kontoplan'!$H98,"~","~~"),"*","~*"),"?","~?"))*IFERROR(INDEX('_lister'!$C$2:$C$62,MATCH(C98,'_lister'!$A$2:$A$62,0)),1))</f>
        <v/>
      </c>
      <c r="E98" s="20">
        <f>IF($A98="","",SUMIFS('Journal'!$G$3:$G$2002,'Journal'!$D$3:$D$2002,SUBSTITUTE(SUBSTITUTE(SUBSTITUTE('Kontoplan'!$H98,"~","~~"),"*","~*"),"?","~?"))+SUMIFS('Journal'!$F$3:$F$2002,'Journal'!$E$3:$E$2002,SUBSTITUTE(SUBSTITUTE(SUBSTITUTE('Kontoplan'!$H98,"~","~~"),"*","~*"),"?","~?")))</f>
        <v/>
      </c>
      <c r="F98" s="20">
        <f>IF($A98="","",SUMIFS('Journal'!$F$3:$F$2002,'Journal'!$D$3:$D$2002,SUBSTITUTE(SUBSTITUTE(SUBSTITUTE('Kontoplan'!$H98,"~","~~"),"*","~*"),"?","~?"))+SUMIFS('Journal'!$G$3:$G$2002,'Journal'!$E$3:$E$2002,SUBSTITUTE(SUBSTITUTE(SUBSTITUTE('Kontoplan'!$H98,"~","~~"),"*","~*"),"?","~?")))</f>
        <v/>
      </c>
      <c r="G98" s="20">
        <f>IF($A98="","",D98+E98-F98)</f>
        <v/>
      </c>
      <c r="H98" s="14" t="n"/>
      <c r="I98" s="8" t="n"/>
    </row>
    <row r="99">
      <c r="A99" s="5">
        <f>IF('Kontoplan'!A99="","",'Kontoplan'!A99)</f>
        <v/>
      </c>
      <c r="B99" s="5">
        <f>IF($A99="","",'Kontoplan'!B99)</f>
        <v/>
      </c>
      <c r="C99" s="5">
        <f>IF($A99="","",'Kontoplan'!C99)</f>
        <v/>
      </c>
      <c r="D99" s="20">
        <f>IF($A99="","",SUMIFS('Åpningsbalanse'!$C$4:$C$103,'Åpningsbalanse'!$A$4:$A$103,SUBSTITUTE(SUBSTITUTE(SUBSTITUTE('Kontoplan'!$H99,"~","~~"),"*","~*"),"?","~?"))*IFERROR(INDEX('_lister'!$C$2:$C$62,MATCH(C99,'_lister'!$A$2:$A$62,0)),1))</f>
        <v/>
      </c>
      <c r="E99" s="20">
        <f>IF($A99="","",SUMIFS('Journal'!$G$3:$G$2002,'Journal'!$D$3:$D$2002,SUBSTITUTE(SUBSTITUTE(SUBSTITUTE('Kontoplan'!$H99,"~","~~"),"*","~*"),"?","~?"))+SUMIFS('Journal'!$F$3:$F$2002,'Journal'!$E$3:$E$2002,SUBSTITUTE(SUBSTITUTE(SUBSTITUTE('Kontoplan'!$H99,"~","~~"),"*","~*"),"?","~?")))</f>
        <v/>
      </c>
      <c r="F99" s="20">
        <f>IF($A99="","",SUMIFS('Journal'!$F$3:$F$2002,'Journal'!$D$3:$D$2002,SUBSTITUTE(SUBSTITUTE(SUBSTITUTE('Kontoplan'!$H99,"~","~~"),"*","~*"),"?","~?"))+SUMIFS('Journal'!$G$3:$G$2002,'Journal'!$E$3:$E$2002,SUBSTITUTE(SUBSTITUTE(SUBSTITUTE('Kontoplan'!$H99,"~","~~"),"*","~*"),"?","~?")))</f>
        <v/>
      </c>
      <c r="G99" s="20">
        <f>IF($A99="","",D99+E99-F99)</f>
        <v/>
      </c>
      <c r="H99" s="14" t="n"/>
      <c r="I99" s="8" t="n"/>
    </row>
    <row r="100">
      <c r="A100" s="5">
        <f>IF('Kontoplan'!A100="","",'Kontoplan'!A100)</f>
        <v/>
      </c>
      <c r="B100" s="5">
        <f>IF($A100="","",'Kontoplan'!B100)</f>
        <v/>
      </c>
      <c r="C100" s="5">
        <f>IF($A100="","",'Kontoplan'!C100)</f>
        <v/>
      </c>
      <c r="D100" s="20">
        <f>IF($A100="","",SUMIFS('Åpningsbalanse'!$C$4:$C$103,'Åpningsbalanse'!$A$4:$A$103,SUBSTITUTE(SUBSTITUTE(SUBSTITUTE('Kontoplan'!$H100,"~","~~"),"*","~*"),"?","~?"))*IFERROR(INDEX('_lister'!$C$2:$C$62,MATCH(C100,'_lister'!$A$2:$A$62,0)),1))</f>
        <v/>
      </c>
      <c r="E100" s="20">
        <f>IF($A100="","",SUMIFS('Journal'!$G$3:$G$2002,'Journal'!$D$3:$D$2002,SUBSTITUTE(SUBSTITUTE(SUBSTITUTE('Kontoplan'!$H100,"~","~~"),"*","~*"),"?","~?"))+SUMIFS('Journal'!$F$3:$F$2002,'Journal'!$E$3:$E$2002,SUBSTITUTE(SUBSTITUTE(SUBSTITUTE('Kontoplan'!$H100,"~","~~"),"*","~*"),"?","~?")))</f>
        <v/>
      </c>
      <c r="F100" s="20">
        <f>IF($A100="","",SUMIFS('Journal'!$F$3:$F$2002,'Journal'!$D$3:$D$2002,SUBSTITUTE(SUBSTITUTE(SUBSTITUTE('Kontoplan'!$H100,"~","~~"),"*","~*"),"?","~?"))+SUMIFS('Journal'!$G$3:$G$2002,'Journal'!$E$3:$E$2002,SUBSTITUTE(SUBSTITUTE(SUBSTITUTE('Kontoplan'!$H100,"~","~~"),"*","~*"),"?","~?")))</f>
        <v/>
      </c>
      <c r="G100" s="20">
        <f>IF($A100="","",D100+E100-F100)</f>
        <v/>
      </c>
      <c r="H100" s="14" t="n"/>
      <c r="I100" s="8" t="n"/>
    </row>
    <row r="101">
      <c r="A101" s="5">
        <f>IF('Kontoplan'!A101="","",'Kontoplan'!A101)</f>
        <v/>
      </c>
      <c r="B101" s="5">
        <f>IF($A101="","",'Kontoplan'!B101)</f>
        <v/>
      </c>
      <c r="C101" s="5">
        <f>IF($A101="","",'Kontoplan'!C101)</f>
        <v/>
      </c>
      <c r="D101" s="20">
        <f>IF($A101="","",SUMIFS('Åpningsbalanse'!$C$4:$C$103,'Åpningsbalanse'!$A$4:$A$103,SUBSTITUTE(SUBSTITUTE(SUBSTITUTE('Kontoplan'!$H101,"~","~~"),"*","~*"),"?","~?"))*IFERROR(INDEX('_lister'!$C$2:$C$62,MATCH(C101,'_lister'!$A$2:$A$62,0)),1))</f>
        <v/>
      </c>
      <c r="E101" s="20">
        <f>IF($A101="","",SUMIFS('Journal'!$G$3:$G$2002,'Journal'!$D$3:$D$2002,SUBSTITUTE(SUBSTITUTE(SUBSTITUTE('Kontoplan'!$H101,"~","~~"),"*","~*"),"?","~?"))+SUMIFS('Journal'!$F$3:$F$2002,'Journal'!$E$3:$E$2002,SUBSTITUTE(SUBSTITUTE(SUBSTITUTE('Kontoplan'!$H101,"~","~~"),"*","~*"),"?","~?")))</f>
        <v/>
      </c>
      <c r="F101" s="20">
        <f>IF($A101="","",SUMIFS('Journal'!$F$3:$F$2002,'Journal'!$D$3:$D$2002,SUBSTITUTE(SUBSTITUTE(SUBSTITUTE('Kontoplan'!$H101,"~","~~"),"*","~*"),"?","~?"))+SUMIFS('Journal'!$G$3:$G$2002,'Journal'!$E$3:$E$2002,SUBSTITUTE(SUBSTITUTE(SUBSTITUTE('Kontoplan'!$H101,"~","~~"),"*","~*"),"?","~?")))</f>
        <v/>
      </c>
      <c r="G101" s="20">
        <f>IF($A101="","",D101+E101-F101)</f>
        <v/>
      </c>
      <c r="H101" s="14" t="n"/>
      <c r="I101" s="8" t="n"/>
    </row>
    <row r="102">
      <c r="A102" s="5">
        <f>IF('Kontoplan'!A102="","",'Kontoplan'!A102)</f>
        <v/>
      </c>
      <c r="B102" s="5">
        <f>IF($A102="","",'Kontoplan'!B102)</f>
        <v/>
      </c>
      <c r="C102" s="5">
        <f>IF($A102="","",'Kontoplan'!C102)</f>
        <v/>
      </c>
      <c r="D102" s="20">
        <f>IF($A102="","",SUMIFS('Åpningsbalanse'!$C$4:$C$103,'Åpningsbalanse'!$A$4:$A$103,SUBSTITUTE(SUBSTITUTE(SUBSTITUTE('Kontoplan'!$H102,"~","~~"),"*","~*"),"?","~?"))*IFERROR(INDEX('_lister'!$C$2:$C$62,MATCH(C102,'_lister'!$A$2:$A$62,0)),1))</f>
        <v/>
      </c>
      <c r="E102" s="20">
        <f>IF($A102="","",SUMIFS('Journal'!$G$3:$G$2002,'Journal'!$D$3:$D$2002,SUBSTITUTE(SUBSTITUTE(SUBSTITUTE('Kontoplan'!$H102,"~","~~"),"*","~*"),"?","~?"))+SUMIFS('Journal'!$F$3:$F$2002,'Journal'!$E$3:$E$2002,SUBSTITUTE(SUBSTITUTE(SUBSTITUTE('Kontoplan'!$H102,"~","~~"),"*","~*"),"?","~?")))</f>
        <v/>
      </c>
      <c r="F102" s="20">
        <f>IF($A102="","",SUMIFS('Journal'!$F$3:$F$2002,'Journal'!$D$3:$D$2002,SUBSTITUTE(SUBSTITUTE(SUBSTITUTE('Kontoplan'!$H102,"~","~~"),"*","~*"),"?","~?"))+SUMIFS('Journal'!$G$3:$G$2002,'Journal'!$E$3:$E$2002,SUBSTITUTE(SUBSTITUTE(SUBSTITUTE('Kontoplan'!$H102,"~","~~"),"*","~*"),"?","~?")))</f>
        <v/>
      </c>
      <c r="G102" s="20">
        <f>IF($A102="","",D102+E102-F102)</f>
        <v/>
      </c>
      <c r="H102" s="14" t="n"/>
      <c r="I102" s="8" t="n"/>
    </row>
    <row r="103">
      <c r="A103" s="5">
        <f>IF('Kontoplan'!A103="","",'Kontoplan'!A103)</f>
        <v/>
      </c>
      <c r="B103" s="5">
        <f>IF($A103="","",'Kontoplan'!B103)</f>
        <v/>
      </c>
      <c r="C103" s="5">
        <f>IF($A103="","",'Kontoplan'!C103)</f>
        <v/>
      </c>
      <c r="D103" s="20">
        <f>IF($A103="","",SUMIFS('Åpningsbalanse'!$C$4:$C$103,'Åpningsbalanse'!$A$4:$A$103,SUBSTITUTE(SUBSTITUTE(SUBSTITUTE('Kontoplan'!$H103,"~","~~"),"*","~*"),"?","~?"))*IFERROR(INDEX('_lister'!$C$2:$C$62,MATCH(C103,'_lister'!$A$2:$A$62,0)),1))</f>
        <v/>
      </c>
      <c r="E103" s="20">
        <f>IF($A103="","",SUMIFS('Journal'!$G$3:$G$2002,'Journal'!$D$3:$D$2002,SUBSTITUTE(SUBSTITUTE(SUBSTITUTE('Kontoplan'!$H103,"~","~~"),"*","~*"),"?","~?"))+SUMIFS('Journal'!$F$3:$F$2002,'Journal'!$E$3:$E$2002,SUBSTITUTE(SUBSTITUTE(SUBSTITUTE('Kontoplan'!$H103,"~","~~"),"*","~*"),"?","~?")))</f>
        <v/>
      </c>
      <c r="F103" s="20">
        <f>IF($A103="","",SUMIFS('Journal'!$F$3:$F$2002,'Journal'!$D$3:$D$2002,SUBSTITUTE(SUBSTITUTE(SUBSTITUTE('Kontoplan'!$H103,"~","~~"),"*","~*"),"?","~?"))+SUMIFS('Journal'!$G$3:$G$2002,'Journal'!$E$3:$E$2002,SUBSTITUTE(SUBSTITUTE(SUBSTITUTE('Kontoplan'!$H103,"~","~~"),"*","~*"),"?","~?")))</f>
        <v/>
      </c>
      <c r="G103" s="20">
        <f>IF($A103="","",D103+E103-F103)</f>
        <v/>
      </c>
      <c r="H103" s="14" t="n"/>
      <c r="I103" s="8" t="n"/>
    </row>
    <row r="104">
      <c r="A104" s="5">
        <f>IF('Kontoplan'!A104="","",'Kontoplan'!A104)</f>
        <v/>
      </c>
      <c r="B104" s="5">
        <f>IF($A104="","",'Kontoplan'!B104)</f>
        <v/>
      </c>
      <c r="C104" s="5">
        <f>IF($A104="","",'Kontoplan'!C104)</f>
        <v/>
      </c>
      <c r="D104" s="20">
        <f>IF($A104="","",SUMIFS('Åpningsbalanse'!$C$4:$C$103,'Åpningsbalanse'!$A$4:$A$103,SUBSTITUTE(SUBSTITUTE(SUBSTITUTE('Kontoplan'!$H104,"~","~~"),"*","~*"),"?","~?"))*IFERROR(INDEX('_lister'!$C$2:$C$62,MATCH(C104,'_lister'!$A$2:$A$62,0)),1))</f>
        <v/>
      </c>
      <c r="E104" s="20">
        <f>IF($A104="","",SUMIFS('Journal'!$G$3:$G$2002,'Journal'!$D$3:$D$2002,SUBSTITUTE(SUBSTITUTE(SUBSTITUTE('Kontoplan'!$H104,"~","~~"),"*","~*"),"?","~?"))+SUMIFS('Journal'!$F$3:$F$2002,'Journal'!$E$3:$E$2002,SUBSTITUTE(SUBSTITUTE(SUBSTITUTE('Kontoplan'!$H104,"~","~~"),"*","~*"),"?","~?")))</f>
        <v/>
      </c>
      <c r="F104" s="20">
        <f>IF($A104="","",SUMIFS('Journal'!$F$3:$F$2002,'Journal'!$D$3:$D$2002,SUBSTITUTE(SUBSTITUTE(SUBSTITUTE('Kontoplan'!$H104,"~","~~"),"*","~*"),"?","~?"))+SUMIFS('Journal'!$G$3:$G$2002,'Journal'!$E$3:$E$2002,SUBSTITUTE(SUBSTITUTE(SUBSTITUTE('Kontoplan'!$H104,"~","~~"),"*","~*"),"?","~?")))</f>
        <v/>
      </c>
      <c r="G104" s="20">
        <f>IF($A104="","",D104+E104-F104)</f>
        <v/>
      </c>
      <c r="H104" s="14" t="n"/>
      <c r="I104" s="8" t="n"/>
    </row>
    <row r="105">
      <c r="A105" s="5">
        <f>IF('Kontoplan'!A105="","",'Kontoplan'!A105)</f>
        <v/>
      </c>
      <c r="B105" s="5">
        <f>IF($A105="","",'Kontoplan'!B105)</f>
        <v/>
      </c>
      <c r="C105" s="5">
        <f>IF($A105="","",'Kontoplan'!C105)</f>
        <v/>
      </c>
      <c r="D105" s="20">
        <f>IF($A105="","",SUMIFS('Åpningsbalanse'!$C$4:$C$103,'Åpningsbalanse'!$A$4:$A$103,SUBSTITUTE(SUBSTITUTE(SUBSTITUTE('Kontoplan'!$H105,"~","~~"),"*","~*"),"?","~?"))*IFERROR(INDEX('_lister'!$C$2:$C$62,MATCH(C105,'_lister'!$A$2:$A$62,0)),1))</f>
        <v/>
      </c>
      <c r="E105" s="20">
        <f>IF($A105="","",SUMIFS('Journal'!$G$3:$G$2002,'Journal'!$D$3:$D$2002,SUBSTITUTE(SUBSTITUTE(SUBSTITUTE('Kontoplan'!$H105,"~","~~"),"*","~*"),"?","~?"))+SUMIFS('Journal'!$F$3:$F$2002,'Journal'!$E$3:$E$2002,SUBSTITUTE(SUBSTITUTE(SUBSTITUTE('Kontoplan'!$H105,"~","~~"),"*","~*"),"?","~?")))</f>
        <v/>
      </c>
      <c r="F105" s="20">
        <f>IF($A105="","",SUMIFS('Journal'!$F$3:$F$2002,'Journal'!$D$3:$D$2002,SUBSTITUTE(SUBSTITUTE(SUBSTITUTE('Kontoplan'!$H105,"~","~~"),"*","~*"),"?","~?"))+SUMIFS('Journal'!$G$3:$G$2002,'Journal'!$E$3:$E$2002,SUBSTITUTE(SUBSTITUTE(SUBSTITUTE('Kontoplan'!$H105,"~","~~"),"*","~*"),"?","~?")))</f>
        <v/>
      </c>
      <c r="G105" s="20">
        <f>IF($A105="","",D105+E105-F105)</f>
        <v/>
      </c>
      <c r="H105" s="14" t="n"/>
      <c r="I105" s="8" t="n"/>
    </row>
    <row r="106">
      <c r="A106" s="5">
        <f>IF('Kontoplan'!A106="","",'Kontoplan'!A106)</f>
        <v/>
      </c>
      <c r="B106" s="5">
        <f>IF($A106="","",'Kontoplan'!B106)</f>
        <v/>
      </c>
      <c r="C106" s="5">
        <f>IF($A106="","",'Kontoplan'!C106)</f>
        <v/>
      </c>
      <c r="D106" s="20">
        <f>IF($A106="","",SUMIFS('Åpningsbalanse'!$C$4:$C$103,'Åpningsbalanse'!$A$4:$A$103,SUBSTITUTE(SUBSTITUTE(SUBSTITUTE('Kontoplan'!$H106,"~","~~"),"*","~*"),"?","~?"))*IFERROR(INDEX('_lister'!$C$2:$C$62,MATCH(C106,'_lister'!$A$2:$A$62,0)),1))</f>
        <v/>
      </c>
      <c r="E106" s="20">
        <f>IF($A106="","",SUMIFS('Journal'!$G$3:$G$2002,'Journal'!$D$3:$D$2002,SUBSTITUTE(SUBSTITUTE(SUBSTITUTE('Kontoplan'!$H106,"~","~~"),"*","~*"),"?","~?"))+SUMIFS('Journal'!$F$3:$F$2002,'Journal'!$E$3:$E$2002,SUBSTITUTE(SUBSTITUTE(SUBSTITUTE('Kontoplan'!$H106,"~","~~"),"*","~*"),"?","~?")))</f>
        <v/>
      </c>
      <c r="F106" s="20">
        <f>IF($A106="","",SUMIFS('Journal'!$F$3:$F$2002,'Journal'!$D$3:$D$2002,SUBSTITUTE(SUBSTITUTE(SUBSTITUTE('Kontoplan'!$H106,"~","~~"),"*","~*"),"?","~?"))+SUMIFS('Journal'!$G$3:$G$2002,'Journal'!$E$3:$E$2002,SUBSTITUTE(SUBSTITUTE(SUBSTITUTE('Kontoplan'!$H106,"~","~~"),"*","~*"),"?","~?")))</f>
        <v/>
      </c>
      <c r="G106" s="20">
        <f>IF($A106="","",D106+E106-F106)</f>
        <v/>
      </c>
      <c r="H106" s="14" t="n"/>
      <c r="I106" s="8" t="n"/>
    </row>
    <row r="107">
      <c r="A107" s="5">
        <f>IF('Kontoplan'!A107="","",'Kontoplan'!A107)</f>
        <v/>
      </c>
      <c r="B107" s="5">
        <f>IF($A107="","",'Kontoplan'!B107)</f>
        <v/>
      </c>
      <c r="C107" s="5">
        <f>IF($A107="","",'Kontoplan'!C107)</f>
        <v/>
      </c>
      <c r="D107" s="20">
        <f>IF($A107="","",SUMIFS('Åpningsbalanse'!$C$4:$C$103,'Åpningsbalanse'!$A$4:$A$103,SUBSTITUTE(SUBSTITUTE(SUBSTITUTE('Kontoplan'!$H107,"~","~~"),"*","~*"),"?","~?"))*IFERROR(INDEX('_lister'!$C$2:$C$62,MATCH(C107,'_lister'!$A$2:$A$62,0)),1))</f>
        <v/>
      </c>
      <c r="E107" s="20">
        <f>IF($A107="","",SUMIFS('Journal'!$G$3:$G$2002,'Journal'!$D$3:$D$2002,SUBSTITUTE(SUBSTITUTE(SUBSTITUTE('Kontoplan'!$H107,"~","~~"),"*","~*"),"?","~?"))+SUMIFS('Journal'!$F$3:$F$2002,'Journal'!$E$3:$E$2002,SUBSTITUTE(SUBSTITUTE(SUBSTITUTE('Kontoplan'!$H107,"~","~~"),"*","~*"),"?","~?")))</f>
        <v/>
      </c>
      <c r="F107" s="20">
        <f>IF($A107="","",SUMIFS('Journal'!$F$3:$F$2002,'Journal'!$D$3:$D$2002,SUBSTITUTE(SUBSTITUTE(SUBSTITUTE('Kontoplan'!$H107,"~","~~"),"*","~*"),"?","~?"))+SUMIFS('Journal'!$G$3:$G$2002,'Journal'!$E$3:$E$2002,SUBSTITUTE(SUBSTITUTE(SUBSTITUTE('Kontoplan'!$H107,"~","~~"),"*","~*"),"?","~?")))</f>
        <v/>
      </c>
      <c r="G107" s="20">
        <f>IF($A107="","",D107+E107-F107)</f>
        <v/>
      </c>
      <c r="H107" s="14" t="n"/>
      <c r="I107" s="8" t="n"/>
    </row>
    <row r="108">
      <c r="A108" s="5">
        <f>IF('Kontoplan'!A108="","",'Kontoplan'!A108)</f>
        <v/>
      </c>
      <c r="B108" s="5">
        <f>IF($A108="","",'Kontoplan'!B108)</f>
        <v/>
      </c>
      <c r="C108" s="5">
        <f>IF($A108="","",'Kontoplan'!C108)</f>
        <v/>
      </c>
      <c r="D108" s="20">
        <f>IF($A108="","",SUMIFS('Åpningsbalanse'!$C$4:$C$103,'Åpningsbalanse'!$A$4:$A$103,SUBSTITUTE(SUBSTITUTE(SUBSTITUTE('Kontoplan'!$H108,"~","~~"),"*","~*"),"?","~?"))*IFERROR(INDEX('_lister'!$C$2:$C$62,MATCH(C108,'_lister'!$A$2:$A$62,0)),1))</f>
        <v/>
      </c>
      <c r="E108" s="20">
        <f>IF($A108="","",SUMIFS('Journal'!$G$3:$G$2002,'Journal'!$D$3:$D$2002,SUBSTITUTE(SUBSTITUTE(SUBSTITUTE('Kontoplan'!$H108,"~","~~"),"*","~*"),"?","~?"))+SUMIFS('Journal'!$F$3:$F$2002,'Journal'!$E$3:$E$2002,SUBSTITUTE(SUBSTITUTE(SUBSTITUTE('Kontoplan'!$H108,"~","~~"),"*","~*"),"?","~?")))</f>
        <v/>
      </c>
      <c r="F108" s="20">
        <f>IF($A108="","",SUMIFS('Journal'!$F$3:$F$2002,'Journal'!$D$3:$D$2002,SUBSTITUTE(SUBSTITUTE(SUBSTITUTE('Kontoplan'!$H108,"~","~~"),"*","~*"),"?","~?"))+SUMIFS('Journal'!$G$3:$G$2002,'Journal'!$E$3:$E$2002,SUBSTITUTE(SUBSTITUTE(SUBSTITUTE('Kontoplan'!$H108,"~","~~"),"*","~*"),"?","~?")))</f>
        <v/>
      </c>
      <c r="G108" s="20">
        <f>IF($A108="","",D108+E108-F108)</f>
        <v/>
      </c>
      <c r="H108" s="14" t="n"/>
      <c r="I108" s="8" t="n"/>
    </row>
    <row r="109">
      <c r="A109" s="5">
        <f>IF('Kontoplan'!A109="","",'Kontoplan'!A109)</f>
        <v/>
      </c>
      <c r="B109" s="5">
        <f>IF($A109="","",'Kontoplan'!B109)</f>
        <v/>
      </c>
      <c r="C109" s="5">
        <f>IF($A109="","",'Kontoplan'!C109)</f>
        <v/>
      </c>
      <c r="D109" s="20">
        <f>IF($A109="","",SUMIFS('Åpningsbalanse'!$C$4:$C$103,'Åpningsbalanse'!$A$4:$A$103,SUBSTITUTE(SUBSTITUTE(SUBSTITUTE('Kontoplan'!$H109,"~","~~"),"*","~*"),"?","~?"))*IFERROR(INDEX('_lister'!$C$2:$C$62,MATCH(C109,'_lister'!$A$2:$A$62,0)),1))</f>
        <v/>
      </c>
      <c r="E109" s="20">
        <f>IF($A109="","",SUMIFS('Journal'!$G$3:$G$2002,'Journal'!$D$3:$D$2002,SUBSTITUTE(SUBSTITUTE(SUBSTITUTE('Kontoplan'!$H109,"~","~~"),"*","~*"),"?","~?"))+SUMIFS('Journal'!$F$3:$F$2002,'Journal'!$E$3:$E$2002,SUBSTITUTE(SUBSTITUTE(SUBSTITUTE('Kontoplan'!$H109,"~","~~"),"*","~*"),"?","~?")))</f>
        <v/>
      </c>
      <c r="F109" s="20">
        <f>IF($A109="","",SUMIFS('Journal'!$F$3:$F$2002,'Journal'!$D$3:$D$2002,SUBSTITUTE(SUBSTITUTE(SUBSTITUTE('Kontoplan'!$H109,"~","~~"),"*","~*"),"?","~?"))+SUMIFS('Journal'!$G$3:$G$2002,'Journal'!$E$3:$E$2002,SUBSTITUTE(SUBSTITUTE(SUBSTITUTE('Kontoplan'!$H109,"~","~~"),"*","~*"),"?","~?")))</f>
        <v/>
      </c>
      <c r="G109" s="20">
        <f>IF($A109="","",D109+E109-F109)</f>
        <v/>
      </c>
      <c r="H109" s="14" t="n"/>
      <c r="I109" s="8" t="n"/>
    </row>
    <row r="110">
      <c r="A110" s="5">
        <f>IF('Kontoplan'!A110="","",'Kontoplan'!A110)</f>
        <v/>
      </c>
      <c r="B110" s="5">
        <f>IF($A110="","",'Kontoplan'!B110)</f>
        <v/>
      </c>
      <c r="C110" s="5">
        <f>IF($A110="","",'Kontoplan'!C110)</f>
        <v/>
      </c>
      <c r="D110" s="20">
        <f>IF($A110="","",SUMIFS('Åpningsbalanse'!$C$4:$C$103,'Åpningsbalanse'!$A$4:$A$103,SUBSTITUTE(SUBSTITUTE(SUBSTITUTE('Kontoplan'!$H110,"~","~~"),"*","~*"),"?","~?"))*IFERROR(INDEX('_lister'!$C$2:$C$62,MATCH(C110,'_lister'!$A$2:$A$62,0)),1))</f>
        <v/>
      </c>
      <c r="E110" s="20">
        <f>IF($A110="","",SUMIFS('Journal'!$G$3:$G$2002,'Journal'!$D$3:$D$2002,SUBSTITUTE(SUBSTITUTE(SUBSTITUTE('Kontoplan'!$H110,"~","~~"),"*","~*"),"?","~?"))+SUMIFS('Journal'!$F$3:$F$2002,'Journal'!$E$3:$E$2002,SUBSTITUTE(SUBSTITUTE(SUBSTITUTE('Kontoplan'!$H110,"~","~~"),"*","~*"),"?","~?")))</f>
        <v/>
      </c>
      <c r="F110" s="20">
        <f>IF($A110="","",SUMIFS('Journal'!$F$3:$F$2002,'Journal'!$D$3:$D$2002,SUBSTITUTE(SUBSTITUTE(SUBSTITUTE('Kontoplan'!$H110,"~","~~"),"*","~*"),"?","~?"))+SUMIFS('Journal'!$G$3:$G$2002,'Journal'!$E$3:$E$2002,SUBSTITUTE(SUBSTITUTE(SUBSTITUTE('Kontoplan'!$H110,"~","~~"),"*","~*"),"?","~?")))</f>
        <v/>
      </c>
      <c r="G110" s="20">
        <f>IF($A110="","",D110+E110-F110)</f>
        <v/>
      </c>
      <c r="H110" s="14" t="n"/>
      <c r="I110" s="8" t="n"/>
    </row>
    <row r="111">
      <c r="A111" s="5">
        <f>IF('Kontoplan'!A111="","",'Kontoplan'!A111)</f>
        <v/>
      </c>
      <c r="B111" s="5">
        <f>IF($A111="","",'Kontoplan'!B111)</f>
        <v/>
      </c>
      <c r="C111" s="5">
        <f>IF($A111="","",'Kontoplan'!C111)</f>
        <v/>
      </c>
      <c r="D111" s="20">
        <f>IF($A111="","",SUMIFS('Åpningsbalanse'!$C$4:$C$103,'Åpningsbalanse'!$A$4:$A$103,SUBSTITUTE(SUBSTITUTE(SUBSTITUTE('Kontoplan'!$H111,"~","~~"),"*","~*"),"?","~?"))*IFERROR(INDEX('_lister'!$C$2:$C$62,MATCH(C111,'_lister'!$A$2:$A$62,0)),1))</f>
        <v/>
      </c>
      <c r="E111" s="20">
        <f>IF($A111="","",SUMIFS('Journal'!$G$3:$G$2002,'Journal'!$D$3:$D$2002,SUBSTITUTE(SUBSTITUTE(SUBSTITUTE('Kontoplan'!$H111,"~","~~"),"*","~*"),"?","~?"))+SUMIFS('Journal'!$F$3:$F$2002,'Journal'!$E$3:$E$2002,SUBSTITUTE(SUBSTITUTE(SUBSTITUTE('Kontoplan'!$H111,"~","~~"),"*","~*"),"?","~?")))</f>
        <v/>
      </c>
      <c r="F111" s="20">
        <f>IF($A111="","",SUMIFS('Journal'!$F$3:$F$2002,'Journal'!$D$3:$D$2002,SUBSTITUTE(SUBSTITUTE(SUBSTITUTE('Kontoplan'!$H111,"~","~~"),"*","~*"),"?","~?"))+SUMIFS('Journal'!$G$3:$G$2002,'Journal'!$E$3:$E$2002,SUBSTITUTE(SUBSTITUTE(SUBSTITUTE('Kontoplan'!$H111,"~","~~"),"*","~*"),"?","~?")))</f>
        <v/>
      </c>
      <c r="G111" s="20">
        <f>IF($A111="","",D111+E111-F111)</f>
        <v/>
      </c>
      <c r="H111" s="14" t="n"/>
      <c r="I111" s="8" t="n"/>
    </row>
    <row r="112">
      <c r="A112" s="5">
        <f>IF('Kontoplan'!A112="","",'Kontoplan'!A112)</f>
        <v/>
      </c>
      <c r="B112" s="5">
        <f>IF($A112="","",'Kontoplan'!B112)</f>
        <v/>
      </c>
      <c r="C112" s="5">
        <f>IF($A112="","",'Kontoplan'!C112)</f>
        <v/>
      </c>
      <c r="D112" s="20">
        <f>IF($A112="","",SUMIFS('Åpningsbalanse'!$C$4:$C$103,'Åpningsbalanse'!$A$4:$A$103,SUBSTITUTE(SUBSTITUTE(SUBSTITUTE('Kontoplan'!$H112,"~","~~"),"*","~*"),"?","~?"))*IFERROR(INDEX('_lister'!$C$2:$C$62,MATCH(C112,'_lister'!$A$2:$A$62,0)),1))</f>
        <v/>
      </c>
      <c r="E112" s="20">
        <f>IF($A112="","",SUMIFS('Journal'!$G$3:$G$2002,'Journal'!$D$3:$D$2002,SUBSTITUTE(SUBSTITUTE(SUBSTITUTE('Kontoplan'!$H112,"~","~~"),"*","~*"),"?","~?"))+SUMIFS('Journal'!$F$3:$F$2002,'Journal'!$E$3:$E$2002,SUBSTITUTE(SUBSTITUTE(SUBSTITUTE('Kontoplan'!$H112,"~","~~"),"*","~*"),"?","~?")))</f>
        <v/>
      </c>
      <c r="F112" s="20">
        <f>IF($A112="","",SUMIFS('Journal'!$F$3:$F$2002,'Journal'!$D$3:$D$2002,SUBSTITUTE(SUBSTITUTE(SUBSTITUTE('Kontoplan'!$H112,"~","~~"),"*","~*"),"?","~?"))+SUMIFS('Journal'!$G$3:$G$2002,'Journal'!$E$3:$E$2002,SUBSTITUTE(SUBSTITUTE(SUBSTITUTE('Kontoplan'!$H112,"~","~~"),"*","~*"),"?","~?")))</f>
        <v/>
      </c>
      <c r="G112" s="20">
        <f>IF($A112="","",D112+E112-F112)</f>
        <v/>
      </c>
      <c r="H112" s="14" t="n"/>
      <c r="I112" s="8" t="n"/>
    </row>
    <row r="113">
      <c r="A113" s="5">
        <f>IF('Kontoplan'!A113="","",'Kontoplan'!A113)</f>
        <v/>
      </c>
      <c r="B113" s="5">
        <f>IF($A113="","",'Kontoplan'!B113)</f>
        <v/>
      </c>
      <c r="C113" s="5">
        <f>IF($A113="","",'Kontoplan'!C113)</f>
        <v/>
      </c>
      <c r="D113" s="20">
        <f>IF($A113="","",SUMIFS('Åpningsbalanse'!$C$4:$C$103,'Åpningsbalanse'!$A$4:$A$103,SUBSTITUTE(SUBSTITUTE(SUBSTITUTE('Kontoplan'!$H113,"~","~~"),"*","~*"),"?","~?"))*IFERROR(INDEX('_lister'!$C$2:$C$62,MATCH(C113,'_lister'!$A$2:$A$62,0)),1))</f>
        <v/>
      </c>
      <c r="E113" s="20">
        <f>IF($A113="","",SUMIFS('Journal'!$G$3:$G$2002,'Journal'!$D$3:$D$2002,SUBSTITUTE(SUBSTITUTE(SUBSTITUTE('Kontoplan'!$H113,"~","~~"),"*","~*"),"?","~?"))+SUMIFS('Journal'!$F$3:$F$2002,'Journal'!$E$3:$E$2002,SUBSTITUTE(SUBSTITUTE(SUBSTITUTE('Kontoplan'!$H113,"~","~~"),"*","~*"),"?","~?")))</f>
        <v/>
      </c>
      <c r="F113" s="20">
        <f>IF($A113="","",SUMIFS('Journal'!$F$3:$F$2002,'Journal'!$D$3:$D$2002,SUBSTITUTE(SUBSTITUTE(SUBSTITUTE('Kontoplan'!$H113,"~","~~"),"*","~*"),"?","~?"))+SUMIFS('Journal'!$G$3:$G$2002,'Journal'!$E$3:$E$2002,SUBSTITUTE(SUBSTITUTE(SUBSTITUTE('Kontoplan'!$H113,"~","~~"),"*","~*"),"?","~?")))</f>
        <v/>
      </c>
      <c r="G113" s="20">
        <f>IF($A113="","",D113+E113-F113)</f>
        <v/>
      </c>
      <c r="H113" s="14" t="n"/>
      <c r="I113" s="8" t="n"/>
    </row>
    <row r="114">
      <c r="A114" s="5">
        <f>IF('Kontoplan'!A114="","",'Kontoplan'!A114)</f>
        <v/>
      </c>
      <c r="B114" s="5">
        <f>IF($A114="","",'Kontoplan'!B114)</f>
        <v/>
      </c>
      <c r="C114" s="5">
        <f>IF($A114="","",'Kontoplan'!C114)</f>
        <v/>
      </c>
      <c r="D114" s="20">
        <f>IF($A114="","",SUMIFS('Åpningsbalanse'!$C$4:$C$103,'Åpningsbalanse'!$A$4:$A$103,SUBSTITUTE(SUBSTITUTE(SUBSTITUTE('Kontoplan'!$H114,"~","~~"),"*","~*"),"?","~?"))*IFERROR(INDEX('_lister'!$C$2:$C$62,MATCH(C114,'_lister'!$A$2:$A$62,0)),1))</f>
        <v/>
      </c>
      <c r="E114" s="20">
        <f>IF($A114="","",SUMIFS('Journal'!$G$3:$G$2002,'Journal'!$D$3:$D$2002,SUBSTITUTE(SUBSTITUTE(SUBSTITUTE('Kontoplan'!$H114,"~","~~"),"*","~*"),"?","~?"))+SUMIFS('Journal'!$F$3:$F$2002,'Journal'!$E$3:$E$2002,SUBSTITUTE(SUBSTITUTE(SUBSTITUTE('Kontoplan'!$H114,"~","~~"),"*","~*"),"?","~?")))</f>
        <v/>
      </c>
      <c r="F114" s="20">
        <f>IF($A114="","",SUMIFS('Journal'!$F$3:$F$2002,'Journal'!$D$3:$D$2002,SUBSTITUTE(SUBSTITUTE(SUBSTITUTE('Kontoplan'!$H114,"~","~~"),"*","~*"),"?","~?"))+SUMIFS('Journal'!$G$3:$G$2002,'Journal'!$E$3:$E$2002,SUBSTITUTE(SUBSTITUTE(SUBSTITUTE('Kontoplan'!$H114,"~","~~"),"*","~*"),"?","~?")))</f>
        <v/>
      </c>
      <c r="G114" s="20">
        <f>IF($A114="","",D114+E114-F114)</f>
        <v/>
      </c>
      <c r="H114" s="14" t="n"/>
      <c r="I114" s="8" t="n"/>
    </row>
    <row r="115">
      <c r="A115" s="5">
        <f>IF('Kontoplan'!A115="","",'Kontoplan'!A115)</f>
        <v/>
      </c>
      <c r="B115" s="5">
        <f>IF($A115="","",'Kontoplan'!B115)</f>
        <v/>
      </c>
      <c r="C115" s="5">
        <f>IF($A115="","",'Kontoplan'!C115)</f>
        <v/>
      </c>
      <c r="D115" s="20">
        <f>IF($A115="","",SUMIFS('Åpningsbalanse'!$C$4:$C$103,'Åpningsbalanse'!$A$4:$A$103,SUBSTITUTE(SUBSTITUTE(SUBSTITUTE('Kontoplan'!$H115,"~","~~"),"*","~*"),"?","~?"))*IFERROR(INDEX('_lister'!$C$2:$C$62,MATCH(C115,'_lister'!$A$2:$A$62,0)),1))</f>
        <v/>
      </c>
      <c r="E115" s="20">
        <f>IF($A115="","",SUMIFS('Journal'!$G$3:$G$2002,'Journal'!$D$3:$D$2002,SUBSTITUTE(SUBSTITUTE(SUBSTITUTE('Kontoplan'!$H115,"~","~~"),"*","~*"),"?","~?"))+SUMIFS('Journal'!$F$3:$F$2002,'Journal'!$E$3:$E$2002,SUBSTITUTE(SUBSTITUTE(SUBSTITUTE('Kontoplan'!$H115,"~","~~"),"*","~*"),"?","~?")))</f>
        <v/>
      </c>
      <c r="F115" s="20">
        <f>IF($A115="","",SUMIFS('Journal'!$F$3:$F$2002,'Journal'!$D$3:$D$2002,SUBSTITUTE(SUBSTITUTE(SUBSTITUTE('Kontoplan'!$H115,"~","~~"),"*","~*"),"?","~?"))+SUMIFS('Journal'!$G$3:$G$2002,'Journal'!$E$3:$E$2002,SUBSTITUTE(SUBSTITUTE(SUBSTITUTE('Kontoplan'!$H115,"~","~~"),"*","~*"),"?","~?")))</f>
        <v/>
      </c>
      <c r="G115" s="20">
        <f>IF($A115="","",D115+E115-F115)</f>
        <v/>
      </c>
      <c r="H115" s="14" t="n"/>
      <c r="I115" s="8" t="n"/>
    </row>
    <row r="116">
      <c r="A116" s="5">
        <f>IF('Kontoplan'!A116="","",'Kontoplan'!A116)</f>
        <v/>
      </c>
      <c r="B116" s="5">
        <f>IF($A116="","",'Kontoplan'!B116)</f>
        <v/>
      </c>
      <c r="C116" s="5">
        <f>IF($A116="","",'Kontoplan'!C116)</f>
        <v/>
      </c>
      <c r="D116" s="20">
        <f>IF($A116="","",SUMIFS('Åpningsbalanse'!$C$4:$C$103,'Åpningsbalanse'!$A$4:$A$103,SUBSTITUTE(SUBSTITUTE(SUBSTITUTE('Kontoplan'!$H116,"~","~~"),"*","~*"),"?","~?"))*IFERROR(INDEX('_lister'!$C$2:$C$62,MATCH(C116,'_lister'!$A$2:$A$62,0)),1))</f>
        <v/>
      </c>
      <c r="E116" s="20">
        <f>IF($A116="","",SUMIFS('Journal'!$G$3:$G$2002,'Journal'!$D$3:$D$2002,SUBSTITUTE(SUBSTITUTE(SUBSTITUTE('Kontoplan'!$H116,"~","~~"),"*","~*"),"?","~?"))+SUMIFS('Journal'!$F$3:$F$2002,'Journal'!$E$3:$E$2002,SUBSTITUTE(SUBSTITUTE(SUBSTITUTE('Kontoplan'!$H116,"~","~~"),"*","~*"),"?","~?")))</f>
        <v/>
      </c>
      <c r="F116" s="20">
        <f>IF($A116="","",SUMIFS('Journal'!$F$3:$F$2002,'Journal'!$D$3:$D$2002,SUBSTITUTE(SUBSTITUTE(SUBSTITUTE('Kontoplan'!$H116,"~","~~"),"*","~*"),"?","~?"))+SUMIFS('Journal'!$G$3:$G$2002,'Journal'!$E$3:$E$2002,SUBSTITUTE(SUBSTITUTE(SUBSTITUTE('Kontoplan'!$H116,"~","~~"),"*","~*"),"?","~?")))</f>
        <v/>
      </c>
      <c r="G116" s="20">
        <f>IF($A116="","",D116+E116-F116)</f>
        <v/>
      </c>
      <c r="H116" s="14" t="n"/>
      <c r="I116" s="8" t="n"/>
    </row>
    <row r="117">
      <c r="A117" s="5">
        <f>IF('Kontoplan'!A117="","",'Kontoplan'!A117)</f>
        <v/>
      </c>
      <c r="B117" s="5">
        <f>IF($A117="","",'Kontoplan'!B117)</f>
        <v/>
      </c>
      <c r="C117" s="5">
        <f>IF($A117="","",'Kontoplan'!C117)</f>
        <v/>
      </c>
      <c r="D117" s="20">
        <f>IF($A117="","",SUMIFS('Åpningsbalanse'!$C$4:$C$103,'Åpningsbalanse'!$A$4:$A$103,SUBSTITUTE(SUBSTITUTE(SUBSTITUTE('Kontoplan'!$H117,"~","~~"),"*","~*"),"?","~?"))*IFERROR(INDEX('_lister'!$C$2:$C$62,MATCH(C117,'_lister'!$A$2:$A$62,0)),1))</f>
        <v/>
      </c>
      <c r="E117" s="20">
        <f>IF($A117="","",SUMIFS('Journal'!$G$3:$G$2002,'Journal'!$D$3:$D$2002,SUBSTITUTE(SUBSTITUTE(SUBSTITUTE('Kontoplan'!$H117,"~","~~"),"*","~*"),"?","~?"))+SUMIFS('Journal'!$F$3:$F$2002,'Journal'!$E$3:$E$2002,SUBSTITUTE(SUBSTITUTE(SUBSTITUTE('Kontoplan'!$H117,"~","~~"),"*","~*"),"?","~?")))</f>
        <v/>
      </c>
      <c r="F117" s="20">
        <f>IF($A117="","",SUMIFS('Journal'!$F$3:$F$2002,'Journal'!$D$3:$D$2002,SUBSTITUTE(SUBSTITUTE(SUBSTITUTE('Kontoplan'!$H117,"~","~~"),"*","~*"),"?","~?"))+SUMIFS('Journal'!$G$3:$G$2002,'Journal'!$E$3:$E$2002,SUBSTITUTE(SUBSTITUTE(SUBSTITUTE('Kontoplan'!$H117,"~","~~"),"*","~*"),"?","~?")))</f>
        <v/>
      </c>
      <c r="G117" s="20">
        <f>IF($A117="","",D117+E117-F117)</f>
        <v/>
      </c>
      <c r="H117" s="14" t="n"/>
      <c r="I117" s="8" t="n"/>
    </row>
    <row r="118">
      <c r="A118" s="5">
        <f>IF('Kontoplan'!A118="","",'Kontoplan'!A118)</f>
        <v/>
      </c>
      <c r="B118" s="5">
        <f>IF($A118="","",'Kontoplan'!B118)</f>
        <v/>
      </c>
      <c r="C118" s="5">
        <f>IF($A118="","",'Kontoplan'!C118)</f>
        <v/>
      </c>
      <c r="D118" s="20">
        <f>IF($A118="","",SUMIFS('Åpningsbalanse'!$C$4:$C$103,'Åpningsbalanse'!$A$4:$A$103,SUBSTITUTE(SUBSTITUTE(SUBSTITUTE('Kontoplan'!$H118,"~","~~"),"*","~*"),"?","~?"))*IFERROR(INDEX('_lister'!$C$2:$C$62,MATCH(C118,'_lister'!$A$2:$A$62,0)),1))</f>
        <v/>
      </c>
      <c r="E118" s="20">
        <f>IF($A118="","",SUMIFS('Journal'!$G$3:$G$2002,'Journal'!$D$3:$D$2002,SUBSTITUTE(SUBSTITUTE(SUBSTITUTE('Kontoplan'!$H118,"~","~~"),"*","~*"),"?","~?"))+SUMIFS('Journal'!$F$3:$F$2002,'Journal'!$E$3:$E$2002,SUBSTITUTE(SUBSTITUTE(SUBSTITUTE('Kontoplan'!$H118,"~","~~"),"*","~*"),"?","~?")))</f>
        <v/>
      </c>
      <c r="F118" s="20">
        <f>IF($A118="","",SUMIFS('Journal'!$F$3:$F$2002,'Journal'!$D$3:$D$2002,SUBSTITUTE(SUBSTITUTE(SUBSTITUTE('Kontoplan'!$H118,"~","~~"),"*","~*"),"?","~?"))+SUMIFS('Journal'!$G$3:$G$2002,'Journal'!$E$3:$E$2002,SUBSTITUTE(SUBSTITUTE(SUBSTITUTE('Kontoplan'!$H118,"~","~~"),"*","~*"),"?","~?")))</f>
        <v/>
      </c>
      <c r="G118" s="20">
        <f>IF($A118="","",D118+E118-F118)</f>
        <v/>
      </c>
      <c r="H118" s="14" t="n"/>
      <c r="I118" s="8" t="n"/>
    </row>
    <row r="119">
      <c r="A119" s="5">
        <f>IF('Kontoplan'!A119="","",'Kontoplan'!A119)</f>
        <v/>
      </c>
      <c r="B119" s="5">
        <f>IF($A119="","",'Kontoplan'!B119)</f>
        <v/>
      </c>
      <c r="C119" s="5">
        <f>IF($A119="","",'Kontoplan'!C119)</f>
        <v/>
      </c>
      <c r="D119" s="20">
        <f>IF($A119="","",SUMIFS('Åpningsbalanse'!$C$4:$C$103,'Åpningsbalanse'!$A$4:$A$103,SUBSTITUTE(SUBSTITUTE(SUBSTITUTE('Kontoplan'!$H119,"~","~~"),"*","~*"),"?","~?"))*IFERROR(INDEX('_lister'!$C$2:$C$62,MATCH(C119,'_lister'!$A$2:$A$62,0)),1))</f>
        <v/>
      </c>
      <c r="E119" s="20">
        <f>IF($A119="","",SUMIFS('Journal'!$G$3:$G$2002,'Journal'!$D$3:$D$2002,SUBSTITUTE(SUBSTITUTE(SUBSTITUTE('Kontoplan'!$H119,"~","~~"),"*","~*"),"?","~?"))+SUMIFS('Journal'!$F$3:$F$2002,'Journal'!$E$3:$E$2002,SUBSTITUTE(SUBSTITUTE(SUBSTITUTE('Kontoplan'!$H119,"~","~~"),"*","~*"),"?","~?")))</f>
        <v/>
      </c>
      <c r="F119" s="20">
        <f>IF($A119="","",SUMIFS('Journal'!$F$3:$F$2002,'Journal'!$D$3:$D$2002,SUBSTITUTE(SUBSTITUTE(SUBSTITUTE('Kontoplan'!$H119,"~","~~"),"*","~*"),"?","~?"))+SUMIFS('Journal'!$G$3:$G$2002,'Journal'!$E$3:$E$2002,SUBSTITUTE(SUBSTITUTE(SUBSTITUTE('Kontoplan'!$H119,"~","~~"),"*","~*"),"?","~?")))</f>
        <v/>
      </c>
      <c r="G119" s="20">
        <f>IF($A119="","",D119+E119-F119)</f>
        <v/>
      </c>
      <c r="H119" s="14" t="n"/>
      <c r="I119" s="8" t="n"/>
    </row>
    <row r="120">
      <c r="A120" s="5">
        <f>IF('Kontoplan'!A120="","",'Kontoplan'!A120)</f>
        <v/>
      </c>
      <c r="B120" s="5">
        <f>IF($A120="","",'Kontoplan'!B120)</f>
        <v/>
      </c>
      <c r="C120" s="5">
        <f>IF($A120="","",'Kontoplan'!C120)</f>
        <v/>
      </c>
      <c r="D120" s="20">
        <f>IF($A120="","",SUMIFS('Åpningsbalanse'!$C$4:$C$103,'Åpningsbalanse'!$A$4:$A$103,SUBSTITUTE(SUBSTITUTE(SUBSTITUTE('Kontoplan'!$H120,"~","~~"),"*","~*"),"?","~?"))*IFERROR(INDEX('_lister'!$C$2:$C$62,MATCH(C120,'_lister'!$A$2:$A$62,0)),1))</f>
        <v/>
      </c>
      <c r="E120" s="20">
        <f>IF($A120="","",SUMIFS('Journal'!$G$3:$G$2002,'Journal'!$D$3:$D$2002,SUBSTITUTE(SUBSTITUTE(SUBSTITUTE('Kontoplan'!$H120,"~","~~"),"*","~*"),"?","~?"))+SUMIFS('Journal'!$F$3:$F$2002,'Journal'!$E$3:$E$2002,SUBSTITUTE(SUBSTITUTE(SUBSTITUTE('Kontoplan'!$H120,"~","~~"),"*","~*"),"?","~?")))</f>
        <v/>
      </c>
      <c r="F120" s="20">
        <f>IF($A120="","",SUMIFS('Journal'!$F$3:$F$2002,'Journal'!$D$3:$D$2002,SUBSTITUTE(SUBSTITUTE(SUBSTITUTE('Kontoplan'!$H120,"~","~~"),"*","~*"),"?","~?"))+SUMIFS('Journal'!$G$3:$G$2002,'Journal'!$E$3:$E$2002,SUBSTITUTE(SUBSTITUTE(SUBSTITUTE('Kontoplan'!$H120,"~","~~"),"*","~*"),"?","~?")))</f>
        <v/>
      </c>
      <c r="G120" s="20">
        <f>IF($A120="","",D120+E120-F120)</f>
        <v/>
      </c>
      <c r="H120" s="14" t="n"/>
      <c r="I120" s="8" t="n"/>
    </row>
    <row r="121">
      <c r="A121" s="5">
        <f>IF('Kontoplan'!A121="","",'Kontoplan'!A121)</f>
        <v/>
      </c>
      <c r="B121" s="5">
        <f>IF($A121="","",'Kontoplan'!B121)</f>
        <v/>
      </c>
      <c r="C121" s="5">
        <f>IF($A121="","",'Kontoplan'!C121)</f>
        <v/>
      </c>
      <c r="D121" s="20">
        <f>IF($A121="","",SUMIFS('Åpningsbalanse'!$C$4:$C$103,'Åpningsbalanse'!$A$4:$A$103,SUBSTITUTE(SUBSTITUTE(SUBSTITUTE('Kontoplan'!$H121,"~","~~"),"*","~*"),"?","~?"))*IFERROR(INDEX('_lister'!$C$2:$C$62,MATCH(C121,'_lister'!$A$2:$A$62,0)),1))</f>
        <v/>
      </c>
      <c r="E121" s="20">
        <f>IF($A121="","",SUMIFS('Journal'!$G$3:$G$2002,'Journal'!$D$3:$D$2002,SUBSTITUTE(SUBSTITUTE(SUBSTITUTE('Kontoplan'!$H121,"~","~~"),"*","~*"),"?","~?"))+SUMIFS('Journal'!$F$3:$F$2002,'Journal'!$E$3:$E$2002,SUBSTITUTE(SUBSTITUTE(SUBSTITUTE('Kontoplan'!$H121,"~","~~"),"*","~*"),"?","~?")))</f>
        <v/>
      </c>
      <c r="F121" s="20">
        <f>IF($A121="","",SUMIFS('Journal'!$F$3:$F$2002,'Journal'!$D$3:$D$2002,SUBSTITUTE(SUBSTITUTE(SUBSTITUTE('Kontoplan'!$H121,"~","~~"),"*","~*"),"?","~?"))+SUMIFS('Journal'!$G$3:$G$2002,'Journal'!$E$3:$E$2002,SUBSTITUTE(SUBSTITUTE(SUBSTITUTE('Kontoplan'!$H121,"~","~~"),"*","~*"),"?","~?")))</f>
        <v/>
      </c>
      <c r="G121" s="20">
        <f>IF($A121="","",D121+E121-F121)</f>
        <v/>
      </c>
      <c r="H121" s="14" t="n"/>
      <c r="I121" s="8" t="n"/>
    </row>
    <row r="122">
      <c r="A122" s="5">
        <f>IF('Kontoplan'!A122="","",'Kontoplan'!A122)</f>
        <v/>
      </c>
      <c r="B122" s="5">
        <f>IF($A122="","",'Kontoplan'!B122)</f>
        <v/>
      </c>
      <c r="C122" s="5">
        <f>IF($A122="","",'Kontoplan'!C122)</f>
        <v/>
      </c>
      <c r="D122" s="20">
        <f>IF($A122="","",SUMIFS('Åpningsbalanse'!$C$4:$C$103,'Åpningsbalanse'!$A$4:$A$103,SUBSTITUTE(SUBSTITUTE(SUBSTITUTE('Kontoplan'!$H122,"~","~~"),"*","~*"),"?","~?"))*IFERROR(INDEX('_lister'!$C$2:$C$62,MATCH(C122,'_lister'!$A$2:$A$62,0)),1))</f>
        <v/>
      </c>
      <c r="E122" s="20">
        <f>IF($A122="","",SUMIFS('Journal'!$G$3:$G$2002,'Journal'!$D$3:$D$2002,SUBSTITUTE(SUBSTITUTE(SUBSTITUTE('Kontoplan'!$H122,"~","~~"),"*","~*"),"?","~?"))+SUMIFS('Journal'!$F$3:$F$2002,'Journal'!$E$3:$E$2002,SUBSTITUTE(SUBSTITUTE(SUBSTITUTE('Kontoplan'!$H122,"~","~~"),"*","~*"),"?","~?")))</f>
        <v/>
      </c>
      <c r="F122" s="20">
        <f>IF($A122="","",SUMIFS('Journal'!$F$3:$F$2002,'Journal'!$D$3:$D$2002,SUBSTITUTE(SUBSTITUTE(SUBSTITUTE('Kontoplan'!$H122,"~","~~"),"*","~*"),"?","~?"))+SUMIFS('Journal'!$G$3:$G$2002,'Journal'!$E$3:$E$2002,SUBSTITUTE(SUBSTITUTE(SUBSTITUTE('Kontoplan'!$H122,"~","~~"),"*","~*"),"?","~?")))</f>
        <v/>
      </c>
      <c r="G122" s="20">
        <f>IF($A122="","",D122+E122-F122)</f>
        <v/>
      </c>
      <c r="H122" s="14" t="n"/>
      <c r="I122" s="8" t="n"/>
    </row>
    <row r="123">
      <c r="A123" s="5">
        <f>IF('Kontoplan'!A123="","",'Kontoplan'!A123)</f>
        <v/>
      </c>
      <c r="B123" s="5">
        <f>IF($A123="","",'Kontoplan'!B123)</f>
        <v/>
      </c>
      <c r="C123" s="5">
        <f>IF($A123="","",'Kontoplan'!C123)</f>
        <v/>
      </c>
      <c r="D123" s="20">
        <f>IF($A123="","",SUMIFS('Åpningsbalanse'!$C$4:$C$103,'Åpningsbalanse'!$A$4:$A$103,SUBSTITUTE(SUBSTITUTE(SUBSTITUTE('Kontoplan'!$H123,"~","~~"),"*","~*"),"?","~?"))*IFERROR(INDEX('_lister'!$C$2:$C$62,MATCH(C123,'_lister'!$A$2:$A$62,0)),1))</f>
        <v/>
      </c>
      <c r="E123" s="20">
        <f>IF($A123="","",SUMIFS('Journal'!$G$3:$G$2002,'Journal'!$D$3:$D$2002,SUBSTITUTE(SUBSTITUTE(SUBSTITUTE('Kontoplan'!$H123,"~","~~"),"*","~*"),"?","~?"))+SUMIFS('Journal'!$F$3:$F$2002,'Journal'!$E$3:$E$2002,SUBSTITUTE(SUBSTITUTE(SUBSTITUTE('Kontoplan'!$H123,"~","~~"),"*","~*"),"?","~?")))</f>
        <v/>
      </c>
      <c r="F123" s="20">
        <f>IF($A123="","",SUMIFS('Journal'!$F$3:$F$2002,'Journal'!$D$3:$D$2002,SUBSTITUTE(SUBSTITUTE(SUBSTITUTE('Kontoplan'!$H123,"~","~~"),"*","~*"),"?","~?"))+SUMIFS('Journal'!$G$3:$G$2002,'Journal'!$E$3:$E$2002,SUBSTITUTE(SUBSTITUTE(SUBSTITUTE('Kontoplan'!$H123,"~","~~"),"*","~*"),"?","~?")))</f>
        <v/>
      </c>
      <c r="G123" s="20">
        <f>IF($A123="","",D123+E123-F123)</f>
        <v/>
      </c>
      <c r="H123" s="14" t="n"/>
      <c r="I123" s="8" t="n"/>
    </row>
    <row r="124">
      <c r="A124" s="5">
        <f>IF('Kontoplan'!A124="","",'Kontoplan'!A124)</f>
        <v/>
      </c>
      <c r="B124" s="5">
        <f>IF($A124="","",'Kontoplan'!B124)</f>
        <v/>
      </c>
      <c r="C124" s="5">
        <f>IF($A124="","",'Kontoplan'!C124)</f>
        <v/>
      </c>
      <c r="D124" s="20">
        <f>IF($A124="","",SUMIFS('Åpningsbalanse'!$C$4:$C$103,'Åpningsbalanse'!$A$4:$A$103,SUBSTITUTE(SUBSTITUTE(SUBSTITUTE('Kontoplan'!$H124,"~","~~"),"*","~*"),"?","~?"))*IFERROR(INDEX('_lister'!$C$2:$C$62,MATCH(C124,'_lister'!$A$2:$A$62,0)),1))</f>
        <v/>
      </c>
      <c r="E124" s="20">
        <f>IF($A124="","",SUMIFS('Journal'!$G$3:$G$2002,'Journal'!$D$3:$D$2002,SUBSTITUTE(SUBSTITUTE(SUBSTITUTE('Kontoplan'!$H124,"~","~~"),"*","~*"),"?","~?"))+SUMIFS('Journal'!$F$3:$F$2002,'Journal'!$E$3:$E$2002,SUBSTITUTE(SUBSTITUTE(SUBSTITUTE('Kontoplan'!$H124,"~","~~"),"*","~*"),"?","~?")))</f>
        <v/>
      </c>
      <c r="F124" s="20">
        <f>IF($A124="","",SUMIFS('Journal'!$F$3:$F$2002,'Journal'!$D$3:$D$2002,SUBSTITUTE(SUBSTITUTE(SUBSTITUTE('Kontoplan'!$H124,"~","~~"),"*","~*"),"?","~?"))+SUMIFS('Journal'!$G$3:$G$2002,'Journal'!$E$3:$E$2002,SUBSTITUTE(SUBSTITUTE(SUBSTITUTE('Kontoplan'!$H124,"~","~~"),"*","~*"),"?","~?")))</f>
        <v/>
      </c>
      <c r="G124" s="20">
        <f>IF($A124="","",D124+E124-F124)</f>
        <v/>
      </c>
      <c r="H124" s="14" t="n"/>
      <c r="I124" s="8" t="n"/>
    </row>
    <row r="125">
      <c r="A125" s="5">
        <f>IF('Kontoplan'!A125="","",'Kontoplan'!A125)</f>
        <v/>
      </c>
      <c r="B125" s="5">
        <f>IF($A125="","",'Kontoplan'!B125)</f>
        <v/>
      </c>
      <c r="C125" s="5">
        <f>IF($A125="","",'Kontoplan'!C125)</f>
        <v/>
      </c>
      <c r="D125" s="20">
        <f>IF($A125="","",SUMIFS('Åpningsbalanse'!$C$4:$C$103,'Åpningsbalanse'!$A$4:$A$103,SUBSTITUTE(SUBSTITUTE(SUBSTITUTE('Kontoplan'!$H125,"~","~~"),"*","~*"),"?","~?"))*IFERROR(INDEX('_lister'!$C$2:$C$62,MATCH(C125,'_lister'!$A$2:$A$62,0)),1))</f>
        <v/>
      </c>
      <c r="E125" s="20">
        <f>IF($A125="","",SUMIFS('Journal'!$G$3:$G$2002,'Journal'!$D$3:$D$2002,SUBSTITUTE(SUBSTITUTE(SUBSTITUTE('Kontoplan'!$H125,"~","~~"),"*","~*"),"?","~?"))+SUMIFS('Journal'!$F$3:$F$2002,'Journal'!$E$3:$E$2002,SUBSTITUTE(SUBSTITUTE(SUBSTITUTE('Kontoplan'!$H125,"~","~~"),"*","~*"),"?","~?")))</f>
        <v/>
      </c>
      <c r="F125" s="20">
        <f>IF($A125="","",SUMIFS('Journal'!$F$3:$F$2002,'Journal'!$D$3:$D$2002,SUBSTITUTE(SUBSTITUTE(SUBSTITUTE('Kontoplan'!$H125,"~","~~"),"*","~*"),"?","~?"))+SUMIFS('Journal'!$G$3:$G$2002,'Journal'!$E$3:$E$2002,SUBSTITUTE(SUBSTITUTE(SUBSTITUTE('Kontoplan'!$H125,"~","~~"),"*","~*"),"?","~?")))</f>
        <v/>
      </c>
      <c r="G125" s="20">
        <f>IF($A125="","",D125+E125-F125)</f>
        <v/>
      </c>
      <c r="H125" s="14" t="n"/>
      <c r="I125" s="8" t="n"/>
    </row>
    <row r="126">
      <c r="A126" s="5">
        <f>IF('Kontoplan'!A126="","",'Kontoplan'!A126)</f>
        <v/>
      </c>
      <c r="B126" s="5">
        <f>IF($A126="","",'Kontoplan'!B126)</f>
        <v/>
      </c>
      <c r="C126" s="5">
        <f>IF($A126="","",'Kontoplan'!C126)</f>
        <v/>
      </c>
      <c r="D126" s="20">
        <f>IF($A126="","",SUMIFS('Åpningsbalanse'!$C$4:$C$103,'Åpningsbalanse'!$A$4:$A$103,SUBSTITUTE(SUBSTITUTE(SUBSTITUTE('Kontoplan'!$H126,"~","~~"),"*","~*"),"?","~?"))*IFERROR(INDEX('_lister'!$C$2:$C$62,MATCH(C126,'_lister'!$A$2:$A$62,0)),1))</f>
        <v/>
      </c>
      <c r="E126" s="20">
        <f>IF($A126="","",SUMIFS('Journal'!$G$3:$G$2002,'Journal'!$D$3:$D$2002,SUBSTITUTE(SUBSTITUTE(SUBSTITUTE('Kontoplan'!$H126,"~","~~"),"*","~*"),"?","~?"))+SUMIFS('Journal'!$F$3:$F$2002,'Journal'!$E$3:$E$2002,SUBSTITUTE(SUBSTITUTE(SUBSTITUTE('Kontoplan'!$H126,"~","~~"),"*","~*"),"?","~?")))</f>
        <v/>
      </c>
      <c r="F126" s="20">
        <f>IF($A126="","",SUMIFS('Journal'!$F$3:$F$2002,'Journal'!$D$3:$D$2002,SUBSTITUTE(SUBSTITUTE(SUBSTITUTE('Kontoplan'!$H126,"~","~~"),"*","~*"),"?","~?"))+SUMIFS('Journal'!$G$3:$G$2002,'Journal'!$E$3:$E$2002,SUBSTITUTE(SUBSTITUTE(SUBSTITUTE('Kontoplan'!$H126,"~","~~"),"*","~*"),"?","~?")))</f>
        <v/>
      </c>
      <c r="G126" s="20">
        <f>IF($A126="","",D126+E126-F126)</f>
        <v/>
      </c>
      <c r="H126" s="14" t="n"/>
      <c r="I126" s="8" t="n"/>
    </row>
    <row r="127">
      <c r="A127" s="5">
        <f>IF('Kontoplan'!A127="","",'Kontoplan'!A127)</f>
        <v/>
      </c>
      <c r="B127" s="5">
        <f>IF($A127="","",'Kontoplan'!B127)</f>
        <v/>
      </c>
      <c r="C127" s="5">
        <f>IF($A127="","",'Kontoplan'!C127)</f>
        <v/>
      </c>
      <c r="D127" s="20">
        <f>IF($A127="","",SUMIFS('Åpningsbalanse'!$C$4:$C$103,'Åpningsbalanse'!$A$4:$A$103,SUBSTITUTE(SUBSTITUTE(SUBSTITUTE('Kontoplan'!$H127,"~","~~"),"*","~*"),"?","~?"))*IFERROR(INDEX('_lister'!$C$2:$C$62,MATCH(C127,'_lister'!$A$2:$A$62,0)),1))</f>
        <v/>
      </c>
      <c r="E127" s="20">
        <f>IF($A127="","",SUMIFS('Journal'!$G$3:$G$2002,'Journal'!$D$3:$D$2002,SUBSTITUTE(SUBSTITUTE(SUBSTITUTE('Kontoplan'!$H127,"~","~~"),"*","~*"),"?","~?"))+SUMIFS('Journal'!$F$3:$F$2002,'Journal'!$E$3:$E$2002,SUBSTITUTE(SUBSTITUTE(SUBSTITUTE('Kontoplan'!$H127,"~","~~"),"*","~*"),"?","~?")))</f>
        <v/>
      </c>
      <c r="F127" s="20">
        <f>IF($A127="","",SUMIFS('Journal'!$F$3:$F$2002,'Journal'!$D$3:$D$2002,SUBSTITUTE(SUBSTITUTE(SUBSTITUTE('Kontoplan'!$H127,"~","~~"),"*","~*"),"?","~?"))+SUMIFS('Journal'!$G$3:$G$2002,'Journal'!$E$3:$E$2002,SUBSTITUTE(SUBSTITUTE(SUBSTITUTE('Kontoplan'!$H127,"~","~~"),"*","~*"),"?","~?")))</f>
        <v/>
      </c>
      <c r="G127" s="20">
        <f>IF($A127="","",D127+E127-F127)</f>
        <v/>
      </c>
      <c r="H127" s="14" t="n"/>
      <c r="I127" s="8" t="n"/>
    </row>
    <row r="128">
      <c r="A128" s="5">
        <f>IF('Kontoplan'!A128="","",'Kontoplan'!A128)</f>
        <v/>
      </c>
      <c r="B128" s="5">
        <f>IF($A128="","",'Kontoplan'!B128)</f>
        <v/>
      </c>
      <c r="C128" s="5">
        <f>IF($A128="","",'Kontoplan'!C128)</f>
        <v/>
      </c>
      <c r="D128" s="20">
        <f>IF($A128="","",SUMIFS('Åpningsbalanse'!$C$4:$C$103,'Åpningsbalanse'!$A$4:$A$103,SUBSTITUTE(SUBSTITUTE(SUBSTITUTE('Kontoplan'!$H128,"~","~~"),"*","~*"),"?","~?"))*IFERROR(INDEX('_lister'!$C$2:$C$62,MATCH(C128,'_lister'!$A$2:$A$62,0)),1))</f>
        <v/>
      </c>
      <c r="E128" s="20">
        <f>IF($A128="","",SUMIFS('Journal'!$G$3:$G$2002,'Journal'!$D$3:$D$2002,SUBSTITUTE(SUBSTITUTE(SUBSTITUTE('Kontoplan'!$H128,"~","~~"),"*","~*"),"?","~?"))+SUMIFS('Journal'!$F$3:$F$2002,'Journal'!$E$3:$E$2002,SUBSTITUTE(SUBSTITUTE(SUBSTITUTE('Kontoplan'!$H128,"~","~~"),"*","~*"),"?","~?")))</f>
        <v/>
      </c>
      <c r="F128" s="20">
        <f>IF($A128="","",SUMIFS('Journal'!$F$3:$F$2002,'Journal'!$D$3:$D$2002,SUBSTITUTE(SUBSTITUTE(SUBSTITUTE('Kontoplan'!$H128,"~","~~"),"*","~*"),"?","~?"))+SUMIFS('Journal'!$G$3:$G$2002,'Journal'!$E$3:$E$2002,SUBSTITUTE(SUBSTITUTE(SUBSTITUTE('Kontoplan'!$H128,"~","~~"),"*","~*"),"?","~?")))</f>
        <v/>
      </c>
      <c r="G128" s="20">
        <f>IF($A128="","",D128+E128-F128)</f>
        <v/>
      </c>
      <c r="H128" s="14" t="n"/>
      <c r="I128" s="8" t="n"/>
    </row>
    <row r="129">
      <c r="A129" s="5">
        <f>IF('Kontoplan'!A129="","",'Kontoplan'!A129)</f>
        <v/>
      </c>
      <c r="B129" s="5">
        <f>IF($A129="","",'Kontoplan'!B129)</f>
        <v/>
      </c>
      <c r="C129" s="5">
        <f>IF($A129="","",'Kontoplan'!C129)</f>
        <v/>
      </c>
      <c r="D129" s="20">
        <f>IF($A129="","",SUMIFS('Åpningsbalanse'!$C$4:$C$103,'Åpningsbalanse'!$A$4:$A$103,SUBSTITUTE(SUBSTITUTE(SUBSTITUTE('Kontoplan'!$H129,"~","~~"),"*","~*"),"?","~?"))*IFERROR(INDEX('_lister'!$C$2:$C$62,MATCH(C129,'_lister'!$A$2:$A$62,0)),1))</f>
        <v/>
      </c>
      <c r="E129" s="20">
        <f>IF($A129="","",SUMIFS('Journal'!$G$3:$G$2002,'Journal'!$D$3:$D$2002,SUBSTITUTE(SUBSTITUTE(SUBSTITUTE('Kontoplan'!$H129,"~","~~"),"*","~*"),"?","~?"))+SUMIFS('Journal'!$F$3:$F$2002,'Journal'!$E$3:$E$2002,SUBSTITUTE(SUBSTITUTE(SUBSTITUTE('Kontoplan'!$H129,"~","~~"),"*","~*"),"?","~?")))</f>
        <v/>
      </c>
      <c r="F129" s="20">
        <f>IF($A129="","",SUMIFS('Journal'!$F$3:$F$2002,'Journal'!$D$3:$D$2002,SUBSTITUTE(SUBSTITUTE(SUBSTITUTE('Kontoplan'!$H129,"~","~~"),"*","~*"),"?","~?"))+SUMIFS('Journal'!$G$3:$G$2002,'Journal'!$E$3:$E$2002,SUBSTITUTE(SUBSTITUTE(SUBSTITUTE('Kontoplan'!$H129,"~","~~"),"*","~*"),"?","~?")))</f>
        <v/>
      </c>
      <c r="G129" s="20">
        <f>IF($A129="","",D129+E129-F129)</f>
        <v/>
      </c>
      <c r="H129" s="14" t="n"/>
      <c r="I129" s="8" t="n"/>
    </row>
    <row r="130">
      <c r="A130" s="5">
        <f>IF('Kontoplan'!A130="","",'Kontoplan'!A130)</f>
        <v/>
      </c>
      <c r="B130" s="5">
        <f>IF($A130="","",'Kontoplan'!B130)</f>
        <v/>
      </c>
      <c r="C130" s="5">
        <f>IF($A130="","",'Kontoplan'!C130)</f>
        <v/>
      </c>
      <c r="D130" s="20">
        <f>IF($A130="","",SUMIFS('Åpningsbalanse'!$C$4:$C$103,'Åpningsbalanse'!$A$4:$A$103,SUBSTITUTE(SUBSTITUTE(SUBSTITUTE('Kontoplan'!$H130,"~","~~"),"*","~*"),"?","~?"))*IFERROR(INDEX('_lister'!$C$2:$C$62,MATCH(C130,'_lister'!$A$2:$A$62,0)),1))</f>
        <v/>
      </c>
      <c r="E130" s="20">
        <f>IF($A130="","",SUMIFS('Journal'!$G$3:$G$2002,'Journal'!$D$3:$D$2002,SUBSTITUTE(SUBSTITUTE(SUBSTITUTE('Kontoplan'!$H130,"~","~~"),"*","~*"),"?","~?"))+SUMIFS('Journal'!$F$3:$F$2002,'Journal'!$E$3:$E$2002,SUBSTITUTE(SUBSTITUTE(SUBSTITUTE('Kontoplan'!$H130,"~","~~"),"*","~*"),"?","~?")))</f>
        <v/>
      </c>
      <c r="F130" s="20">
        <f>IF($A130="","",SUMIFS('Journal'!$F$3:$F$2002,'Journal'!$D$3:$D$2002,SUBSTITUTE(SUBSTITUTE(SUBSTITUTE('Kontoplan'!$H130,"~","~~"),"*","~*"),"?","~?"))+SUMIFS('Journal'!$G$3:$G$2002,'Journal'!$E$3:$E$2002,SUBSTITUTE(SUBSTITUTE(SUBSTITUTE('Kontoplan'!$H130,"~","~~"),"*","~*"),"?","~?")))</f>
        <v/>
      </c>
      <c r="G130" s="20">
        <f>IF($A130="","",D130+E130-F130)</f>
        <v/>
      </c>
      <c r="H130" s="14" t="n"/>
      <c r="I130" s="8" t="n"/>
    </row>
    <row r="131">
      <c r="A131" s="5">
        <f>IF('Kontoplan'!A131="","",'Kontoplan'!A131)</f>
        <v/>
      </c>
      <c r="B131" s="5">
        <f>IF($A131="","",'Kontoplan'!B131)</f>
        <v/>
      </c>
      <c r="C131" s="5">
        <f>IF($A131="","",'Kontoplan'!C131)</f>
        <v/>
      </c>
      <c r="D131" s="20">
        <f>IF($A131="","",SUMIFS('Åpningsbalanse'!$C$4:$C$103,'Åpningsbalanse'!$A$4:$A$103,SUBSTITUTE(SUBSTITUTE(SUBSTITUTE('Kontoplan'!$H131,"~","~~"),"*","~*"),"?","~?"))*IFERROR(INDEX('_lister'!$C$2:$C$62,MATCH(C131,'_lister'!$A$2:$A$62,0)),1))</f>
        <v/>
      </c>
      <c r="E131" s="20">
        <f>IF($A131="","",SUMIFS('Journal'!$G$3:$G$2002,'Journal'!$D$3:$D$2002,SUBSTITUTE(SUBSTITUTE(SUBSTITUTE('Kontoplan'!$H131,"~","~~"),"*","~*"),"?","~?"))+SUMIFS('Journal'!$F$3:$F$2002,'Journal'!$E$3:$E$2002,SUBSTITUTE(SUBSTITUTE(SUBSTITUTE('Kontoplan'!$H131,"~","~~"),"*","~*"),"?","~?")))</f>
        <v/>
      </c>
      <c r="F131" s="20">
        <f>IF($A131="","",SUMIFS('Journal'!$F$3:$F$2002,'Journal'!$D$3:$D$2002,SUBSTITUTE(SUBSTITUTE(SUBSTITUTE('Kontoplan'!$H131,"~","~~"),"*","~*"),"?","~?"))+SUMIFS('Journal'!$G$3:$G$2002,'Journal'!$E$3:$E$2002,SUBSTITUTE(SUBSTITUTE(SUBSTITUTE('Kontoplan'!$H131,"~","~~"),"*","~*"),"?","~?")))</f>
        <v/>
      </c>
      <c r="G131" s="20">
        <f>IF($A131="","",D131+E131-F131)</f>
        <v/>
      </c>
      <c r="H131" s="14" t="n"/>
      <c r="I131" s="8" t="n"/>
    </row>
    <row r="132">
      <c r="A132" s="5">
        <f>IF('Kontoplan'!A132="","",'Kontoplan'!A132)</f>
        <v/>
      </c>
      <c r="B132" s="5">
        <f>IF($A132="","",'Kontoplan'!B132)</f>
        <v/>
      </c>
      <c r="C132" s="5">
        <f>IF($A132="","",'Kontoplan'!C132)</f>
        <v/>
      </c>
      <c r="D132" s="20">
        <f>IF($A132="","",SUMIFS('Åpningsbalanse'!$C$4:$C$103,'Åpningsbalanse'!$A$4:$A$103,SUBSTITUTE(SUBSTITUTE(SUBSTITUTE('Kontoplan'!$H132,"~","~~"),"*","~*"),"?","~?"))*IFERROR(INDEX('_lister'!$C$2:$C$62,MATCH(C132,'_lister'!$A$2:$A$62,0)),1))</f>
        <v/>
      </c>
      <c r="E132" s="20">
        <f>IF($A132="","",SUMIFS('Journal'!$G$3:$G$2002,'Journal'!$D$3:$D$2002,SUBSTITUTE(SUBSTITUTE(SUBSTITUTE('Kontoplan'!$H132,"~","~~"),"*","~*"),"?","~?"))+SUMIFS('Journal'!$F$3:$F$2002,'Journal'!$E$3:$E$2002,SUBSTITUTE(SUBSTITUTE(SUBSTITUTE('Kontoplan'!$H132,"~","~~"),"*","~*"),"?","~?")))</f>
        <v/>
      </c>
      <c r="F132" s="20">
        <f>IF($A132="","",SUMIFS('Journal'!$F$3:$F$2002,'Journal'!$D$3:$D$2002,SUBSTITUTE(SUBSTITUTE(SUBSTITUTE('Kontoplan'!$H132,"~","~~"),"*","~*"),"?","~?"))+SUMIFS('Journal'!$G$3:$G$2002,'Journal'!$E$3:$E$2002,SUBSTITUTE(SUBSTITUTE(SUBSTITUTE('Kontoplan'!$H132,"~","~~"),"*","~*"),"?","~?")))</f>
        <v/>
      </c>
      <c r="G132" s="20">
        <f>IF($A132="","",D132+E132-F132)</f>
        <v/>
      </c>
      <c r="H132" s="14" t="n"/>
      <c r="I132" s="8" t="n"/>
    </row>
    <row r="133">
      <c r="A133" s="5">
        <f>IF('Kontoplan'!A133="","",'Kontoplan'!A133)</f>
        <v/>
      </c>
      <c r="B133" s="5">
        <f>IF($A133="","",'Kontoplan'!B133)</f>
        <v/>
      </c>
      <c r="C133" s="5">
        <f>IF($A133="","",'Kontoplan'!C133)</f>
        <v/>
      </c>
      <c r="D133" s="20">
        <f>IF($A133="","",SUMIFS('Åpningsbalanse'!$C$4:$C$103,'Åpningsbalanse'!$A$4:$A$103,SUBSTITUTE(SUBSTITUTE(SUBSTITUTE('Kontoplan'!$H133,"~","~~"),"*","~*"),"?","~?"))*IFERROR(INDEX('_lister'!$C$2:$C$62,MATCH(C133,'_lister'!$A$2:$A$62,0)),1))</f>
        <v/>
      </c>
      <c r="E133" s="20">
        <f>IF($A133="","",SUMIFS('Journal'!$G$3:$G$2002,'Journal'!$D$3:$D$2002,SUBSTITUTE(SUBSTITUTE(SUBSTITUTE('Kontoplan'!$H133,"~","~~"),"*","~*"),"?","~?"))+SUMIFS('Journal'!$F$3:$F$2002,'Journal'!$E$3:$E$2002,SUBSTITUTE(SUBSTITUTE(SUBSTITUTE('Kontoplan'!$H133,"~","~~"),"*","~*"),"?","~?")))</f>
        <v/>
      </c>
      <c r="F133" s="20">
        <f>IF($A133="","",SUMIFS('Journal'!$F$3:$F$2002,'Journal'!$D$3:$D$2002,SUBSTITUTE(SUBSTITUTE(SUBSTITUTE('Kontoplan'!$H133,"~","~~"),"*","~*"),"?","~?"))+SUMIFS('Journal'!$G$3:$G$2002,'Journal'!$E$3:$E$2002,SUBSTITUTE(SUBSTITUTE(SUBSTITUTE('Kontoplan'!$H133,"~","~~"),"*","~*"),"?","~?")))</f>
        <v/>
      </c>
      <c r="G133" s="20">
        <f>IF($A133="","",D133+E133-F133)</f>
        <v/>
      </c>
      <c r="H133" s="14" t="n"/>
      <c r="I133" s="8" t="n"/>
    </row>
    <row r="134">
      <c r="A134" s="5">
        <f>IF('Kontoplan'!A134="","",'Kontoplan'!A134)</f>
        <v/>
      </c>
      <c r="B134" s="5">
        <f>IF($A134="","",'Kontoplan'!B134)</f>
        <v/>
      </c>
      <c r="C134" s="5">
        <f>IF($A134="","",'Kontoplan'!C134)</f>
        <v/>
      </c>
      <c r="D134" s="20">
        <f>IF($A134="","",SUMIFS('Åpningsbalanse'!$C$4:$C$103,'Åpningsbalanse'!$A$4:$A$103,SUBSTITUTE(SUBSTITUTE(SUBSTITUTE('Kontoplan'!$H134,"~","~~"),"*","~*"),"?","~?"))*IFERROR(INDEX('_lister'!$C$2:$C$62,MATCH(C134,'_lister'!$A$2:$A$62,0)),1))</f>
        <v/>
      </c>
      <c r="E134" s="20">
        <f>IF($A134="","",SUMIFS('Journal'!$G$3:$G$2002,'Journal'!$D$3:$D$2002,SUBSTITUTE(SUBSTITUTE(SUBSTITUTE('Kontoplan'!$H134,"~","~~"),"*","~*"),"?","~?"))+SUMIFS('Journal'!$F$3:$F$2002,'Journal'!$E$3:$E$2002,SUBSTITUTE(SUBSTITUTE(SUBSTITUTE('Kontoplan'!$H134,"~","~~"),"*","~*"),"?","~?")))</f>
        <v/>
      </c>
      <c r="F134" s="20">
        <f>IF($A134="","",SUMIFS('Journal'!$F$3:$F$2002,'Journal'!$D$3:$D$2002,SUBSTITUTE(SUBSTITUTE(SUBSTITUTE('Kontoplan'!$H134,"~","~~"),"*","~*"),"?","~?"))+SUMIFS('Journal'!$G$3:$G$2002,'Journal'!$E$3:$E$2002,SUBSTITUTE(SUBSTITUTE(SUBSTITUTE('Kontoplan'!$H134,"~","~~"),"*","~*"),"?","~?")))</f>
        <v/>
      </c>
      <c r="G134" s="20">
        <f>IF($A134="","",D134+E134-F134)</f>
        <v/>
      </c>
      <c r="H134" s="14" t="n"/>
      <c r="I134" s="8" t="n"/>
    </row>
    <row r="135">
      <c r="A135" s="5">
        <f>IF('Kontoplan'!A135="","",'Kontoplan'!A135)</f>
        <v/>
      </c>
      <c r="B135" s="5">
        <f>IF($A135="","",'Kontoplan'!B135)</f>
        <v/>
      </c>
      <c r="C135" s="5">
        <f>IF($A135="","",'Kontoplan'!C135)</f>
        <v/>
      </c>
      <c r="D135" s="20">
        <f>IF($A135="","",SUMIFS('Åpningsbalanse'!$C$4:$C$103,'Åpningsbalanse'!$A$4:$A$103,SUBSTITUTE(SUBSTITUTE(SUBSTITUTE('Kontoplan'!$H135,"~","~~"),"*","~*"),"?","~?"))*IFERROR(INDEX('_lister'!$C$2:$C$62,MATCH(C135,'_lister'!$A$2:$A$62,0)),1))</f>
        <v/>
      </c>
      <c r="E135" s="20">
        <f>IF($A135="","",SUMIFS('Journal'!$G$3:$G$2002,'Journal'!$D$3:$D$2002,SUBSTITUTE(SUBSTITUTE(SUBSTITUTE('Kontoplan'!$H135,"~","~~"),"*","~*"),"?","~?"))+SUMIFS('Journal'!$F$3:$F$2002,'Journal'!$E$3:$E$2002,SUBSTITUTE(SUBSTITUTE(SUBSTITUTE('Kontoplan'!$H135,"~","~~"),"*","~*"),"?","~?")))</f>
        <v/>
      </c>
      <c r="F135" s="20">
        <f>IF($A135="","",SUMIFS('Journal'!$F$3:$F$2002,'Journal'!$D$3:$D$2002,SUBSTITUTE(SUBSTITUTE(SUBSTITUTE('Kontoplan'!$H135,"~","~~"),"*","~*"),"?","~?"))+SUMIFS('Journal'!$G$3:$G$2002,'Journal'!$E$3:$E$2002,SUBSTITUTE(SUBSTITUTE(SUBSTITUTE('Kontoplan'!$H135,"~","~~"),"*","~*"),"?","~?")))</f>
        <v/>
      </c>
      <c r="G135" s="20">
        <f>IF($A135="","",D135+E135-F135)</f>
        <v/>
      </c>
      <c r="H135" s="14" t="n"/>
      <c r="I135" s="8" t="n"/>
    </row>
    <row r="136">
      <c r="A136" s="5">
        <f>IF('Kontoplan'!A136="","",'Kontoplan'!A136)</f>
        <v/>
      </c>
      <c r="B136" s="5">
        <f>IF($A136="","",'Kontoplan'!B136)</f>
        <v/>
      </c>
      <c r="C136" s="5">
        <f>IF($A136="","",'Kontoplan'!C136)</f>
        <v/>
      </c>
      <c r="D136" s="20">
        <f>IF($A136="","",SUMIFS('Åpningsbalanse'!$C$4:$C$103,'Åpningsbalanse'!$A$4:$A$103,SUBSTITUTE(SUBSTITUTE(SUBSTITUTE('Kontoplan'!$H136,"~","~~"),"*","~*"),"?","~?"))*IFERROR(INDEX('_lister'!$C$2:$C$62,MATCH(C136,'_lister'!$A$2:$A$62,0)),1))</f>
        <v/>
      </c>
      <c r="E136" s="20">
        <f>IF($A136="","",SUMIFS('Journal'!$G$3:$G$2002,'Journal'!$D$3:$D$2002,SUBSTITUTE(SUBSTITUTE(SUBSTITUTE('Kontoplan'!$H136,"~","~~"),"*","~*"),"?","~?"))+SUMIFS('Journal'!$F$3:$F$2002,'Journal'!$E$3:$E$2002,SUBSTITUTE(SUBSTITUTE(SUBSTITUTE('Kontoplan'!$H136,"~","~~"),"*","~*"),"?","~?")))</f>
        <v/>
      </c>
      <c r="F136" s="20">
        <f>IF($A136="","",SUMIFS('Journal'!$F$3:$F$2002,'Journal'!$D$3:$D$2002,SUBSTITUTE(SUBSTITUTE(SUBSTITUTE('Kontoplan'!$H136,"~","~~"),"*","~*"),"?","~?"))+SUMIFS('Journal'!$G$3:$G$2002,'Journal'!$E$3:$E$2002,SUBSTITUTE(SUBSTITUTE(SUBSTITUTE('Kontoplan'!$H136,"~","~~"),"*","~*"),"?","~?")))</f>
        <v/>
      </c>
      <c r="G136" s="20">
        <f>IF($A136="","",D136+E136-F136)</f>
        <v/>
      </c>
      <c r="H136" s="14" t="n"/>
      <c r="I136" s="8" t="n"/>
    </row>
    <row r="137">
      <c r="A137" s="5">
        <f>IF('Kontoplan'!A137="","",'Kontoplan'!A137)</f>
        <v/>
      </c>
      <c r="B137" s="5">
        <f>IF($A137="","",'Kontoplan'!B137)</f>
        <v/>
      </c>
      <c r="C137" s="5">
        <f>IF($A137="","",'Kontoplan'!C137)</f>
        <v/>
      </c>
      <c r="D137" s="20">
        <f>IF($A137="","",SUMIFS('Åpningsbalanse'!$C$4:$C$103,'Åpningsbalanse'!$A$4:$A$103,SUBSTITUTE(SUBSTITUTE(SUBSTITUTE('Kontoplan'!$H137,"~","~~"),"*","~*"),"?","~?"))*IFERROR(INDEX('_lister'!$C$2:$C$62,MATCH(C137,'_lister'!$A$2:$A$62,0)),1))</f>
        <v/>
      </c>
      <c r="E137" s="20">
        <f>IF($A137="","",SUMIFS('Journal'!$G$3:$G$2002,'Journal'!$D$3:$D$2002,SUBSTITUTE(SUBSTITUTE(SUBSTITUTE('Kontoplan'!$H137,"~","~~"),"*","~*"),"?","~?"))+SUMIFS('Journal'!$F$3:$F$2002,'Journal'!$E$3:$E$2002,SUBSTITUTE(SUBSTITUTE(SUBSTITUTE('Kontoplan'!$H137,"~","~~"),"*","~*"),"?","~?")))</f>
        <v/>
      </c>
      <c r="F137" s="20">
        <f>IF($A137="","",SUMIFS('Journal'!$F$3:$F$2002,'Journal'!$D$3:$D$2002,SUBSTITUTE(SUBSTITUTE(SUBSTITUTE('Kontoplan'!$H137,"~","~~"),"*","~*"),"?","~?"))+SUMIFS('Journal'!$G$3:$G$2002,'Journal'!$E$3:$E$2002,SUBSTITUTE(SUBSTITUTE(SUBSTITUTE('Kontoplan'!$H137,"~","~~"),"*","~*"),"?","~?")))</f>
        <v/>
      </c>
      <c r="G137" s="20">
        <f>IF($A137="","",D137+E137-F137)</f>
        <v/>
      </c>
      <c r="H137" s="14" t="n"/>
      <c r="I137" s="8" t="n"/>
    </row>
    <row r="138">
      <c r="A138" s="5">
        <f>IF('Kontoplan'!A138="","",'Kontoplan'!A138)</f>
        <v/>
      </c>
      <c r="B138" s="5">
        <f>IF($A138="","",'Kontoplan'!B138)</f>
        <v/>
      </c>
      <c r="C138" s="5">
        <f>IF($A138="","",'Kontoplan'!C138)</f>
        <v/>
      </c>
      <c r="D138" s="20">
        <f>IF($A138="","",SUMIFS('Åpningsbalanse'!$C$4:$C$103,'Åpningsbalanse'!$A$4:$A$103,SUBSTITUTE(SUBSTITUTE(SUBSTITUTE('Kontoplan'!$H138,"~","~~"),"*","~*"),"?","~?"))*IFERROR(INDEX('_lister'!$C$2:$C$62,MATCH(C138,'_lister'!$A$2:$A$62,0)),1))</f>
        <v/>
      </c>
      <c r="E138" s="20">
        <f>IF($A138="","",SUMIFS('Journal'!$G$3:$G$2002,'Journal'!$D$3:$D$2002,SUBSTITUTE(SUBSTITUTE(SUBSTITUTE('Kontoplan'!$H138,"~","~~"),"*","~*"),"?","~?"))+SUMIFS('Journal'!$F$3:$F$2002,'Journal'!$E$3:$E$2002,SUBSTITUTE(SUBSTITUTE(SUBSTITUTE('Kontoplan'!$H138,"~","~~"),"*","~*"),"?","~?")))</f>
        <v/>
      </c>
      <c r="F138" s="20">
        <f>IF($A138="","",SUMIFS('Journal'!$F$3:$F$2002,'Journal'!$D$3:$D$2002,SUBSTITUTE(SUBSTITUTE(SUBSTITUTE('Kontoplan'!$H138,"~","~~"),"*","~*"),"?","~?"))+SUMIFS('Journal'!$G$3:$G$2002,'Journal'!$E$3:$E$2002,SUBSTITUTE(SUBSTITUTE(SUBSTITUTE('Kontoplan'!$H138,"~","~~"),"*","~*"),"?","~?")))</f>
        <v/>
      </c>
      <c r="G138" s="20">
        <f>IF($A138="","",D138+E138-F138)</f>
        <v/>
      </c>
      <c r="H138" s="14" t="n"/>
      <c r="I138" s="8" t="n"/>
    </row>
    <row r="139">
      <c r="A139" s="5">
        <f>IF('Kontoplan'!A139="","",'Kontoplan'!A139)</f>
        <v/>
      </c>
      <c r="B139" s="5">
        <f>IF($A139="","",'Kontoplan'!B139)</f>
        <v/>
      </c>
      <c r="C139" s="5">
        <f>IF($A139="","",'Kontoplan'!C139)</f>
        <v/>
      </c>
      <c r="D139" s="20">
        <f>IF($A139="","",SUMIFS('Åpningsbalanse'!$C$4:$C$103,'Åpningsbalanse'!$A$4:$A$103,SUBSTITUTE(SUBSTITUTE(SUBSTITUTE('Kontoplan'!$H139,"~","~~"),"*","~*"),"?","~?"))*IFERROR(INDEX('_lister'!$C$2:$C$62,MATCH(C139,'_lister'!$A$2:$A$62,0)),1))</f>
        <v/>
      </c>
      <c r="E139" s="20">
        <f>IF($A139="","",SUMIFS('Journal'!$G$3:$G$2002,'Journal'!$D$3:$D$2002,SUBSTITUTE(SUBSTITUTE(SUBSTITUTE('Kontoplan'!$H139,"~","~~"),"*","~*"),"?","~?"))+SUMIFS('Journal'!$F$3:$F$2002,'Journal'!$E$3:$E$2002,SUBSTITUTE(SUBSTITUTE(SUBSTITUTE('Kontoplan'!$H139,"~","~~"),"*","~*"),"?","~?")))</f>
        <v/>
      </c>
      <c r="F139" s="20">
        <f>IF($A139="","",SUMIFS('Journal'!$F$3:$F$2002,'Journal'!$D$3:$D$2002,SUBSTITUTE(SUBSTITUTE(SUBSTITUTE('Kontoplan'!$H139,"~","~~"),"*","~*"),"?","~?"))+SUMIFS('Journal'!$G$3:$G$2002,'Journal'!$E$3:$E$2002,SUBSTITUTE(SUBSTITUTE(SUBSTITUTE('Kontoplan'!$H139,"~","~~"),"*","~*"),"?","~?")))</f>
        <v/>
      </c>
      <c r="G139" s="20">
        <f>IF($A139="","",D139+E139-F139)</f>
        <v/>
      </c>
      <c r="H139" s="14" t="n"/>
      <c r="I139" s="8" t="n"/>
    </row>
    <row r="140">
      <c r="A140" s="5">
        <f>IF('Kontoplan'!A140="","",'Kontoplan'!A140)</f>
        <v/>
      </c>
      <c r="B140" s="5">
        <f>IF($A140="","",'Kontoplan'!B140)</f>
        <v/>
      </c>
      <c r="C140" s="5">
        <f>IF($A140="","",'Kontoplan'!C140)</f>
        <v/>
      </c>
      <c r="D140" s="20">
        <f>IF($A140="","",SUMIFS('Åpningsbalanse'!$C$4:$C$103,'Åpningsbalanse'!$A$4:$A$103,SUBSTITUTE(SUBSTITUTE(SUBSTITUTE('Kontoplan'!$H140,"~","~~"),"*","~*"),"?","~?"))*IFERROR(INDEX('_lister'!$C$2:$C$62,MATCH(C140,'_lister'!$A$2:$A$62,0)),1))</f>
        <v/>
      </c>
      <c r="E140" s="20">
        <f>IF($A140="","",SUMIFS('Journal'!$G$3:$G$2002,'Journal'!$D$3:$D$2002,SUBSTITUTE(SUBSTITUTE(SUBSTITUTE('Kontoplan'!$H140,"~","~~"),"*","~*"),"?","~?"))+SUMIFS('Journal'!$F$3:$F$2002,'Journal'!$E$3:$E$2002,SUBSTITUTE(SUBSTITUTE(SUBSTITUTE('Kontoplan'!$H140,"~","~~"),"*","~*"),"?","~?")))</f>
        <v/>
      </c>
      <c r="F140" s="20">
        <f>IF($A140="","",SUMIFS('Journal'!$F$3:$F$2002,'Journal'!$D$3:$D$2002,SUBSTITUTE(SUBSTITUTE(SUBSTITUTE('Kontoplan'!$H140,"~","~~"),"*","~*"),"?","~?"))+SUMIFS('Journal'!$G$3:$G$2002,'Journal'!$E$3:$E$2002,SUBSTITUTE(SUBSTITUTE(SUBSTITUTE('Kontoplan'!$H140,"~","~~"),"*","~*"),"?","~?")))</f>
        <v/>
      </c>
      <c r="G140" s="20">
        <f>IF($A140="","",D140+E140-F140)</f>
        <v/>
      </c>
      <c r="H140" s="14" t="n"/>
      <c r="I140" s="8" t="n"/>
    </row>
    <row r="141">
      <c r="A141" s="5">
        <f>IF('Kontoplan'!A141="","",'Kontoplan'!A141)</f>
        <v/>
      </c>
      <c r="B141" s="5">
        <f>IF($A141="","",'Kontoplan'!B141)</f>
        <v/>
      </c>
      <c r="C141" s="5">
        <f>IF($A141="","",'Kontoplan'!C141)</f>
        <v/>
      </c>
      <c r="D141" s="20">
        <f>IF($A141="","",SUMIFS('Åpningsbalanse'!$C$4:$C$103,'Åpningsbalanse'!$A$4:$A$103,SUBSTITUTE(SUBSTITUTE(SUBSTITUTE('Kontoplan'!$H141,"~","~~"),"*","~*"),"?","~?"))*IFERROR(INDEX('_lister'!$C$2:$C$62,MATCH(C141,'_lister'!$A$2:$A$62,0)),1))</f>
        <v/>
      </c>
      <c r="E141" s="20">
        <f>IF($A141="","",SUMIFS('Journal'!$G$3:$G$2002,'Journal'!$D$3:$D$2002,SUBSTITUTE(SUBSTITUTE(SUBSTITUTE('Kontoplan'!$H141,"~","~~"),"*","~*"),"?","~?"))+SUMIFS('Journal'!$F$3:$F$2002,'Journal'!$E$3:$E$2002,SUBSTITUTE(SUBSTITUTE(SUBSTITUTE('Kontoplan'!$H141,"~","~~"),"*","~*"),"?","~?")))</f>
        <v/>
      </c>
      <c r="F141" s="20">
        <f>IF($A141="","",SUMIFS('Journal'!$F$3:$F$2002,'Journal'!$D$3:$D$2002,SUBSTITUTE(SUBSTITUTE(SUBSTITUTE('Kontoplan'!$H141,"~","~~"),"*","~*"),"?","~?"))+SUMIFS('Journal'!$G$3:$G$2002,'Journal'!$E$3:$E$2002,SUBSTITUTE(SUBSTITUTE(SUBSTITUTE('Kontoplan'!$H141,"~","~~"),"*","~*"),"?","~?")))</f>
        <v/>
      </c>
      <c r="G141" s="20">
        <f>IF($A141="","",D141+E141-F141)</f>
        <v/>
      </c>
      <c r="H141" s="14" t="n"/>
      <c r="I141" s="8" t="n"/>
    </row>
    <row r="142">
      <c r="A142" s="5">
        <f>IF('Kontoplan'!A142="","",'Kontoplan'!A142)</f>
        <v/>
      </c>
      <c r="B142" s="5">
        <f>IF($A142="","",'Kontoplan'!B142)</f>
        <v/>
      </c>
      <c r="C142" s="5">
        <f>IF($A142="","",'Kontoplan'!C142)</f>
        <v/>
      </c>
      <c r="D142" s="20">
        <f>IF($A142="","",SUMIFS('Åpningsbalanse'!$C$4:$C$103,'Åpningsbalanse'!$A$4:$A$103,SUBSTITUTE(SUBSTITUTE(SUBSTITUTE('Kontoplan'!$H142,"~","~~"),"*","~*"),"?","~?"))*IFERROR(INDEX('_lister'!$C$2:$C$62,MATCH(C142,'_lister'!$A$2:$A$62,0)),1))</f>
        <v/>
      </c>
      <c r="E142" s="20">
        <f>IF($A142="","",SUMIFS('Journal'!$G$3:$G$2002,'Journal'!$D$3:$D$2002,SUBSTITUTE(SUBSTITUTE(SUBSTITUTE('Kontoplan'!$H142,"~","~~"),"*","~*"),"?","~?"))+SUMIFS('Journal'!$F$3:$F$2002,'Journal'!$E$3:$E$2002,SUBSTITUTE(SUBSTITUTE(SUBSTITUTE('Kontoplan'!$H142,"~","~~"),"*","~*"),"?","~?")))</f>
        <v/>
      </c>
      <c r="F142" s="20">
        <f>IF($A142="","",SUMIFS('Journal'!$F$3:$F$2002,'Journal'!$D$3:$D$2002,SUBSTITUTE(SUBSTITUTE(SUBSTITUTE('Kontoplan'!$H142,"~","~~"),"*","~*"),"?","~?"))+SUMIFS('Journal'!$G$3:$G$2002,'Journal'!$E$3:$E$2002,SUBSTITUTE(SUBSTITUTE(SUBSTITUTE('Kontoplan'!$H142,"~","~~"),"*","~*"),"?","~?")))</f>
        <v/>
      </c>
      <c r="G142" s="20">
        <f>IF($A142="","",D142+E142-F142)</f>
        <v/>
      </c>
      <c r="H142" s="14" t="n"/>
      <c r="I142" s="8" t="n"/>
    </row>
    <row r="143">
      <c r="A143" s="5">
        <f>IF('Kontoplan'!A143="","",'Kontoplan'!A143)</f>
        <v/>
      </c>
      <c r="B143" s="5">
        <f>IF($A143="","",'Kontoplan'!B143)</f>
        <v/>
      </c>
      <c r="C143" s="5">
        <f>IF($A143="","",'Kontoplan'!C143)</f>
        <v/>
      </c>
      <c r="D143" s="20">
        <f>IF($A143="","",SUMIFS('Åpningsbalanse'!$C$4:$C$103,'Åpningsbalanse'!$A$4:$A$103,SUBSTITUTE(SUBSTITUTE(SUBSTITUTE('Kontoplan'!$H143,"~","~~"),"*","~*"),"?","~?"))*IFERROR(INDEX('_lister'!$C$2:$C$62,MATCH(C143,'_lister'!$A$2:$A$62,0)),1))</f>
        <v/>
      </c>
      <c r="E143" s="20">
        <f>IF($A143="","",SUMIFS('Journal'!$G$3:$G$2002,'Journal'!$D$3:$D$2002,SUBSTITUTE(SUBSTITUTE(SUBSTITUTE('Kontoplan'!$H143,"~","~~"),"*","~*"),"?","~?"))+SUMIFS('Journal'!$F$3:$F$2002,'Journal'!$E$3:$E$2002,SUBSTITUTE(SUBSTITUTE(SUBSTITUTE('Kontoplan'!$H143,"~","~~"),"*","~*"),"?","~?")))</f>
        <v/>
      </c>
      <c r="F143" s="20">
        <f>IF($A143="","",SUMIFS('Journal'!$F$3:$F$2002,'Journal'!$D$3:$D$2002,SUBSTITUTE(SUBSTITUTE(SUBSTITUTE('Kontoplan'!$H143,"~","~~"),"*","~*"),"?","~?"))+SUMIFS('Journal'!$G$3:$G$2002,'Journal'!$E$3:$E$2002,SUBSTITUTE(SUBSTITUTE(SUBSTITUTE('Kontoplan'!$H143,"~","~~"),"*","~*"),"?","~?")))</f>
        <v/>
      </c>
      <c r="G143" s="20">
        <f>IF($A143="","",D143+E143-F143)</f>
        <v/>
      </c>
      <c r="H143" s="14" t="n"/>
      <c r="I143" s="8" t="n"/>
    </row>
    <row r="144">
      <c r="A144" s="5">
        <f>IF('Kontoplan'!A144="","",'Kontoplan'!A144)</f>
        <v/>
      </c>
      <c r="B144" s="5">
        <f>IF($A144="","",'Kontoplan'!B144)</f>
        <v/>
      </c>
      <c r="C144" s="5">
        <f>IF($A144="","",'Kontoplan'!C144)</f>
        <v/>
      </c>
      <c r="D144" s="20">
        <f>IF($A144="","",SUMIFS('Åpningsbalanse'!$C$4:$C$103,'Åpningsbalanse'!$A$4:$A$103,SUBSTITUTE(SUBSTITUTE(SUBSTITUTE('Kontoplan'!$H144,"~","~~"),"*","~*"),"?","~?"))*IFERROR(INDEX('_lister'!$C$2:$C$62,MATCH(C144,'_lister'!$A$2:$A$62,0)),1))</f>
        <v/>
      </c>
      <c r="E144" s="20">
        <f>IF($A144="","",SUMIFS('Journal'!$G$3:$G$2002,'Journal'!$D$3:$D$2002,SUBSTITUTE(SUBSTITUTE(SUBSTITUTE('Kontoplan'!$H144,"~","~~"),"*","~*"),"?","~?"))+SUMIFS('Journal'!$F$3:$F$2002,'Journal'!$E$3:$E$2002,SUBSTITUTE(SUBSTITUTE(SUBSTITUTE('Kontoplan'!$H144,"~","~~"),"*","~*"),"?","~?")))</f>
        <v/>
      </c>
      <c r="F144" s="20">
        <f>IF($A144="","",SUMIFS('Journal'!$F$3:$F$2002,'Journal'!$D$3:$D$2002,SUBSTITUTE(SUBSTITUTE(SUBSTITUTE('Kontoplan'!$H144,"~","~~"),"*","~*"),"?","~?"))+SUMIFS('Journal'!$G$3:$G$2002,'Journal'!$E$3:$E$2002,SUBSTITUTE(SUBSTITUTE(SUBSTITUTE('Kontoplan'!$H144,"~","~~"),"*","~*"),"?","~?")))</f>
        <v/>
      </c>
      <c r="G144" s="20">
        <f>IF($A144="","",D144+E144-F144)</f>
        <v/>
      </c>
      <c r="H144" s="14" t="n"/>
      <c r="I144" s="8" t="n"/>
    </row>
    <row r="145">
      <c r="A145" s="5">
        <f>IF('Kontoplan'!A145="","",'Kontoplan'!A145)</f>
        <v/>
      </c>
      <c r="B145" s="5">
        <f>IF($A145="","",'Kontoplan'!B145)</f>
        <v/>
      </c>
      <c r="C145" s="5">
        <f>IF($A145="","",'Kontoplan'!C145)</f>
        <v/>
      </c>
      <c r="D145" s="20">
        <f>IF($A145="","",SUMIFS('Åpningsbalanse'!$C$4:$C$103,'Åpningsbalanse'!$A$4:$A$103,SUBSTITUTE(SUBSTITUTE(SUBSTITUTE('Kontoplan'!$H145,"~","~~"),"*","~*"),"?","~?"))*IFERROR(INDEX('_lister'!$C$2:$C$62,MATCH(C145,'_lister'!$A$2:$A$62,0)),1))</f>
        <v/>
      </c>
      <c r="E145" s="20">
        <f>IF($A145="","",SUMIFS('Journal'!$G$3:$G$2002,'Journal'!$D$3:$D$2002,SUBSTITUTE(SUBSTITUTE(SUBSTITUTE('Kontoplan'!$H145,"~","~~"),"*","~*"),"?","~?"))+SUMIFS('Journal'!$F$3:$F$2002,'Journal'!$E$3:$E$2002,SUBSTITUTE(SUBSTITUTE(SUBSTITUTE('Kontoplan'!$H145,"~","~~"),"*","~*"),"?","~?")))</f>
        <v/>
      </c>
      <c r="F145" s="20">
        <f>IF($A145="","",SUMIFS('Journal'!$F$3:$F$2002,'Journal'!$D$3:$D$2002,SUBSTITUTE(SUBSTITUTE(SUBSTITUTE('Kontoplan'!$H145,"~","~~"),"*","~*"),"?","~?"))+SUMIFS('Journal'!$G$3:$G$2002,'Journal'!$E$3:$E$2002,SUBSTITUTE(SUBSTITUTE(SUBSTITUTE('Kontoplan'!$H145,"~","~~"),"*","~*"),"?","~?")))</f>
        <v/>
      </c>
      <c r="G145" s="20">
        <f>IF($A145="","",D145+E145-F145)</f>
        <v/>
      </c>
      <c r="H145" s="14" t="n"/>
      <c r="I145" s="8" t="n"/>
    </row>
    <row r="146">
      <c r="A146" s="5">
        <f>IF('Kontoplan'!A146="","",'Kontoplan'!A146)</f>
        <v/>
      </c>
      <c r="B146" s="5">
        <f>IF($A146="","",'Kontoplan'!B146)</f>
        <v/>
      </c>
      <c r="C146" s="5">
        <f>IF($A146="","",'Kontoplan'!C146)</f>
        <v/>
      </c>
      <c r="D146" s="20">
        <f>IF($A146="","",SUMIFS('Åpningsbalanse'!$C$4:$C$103,'Åpningsbalanse'!$A$4:$A$103,SUBSTITUTE(SUBSTITUTE(SUBSTITUTE('Kontoplan'!$H146,"~","~~"),"*","~*"),"?","~?"))*IFERROR(INDEX('_lister'!$C$2:$C$62,MATCH(C146,'_lister'!$A$2:$A$62,0)),1))</f>
        <v/>
      </c>
      <c r="E146" s="20">
        <f>IF($A146="","",SUMIFS('Journal'!$G$3:$G$2002,'Journal'!$D$3:$D$2002,SUBSTITUTE(SUBSTITUTE(SUBSTITUTE('Kontoplan'!$H146,"~","~~"),"*","~*"),"?","~?"))+SUMIFS('Journal'!$F$3:$F$2002,'Journal'!$E$3:$E$2002,SUBSTITUTE(SUBSTITUTE(SUBSTITUTE('Kontoplan'!$H146,"~","~~"),"*","~*"),"?","~?")))</f>
        <v/>
      </c>
      <c r="F146" s="20">
        <f>IF($A146="","",SUMIFS('Journal'!$F$3:$F$2002,'Journal'!$D$3:$D$2002,SUBSTITUTE(SUBSTITUTE(SUBSTITUTE('Kontoplan'!$H146,"~","~~"),"*","~*"),"?","~?"))+SUMIFS('Journal'!$G$3:$G$2002,'Journal'!$E$3:$E$2002,SUBSTITUTE(SUBSTITUTE(SUBSTITUTE('Kontoplan'!$H146,"~","~~"),"*","~*"),"?","~?")))</f>
        <v/>
      </c>
      <c r="G146" s="20">
        <f>IF($A146="","",D146+E146-F146)</f>
        <v/>
      </c>
      <c r="H146" s="14" t="n"/>
      <c r="I146" s="8" t="n"/>
    </row>
    <row r="147">
      <c r="A147" s="5">
        <f>IF('Kontoplan'!A147="","",'Kontoplan'!A147)</f>
        <v/>
      </c>
      <c r="B147" s="5">
        <f>IF($A147="","",'Kontoplan'!B147)</f>
        <v/>
      </c>
      <c r="C147" s="5">
        <f>IF($A147="","",'Kontoplan'!C147)</f>
        <v/>
      </c>
      <c r="D147" s="20">
        <f>IF($A147="","",SUMIFS('Åpningsbalanse'!$C$4:$C$103,'Åpningsbalanse'!$A$4:$A$103,SUBSTITUTE(SUBSTITUTE(SUBSTITUTE('Kontoplan'!$H147,"~","~~"),"*","~*"),"?","~?"))*IFERROR(INDEX('_lister'!$C$2:$C$62,MATCH(C147,'_lister'!$A$2:$A$62,0)),1))</f>
        <v/>
      </c>
      <c r="E147" s="20">
        <f>IF($A147="","",SUMIFS('Journal'!$G$3:$G$2002,'Journal'!$D$3:$D$2002,SUBSTITUTE(SUBSTITUTE(SUBSTITUTE('Kontoplan'!$H147,"~","~~"),"*","~*"),"?","~?"))+SUMIFS('Journal'!$F$3:$F$2002,'Journal'!$E$3:$E$2002,SUBSTITUTE(SUBSTITUTE(SUBSTITUTE('Kontoplan'!$H147,"~","~~"),"*","~*"),"?","~?")))</f>
        <v/>
      </c>
      <c r="F147" s="20">
        <f>IF($A147="","",SUMIFS('Journal'!$F$3:$F$2002,'Journal'!$D$3:$D$2002,SUBSTITUTE(SUBSTITUTE(SUBSTITUTE('Kontoplan'!$H147,"~","~~"),"*","~*"),"?","~?"))+SUMIFS('Journal'!$G$3:$G$2002,'Journal'!$E$3:$E$2002,SUBSTITUTE(SUBSTITUTE(SUBSTITUTE('Kontoplan'!$H147,"~","~~"),"*","~*"),"?","~?")))</f>
        <v/>
      </c>
      <c r="G147" s="20">
        <f>IF($A147="","",D147+E147-F147)</f>
        <v/>
      </c>
      <c r="H147" s="14" t="n"/>
      <c r="I147" s="8" t="n"/>
    </row>
    <row r="148">
      <c r="A148" s="5">
        <f>IF('Kontoplan'!A148="","",'Kontoplan'!A148)</f>
        <v/>
      </c>
      <c r="B148" s="5">
        <f>IF($A148="","",'Kontoplan'!B148)</f>
        <v/>
      </c>
      <c r="C148" s="5">
        <f>IF($A148="","",'Kontoplan'!C148)</f>
        <v/>
      </c>
      <c r="D148" s="20">
        <f>IF($A148="","",SUMIFS('Åpningsbalanse'!$C$4:$C$103,'Åpningsbalanse'!$A$4:$A$103,SUBSTITUTE(SUBSTITUTE(SUBSTITUTE('Kontoplan'!$H148,"~","~~"),"*","~*"),"?","~?"))*IFERROR(INDEX('_lister'!$C$2:$C$62,MATCH(C148,'_lister'!$A$2:$A$62,0)),1))</f>
        <v/>
      </c>
      <c r="E148" s="20">
        <f>IF($A148="","",SUMIFS('Journal'!$G$3:$G$2002,'Journal'!$D$3:$D$2002,SUBSTITUTE(SUBSTITUTE(SUBSTITUTE('Kontoplan'!$H148,"~","~~"),"*","~*"),"?","~?"))+SUMIFS('Journal'!$F$3:$F$2002,'Journal'!$E$3:$E$2002,SUBSTITUTE(SUBSTITUTE(SUBSTITUTE('Kontoplan'!$H148,"~","~~"),"*","~*"),"?","~?")))</f>
        <v/>
      </c>
      <c r="F148" s="20">
        <f>IF($A148="","",SUMIFS('Journal'!$F$3:$F$2002,'Journal'!$D$3:$D$2002,SUBSTITUTE(SUBSTITUTE(SUBSTITUTE('Kontoplan'!$H148,"~","~~"),"*","~*"),"?","~?"))+SUMIFS('Journal'!$G$3:$G$2002,'Journal'!$E$3:$E$2002,SUBSTITUTE(SUBSTITUTE(SUBSTITUTE('Kontoplan'!$H148,"~","~~"),"*","~*"),"?","~?")))</f>
        <v/>
      </c>
      <c r="G148" s="20">
        <f>IF($A148="","",D148+E148-F148)</f>
        <v/>
      </c>
      <c r="H148" s="14" t="n"/>
      <c r="I148" s="8" t="n"/>
    </row>
    <row r="149">
      <c r="A149" s="5">
        <f>IF('Kontoplan'!A149="","",'Kontoplan'!A149)</f>
        <v/>
      </c>
      <c r="B149" s="5">
        <f>IF($A149="","",'Kontoplan'!B149)</f>
        <v/>
      </c>
      <c r="C149" s="5">
        <f>IF($A149="","",'Kontoplan'!C149)</f>
        <v/>
      </c>
      <c r="D149" s="20">
        <f>IF($A149="","",SUMIFS('Åpningsbalanse'!$C$4:$C$103,'Åpningsbalanse'!$A$4:$A$103,SUBSTITUTE(SUBSTITUTE(SUBSTITUTE('Kontoplan'!$H149,"~","~~"),"*","~*"),"?","~?"))*IFERROR(INDEX('_lister'!$C$2:$C$62,MATCH(C149,'_lister'!$A$2:$A$62,0)),1))</f>
        <v/>
      </c>
      <c r="E149" s="20">
        <f>IF($A149="","",SUMIFS('Journal'!$G$3:$G$2002,'Journal'!$D$3:$D$2002,SUBSTITUTE(SUBSTITUTE(SUBSTITUTE('Kontoplan'!$H149,"~","~~"),"*","~*"),"?","~?"))+SUMIFS('Journal'!$F$3:$F$2002,'Journal'!$E$3:$E$2002,SUBSTITUTE(SUBSTITUTE(SUBSTITUTE('Kontoplan'!$H149,"~","~~"),"*","~*"),"?","~?")))</f>
        <v/>
      </c>
      <c r="F149" s="20">
        <f>IF($A149="","",SUMIFS('Journal'!$F$3:$F$2002,'Journal'!$D$3:$D$2002,SUBSTITUTE(SUBSTITUTE(SUBSTITUTE('Kontoplan'!$H149,"~","~~"),"*","~*"),"?","~?"))+SUMIFS('Journal'!$G$3:$G$2002,'Journal'!$E$3:$E$2002,SUBSTITUTE(SUBSTITUTE(SUBSTITUTE('Kontoplan'!$H149,"~","~~"),"*","~*"),"?","~?")))</f>
        <v/>
      </c>
      <c r="G149" s="20">
        <f>IF($A149="","",D149+E149-F149)</f>
        <v/>
      </c>
      <c r="H149" s="14" t="n"/>
      <c r="I149" s="8" t="n"/>
    </row>
    <row r="150">
      <c r="A150" s="5">
        <f>IF('Kontoplan'!A150="","",'Kontoplan'!A150)</f>
        <v/>
      </c>
      <c r="B150" s="5">
        <f>IF($A150="","",'Kontoplan'!B150)</f>
        <v/>
      </c>
      <c r="C150" s="5">
        <f>IF($A150="","",'Kontoplan'!C150)</f>
        <v/>
      </c>
      <c r="D150" s="20">
        <f>IF($A150="","",SUMIFS('Åpningsbalanse'!$C$4:$C$103,'Åpningsbalanse'!$A$4:$A$103,SUBSTITUTE(SUBSTITUTE(SUBSTITUTE('Kontoplan'!$H150,"~","~~"),"*","~*"),"?","~?"))*IFERROR(INDEX('_lister'!$C$2:$C$62,MATCH(C150,'_lister'!$A$2:$A$62,0)),1))</f>
        <v/>
      </c>
      <c r="E150" s="20">
        <f>IF($A150="","",SUMIFS('Journal'!$G$3:$G$2002,'Journal'!$D$3:$D$2002,SUBSTITUTE(SUBSTITUTE(SUBSTITUTE('Kontoplan'!$H150,"~","~~"),"*","~*"),"?","~?"))+SUMIFS('Journal'!$F$3:$F$2002,'Journal'!$E$3:$E$2002,SUBSTITUTE(SUBSTITUTE(SUBSTITUTE('Kontoplan'!$H150,"~","~~"),"*","~*"),"?","~?")))</f>
        <v/>
      </c>
      <c r="F150" s="20">
        <f>IF($A150="","",SUMIFS('Journal'!$F$3:$F$2002,'Journal'!$D$3:$D$2002,SUBSTITUTE(SUBSTITUTE(SUBSTITUTE('Kontoplan'!$H150,"~","~~"),"*","~*"),"?","~?"))+SUMIFS('Journal'!$G$3:$G$2002,'Journal'!$E$3:$E$2002,SUBSTITUTE(SUBSTITUTE(SUBSTITUTE('Kontoplan'!$H150,"~","~~"),"*","~*"),"?","~?")))</f>
        <v/>
      </c>
      <c r="G150" s="20">
        <f>IF($A150="","",D150+E150-F150)</f>
        <v/>
      </c>
      <c r="H150" s="14" t="n"/>
      <c r="I150" s="8" t="n"/>
    </row>
    <row r="151">
      <c r="A151" s="5">
        <f>IF('Kontoplan'!A151="","",'Kontoplan'!A151)</f>
        <v/>
      </c>
      <c r="B151" s="5">
        <f>IF($A151="","",'Kontoplan'!B151)</f>
        <v/>
      </c>
      <c r="C151" s="5">
        <f>IF($A151="","",'Kontoplan'!C151)</f>
        <v/>
      </c>
      <c r="D151" s="20">
        <f>IF($A151="","",SUMIFS('Åpningsbalanse'!$C$4:$C$103,'Åpningsbalanse'!$A$4:$A$103,SUBSTITUTE(SUBSTITUTE(SUBSTITUTE('Kontoplan'!$H151,"~","~~"),"*","~*"),"?","~?"))*IFERROR(INDEX('_lister'!$C$2:$C$62,MATCH(C151,'_lister'!$A$2:$A$62,0)),1))</f>
        <v/>
      </c>
      <c r="E151" s="20">
        <f>IF($A151="","",SUMIFS('Journal'!$G$3:$G$2002,'Journal'!$D$3:$D$2002,SUBSTITUTE(SUBSTITUTE(SUBSTITUTE('Kontoplan'!$H151,"~","~~"),"*","~*"),"?","~?"))+SUMIFS('Journal'!$F$3:$F$2002,'Journal'!$E$3:$E$2002,SUBSTITUTE(SUBSTITUTE(SUBSTITUTE('Kontoplan'!$H151,"~","~~"),"*","~*"),"?","~?")))</f>
        <v/>
      </c>
      <c r="F151" s="20">
        <f>IF($A151="","",SUMIFS('Journal'!$F$3:$F$2002,'Journal'!$D$3:$D$2002,SUBSTITUTE(SUBSTITUTE(SUBSTITUTE('Kontoplan'!$H151,"~","~~"),"*","~*"),"?","~?"))+SUMIFS('Journal'!$G$3:$G$2002,'Journal'!$E$3:$E$2002,SUBSTITUTE(SUBSTITUTE(SUBSTITUTE('Kontoplan'!$H151,"~","~~"),"*","~*"),"?","~?")))</f>
        <v/>
      </c>
      <c r="G151" s="20">
        <f>IF($A151="","",D151+E151-F151)</f>
        <v/>
      </c>
      <c r="H151" s="14" t="n"/>
      <c r="I151" s="8" t="n"/>
    </row>
    <row r="152">
      <c r="A152" s="5">
        <f>IF('Kontoplan'!A152="","",'Kontoplan'!A152)</f>
        <v/>
      </c>
      <c r="B152" s="5">
        <f>IF($A152="","",'Kontoplan'!B152)</f>
        <v/>
      </c>
      <c r="C152" s="5">
        <f>IF($A152="","",'Kontoplan'!C152)</f>
        <v/>
      </c>
      <c r="D152" s="20">
        <f>IF($A152="","",SUMIFS('Åpningsbalanse'!$C$4:$C$103,'Åpningsbalanse'!$A$4:$A$103,SUBSTITUTE(SUBSTITUTE(SUBSTITUTE('Kontoplan'!$H152,"~","~~"),"*","~*"),"?","~?"))*IFERROR(INDEX('_lister'!$C$2:$C$62,MATCH(C152,'_lister'!$A$2:$A$62,0)),1))</f>
        <v/>
      </c>
      <c r="E152" s="20">
        <f>IF($A152="","",SUMIFS('Journal'!$G$3:$G$2002,'Journal'!$D$3:$D$2002,SUBSTITUTE(SUBSTITUTE(SUBSTITUTE('Kontoplan'!$H152,"~","~~"),"*","~*"),"?","~?"))+SUMIFS('Journal'!$F$3:$F$2002,'Journal'!$E$3:$E$2002,SUBSTITUTE(SUBSTITUTE(SUBSTITUTE('Kontoplan'!$H152,"~","~~"),"*","~*"),"?","~?")))</f>
        <v/>
      </c>
      <c r="F152" s="20">
        <f>IF($A152="","",SUMIFS('Journal'!$F$3:$F$2002,'Journal'!$D$3:$D$2002,SUBSTITUTE(SUBSTITUTE(SUBSTITUTE('Kontoplan'!$H152,"~","~~"),"*","~*"),"?","~?"))+SUMIFS('Journal'!$G$3:$G$2002,'Journal'!$E$3:$E$2002,SUBSTITUTE(SUBSTITUTE(SUBSTITUTE('Kontoplan'!$H152,"~","~~"),"*","~*"),"?","~?")))</f>
        <v/>
      </c>
      <c r="G152" s="20">
        <f>IF($A152="","",D152+E152-F152)</f>
        <v/>
      </c>
      <c r="H152" s="14" t="n"/>
      <c r="I152" s="8" t="n"/>
    </row>
    <row r="153">
      <c r="A153" s="5">
        <f>IF('Kontoplan'!A153="","",'Kontoplan'!A153)</f>
        <v/>
      </c>
      <c r="B153" s="5">
        <f>IF($A153="","",'Kontoplan'!B153)</f>
        <v/>
      </c>
      <c r="C153" s="5">
        <f>IF($A153="","",'Kontoplan'!C153)</f>
        <v/>
      </c>
      <c r="D153" s="20">
        <f>IF($A153="","",SUMIFS('Åpningsbalanse'!$C$4:$C$103,'Åpningsbalanse'!$A$4:$A$103,SUBSTITUTE(SUBSTITUTE(SUBSTITUTE('Kontoplan'!$H153,"~","~~"),"*","~*"),"?","~?"))*IFERROR(INDEX('_lister'!$C$2:$C$62,MATCH(C153,'_lister'!$A$2:$A$62,0)),1))</f>
        <v/>
      </c>
      <c r="E153" s="20">
        <f>IF($A153="","",SUMIFS('Journal'!$G$3:$G$2002,'Journal'!$D$3:$D$2002,SUBSTITUTE(SUBSTITUTE(SUBSTITUTE('Kontoplan'!$H153,"~","~~"),"*","~*"),"?","~?"))+SUMIFS('Journal'!$F$3:$F$2002,'Journal'!$E$3:$E$2002,SUBSTITUTE(SUBSTITUTE(SUBSTITUTE('Kontoplan'!$H153,"~","~~"),"*","~*"),"?","~?")))</f>
        <v/>
      </c>
      <c r="F153" s="20">
        <f>IF($A153="","",SUMIFS('Journal'!$F$3:$F$2002,'Journal'!$D$3:$D$2002,SUBSTITUTE(SUBSTITUTE(SUBSTITUTE('Kontoplan'!$H153,"~","~~"),"*","~*"),"?","~?"))+SUMIFS('Journal'!$G$3:$G$2002,'Journal'!$E$3:$E$2002,SUBSTITUTE(SUBSTITUTE(SUBSTITUTE('Kontoplan'!$H153,"~","~~"),"*","~*"),"?","~?")))</f>
        <v/>
      </c>
      <c r="G153" s="20">
        <f>IF($A153="","",D153+E153-F153)</f>
        <v/>
      </c>
      <c r="H153" s="14" t="n"/>
      <c r="I153" s="8" t="n"/>
    </row>
    <row r="154">
      <c r="A154" s="5">
        <f>IF('Kontoplan'!A154="","",'Kontoplan'!A154)</f>
        <v/>
      </c>
      <c r="B154" s="5">
        <f>IF($A154="","",'Kontoplan'!B154)</f>
        <v/>
      </c>
      <c r="C154" s="5">
        <f>IF($A154="","",'Kontoplan'!C154)</f>
        <v/>
      </c>
      <c r="D154" s="20">
        <f>IF($A154="","",SUMIFS('Åpningsbalanse'!$C$4:$C$103,'Åpningsbalanse'!$A$4:$A$103,SUBSTITUTE(SUBSTITUTE(SUBSTITUTE('Kontoplan'!$H154,"~","~~"),"*","~*"),"?","~?"))*IFERROR(INDEX('_lister'!$C$2:$C$62,MATCH(C154,'_lister'!$A$2:$A$62,0)),1))</f>
        <v/>
      </c>
      <c r="E154" s="20">
        <f>IF($A154="","",SUMIFS('Journal'!$G$3:$G$2002,'Journal'!$D$3:$D$2002,SUBSTITUTE(SUBSTITUTE(SUBSTITUTE('Kontoplan'!$H154,"~","~~"),"*","~*"),"?","~?"))+SUMIFS('Journal'!$F$3:$F$2002,'Journal'!$E$3:$E$2002,SUBSTITUTE(SUBSTITUTE(SUBSTITUTE('Kontoplan'!$H154,"~","~~"),"*","~*"),"?","~?")))</f>
        <v/>
      </c>
      <c r="F154" s="20">
        <f>IF($A154="","",SUMIFS('Journal'!$F$3:$F$2002,'Journal'!$D$3:$D$2002,SUBSTITUTE(SUBSTITUTE(SUBSTITUTE('Kontoplan'!$H154,"~","~~"),"*","~*"),"?","~?"))+SUMIFS('Journal'!$G$3:$G$2002,'Journal'!$E$3:$E$2002,SUBSTITUTE(SUBSTITUTE(SUBSTITUTE('Kontoplan'!$H154,"~","~~"),"*","~*"),"?","~?")))</f>
        <v/>
      </c>
      <c r="G154" s="20">
        <f>IF($A154="","",D154+E154-F154)</f>
        <v/>
      </c>
      <c r="H154" s="14" t="n"/>
      <c r="I154" s="8" t="n"/>
    </row>
    <row r="155">
      <c r="A155" s="5">
        <f>IF('Kontoplan'!A155="","",'Kontoplan'!A155)</f>
        <v/>
      </c>
      <c r="B155" s="5">
        <f>IF($A155="","",'Kontoplan'!B155)</f>
        <v/>
      </c>
      <c r="C155" s="5">
        <f>IF($A155="","",'Kontoplan'!C155)</f>
        <v/>
      </c>
      <c r="D155" s="20">
        <f>IF($A155="","",SUMIFS('Åpningsbalanse'!$C$4:$C$103,'Åpningsbalanse'!$A$4:$A$103,SUBSTITUTE(SUBSTITUTE(SUBSTITUTE('Kontoplan'!$H155,"~","~~"),"*","~*"),"?","~?"))*IFERROR(INDEX('_lister'!$C$2:$C$62,MATCH(C155,'_lister'!$A$2:$A$62,0)),1))</f>
        <v/>
      </c>
      <c r="E155" s="20">
        <f>IF($A155="","",SUMIFS('Journal'!$G$3:$G$2002,'Journal'!$D$3:$D$2002,SUBSTITUTE(SUBSTITUTE(SUBSTITUTE('Kontoplan'!$H155,"~","~~"),"*","~*"),"?","~?"))+SUMIFS('Journal'!$F$3:$F$2002,'Journal'!$E$3:$E$2002,SUBSTITUTE(SUBSTITUTE(SUBSTITUTE('Kontoplan'!$H155,"~","~~"),"*","~*"),"?","~?")))</f>
        <v/>
      </c>
      <c r="F155" s="20">
        <f>IF($A155="","",SUMIFS('Journal'!$F$3:$F$2002,'Journal'!$D$3:$D$2002,SUBSTITUTE(SUBSTITUTE(SUBSTITUTE('Kontoplan'!$H155,"~","~~"),"*","~*"),"?","~?"))+SUMIFS('Journal'!$G$3:$G$2002,'Journal'!$E$3:$E$2002,SUBSTITUTE(SUBSTITUTE(SUBSTITUTE('Kontoplan'!$H155,"~","~~"),"*","~*"),"?","~?")))</f>
        <v/>
      </c>
      <c r="G155" s="20">
        <f>IF($A155="","",D155+E155-F155)</f>
        <v/>
      </c>
      <c r="H155" s="14" t="n"/>
      <c r="I155" s="8" t="n"/>
    </row>
    <row r="156">
      <c r="A156" s="5">
        <f>IF('Kontoplan'!A156="","",'Kontoplan'!A156)</f>
        <v/>
      </c>
      <c r="B156" s="5">
        <f>IF($A156="","",'Kontoplan'!B156)</f>
        <v/>
      </c>
      <c r="C156" s="5">
        <f>IF($A156="","",'Kontoplan'!C156)</f>
        <v/>
      </c>
      <c r="D156" s="20">
        <f>IF($A156="","",SUMIFS('Åpningsbalanse'!$C$4:$C$103,'Åpningsbalanse'!$A$4:$A$103,SUBSTITUTE(SUBSTITUTE(SUBSTITUTE('Kontoplan'!$H156,"~","~~"),"*","~*"),"?","~?"))*IFERROR(INDEX('_lister'!$C$2:$C$62,MATCH(C156,'_lister'!$A$2:$A$62,0)),1))</f>
        <v/>
      </c>
      <c r="E156" s="20">
        <f>IF($A156="","",SUMIFS('Journal'!$G$3:$G$2002,'Journal'!$D$3:$D$2002,SUBSTITUTE(SUBSTITUTE(SUBSTITUTE('Kontoplan'!$H156,"~","~~"),"*","~*"),"?","~?"))+SUMIFS('Journal'!$F$3:$F$2002,'Journal'!$E$3:$E$2002,SUBSTITUTE(SUBSTITUTE(SUBSTITUTE('Kontoplan'!$H156,"~","~~"),"*","~*"),"?","~?")))</f>
        <v/>
      </c>
      <c r="F156" s="20">
        <f>IF($A156="","",SUMIFS('Journal'!$F$3:$F$2002,'Journal'!$D$3:$D$2002,SUBSTITUTE(SUBSTITUTE(SUBSTITUTE('Kontoplan'!$H156,"~","~~"),"*","~*"),"?","~?"))+SUMIFS('Journal'!$G$3:$G$2002,'Journal'!$E$3:$E$2002,SUBSTITUTE(SUBSTITUTE(SUBSTITUTE('Kontoplan'!$H156,"~","~~"),"*","~*"),"?","~?")))</f>
        <v/>
      </c>
      <c r="G156" s="20">
        <f>IF($A156="","",D156+E156-F156)</f>
        <v/>
      </c>
      <c r="H156" s="14" t="n"/>
      <c r="I156" s="8" t="n"/>
    </row>
    <row r="157">
      <c r="A157" s="5">
        <f>IF('Kontoplan'!A157="","",'Kontoplan'!A157)</f>
        <v/>
      </c>
      <c r="B157" s="5">
        <f>IF($A157="","",'Kontoplan'!B157)</f>
        <v/>
      </c>
      <c r="C157" s="5">
        <f>IF($A157="","",'Kontoplan'!C157)</f>
        <v/>
      </c>
      <c r="D157" s="20">
        <f>IF($A157="","",SUMIFS('Åpningsbalanse'!$C$4:$C$103,'Åpningsbalanse'!$A$4:$A$103,SUBSTITUTE(SUBSTITUTE(SUBSTITUTE('Kontoplan'!$H157,"~","~~"),"*","~*"),"?","~?"))*IFERROR(INDEX('_lister'!$C$2:$C$62,MATCH(C157,'_lister'!$A$2:$A$62,0)),1))</f>
        <v/>
      </c>
      <c r="E157" s="20">
        <f>IF($A157="","",SUMIFS('Journal'!$G$3:$G$2002,'Journal'!$D$3:$D$2002,SUBSTITUTE(SUBSTITUTE(SUBSTITUTE('Kontoplan'!$H157,"~","~~"),"*","~*"),"?","~?"))+SUMIFS('Journal'!$F$3:$F$2002,'Journal'!$E$3:$E$2002,SUBSTITUTE(SUBSTITUTE(SUBSTITUTE('Kontoplan'!$H157,"~","~~"),"*","~*"),"?","~?")))</f>
        <v/>
      </c>
      <c r="F157" s="20">
        <f>IF($A157="","",SUMIFS('Journal'!$F$3:$F$2002,'Journal'!$D$3:$D$2002,SUBSTITUTE(SUBSTITUTE(SUBSTITUTE('Kontoplan'!$H157,"~","~~"),"*","~*"),"?","~?"))+SUMIFS('Journal'!$G$3:$G$2002,'Journal'!$E$3:$E$2002,SUBSTITUTE(SUBSTITUTE(SUBSTITUTE('Kontoplan'!$H157,"~","~~"),"*","~*"),"?","~?")))</f>
        <v/>
      </c>
      <c r="G157" s="20">
        <f>IF($A157="","",D157+E157-F157)</f>
        <v/>
      </c>
      <c r="H157" s="14" t="n"/>
      <c r="I157" s="8" t="n"/>
    </row>
    <row r="158">
      <c r="A158" s="5">
        <f>IF('Kontoplan'!A158="","",'Kontoplan'!A158)</f>
        <v/>
      </c>
      <c r="B158" s="5">
        <f>IF($A158="","",'Kontoplan'!B158)</f>
        <v/>
      </c>
      <c r="C158" s="5">
        <f>IF($A158="","",'Kontoplan'!C158)</f>
        <v/>
      </c>
      <c r="D158" s="20">
        <f>IF($A158="","",SUMIFS('Åpningsbalanse'!$C$4:$C$103,'Åpningsbalanse'!$A$4:$A$103,SUBSTITUTE(SUBSTITUTE(SUBSTITUTE('Kontoplan'!$H158,"~","~~"),"*","~*"),"?","~?"))*IFERROR(INDEX('_lister'!$C$2:$C$62,MATCH(C158,'_lister'!$A$2:$A$62,0)),1))</f>
        <v/>
      </c>
      <c r="E158" s="20">
        <f>IF($A158="","",SUMIFS('Journal'!$G$3:$G$2002,'Journal'!$D$3:$D$2002,SUBSTITUTE(SUBSTITUTE(SUBSTITUTE('Kontoplan'!$H158,"~","~~"),"*","~*"),"?","~?"))+SUMIFS('Journal'!$F$3:$F$2002,'Journal'!$E$3:$E$2002,SUBSTITUTE(SUBSTITUTE(SUBSTITUTE('Kontoplan'!$H158,"~","~~"),"*","~*"),"?","~?")))</f>
        <v/>
      </c>
      <c r="F158" s="20">
        <f>IF($A158="","",SUMIFS('Journal'!$F$3:$F$2002,'Journal'!$D$3:$D$2002,SUBSTITUTE(SUBSTITUTE(SUBSTITUTE('Kontoplan'!$H158,"~","~~"),"*","~*"),"?","~?"))+SUMIFS('Journal'!$G$3:$G$2002,'Journal'!$E$3:$E$2002,SUBSTITUTE(SUBSTITUTE(SUBSTITUTE('Kontoplan'!$H158,"~","~~"),"*","~*"),"?","~?")))</f>
        <v/>
      </c>
      <c r="G158" s="20">
        <f>IF($A158="","",D158+E158-F158)</f>
        <v/>
      </c>
      <c r="H158" s="14" t="n"/>
      <c r="I158" s="8" t="n"/>
    </row>
    <row r="159">
      <c r="A159" s="5">
        <f>IF('Kontoplan'!A159="","",'Kontoplan'!A159)</f>
        <v/>
      </c>
      <c r="B159" s="5">
        <f>IF($A159="","",'Kontoplan'!B159)</f>
        <v/>
      </c>
      <c r="C159" s="5">
        <f>IF($A159="","",'Kontoplan'!C159)</f>
        <v/>
      </c>
      <c r="D159" s="20">
        <f>IF($A159="","",SUMIFS('Åpningsbalanse'!$C$4:$C$103,'Åpningsbalanse'!$A$4:$A$103,SUBSTITUTE(SUBSTITUTE(SUBSTITUTE('Kontoplan'!$H159,"~","~~"),"*","~*"),"?","~?"))*IFERROR(INDEX('_lister'!$C$2:$C$62,MATCH(C159,'_lister'!$A$2:$A$62,0)),1))</f>
        <v/>
      </c>
      <c r="E159" s="20">
        <f>IF($A159="","",SUMIFS('Journal'!$G$3:$G$2002,'Journal'!$D$3:$D$2002,SUBSTITUTE(SUBSTITUTE(SUBSTITUTE('Kontoplan'!$H159,"~","~~"),"*","~*"),"?","~?"))+SUMIFS('Journal'!$F$3:$F$2002,'Journal'!$E$3:$E$2002,SUBSTITUTE(SUBSTITUTE(SUBSTITUTE('Kontoplan'!$H159,"~","~~"),"*","~*"),"?","~?")))</f>
        <v/>
      </c>
      <c r="F159" s="20">
        <f>IF($A159="","",SUMIFS('Journal'!$F$3:$F$2002,'Journal'!$D$3:$D$2002,SUBSTITUTE(SUBSTITUTE(SUBSTITUTE('Kontoplan'!$H159,"~","~~"),"*","~*"),"?","~?"))+SUMIFS('Journal'!$G$3:$G$2002,'Journal'!$E$3:$E$2002,SUBSTITUTE(SUBSTITUTE(SUBSTITUTE('Kontoplan'!$H159,"~","~~"),"*","~*"),"?","~?")))</f>
        <v/>
      </c>
      <c r="G159" s="20">
        <f>IF($A159="","",D159+E159-F159)</f>
        <v/>
      </c>
      <c r="H159" s="14" t="n"/>
      <c r="I159" s="8" t="n"/>
    </row>
    <row r="160">
      <c r="A160" s="5">
        <f>IF('Kontoplan'!A160="","",'Kontoplan'!A160)</f>
        <v/>
      </c>
      <c r="B160" s="5">
        <f>IF($A160="","",'Kontoplan'!B160)</f>
        <v/>
      </c>
      <c r="C160" s="5">
        <f>IF($A160="","",'Kontoplan'!C160)</f>
        <v/>
      </c>
      <c r="D160" s="20">
        <f>IF($A160="","",SUMIFS('Åpningsbalanse'!$C$4:$C$103,'Åpningsbalanse'!$A$4:$A$103,SUBSTITUTE(SUBSTITUTE(SUBSTITUTE('Kontoplan'!$H160,"~","~~"),"*","~*"),"?","~?"))*IFERROR(INDEX('_lister'!$C$2:$C$62,MATCH(C160,'_lister'!$A$2:$A$62,0)),1))</f>
        <v/>
      </c>
      <c r="E160" s="20">
        <f>IF($A160="","",SUMIFS('Journal'!$G$3:$G$2002,'Journal'!$D$3:$D$2002,SUBSTITUTE(SUBSTITUTE(SUBSTITUTE('Kontoplan'!$H160,"~","~~"),"*","~*"),"?","~?"))+SUMIFS('Journal'!$F$3:$F$2002,'Journal'!$E$3:$E$2002,SUBSTITUTE(SUBSTITUTE(SUBSTITUTE('Kontoplan'!$H160,"~","~~"),"*","~*"),"?","~?")))</f>
        <v/>
      </c>
      <c r="F160" s="20">
        <f>IF($A160="","",SUMIFS('Journal'!$F$3:$F$2002,'Journal'!$D$3:$D$2002,SUBSTITUTE(SUBSTITUTE(SUBSTITUTE('Kontoplan'!$H160,"~","~~"),"*","~*"),"?","~?"))+SUMIFS('Journal'!$G$3:$G$2002,'Journal'!$E$3:$E$2002,SUBSTITUTE(SUBSTITUTE(SUBSTITUTE('Kontoplan'!$H160,"~","~~"),"*","~*"),"?","~?")))</f>
        <v/>
      </c>
      <c r="G160" s="20">
        <f>IF($A160="","",D160+E160-F160)</f>
        <v/>
      </c>
      <c r="H160" s="14" t="n"/>
      <c r="I160" s="8" t="n"/>
    </row>
    <row r="161">
      <c r="A161" s="5">
        <f>IF('Kontoplan'!A161="","",'Kontoplan'!A161)</f>
        <v/>
      </c>
      <c r="B161" s="5">
        <f>IF($A161="","",'Kontoplan'!B161)</f>
        <v/>
      </c>
      <c r="C161" s="5">
        <f>IF($A161="","",'Kontoplan'!C161)</f>
        <v/>
      </c>
      <c r="D161" s="20">
        <f>IF($A161="","",SUMIFS('Åpningsbalanse'!$C$4:$C$103,'Åpningsbalanse'!$A$4:$A$103,SUBSTITUTE(SUBSTITUTE(SUBSTITUTE('Kontoplan'!$H161,"~","~~"),"*","~*"),"?","~?"))*IFERROR(INDEX('_lister'!$C$2:$C$62,MATCH(C161,'_lister'!$A$2:$A$62,0)),1))</f>
        <v/>
      </c>
      <c r="E161" s="20">
        <f>IF($A161="","",SUMIFS('Journal'!$G$3:$G$2002,'Journal'!$D$3:$D$2002,SUBSTITUTE(SUBSTITUTE(SUBSTITUTE('Kontoplan'!$H161,"~","~~"),"*","~*"),"?","~?"))+SUMIFS('Journal'!$F$3:$F$2002,'Journal'!$E$3:$E$2002,SUBSTITUTE(SUBSTITUTE(SUBSTITUTE('Kontoplan'!$H161,"~","~~"),"*","~*"),"?","~?")))</f>
        <v/>
      </c>
      <c r="F161" s="20">
        <f>IF($A161="","",SUMIFS('Journal'!$F$3:$F$2002,'Journal'!$D$3:$D$2002,SUBSTITUTE(SUBSTITUTE(SUBSTITUTE('Kontoplan'!$H161,"~","~~"),"*","~*"),"?","~?"))+SUMIFS('Journal'!$G$3:$G$2002,'Journal'!$E$3:$E$2002,SUBSTITUTE(SUBSTITUTE(SUBSTITUTE('Kontoplan'!$H161,"~","~~"),"*","~*"),"?","~?")))</f>
        <v/>
      </c>
      <c r="G161" s="20">
        <f>IF($A161="","",D161+E161-F161)</f>
        <v/>
      </c>
      <c r="H161" s="14" t="n"/>
      <c r="I161" s="8" t="n"/>
    </row>
    <row r="162">
      <c r="A162" s="5">
        <f>IF('Kontoplan'!A162="","",'Kontoplan'!A162)</f>
        <v/>
      </c>
      <c r="B162" s="5">
        <f>IF($A162="","",'Kontoplan'!B162)</f>
        <v/>
      </c>
      <c r="C162" s="5">
        <f>IF($A162="","",'Kontoplan'!C162)</f>
        <v/>
      </c>
      <c r="D162" s="20">
        <f>IF($A162="","",SUMIFS('Åpningsbalanse'!$C$4:$C$103,'Åpningsbalanse'!$A$4:$A$103,SUBSTITUTE(SUBSTITUTE(SUBSTITUTE('Kontoplan'!$H162,"~","~~"),"*","~*"),"?","~?"))*IFERROR(INDEX('_lister'!$C$2:$C$62,MATCH(C162,'_lister'!$A$2:$A$62,0)),1))</f>
        <v/>
      </c>
      <c r="E162" s="20">
        <f>IF($A162="","",SUMIFS('Journal'!$G$3:$G$2002,'Journal'!$D$3:$D$2002,SUBSTITUTE(SUBSTITUTE(SUBSTITUTE('Kontoplan'!$H162,"~","~~"),"*","~*"),"?","~?"))+SUMIFS('Journal'!$F$3:$F$2002,'Journal'!$E$3:$E$2002,SUBSTITUTE(SUBSTITUTE(SUBSTITUTE('Kontoplan'!$H162,"~","~~"),"*","~*"),"?","~?")))</f>
        <v/>
      </c>
      <c r="F162" s="20">
        <f>IF($A162="","",SUMIFS('Journal'!$F$3:$F$2002,'Journal'!$D$3:$D$2002,SUBSTITUTE(SUBSTITUTE(SUBSTITUTE('Kontoplan'!$H162,"~","~~"),"*","~*"),"?","~?"))+SUMIFS('Journal'!$G$3:$G$2002,'Journal'!$E$3:$E$2002,SUBSTITUTE(SUBSTITUTE(SUBSTITUTE('Kontoplan'!$H162,"~","~~"),"*","~*"),"?","~?")))</f>
        <v/>
      </c>
      <c r="G162" s="20">
        <f>IF($A162="","",D162+E162-F162)</f>
        <v/>
      </c>
      <c r="H162" s="14" t="n"/>
      <c r="I162" s="8" t="n"/>
    </row>
    <row r="163">
      <c r="A163" s="5">
        <f>IF('Kontoplan'!A163="","",'Kontoplan'!A163)</f>
        <v/>
      </c>
      <c r="B163" s="5">
        <f>IF($A163="","",'Kontoplan'!B163)</f>
        <v/>
      </c>
      <c r="C163" s="5">
        <f>IF($A163="","",'Kontoplan'!C163)</f>
        <v/>
      </c>
      <c r="D163" s="20">
        <f>IF($A163="","",SUMIFS('Åpningsbalanse'!$C$4:$C$103,'Åpningsbalanse'!$A$4:$A$103,SUBSTITUTE(SUBSTITUTE(SUBSTITUTE('Kontoplan'!$H163,"~","~~"),"*","~*"),"?","~?"))*IFERROR(INDEX('_lister'!$C$2:$C$62,MATCH(C163,'_lister'!$A$2:$A$62,0)),1))</f>
        <v/>
      </c>
      <c r="E163" s="20">
        <f>IF($A163="","",SUMIFS('Journal'!$G$3:$G$2002,'Journal'!$D$3:$D$2002,SUBSTITUTE(SUBSTITUTE(SUBSTITUTE('Kontoplan'!$H163,"~","~~"),"*","~*"),"?","~?"))+SUMIFS('Journal'!$F$3:$F$2002,'Journal'!$E$3:$E$2002,SUBSTITUTE(SUBSTITUTE(SUBSTITUTE('Kontoplan'!$H163,"~","~~"),"*","~*"),"?","~?")))</f>
        <v/>
      </c>
      <c r="F163" s="20">
        <f>IF($A163="","",SUMIFS('Journal'!$F$3:$F$2002,'Journal'!$D$3:$D$2002,SUBSTITUTE(SUBSTITUTE(SUBSTITUTE('Kontoplan'!$H163,"~","~~"),"*","~*"),"?","~?"))+SUMIFS('Journal'!$G$3:$G$2002,'Journal'!$E$3:$E$2002,SUBSTITUTE(SUBSTITUTE(SUBSTITUTE('Kontoplan'!$H163,"~","~~"),"*","~*"),"?","~?")))</f>
        <v/>
      </c>
      <c r="G163" s="20">
        <f>IF($A163="","",D163+E163-F163)</f>
        <v/>
      </c>
      <c r="H163" s="14" t="n"/>
      <c r="I163" s="8" t="n"/>
    </row>
    <row r="164">
      <c r="A164" s="5">
        <f>IF('Kontoplan'!A164="","",'Kontoplan'!A164)</f>
        <v/>
      </c>
      <c r="B164" s="5">
        <f>IF($A164="","",'Kontoplan'!B164)</f>
        <v/>
      </c>
      <c r="C164" s="5">
        <f>IF($A164="","",'Kontoplan'!C164)</f>
        <v/>
      </c>
      <c r="D164" s="20">
        <f>IF($A164="","",SUMIFS('Åpningsbalanse'!$C$4:$C$103,'Åpningsbalanse'!$A$4:$A$103,SUBSTITUTE(SUBSTITUTE(SUBSTITUTE('Kontoplan'!$H164,"~","~~"),"*","~*"),"?","~?"))*IFERROR(INDEX('_lister'!$C$2:$C$62,MATCH(C164,'_lister'!$A$2:$A$62,0)),1))</f>
        <v/>
      </c>
      <c r="E164" s="20">
        <f>IF($A164="","",SUMIFS('Journal'!$G$3:$G$2002,'Journal'!$D$3:$D$2002,SUBSTITUTE(SUBSTITUTE(SUBSTITUTE('Kontoplan'!$H164,"~","~~"),"*","~*"),"?","~?"))+SUMIFS('Journal'!$F$3:$F$2002,'Journal'!$E$3:$E$2002,SUBSTITUTE(SUBSTITUTE(SUBSTITUTE('Kontoplan'!$H164,"~","~~"),"*","~*"),"?","~?")))</f>
        <v/>
      </c>
      <c r="F164" s="20">
        <f>IF($A164="","",SUMIFS('Journal'!$F$3:$F$2002,'Journal'!$D$3:$D$2002,SUBSTITUTE(SUBSTITUTE(SUBSTITUTE('Kontoplan'!$H164,"~","~~"),"*","~*"),"?","~?"))+SUMIFS('Journal'!$G$3:$G$2002,'Journal'!$E$3:$E$2002,SUBSTITUTE(SUBSTITUTE(SUBSTITUTE('Kontoplan'!$H164,"~","~~"),"*","~*"),"?","~?")))</f>
        <v/>
      </c>
      <c r="G164" s="20">
        <f>IF($A164="","",D164+E164-F164)</f>
        <v/>
      </c>
      <c r="H164" s="14" t="n"/>
      <c r="I164" s="8" t="n"/>
    </row>
    <row r="165">
      <c r="A165" s="5">
        <f>IF('Kontoplan'!A165="","",'Kontoplan'!A165)</f>
        <v/>
      </c>
      <c r="B165" s="5">
        <f>IF($A165="","",'Kontoplan'!B165)</f>
        <v/>
      </c>
      <c r="C165" s="5">
        <f>IF($A165="","",'Kontoplan'!C165)</f>
        <v/>
      </c>
      <c r="D165" s="20">
        <f>IF($A165="","",SUMIFS('Åpningsbalanse'!$C$4:$C$103,'Åpningsbalanse'!$A$4:$A$103,SUBSTITUTE(SUBSTITUTE(SUBSTITUTE('Kontoplan'!$H165,"~","~~"),"*","~*"),"?","~?"))*IFERROR(INDEX('_lister'!$C$2:$C$62,MATCH(C165,'_lister'!$A$2:$A$62,0)),1))</f>
        <v/>
      </c>
      <c r="E165" s="20">
        <f>IF($A165="","",SUMIFS('Journal'!$G$3:$G$2002,'Journal'!$D$3:$D$2002,SUBSTITUTE(SUBSTITUTE(SUBSTITUTE('Kontoplan'!$H165,"~","~~"),"*","~*"),"?","~?"))+SUMIFS('Journal'!$F$3:$F$2002,'Journal'!$E$3:$E$2002,SUBSTITUTE(SUBSTITUTE(SUBSTITUTE('Kontoplan'!$H165,"~","~~"),"*","~*"),"?","~?")))</f>
        <v/>
      </c>
      <c r="F165" s="20">
        <f>IF($A165="","",SUMIFS('Journal'!$F$3:$F$2002,'Journal'!$D$3:$D$2002,SUBSTITUTE(SUBSTITUTE(SUBSTITUTE('Kontoplan'!$H165,"~","~~"),"*","~*"),"?","~?"))+SUMIFS('Journal'!$G$3:$G$2002,'Journal'!$E$3:$E$2002,SUBSTITUTE(SUBSTITUTE(SUBSTITUTE('Kontoplan'!$H165,"~","~~"),"*","~*"),"?","~?")))</f>
        <v/>
      </c>
      <c r="G165" s="20">
        <f>IF($A165="","",D165+E165-F165)</f>
        <v/>
      </c>
      <c r="H165" s="14" t="n"/>
      <c r="I165" s="8" t="n"/>
    </row>
    <row r="166">
      <c r="A166" s="5">
        <f>IF('Kontoplan'!A166="","",'Kontoplan'!A166)</f>
        <v/>
      </c>
      <c r="B166" s="5">
        <f>IF($A166="","",'Kontoplan'!B166)</f>
        <v/>
      </c>
      <c r="C166" s="5">
        <f>IF($A166="","",'Kontoplan'!C166)</f>
        <v/>
      </c>
      <c r="D166" s="20">
        <f>IF($A166="","",SUMIFS('Åpningsbalanse'!$C$4:$C$103,'Åpningsbalanse'!$A$4:$A$103,SUBSTITUTE(SUBSTITUTE(SUBSTITUTE('Kontoplan'!$H166,"~","~~"),"*","~*"),"?","~?"))*IFERROR(INDEX('_lister'!$C$2:$C$62,MATCH(C166,'_lister'!$A$2:$A$62,0)),1))</f>
        <v/>
      </c>
      <c r="E166" s="20">
        <f>IF($A166="","",SUMIFS('Journal'!$G$3:$G$2002,'Journal'!$D$3:$D$2002,SUBSTITUTE(SUBSTITUTE(SUBSTITUTE('Kontoplan'!$H166,"~","~~"),"*","~*"),"?","~?"))+SUMIFS('Journal'!$F$3:$F$2002,'Journal'!$E$3:$E$2002,SUBSTITUTE(SUBSTITUTE(SUBSTITUTE('Kontoplan'!$H166,"~","~~"),"*","~*"),"?","~?")))</f>
        <v/>
      </c>
      <c r="F166" s="20">
        <f>IF($A166="","",SUMIFS('Journal'!$F$3:$F$2002,'Journal'!$D$3:$D$2002,SUBSTITUTE(SUBSTITUTE(SUBSTITUTE('Kontoplan'!$H166,"~","~~"),"*","~*"),"?","~?"))+SUMIFS('Journal'!$G$3:$G$2002,'Journal'!$E$3:$E$2002,SUBSTITUTE(SUBSTITUTE(SUBSTITUTE('Kontoplan'!$H166,"~","~~"),"*","~*"),"?","~?")))</f>
        <v/>
      </c>
      <c r="G166" s="20">
        <f>IF($A166="","",D166+E166-F166)</f>
        <v/>
      </c>
      <c r="H166" s="14" t="n"/>
      <c r="I166" s="8" t="n"/>
    </row>
    <row r="167">
      <c r="A167" s="5">
        <f>IF('Kontoplan'!A167="","",'Kontoplan'!A167)</f>
        <v/>
      </c>
      <c r="B167" s="5">
        <f>IF($A167="","",'Kontoplan'!B167)</f>
        <v/>
      </c>
      <c r="C167" s="5">
        <f>IF($A167="","",'Kontoplan'!C167)</f>
        <v/>
      </c>
      <c r="D167" s="20">
        <f>IF($A167="","",SUMIFS('Åpningsbalanse'!$C$4:$C$103,'Åpningsbalanse'!$A$4:$A$103,SUBSTITUTE(SUBSTITUTE(SUBSTITUTE('Kontoplan'!$H167,"~","~~"),"*","~*"),"?","~?"))*IFERROR(INDEX('_lister'!$C$2:$C$62,MATCH(C167,'_lister'!$A$2:$A$62,0)),1))</f>
        <v/>
      </c>
      <c r="E167" s="20">
        <f>IF($A167="","",SUMIFS('Journal'!$G$3:$G$2002,'Journal'!$D$3:$D$2002,SUBSTITUTE(SUBSTITUTE(SUBSTITUTE('Kontoplan'!$H167,"~","~~"),"*","~*"),"?","~?"))+SUMIFS('Journal'!$F$3:$F$2002,'Journal'!$E$3:$E$2002,SUBSTITUTE(SUBSTITUTE(SUBSTITUTE('Kontoplan'!$H167,"~","~~"),"*","~*"),"?","~?")))</f>
        <v/>
      </c>
      <c r="F167" s="20">
        <f>IF($A167="","",SUMIFS('Journal'!$F$3:$F$2002,'Journal'!$D$3:$D$2002,SUBSTITUTE(SUBSTITUTE(SUBSTITUTE('Kontoplan'!$H167,"~","~~"),"*","~*"),"?","~?"))+SUMIFS('Journal'!$G$3:$G$2002,'Journal'!$E$3:$E$2002,SUBSTITUTE(SUBSTITUTE(SUBSTITUTE('Kontoplan'!$H167,"~","~~"),"*","~*"),"?","~?")))</f>
        <v/>
      </c>
      <c r="G167" s="20">
        <f>IF($A167="","",D167+E167-F167)</f>
        <v/>
      </c>
      <c r="H167" s="14" t="n"/>
      <c r="I167" s="8" t="n"/>
    </row>
    <row r="168">
      <c r="A168" s="5">
        <f>IF('Kontoplan'!A168="","",'Kontoplan'!A168)</f>
        <v/>
      </c>
      <c r="B168" s="5">
        <f>IF($A168="","",'Kontoplan'!B168)</f>
        <v/>
      </c>
      <c r="C168" s="5">
        <f>IF($A168="","",'Kontoplan'!C168)</f>
        <v/>
      </c>
      <c r="D168" s="20">
        <f>IF($A168="","",SUMIFS('Åpningsbalanse'!$C$4:$C$103,'Åpningsbalanse'!$A$4:$A$103,SUBSTITUTE(SUBSTITUTE(SUBSTITUTE('Kontoplan'!$H168,"~","~~"),"*","~*"),"?","~?"))*IFERROR(INDEX('_lister'!$C$2:$C$62,MATCH(C168,'_lister'!$A$2:$A$62,0)),1))</f>
        <v/>
      </c>
      <c r="E168" s="20">
        <f>IF($A168="","",SUMIFS('Journal'!$G$3:$G$2002,'Journal'!$D$3:$D$2002,SUBSTITUTE(SUBSTITUTE(SUBSTITUTE('Kontoplan'!$H168,"~","~~"),"*","~*"),"?","~?"))+SUMIFS('Journal'!$F$3:$F$2002,'Journal'!$E$3:$E$2002,SUBSTITUTE(SUBSTITUTE(SUBSTITUTE('Kontoplan'!$H168,"~","~~"),"*","~*"),"?","~?")))</f>
        <v/>
      </c>
      <c r="F168" s="20">
        <f>IF($A168="","",SUMIFS('Journal'!$F$3:$F$2002,'Journal'!$D$3:$D$2002,SUBSTITUTE(SUBSTITUTE(SUBSTITUTE('Kontoplan'!$H168,"~","~~"),"*","~*"),"?","~?"))+SUMIFS('Journal'!$G$3:$G$2002,'Journal'!$E$3:$E$2002,SUBSTITUTE(SUBSTITUTE(SUBSTITUTE('Kontoplan'!$H168,"~","~~"),"*","~*"),"?","~?")))</f>
        <v/>
      </c>
      <c r="G168" s="20">
        <f>IF($A168="","",D168+E168-F168)</f>
        <v/>
      </c>
      <c r="H168" s="14" t="n"/>
      <c r="I168" s="8" t="n"/>
    </row>
    <row r="169">
      <c r="A169" s="5">
        <f>IF('Kontoplan'!A169="","",'Kontoplan'!A169)</f>
        <v/>
      </c>
      <c r="B169" s="5">
        <f>IF($A169="","",'Kontoplan'!B169)</f>
        <v/>
      </c>
      <c r="C169" s="5">
        <f>IF($A169="","",'Kontoplan'!C169)</f>
        <v/>
      </c>
      <c r="D169" s="20">
        <f>IF($A169="","",SUMIFS('Åpningsbalanse'!$C$4:$C$103,'Åpningsbalanse'!$A$4:$A$103,SUBSTITUTE(SUBSTITUTE(SUBSTITUTE('Kontoplan'!$H169,"~","~~"),"*","~*"),"?","~?"))*IFERROR(INDEX('_lister'!$C$2:$C$62,MATCH(C169,'_lister'!$A$2:$A$62,0)),1))</f>
        <v/>
      </c>
      <c r="E169" s="20">
        <f>IF($A169="","",SUMIFS('Journal'!$G$3:$G$2002,'Journal'!$D$3:$D$2002,SUBSTITUTE(SUBSTITUTE(SUBSTITUTE('Kontoplan'!$H169,"~","~~"),"*","~*"),"?","~?"))+SUMIFS('Journal'!$F$3:$F$2002,'Journal'!$E$3:$E$2002,SUBSTITUTE(SUBSTITUTE(SUBSTITUTE('Kontoplan'!$H169,"~","~~"),"*","~*"),"?","~?")))</f>
        <v/>
      </c>
      <c r="F169" s="20">
        <f>IF($A169="","",SUMIFS('Journal'!$F$3:$F$2002,'Journal'!$D$3:$D$2002,SUBSTITUTE(SUBSTITUTE(SUBSTITUTE('Kontoplan'!$H169,"~","~~"),"*","~*"),"?","~?"))+SUMIFS('Journal'!$G$3:$G$2002,'Journal'!$E$3:$E$2002,SUBSTITUTE(SUBSTITUTE(SUBSTITUTE('Kontoplan'!$H169,"~","~~"),"*","~*"),"?","~?")))</f>
        <v/>
      </c>
      <c r="G169" s="20">
        <f>IF($A169="","",D169+E169-F169)</f>
        <v/>
      </c>
      <c r="H169" s="14" t="n"/>
      <c r="I169" s="8" t="n"/>
    </row>
    <row r="170">
      <c r="A170" s="5">
        <f>IF('Kontoplan'!A170="","",'Kontoplan'!A170)</f>
        <v/>
      </c>
      <c r="B170" s="5">
        <f>IF($A170="","",'Kontoplan'!B170)</f>
        <v/>
      </c>
      <c r="C170" s="5">
        <f>IF($A170="","",'Kontoplan'!C170)</f>
        <v/>
      </c>
      <c r="D170" s="20">
        <f>IF($A170="","",SUMIFS('Åpningsbalanse'!$C$4:$C$103,'Åpningsbalanse'!$A$4:$A$103,SUBSTITUTE(SUBSTITUTE(SUBSTITUTE('Kontoplan'!$H170,"~","~~"),"*","~*"),"?","~?"))*IFERROR(INDEX('_lister'!$C$2:$C$62,MATCH(C170,'_lister'!$A$2:$A$62,0)),1))</f>
        <v/>
      </c>
      <c r="E170" s="20">
        <f>IF($A170="","",SUMIFS('Journal'!$G$3:$G$2002,'Journal'!$D$3:$D$2002,SUBSTITUTE(SUBSTITUTE(SUBSTITUTE('Kontoplan'!$H170,"~","~~"),"*","~*"),"?","~?"))+SUMIFS('Journal'!$F$3:$F$2002,'Journal'!$E$3:$E$2002,SUBSTITUTE(SUBSTITUTE(SUBSTITUTE('Kontoplan'!$H170,"~","~~"),"*","~*"),"?","~?")))</f>
        <v/>
      </c>
      <c r="F170" s="20">
        <f>IF($A170="","",SUMIFS('Journal'!$F$3:$F$2002,'Journal'!$D$3:$D$2002,SUBSTITUTE(SUBSTITUTE(SUBSTITUTE('Kontoplan'!$H170,"~","~~"),"*","~*"),"?","~?"))+SUMIFS('Journal'!$G$3:$G$2002,'Journal'!$E$3:$E$2002,SUBSTITUTE(SUBSTITUTE(SUBSTITUTE('Kontoplan'!$H170,"~","~~"),"*","~*"),"?","~?")))</f>
        <v/>
      </c>
      <c r="G170" s="20">
        <f>IF($A170="","",D170+E170-F170)</f>
        <v/>
      </c>
      <c r="H170" s="14" t="n"/>
      <c r="I170" s="8" t="n"/>
    </row>
    <row r="171">
      <c r="A171" s="5">
        <f>IF('Kontoplan'!A171="","",'Kontoplan'!A171)</f>
        <v/>
      </c>
      <c r="B171" s="5">
        <f>IF($A171="","",'Kontoplan'!B171)</f>
        <v/>
      </c>
      <c r="C171" s="5">
        <f>IF($A171="","",'Kontoplan'!C171)</f>
        <v/>
      </c>
      <c r="D171" s="20">
        <f>IF($A171="","",SUMIFS('Åpningsbalanse'!$C$4:$C$103,'Åpningsbalanse'!$A$4:$A$103,SUBSTITUTE(SUBSTITUTE(SUBSTITUTE('Kontoplan'!$H171,"~","~~"),"*","~*"),"?","~?"))*IFERROR(INDEX('_lister'!$C$2:$C$62,MATCH(C171,'_lister'!$A$2:$A$62,0)),1))</f>
        <v/>
      </c>
      <c r="E171" s="20">
        <f>IF($A171="","",SUMIFS('Journal'!$G$3:$G$2002,'Journal'!$D$3:$D$2002,SUBSTITUTE(SUBSTITUTE(SUBSTITUTE('Kontoplan'!$H171,"~","~~"),"*","~*"),"?","~?"))+SUMIFS('Journal'!$F$3:$F$2002,'Journal'!$E$3:$E$2002,SUBSTITUTE(SUBSTITUTE(SUBSTITUTE('Kontoplan'!$H171,"~","~~"),"*","~*"),"?","~?")))</f>
        <v/>
      </c>
      <c r="F171" s="20">
        <f>IF($A171="","",SUMIFS('Journal'!$F$3:$F$2002,'Journal'!$D$3:$D$2002,SUBSTITUTE(SUBSTITUTE(SUBSTITUTE('Kontoplan'!$H171,"~","~~"),"*","~*"),"?","~?"))+SUMIFS('Journal'!$G$3:$G$2002,'Journal'!$E$3:$E$2002,SUBSTITUTE(SUBSTITUTE(SUBSTITUTE('Kontoplan'!$H171,"~","~~"),"*","~*"),"?","~?")))</f>
        <v/>
      </c>
      <c r="G171" s="20">
        <f>IF($A171="","",D171+E171-F171)</f>
        <v/>
      </c>
      <c r="H171" s="14" t="n"/>
      <c r="I171" s="8" t="n"/>
    </row>
    <row r="172">
      <c r="A172" s="5">
        <f>IF('Kontoplan'!A172="","",'Kontoplan'!A172)</f>
        <v/>
      </c>
      <c r="B172" s="5">
        <f>IF($A172="","",'Kontoplan'!B172)</f>
        <v/>
      </c>
      <c r="C172" s="5">
        <f>IF($A172="","",'Kontoplan'!C172)</f>
        <v/>
      </c>
      <c r="D172" s="20">
        <f>IF($A172="","",SUMIFS('Åpningsbalanse'!$C$4:$C$103,'Åpningsbalanse'!$A$4:$A$103,SUBSTITUTE(SUBSTITUTE(SUBSTITUTE('Kontoplan'!$H172,"~","~~"),"*","~*"),"?","~?"))*IFERROR(INDEX('_lister'!$C$2:$C$62,MATCH(C172,'_lister'!$A$2:$A$62,0)),1))</f>
        <v/>
      </c>
      <c r="E172" s="20">
        <f>IF($A172="","",SUMIFS('Journal'!$G$3:$G$2002,'Journal'!$D$3:$D$2002,SUBSTITUTE(SUBSTITUTE(SUBSTITUTE('Kontoplan'!$H172,"~","~~"),"*","~*"),"?","~?"))+SUMIFS('Journal'!$F$3:$F$2002,'Journal'!$E$3:$E$2002,SUBSTITUTE(SUBSTITUTE(SUBSTITUTE('Kontoplan'!$H172,"~","~~"),"*","~*"),"?","~?")))</f>
        <v/>
      </c>
      <c r="F172" s="20">
        <f>IF($A172="","",SUMIFS('Journal'!$F$3:$F$2002,'Journal'!$D$3:$D$2002,SUBSTITUTE(SUBSTITUTE(SUBSTITUTE('Kontoplan'!$H172,"~","~~"),"*","~*"),"?","~?"))+SUMIFS('Journal'!$G$3:$G$2002,'Journal'!$E$3:$E$2002,SUBSTITUTE(SUBSTITUTE(SUBSTITUTE('Kontoplan'!$H172,"~","~~"),"*","~*"),"?","~?")))</f>
        <v/>
      </c>
      <c r="G172" s="20">
        <f>IF($A172="","",D172+E172-F172)</f>
        <v/>
      </c>
      <c r="H172" s="14" t="n"/>
      <c r="I172" s="8" t="n"/>
    </row>
    <row r="173">
      <c r="A173" s="5">
        <f>IF('Kontoplan'!A173="","",'Kontoplan'!A173)</f>
        <v/>
      </c>
      <c r="B173" s="5">
        <f>IF($A173="","",'Kontoplan'!B173)</f>
        <v/>
      </c>
      <c r="C173" s="5">
        <f>IF($A173="","",'Kontoplan'!C173)</f>
        <v/>
      </c>
      <c r="D173" s="20">
        <f>IF($A173="","",SUMIFS('Åpningsbalanse'!$C$4:$C$103,'Åpningsbalanse'!$A$4:$A$103,SUBSTITUTE(SUBSTITUTE(SUBSTITUTE('Kontoplan'!$H173,"~","~~"),"*","~*"),"?","~?"))*IFERROR(INDEX('_lister'!$C$2:$C$62,MATCH(C173,'_lister'!$A$2:$A$62,0)),1))</f>
        <v/>
      </c>
      <c r="E173" s="20">
        <f>IF($A173="","",SUMIFS('Journal'!$G$3:$G$2002,'Journal'!$D$3:$D$2002,SUBSTITUTE(SUBSTITUTE(SUBSTITUTE('Kontoplan'!$H173,"~","~~"),"*","~*"),"?","~?"))+SUMIFS('Journal'!$F$3:$F$2002,'Journal'!$E$3:$E$2002,SUBSTITUTE(SUBSTITUTE(SUBSTITUTE('Kontoplan'!$H173,"~","~~"),"*","~*"),"?","~?")))</f>
        <v/>
      </c>
      <c r="F173" s="20">
        <f>IF($A173="","",SUMIFS('Journal'!$F$3:$F$2002,'Journal'!$D$3:$D$2002,SUBSTITUTE(SUBSTITUTE(SUBSTITUTE('Kontoplan'!$H173,"~","~~"),"*","~*"),"?","~?"))+SUMIFS('Journal'!$G$3:$G$2002,'Journal'!$E$3:$E$2002,SUBSTITUTE(SUBSTITUTE(SUBSTITUTE('Kontoplan'!$H173,"~","~~"),"*","~*"),"?","~?")))</f>
        <v/>
      </c>
      <c r="G173" s="20">
        <f>IF($A173="","",D173+E173-F173)</f>
        <v/>
      </c>
      <c r="H173" s="14" t="n"/>
      <c r="I173" s="8" t="n"/>
    </row>
    <row r="174">
      <c r="A174" s="5">
        <f>IF('Kontoplan'!A174="","",'Kontoplan'!A174)</f>
        <v/>
      </c>
      <c r="B174" s="5">
        <f>IF($A174="","",'Kontoplan'!B174)</f>
        <v/>
      </c>
      <c r="C174" s="5">
        <f>IF($A174="","",'Kontoplan'!C174)</f>
        <v/>
      </c>
      <c r="D174" s="20">
        <f>IF($A174="","",SUMIFS('Åpningsbalanse'!$C$4:$C$103,'Åpningsbalanse'!$A$4:$A$103,SUBSTITUTE(SUBSTITUTE(SUBSTITUTE('Kontoplan'!$H174,"~","~~"),"*","~*"),"?","~?"))*IFERROR(INDEX('_lister'!$C$2:$C$62,MATCH(C174,'_lister'!$A$2:$A$62,0)),1))</f>
        <v/>
      </c>
      <c r="E174" s="20">
        <f>IF($A174="","",SUMIFS('Journal'!$G$3:$G$2002,'Journal'!$D$3:$D$2002,SUBSTITUTE(SUBSTITUTE(SUBSTITUTE('Kontoplan'!$H174,"~","~~"),"*","~*"),"?","~?"))+SUMIFS('Journal'!$F$3:$F$2002,'Journal'!$E$3:$E$2002,SUBSTITUTE(SUBSTITUTE(SUBSTITUTE('Kontoplan'!$H174,"~","~~"),"*","~*"),"?","~?")))</f>
        <v/>
      </c>
      <c r="F174" s="20">
        <f>IF($A174="","",SUMIFS('Journal'!$F$3:$F$2002,'Journal'!$D$3:$D$2002,SUBSTITUTE(SUBSTITUTE(SUBSTITUTE('Kontoplan'!$H174,"~","~~"),"*","~*"),"?","~?"))+SUMIFS('Journal'!$G$3:$G$2002,'Journal'!$E$3:$E$2002,SUBSTITUTE(SUBSTITUTE(SUBSTITUTE('Kontoplan'!$H174,"~","~~"),"*","~*"),"?","~?")))</f>
        <v/>
      </c>
      <c r="G174" s="20">
        <f>IF($A174="","",D174+E174-F174)</f>
        <v/>
      </c>
      <c r="H174" s="14" t="n"/>
      <c r="I174" s="8" t="n"/>
    </row>
    <row r="175">
      <c r="A175" s="5">
        <f>IF('Kontoplan'!A175="","",'Kontoplan'!A175)</f>
        <v/>
      </c>
      <c r="B175" s="5">
        <f>IF($A175="","",'Kontoplan'!B175)</f>
        <v/>
      </c>
      <c r="C175" s="5">
        <f>IF($A175="","",'Kontoplan'!C175)</f>
        <v/>
      </c>
      <c r="D175" s="20">
        <f>IF($A175="","",SUMIFS('Åpningsbalanse'!$C$4:$C$103,'Åpningsbalanse'!$A$4:$A$103,SUBSTITUTE(SUBSTITUTE(SUBSTITUTE('Kontoplan'!$H175,"~","~~"),"*","~*"),"?","~?"))*IFERROR(INDEX('_lister'!$C$2:$C$62,MATCH(C175,'_lister'!$A$2:$A$62,0)),1))</f>
        <v/>
      </c>
      <c r="E175" s="20">
        <f>IF($A175="","",SUMIFS('Journal'!$G$3:$G$2002,'Journal'!$D$3:$D$2002,SUBSTITUTE(SUBSTITUTE(SUBSTITUTE('Kontoplan'!$H175,"~","~~"),"*","~*"),"?","~?"))+SUMIFS('Journal'!$F$3:$F$2002,'Journal'!$E$3:$E$2002,SUBSTITUTE(SUBSTITUTE(SUBSTITUTE('Kontoplan'!$H175,"~","~~"),"*","~*"),"?","~?")))</f>
        <v/>
      </c>
      <c r="F175" s="20">
        <f>IF($A175="","",SUMIFS('Journal'!$F$3:$F$2002,'Journal'!$D$3:$D$2002,SUBSTITUTE(SUBSTITUTE(SUBSTITUTE('Kontoplan'!$H175,"~","~~"),"*","~*"),"?","~?"))+SUMIFS('Journal'!$G$3:$G$2002,'Journal'!$E$3:$E$2002,SUBSTITUTE(SUBSTITUTE(SUBSTITUTE('Kontoplan'!$H175,"~","~~"),"*","~*"),"?","~?")))</f>
        <v/>
      </c>
      <c r="G175" s="20">
        <f>IF($A175="","",D175+E175-F175)</f>
        <v/>
      </c>
      <c r="H175" s="14" t="n"/>
      <c r="I175" s="8" t="n"/>
    </row>
    <row r="176">
      <c r="A176" s="5">
        <f>IF('Kontoplan'!A176="","",'Kontoplan'!A176)</f>
        <v/>
      </c>
      <c r="B176" s="5">
        <f>IF($A176="","",'Kontoplan'!B176)</f>
        <v/>
      </c>
      <c r="C176" s="5">
        <f>IF($A176="","",'Kontoplan'!C176)</f>
        <v/>
      </c>
      <c r="D176" s="20">
        <f>IF($A176="","",SUMIFS('Åpningsbalanse'!$C$4:$C$103,'Åpningsbalanse'!$A$4:$A$103,SUBSTITUTE(SUBSTITUTE(SUBSTITUTE('Kontoplan'!$H176,"~","~~"),"*","~*"),"?","~?"))*IFERROR(INDEX('_lister'!$C$2:$C$62,MATCH(C176,'_lister'!$A$2:$A$62,0)),1))</f>
        <v/>
      </c>
      <c r="E176" s="20">
        <f>IF($A176="","",SUMIFS('Journal'!$G$3:$G$2002,'Journal'!$D$3:$D$2002,SUBSTITUTE(SUBSTITUTE(SUBSTITUTE('Kontoplan'!$H176,"~","~~"),"*","~*"),"?","~?"))+SUMIFS('Journal'!$F$3:$F$2002,'Journal'!$E$3:$E$2002,SUBSTITUTE(SUBSTITUTE(SUBSTITUTE('Kontoplan'!$H176,"~","~~"),"*","~*"),"?","~?")))</f>
        <v/>
      </c>
      <c r="F176" s="20">
        <f>IF($A176="","",SUMIFS('Journal'!$F$3:$F$2002,'Journal'!$D$3:$D$2002,SUBSTITUTE(SUBSTITUTE(SUBSTITUTE('Kontoplan'!$H176,"~","~~"),"*","~*"),"?","~?"))+SUMIFS('Journal'!$G$3:$G$2002,'Journal'!$E$3:$E$2002,SUBSTITUTE(SUBSTITUTE(SUBSTITUTE('Kontoplan'!$H176,"~","~~"),"*","~*"),"?","~?")))</f>
        <v/>
      </c>
      <c r="G176" s="20">
        <f>IF($A176="","",D176+E176-F176)</f>
        <v/>
      </c>
      <c r="H176" s="14" t="n"/>
      <c r="I176" s="8" t="n"/>
    </row>
    <row r="177">
      <c r="A177" s="5">
        <f>IF('Kontoplan'!A177="","",'Kontoplan'!A177)</f>
        <v/>
      </c>
      <c r="B177" s="5">
        <f>IF($A177="","",'Kontoplan'!B177)</f>
        <v/>
      </c>
      <c r="C177" s="5">
        <f>IF($A177="","",'Kontoplan'!C177)</f>
        <v/>
      </c>
      <c r="D177" s="20">
        <f>IF($A177="","",SUMIFS('Åpningsbalanse'!$C$4:$C$103,'Åpningsbalanse'!$A$4:$A$103,SUBSTITUTE(SUBSTITUTE(SUBSTITUTE('Kontoplan'!$H177,"~","~~"),"*","~*"),"?","~?"))*IFERROR(INDEX('_lister'!$C$2:$C$62,MATCH(C177,'_lister'!$A$2:$A$62,0)),1))</f>
        <v/>
      </c>
      <c r="E177" s="20">
        <f>IF($A177="","",SUMIFS('Journal'!$G$3:$G$2002,'Journal'!$D$3:$D$2002,SUBSTITUTE(SUBSTITUTE(SUBSTITUTE('Kontoplan'!$H177,"~","~~"),"*","~*"),"?","~?"))+SUMIFS('Journal'!$F$3:$F$2002,'Journal'!$E$3:$E$2002,SUBSTITUTE(SUBSTITUTE(SUBSTITUTE('Kontoplan'!$H177,"~","~~"),"*","~*"),"?","~?")))</f>
        <v/>
      </c>
      <c r="F177" s="20">
        <f>IF($A177="","",SUMIFS('Journal'!$F$3:$F$2002,'Journal'!$D$3:$D$2002,SUBSTITUTE(SUBSTITUTE(SUBSTITUTE('Kontoplan'!$H177,"~","~~"),"*","~*"),"?","~?"))+SUMIFS('Journal'!$G$3:$G$2002,'Journal'!$E$3:$E$2002,SUBSTITUTE(SUBSTITUTE(SUBSTITUTE('Kontoplan'!$H177,"~","~~"),"*","~*"),"?","~?")))</f>
        <v/>
      </c>
      <c r="G177" s="20">
        <f>IF($A177="","",D177+E177-F177)</f>
        <v/>
      </c>
      <c r="H177" s="14" t="n"/>
      <c r="I177" s="8" t="n"/>
    </row>
    <row r="178">
      <c r="A178" s="5">
        <f>IF('Kontoplan'!A178="","",'Kontoplan'!A178)</f>
        <v/>
      </c>
      <c r="B178" s="5">
        <f>IF($A178="","",'Kontoplan'!B178)</f>
        <v/>
      </c>
      <c r="C178" s="5">
        <f>IF($A178="","",'Kontoplan'!C178)</f>
        <v/>
      </c>
      <c r="D178" s="20">
        <f>IF($A178="","",SUMIFS('Åpningsbalanse'!$C$4:$C$103,'Åpningsbalanse'!$A$4:$A$103,SUBSTITUTE(SUBSTITUTE(SUBSTITUTE('Kontoplan'!$H178,"~","~~"),"*","~*"),"?","~?"))*IFERROR(INDEX('_lister'!$C$2:$C$62,MATCH(C178,'_lister'!$A$2:$A$62,0)),1))</f>
        <v/>
      </c>
      <c r="E178" s="20">
        <f>IF($A178="","",SUMIFS('Journal'!$G$3:$G$2002,'Journal'!$D$3:$D$2002,SUBSTITUTE(SUBSTITUTE(SUBSTITUTE('Kontoplan'!$H178,"~","~~"),"*","~*"),"?","~?"))+SUMIFS('Journal'!$F$3:$F$2002,'Journal'!$E$3:$E$2002,SUBSTITUTE(SUBSTITUTE(SUBSTITUTE('Kontoplan'!$H178,"~","~~"),"*","~*"),"?","~?")))</f>
        <v/>
      </c>
      <c r="F178" s="20">
        <f>IF($A178="","",SUMIFS('Journal'!$F$3:$F$2002,'Journal'!$D$3:$D$2002,SUBSTITUTE(SUBSTITUTE(SUBSTITUTE('Kontoplan'!$H178,"~","~~"),"*","~*"),"?","~?"))+SUMIFS('Journal'!$G$3:$G$2002,'Journal'!$E$3:$E$2002,SUBSTITUTE(SUBSTITUTE(SUBSTITUTE('Kontoplan'!$H178,"~","~~"),"*","~*"),"?","~?")))</f>
        <v/>
      </c>
      <c r="G178" s="20">
        <f>IF($A178="","",D178+E178-F178)</f>
        <v/>
      </c>
      <c r="H178" s="14" t="n"/>
      <c r="I178" s="8" t="n"/>
    </row>
    <row r="179">
      <c r="A179" s="5">
        <f>IF('Kontoplan'!A179="","",'Kontoplan'!A179)</f>
        <v/>
      </c>
      <c r="B179" s="5">
        <f>IF($A179="","",'Kontoplan'!B179)</f>
        <v/>
      </c>
      <c r="C179" s="5">
        <f>IF($A179="","",'Kontoplan'!C179)</f>
        <v/>
      </c>
      <c r="D179" s="20">
        <f>IF($A179="","",SUMIFS('Åpningsbalanse'!$C$4:$C$103,'Åpningsbalanse'!$A$4:$A$103,SUBSTITUTE(SUBSTITUTE(SUBSTITUTE('Kontoplan'!$H179,"~","~~"),"*","~*"),"?","~?"))*IFERROR(INDEX('_lister'!$C$2:$C$62,MATCH(C179,'_lister'!$A$2:$A$62,0)),1))</f>
        <v/>
      </c>
      <c r="E179" s="20">
        <f>IF($A179="","",SUMIFS('Journal'!$G$3:$G$2002,'Journal'!$D$3:$D$2002,SUBSTITUTE(SUBSTITUTE(SUBSTITUTE('Kontoplan'!$H179,"~","~~"),"*","~*"),"?","~?"))+SUMIFS('Journal'!$F$3:$F$2002,'Journal'!$E$3:$E$2002,SUBSTITUTE(SUBSTITUTE(SUBSTITUTE('Kontoplan'!$H179,"~","~~"),"*","~*"),"?","~?")))</f>
        <v/>
      </c>
      <c r="F179" s="20">
        <f>IF($A179="","",SUMIFS('Journal'!$F$3:$F$2002,'Journal'!$D$3:$D$2002,SUBSTITUTE(SUBSTITUTE(SUBSTITUTE('Kontoplan'!$H179,"~","~~"),"*","~*"),"?","~?"))+SUMIFS('Journal'!$G$3:$G$2002,'Journal'!$E$3:$E$2002,SUBSTITUTE(SUBSTITUTE(SUBSTITUTE('Kontoplan'!$H179,"~","~~"),"*","~*"),"?","~?")))</f>
        <v/>
      </c>
      <c r="G179" s="20">
        <f>IF($A179="","",D179+E179-F179)</f>
        <v/>
      </c>
      <c r="H179" s="14" t="n"/>
      <c r="I179" s="8" t="n"/>
    </row>
    <row r="180">
      <c r="A180" s="5">
        <f>IF('Kontoplan'!A180="","",'Kontoplan'!A180)</f>
        <v/>
      </c>
      <c r="B180" s="5">
        <f>IF($A180="","",'Kontoplan'!B180)</f>
        <v/>
      </c>
      <c r="C180" s="5">
        <f>IF($A180="","",'Kontoplan'!C180)</f>
        <v/>
      </c>
      <c r="D180" s="20">
        <f>IF($A180="","",SUMIFS('Åpningsbalanse'!$C$4:$C$103,'Åpningsbalanse'!$A$4:$A$103,SUBSTITUTE(SUBSTITUTE(SUBSTITUTE('Kontoplan'!$H180,"~","~~"),"*","~*"),"?","~?"))*IFERROR(INDEX('_lister'!$C$2:$C$62,MATCH(C180,'_lister'!$A$2:$A$62,0)),1))</f>
        <v/>
      </c>
      <c r="E180" s="20">
        <f>IF($A180="","",SUMIFS('Journal'!$G$3:$G$2002,'Journal'!$D$3:$D$2002,SUBSTITUTE(SUBSTITUTE(SUBSTITUTE('Kontoplan'!$H180,"~","~~"),"*","~*"),"?","~?"))+SUMIFS('Journal'!$F$3:$F$2002,'Journal'!$E$3:$E$2002,SUBSTITUTE(SUBSTITUTE(SUBSTITUTE('Kontoplan'!$H180,"~","~~"),"*","~*"),"?","~?")))</f>
        <v/>
      </c>
      <c r="F180" s="20">
        <f>IF($A180="","",SUMIFS('Journal'!$F$3:$F$2002,'Journal'!$D$3:$D$2002,SUBSTITUTE(SUBSTITUTE(SUBSTITUTE('Kontoplan'!$H180,"~","~~"),"*","~*"),"?","~?"))+SUMIFS('Journal'!$G$3:$G$2002,'Journal'!$E$3:$E$2002,SUBSTITUTE(SUBSTITUTE(SUBSTITUTE('Kontoplan'!$H180,"~","~~"),"*","~*"),"?","~?")))</f>
        <v/>
      </c>
      <c r="G180" s="20">
        <f>IF($A180="","",D180+E180-F180)</f>
        <v/>
      </c>
      <c r="H180" s="14" t="n"/>
      <c r="I180" s="8" t="n"/>
    </row>
    <row r="181">
      <c r="A181" s="5">
        <f>IF('Kontoplan'!A181="","",'Kontoplan'!A181)</f>
        <v/>
      </c>
      <c r="B181" s="5">
        <f>IF($A181="","",'Kontoplan'!B181)</f>
        <v/>
      </c>
      <c r="C181" s="5">
        <f>IF($A181="","",'Kontoplan'!C181)</f>
        <v/>
      </c>
      <c r="D181" s="20">
        <f>IF($A181="","",SUMIFS('Åpningsbalanse'!$C$4:$C$103,'Åpningsbalanse'!$A$4:$A$103,SUBSTITUTE(SUBSTITUTE(SUBSTITUTE('Kontoplan'!$H181,"~","~~"),"*","~*"),"?","~?"))*IFERROR(INDEX('_lister'!$C$2:$C$62,MATCH(C181,'_lister'!$A$2:$A$62,0)),1))</f>
        <v/>
      </c>
      <c r="E181" s="20">
        <f>IF($A181="","",SUMIFS('Journal'!$G$3:$G$2002,'Journal'!$D$3:$D$2002,SUBSTITUTE(SUBSTITUTE(SUBSTITUTE('Kontoplan'!$H181,"~","~~"),"*","~*"),"?","~?"))+SUMIFS('Journal'!$F$3:$F$2002,'Journal'!$E$3:$E$2002,SUBSTITUTE(SUBSTITUTE(SUBSTITUTE('Kontoplan'!$H181,"~","~~"),"*","~*"),"?","~?")))</f>
        <v/>
      </c>
      <c r="F181" s="20">
        <f>IF($A181="","",SUMIFS('Journal'!$F$3:$F$2002,'Journal'!$D$3:$D$2002,SUBSTITUTE(SUBSTITUTE(SUBSTITUTE('Kontoplan'!$H181,"~","~~"),"*","~*"),"?","~?"))+SUMIFS('Journal'!$G$3:$G$2002,'Journal'!$E$3:$E$2002,SUBSTITUTE(SUBSTITUTE(SUBSTITUTE('Kontoplan'!$H181,"~","~~"),"*","~*"),"?","~?")))</f>
        <v/>
      </c>
      <c r="G181" s="20">
        <f>IF($A181="","",D181+E181-F181)</f>
        <v/>
      </c>
      <c r="H181" s="14" t="n"/>
      <c r="I181" s="8" t="n"/>
    </row>
    <row r="182">
      <c r="A182" s="5">
        <f>IF('Kontoplan'!A182="","",'Kontoplan'!A182)</f>
        <v/>
      </c>
      <c r="B182" s="5">
        <f>IF($A182="","",'Kontoplan'!B182)</f>
        <v/>
      </c>
      <c r="C182" s="5">
        <f>IF($A182="","",'Kontoplan'!C182)</f>
        <v/>
      </c>
      <c r="D182" s="20">
        <f>IF($A182="","",SUMIFS('Åpningsbalanse'!$C$4:$C$103,'Åpningsbalanse'!$A$4:$A$103,SUBSTITUTE(SUBSTITUTE(SUBSTITUTE('Kontoplan'!$H182,"~","~~"),"*","~*"),"?","~?"))*IFERROR(INDEX('_lister'!$C$2:$C$62,MATCH(C182,'_lister'!$A$2:$A$62,0)),1))</f>
        <v/>
      </c>
      <c r="E182" s="20">
        <f>IF($A182="","",SUMIFS('Journal'!$G$3:$G$2002,'Journal'!$D$3:$D$2002,SUBSTITUTE(SUBSTITUTE(SUBSTITUTE('Kontoplan'!$H182,"~","~~"),"*","~*"),"?","~?"))+SUMIFS('Journal'!$F$3:$F$2002,'Journal'!$E$3:$E$2002,SUBSTITUTE(SUBSTITUTE(SUBSTITUTE('Kontoplan'!$H182,"~","~~"),"*","~*"),"?","~?")))</f>
        <v/>
      </c>
      <c r="F182" s="20">
        <f>IF($A182="","",SUMIFS('Journal'!$F$3:$F$2002,'Journal'!$D$3:$D$2002,SUBSTITUTE(SUBSTITUTE(SUBSTITUTE('Kontoplan'!$H182,"~","~~"),"*","~*"),"?","~?"))+SUMIFS('Journal'!$G$3:$G$2002,'Journal'!$E$3:$E$2002,SUBSTITUTE(SUBSTITUTE(SUBSTITUTE('Kontoplan'!$H182,"~","~~"),"*","~*"),"?","~?")))</f>
        <v/>
      </c>
      <c r="G182" s="20">
        <f>IF($A182="","",D182+E182-F182)</f>
        <v/>
      </c>
      <c r="H182" s="14" t="n"/>
      <c r="I182" s="8" t="n"/>
    </row>
    <row r="183">
      <c r="A183" s="5">
        <f>IF('Kontoplan'!A183="","",'Kontoplan'!A183)</f>
        <v/>
      </c>
      <c r="B183" s="5">
        <f>IF($A183="","",'Kontoplan'!B183)</f>
        <v/>
      </c>
      <c r="C183" s="5">
        <f>IF($A183="","",'Kontoplan'!C183)</f>
        <v/>
      </c>
      <c r="D183" s="20">
        <f>IF($A183="","",SUMIFS('Åpningsbalanse'!$C$4:$C$103,'Åpningsbalanse'!$A$4:$A$103,SUBSTITUTE(SUBSTITUTE(SUBSTITUTE('Kontoplan'!$H183,"~","~~"),"*","~*"),"?","~?"))*IFERROR(INDEX('_lister'!$C$2:$C$62,MATCH(C183,'_lister'!$A$2:$A$62,0)),1))</f>
        <v/>
      </c>
      <c r="E183" s="20">
        <f>IF($A183="","",SUMIFS('Journal'!$G$3:$G$2002,'Journal'!$D$3:$D$2002,SUBSTITUTE(SUBSTITUTE(SUBSTITUTE('Kontoplan'!$H183,"~","~~"),"*","~*"),"?","~?"))+SUMIFS('Journal'!$F$3:$F$2002,'Journal'!$E$3:$E$2002,SUBSTITUTE(SUBSTITUTE(SUBSTITUTE('Kontoplan'!$H183,"~","~~"),"*","~*"),"?","~?")))</f>
        <v/>
      </c>
      <c r="F183" s="20">
        <f>IF($A183="","",SUMIFS('Journal'!$F$3:$F$2002,'Journal'!$D$3:$D$2002,SUBSTITUTE(SUBSTITUTE(SUBSTITUTE('Kontoplan'!$H183,"~","~~"),"*","~*"),"?","~?"))+SUMIFS('Journal'!$G$3:$G$2002,'Journal'!$E$3:$E$2002,SUBSTITUTE(SUBSTITUTE(SUBSTITUTE('Kontoplan'!$H183,"~","~~"),"*","~*"),"?","~?")))</f>
        <v/>
      </c>
      <c r="G183" s="20">
        <f>IF($A183="","",D183+E183-F183)</f>
        <v/>
      </c>
      <c r="H183" s="14" t="n"/>
      <c r="I183" s="8" t="n"/>
    </row>
    <row r="184">
      <c r="A184" s="5">
        <f>IF('Kontoplan'!A184="","",'Kontoplan'!A184)</f>
        <v/>
      </c>
      <c r="B184" s="5">
        <f>IF($A184="","",'Kontoplan'!B184)</f>
        <v/>
      </c>
      <c r="C184" s="5">
        <f>IF($A184="","",'Kontoplan'!C184)</f>
        <v/>
      </c>
      <c r="D184" s="20">
        <f>IF($A184="","",SUMIFS('Åpningsbalanse'!$C$4:$C$103,'Åpningsbalanse'!$A$4:$A$103,SUBSTITUTE(SUBSTITUTE(SUBSTITUTE('Kontoplan'!$H184,"~","~~"),"*","~*"),"?","~?"))*IFERROR(INDEX('_lister'!$C$2:$C$62,MATCH(C184,'_lister'!$A$2:$A$62,0)),1))</f>
        <v/>
      </c>
      <c r="E184" s="20">
        <f>IF($A184="","",SUMIFS('Journal'!$G$3:$G$2002,'Journal'!$D$3:$D$2002,SUBSTITUTE(SUBSTITUTE(SUBSTITUTE('Kontoplan'!$H184,"~","~~"),"*","~*"),"?","~?"))+SUMIFS('Journal'!$F$3:$F$2002,'Journal'!$E$3:$E$2002,SUBSTITUTE(SUBSTITUTE(SUBSTITUTE('Kontoplan'!$H184,"~","~~"),"*","~*"),"?","~?")))</f>
        <v/>
      </c>
      <c r="F184" s="20">
        <f>IF($A184="","",SUMIFS('Journal'!$F$3:$F$2002,'Journal'!$D$3:$D$2002,SUBSTITUTE(SUBSTITUTE(SUBSTITUTE('Kontoplan'!$H184,"~","~~"),"*","~*"),"?","~?"))+SUMIFS('Journal'!$G$3:$G$2002,'Journal'!$E$3:$E$2002,SUBSTITUTE(SUBSTITUTE(SUBSTITUTE('Kontoplan'!$H184,"~","~~"),"*","~*"),"?","~?")))</f>
        <v/>
      </c>
      <c r="G184" s="20">
        <f>IF($A184="","",D184+E184-F184)</f>
        <v/>
      </c>
      <c r="H184" s="14" t="n"/>
      <c r="I184" s="8" t="n"/>
    </row>
    <row r="185">
      <c r="A185" s="5">
        <f>IF('Kontoplan'!A185="","",'Kontoplan'!A185)</f>
        <v/>
      </c>
      <c r="B185" s="5">
        <f>IF($A185="","",'Kontoplan'!B185)</f>
        <v/>
      </c>
      <c r="C185" s="5">
        <f>IF($A185="","",'Kontoplan'!C185)</f>
        <v/>
      </c>
      <c r="D185" s="20">
        <f>IF($A185="","",SUMIFS('Åpningsbalanse'!$C$4:$C$103,'Åpningsbalanse'!$A$4:$A$103,SUBSTITUTE(SUBSTITUTE(SUBSTITUTE('Kontoplan'!$H185,"~","~~"),"*","~*"),"?","~?"))*IFERROR(INDEX('_lister'!$C$2:$C$62,MATCH(C185,'_lister'!$A$2:$A$62,0)),1))</f>
        <v/>
      </c>
      <c r="E185" s="20">
        <f>IF($A185="","",SUMIFS('Journal'!$G$3:$G$2002,'Journal'!$D$3:$D$2002,SUBSTITUTE(SUBSTITUTE(SUBSTITUTE('Kontoplan'!$H185,"~","~~"),"*","~*"),"?","~?"))+SUMIFS('Journal'!$F$3:$F$2002,'Journal'!$E$3:$E$2002,SUBSTITUTE(SUBSTITUTE(SUBSTITUTE('Kontoplan'!$H185,"~","~~"),"*","~*"),"?","~?")))</f>
        <v/>
      </c>
      <c r="F185" s="20">
        <f>IF($A185="","",SUMIFS('Journal'!$F$3:$F$2002,'Journal'!$D$3:$D$2002,SUBSTITUTE(SUBSTITUTE(SUBSTITUTE('Kontoplan'!$H185,"~","~~"),"*","~*"),"?","~?"))+SUMIFS('Journal'!$G$3:$G$2002,'Journal'!$E$3:$E$2002,SUBSTITUTE(SUBSTITUTE(SUBSTITUTE('Kontoplan'!$H185,"~","~~"),"*","~*"),"?","~?")))</f>
        <v/>
      </c>
      <c r="G185" s="20">
        <f>IF($A185="","",D185+E185-F185)</f>
        <v/>
      </c>
      <c r="H185" s="14" t="n"/>
      <c r="I185" s="8" t="n"/>
    </row>
    <row r="186">
      <c r="A186" s="5">
        <f>IF('Kontoplan'!A186="","",'Kontoplan'!A186)</f>
        <v/>
      </c>
      <c r="B186" s="5">
        <f>IF($A186="","",'Kontoplan'!B186)</f>
        <v/>
      </c>
      <c r="C186" s="5">
        <f>IF($A186="","",'Kontoplan'!C186)</f>
        <v/>
      </c>
      <c r="D186" s="20">
        <f>IF($A186="","",SUMIFS('Åpningsbalanse'!$C$4:$C$103,'Åpningsbalanse'!$A$4:$A$103,SUBSTITUTE(SUBSTITUTE(SUBSTITUTE('Kontoplan'!$H186,"~","~~"),"*","~*"),"?","~?"))*IFERROR(INDEX('_lister'!$C$2:$C$62,MATCH(C186,'_lister'!$A$2:$A$62,0)),1))</f>
        <v/>
      </c>
      <c r="E186" s="20">
        <f>IF($A186="","",SUMIFS('Journal'!$G$3:$G$2002,'Journal'!$D$3:$D$2002,SUBSTITUTE(SUBSTITUTE(SUBSTITUTE('Kontoplan'!$H186,"~","~~"),"*","~*"),"?","~?"))+SUMIFS('Journal'!$F$3:$F$2002,'Journal'!$E$3:$E$2002,SUBSTITUTE(SUBSTITUTE(SUBSTITUTE('Kontoplan'!$H186,"~","~~"),"*","~*"),"?","~?")))</f>
        <v/>
      </c>
      <c r="F186" s="20">
        <f>IF($A186="","",SUMIFS('Journal'!$F$3:$F$2002,'Journal'!$D$3:$D$2002,SUBSTITUTE(SUBSTITUTE(SUBSTITUTE('Kontoplan'!$H186,"~","~~"),"*","~*"),"?","~?"))+SUMIFS('Journal'!$G$3:$G$2002,'Journal'!$E$3:$E$2002,SUBSTITUTE(SUBSTITUTE(SUBSTITUTE('Kontoplan'!$H186,"~","~~"),"*","~*"),"?","~?")))</f>
        <v/>
      </c>
      <c r="G186" s="20">
        <f>IF($A186="","",D186+E186-F186)</f>
        <v/>
      </c>
      <c r="H186" s="14" t="n"/>
      <c r="I186" s="8" t="n"/>
    </row>
    <row r="187">
      <c r="A187" s="5">
        <f>IF('Kontoplan'!A187="","",'Kontoplan'!A187)</f>
        <v/>
      </c>
      <c r="B187" s="5">
        <f>IF($A187="","",'Kontoplan'!B187)</f>
        <v/>
      </c>
      <c r="C187" s="5">
        <f>IF($A187="","",'Kontoplan'!C187)</f>
        <v/>
      </c>
      <c r="D187" s="20">
        <f>IF($A187="","",SUMIFS('Åpningsbalanse'!$C$4:$C$103,'Åpningsbalanse'!$A$4:$A$103,SUBSTITUTE(SUBSTITUTE(SUBSTITUTE('Kontoplan'!$H187,"~","~~"),"*","~*"),"?","~?"))*IFERROR(INDEX('_lister'!$C$2:$C$62,MATCH(C187,'_lister'!$A$2:$A$62,0)),1))</f>
        <v/>
      </c>
      <c r="E187" s="20">
        <f>IF($A187="","",SUMIFS('Journal'!$G$3:$G$2002,'Journal'!$D$3:$D$2002,SUBSTITUTE(SUBSTITUTE(SUBSTITUTE('Kontoplan'!$H187,"~","~~"),"*","~*"),"?","~?"))+SUMIFS('Journal'!$F$3:$F$2002,'Journal'!$E$3:$E$2002,SUBSTITUTE(SUBSTITUTE(SUBSTITUTE('Kontoplan'!$H187,"~","~~"),"*","~*"),"?","~?")))</f>
        <v/>
      </c>
      <c r="F187" s="20">
        <f>IF($A187="","",SUMIFS('Journal'!$F$3:$F$2002,'Journal'!$D$3:$D$2002,SUBSTITUTE(SUBSTITUTE(SUBSTITUTE('Kontoplan'!$H187,"~","~~"),"*","~*"),"?","~?"))+SUMIFS('Journal'!$G$3:$G$2002,'Journal'!$E$3:$E$2002,SUBSTITUTE(SUBSTITUTE(SUBSTITUTE('Kontoplan'!$H187,"~","~~"),"*","~*"),"?","~?")))</f>
        <v/>
      </c>
      <c r="G187" s="20">
        <f>IF($A187="","",D187+E187-F187)</f>
        <v/>
      </c>
      <c r="H187" s="14" t="n"/>
      <c r="I187" s="8" t="n"/>
    </row>
    <row r="188">
      <c r="A188" s="5">
        <f>IF('Kontoplan'!A188="","",'Kontoplan'!A188)</f>
        <v/>
      </c>
      <c r="B188" s="5">
        <f>IF($A188="","",'Kontoplan'!B188)</f>
        <v/>
      </c>
      <c r="C188" s="5">
        <f>IF($A188="","",'Kontoplan'!C188)</f>
        <v/>
      </c>
      <c r="D188" s="20">
        <f>IF($A188="","",SUMIFS('Åpningsbalanse'!$C$4:$C$103,'Åpningsbalanse'!$A$4:$A$103,SUBSTITUTE(SUBSTITUTE(SUBSTITUTE('Kontoplan'!$H188,"~","~~"),"*","~*"),"?","~?"))*IFERROR(INDEX('_lister'!$C$2:$C$62,MATCH(C188,'_lister'!$A$2:$A$62,0)),1))</f>
        <v/>
      </c>
      <c r="E188" s="20">
        <f>IF($A188="","",SUMIFS('Journal'!$G$3:$G$2002,'Journal'!$D$3:$D$2002,SUBSTITUTE(SUBSTITUTE(SUBSTITUTE('Kontoplan'!$H188,"~","~~"),"*","~*"),"?","~?"))+SUMIFS('Journal'!$F$3:$F$2002,'Journal'!$E$3:$E$2002,SUBSTITUTE(SUBSTITUTE(SUBSTITUTE('Kontoplan'!$H188,"~","~~"),"*","~*"),"?","~?")))</f>
        <v/>
      </c>
      <c r="F188" s="20">
        <f>IF($A188="","",SUMIFS('Journal'!$F$3:$F$2002,'Journal'!$D$3:$D$2002,SUBSTITUTE(SUBSTITUTE(SUBSTITUTE('Kontoplan'!$H188,"~","~~"),"*","~*"),"?","~?"))+SUMIFS('Journal'!$G$3:$G$2002,'Journal'!$E$3:$E$2002,SUBSTITUTE(SUBSTITUTE(SUBSTITUTE('Kontoplan'!$H188,"~","~~"),"*","~*"),"?","~?")))</f>
        <v/>
      </c>
      <c r="G188" s="20">
        <f>IF($A188="","",D188+E188-F188)</f>
        <v/>
      </c>
      <c r="H188" s="14" t="n"/>
      <c r="I188" s="8" t="n"/>
    </row>
    <row r="189">
      <c r="A189" s="5">
        <f>IF('Kontoplan'!A189="","",'Kontoplan'!A189)</f>
        <v/>
      </c>
      <c r="B189" s="5">
        <f>IF($A189="","",'Kontoplan'!B189)</f>
        <v/>
      </c>
      <c r="C189" s="5">
        <f>IF($A189="","",'Kontoplan'!C189)</f>
        <v/>
      </c>
      <c r="D189" s="20">
        <f>IF($A189="","",SUMIFS('Åpningsbalanse'!$C$4:$C$103,'Åpningsbalanse'!$A$4:$A$103,SUBSTITUTE(SUBSTITUTE(SUBSTITUTE('Kontoplan'!$H189,"~","~~"),"*","~*"),"?","~?"))*IFERROR(INDEX('_lister'!$C$2:$C$62,MATCH(C189,'_lister'!$A$2:$A$62,0)),1))</f>
        <v/>
      </c>
      <c r="E189" s="20">
        <f>IF($A189="","",SUMIFS('Journal'!$G$3:$G$2002,'Journal'!$D$3:$D$2002,SUBSTITUTE(SUBSTITUTE(SUBSTITUTE('Kontoplan'!$H189,"~","~~"),"*","~*"),"?","~?"))+SUMIFS('Journal'!$F$3:$F$2002,'Journal'!$E$3:$E$2002,SUBSTITUTE(SUBSTITUTE(SUBSTITUTE('Kontoplan'!$H189,"~","~~"),"*","~*"),"?","~?")))</f>
        <v/>
      </c>
      <c r="F189" s="20">
        <f>IF($A189="","",SUMIFS('Journal'!$F$3:$F$2002,'Journal'!$D$3:$D$2002,SUBSTITUTE(SUBSTITUTE(SUBSTITUTE('Kontoplan'!$H189,"~","~~"),"*","~*"),"?","~?"))+SUMIFS('Journal'!$G$3:$G$2002,'Journal'!$E$3:$E$2002,SUBSTITUTE(SUBSTITUTE(SUBSTITUTE('Kontoplan'!$H189,"~","~~"),"*","~*"),"?","~?")))</f>
        <v/>
      </c>
      <c r="G189" s="20">
        <f>IF($A189="","",D189+E189-F189)</f>
        <v/>
      </c>
      <c r="H189" s="14" t="n"/>
      <c r="I189" s="8" t="n"/>
    </row>
    <row r="190">
      <c r="A190" s="5">
        <f>IF('Kontoplan'!A190="","",'Kontoplan'!A190)</f>
        <v/>
      </c>
      <c r="B190" s="5">
        <f>IF($A190="","",'Kontoplan'!B190)</f>
        <v/>
      </c>
      <c r="C190" s="5">
        <f>IF($A190="","",'Kontoplan'!C190)</f>
        <v/>
      </c>
      <c r="D190" s="20">
        <f>IF($A190="","",SUMIFS('Åpningsbalanse'!$C$4:$C$103,'Åpningsbalanse'!$A$4:$A$103,SUBSTITUTE(SUBSTITUTE(SUBSTITUTE('Kontoplan'!$H190,"~","~~"),"*","~*"),"?","~?"))*IFERROR(INDEX('_lister'!$C$2:$C$62,MATCH(C190,'_lister'!$A$2:$A$62,0)),1))</f>
        <v/>
      </c>
      <c r="E190" s="20">
        <f>IF($A190="","",SUMIFS('Journal'!$G$3:$G$2002,'Journal'!$D$3:$D$2002,SUBSTITUTE(SUBSTITUTE(SUBSTITUTE('Kontoplan'!$H190,"~","~~"),"*","~*"),"?","~?"))+SUMIFS('Journal'!$F$3:$F$2002,'Journal'!$E$3:$E$2002,SUBSTITUTE(SUBSTITUTE(SUBSTITUTE('Kontoplan'!$H190,"~","~~"),"*","~*"),"?","~?")))</f>
        <v/>
      </c>
      <c r="F190" s="20">
        <f>IF($A190="","",SUMIFS('Journal'!$F$3:$F$2002,'Journal'!$D$3:$D$2002,SUBSTITUTE(SUBSTITUTE(SUBSTITUTE('Kontoplan'!$H190,"~","~~"),"*","~*"),"?","~?"))+SUMIFS('Journal'!$G$3:$G$2002,'Journal'!$E$3:$E$2002,SUBSTITUTE(SUBSTITUTE(SUBSTITUTE('Kontoplan'!$H190,"~","~~"),"*","~*"),"?","~?")))</f>
        <v/>
      </c>
      <c r="G190" s="20">
        <f>IF($A190="","",D190+E190-F190)</f>
        <v/>
      </c>
      <c r="H190" s="14" t="n"/>
      <c r="I190" s="8" t="n"/>
    </row>
    <row r="191">
      <c r="A191" s="5">
        <f>IF('Kontoplan'!A191="","",'Kontoplan'!A191)</f>
        <v/>
      </c>
      <c r="B191" s="5">
        <f>IF($A191="","",'Kontoplan'!B191)</f>
        <v/>
      </c>
      <c r="C191" s="5">
        <f>IF($A191="","",'Kontoplan'!C191)</f>
        <v/>
      </c>
      <c r="D191" s="20">
        <f>IF($A191="","",SUMIFS('Åpningsbalanse'!$C$4:$C$103,'Åpningsbalanse'!$A$4:$A$103,SUBSTITUTE(SUBSTITUTE(SUBSTITUTE('Kontoplan'!$H191,"~","~~"),"*","~*"),"?","~?"))*IFERROR(INDEX('_lister'!$C$2:$C$62,MATCH(C191,'_lister'!$A$2:$A$62,0)),1))</f>
        <v/>
      </c>
      <c r="E191" s="20">
        <f>IF($A191="","",SUMIFS('Journal'!$G$3:$G$2002,'Journal'!$D$3:$D$2002,SUBSTITUTE(SUBSTITUTE(SUBSTITUTE('Kontoplan'!$H191,"~","~~"),"*","~*"),"?","~?"))+SUMIFS('Journal'!$F$3:$F$2002,'Journal'!$E$3:$E$2002,SUBSTITUTE(SUBSTITUTE(SUBSTITUTE('Kontoplan'!$H191,"~","~~"),"*","~*"),"?","~?")))</f>
        <v/>
      </c>
      <c r="F191" s="20">
        <f>IF($A191="","",SUMIFS('Journal'!$F$3:$F$2002,'Journal'!$D$3:$D$2002,SUBSTITUTE(SUBSTITUTE(SUBSTITUTE('Kontoplan'!$H191,"~","~~"),"*","~*"),"?","~?"))+SUMIFS('Journal'!$G$3:$G$2002,'Journal'!$E$3:$E$2002,SUBSTITUTE(SUBSTITUTE(SUBSTITUTE('Kontoplan'!$H191,"~","~~"),"*","~*"),"?","~?")))</f>
        <v/>
      </c>
      <c r="G191" s="20">
        <f>IF($A191="","",D191+E191-F191)</f>
        <v/>
      </c>
      <c r="H191" s="14" t="n"/>
      <c r="I191" s="8" t="n"/>
    </row>
    <row r="192">
      <c r="A192" s="5">
        <f>IF('Kontoplan'!A192="","",'Kontoplan'!A192)</f>
        <v/>
      </c>
      <c r="B192" s="5">
        <f>IF($A192="","",'Kontoplan'!B192)</f>
        <v/>
      </c>
      <c r="C192" s="5">
        <f>IF($A192="","",'Kontoplan'!C192)</f>
        <v/>
      </c>
      <c r="D192" s="20">
        <f>IF($A192="","",SUMIFS('Åpningsbalanse'!$C$4:$C$103,'Åpningsbalanse'!$A$4:$A$103,SUBSTITUTE(SUBSTITUTE(SUBSTITUTE('Kontoplan'!$H192,"~","~~"),"*","~*"),"?","~?"))*IFERROR(INDEX('_lister'!$C$2:$C$62,MATCH(C192,'_lister'!$A$2:$A$62,0)),1))</f>
        <v/>
      </c>
      <c r="E192" s="20">
        <f>IF($A192="","",SUMIFS('Journal'!$G$3:$G$2002,'Journal'!$D$3:$D$2002,SUBSTITUTE(SUBSTITUTE(SUBSTITUTE('Kontoplan'!$H192,"~","~~"),"*","~*"),"?","~?"))+SUMIFS('Journal'!$F$3:$F$2002,'Journal'!$E$3:$E$2002,SUBSTITUTE(SUBSTITUTE(SUBSTITUTE('Kontoplan'!$H192,"~","~~"),"*","~*"),"?","~?")))</f>
        <v/>
      </c>
      <c r="F192" s="20">
        <f>IF($A192="","",SUMIFS('Journal'!$F$3:$F$2002,'Journal'!$D$3:$D$2002,SUBSTITUTE(SUBSTITUTE(SUBSTITUTE('Kontoplan'!$H192,"~","~~"),"*","~*"),"?","~?"))+SUMIFS('Journal'!$G$3:$G$2002,'Journal'!$E$3:$E$2002,SUBSTITUTE(SUBSTITUTE(SUBSTITUTE('Kontoplan'!$H192,"~","~~"),"*","~*"),"?","~?")))</f>
        <v/>
      </c>
      <c r="G192" s="20">
        <f>IF($A192="","",D192+E192-F192)</f>
        <v/>
      </c>
      <c r="H192" s="14" t="n"/>
      <c r="I192" s="8" t="n"/>
    </row>
    <row r="193">
      <c r="A193" s="5">
        <f>IF('Kontoplan'!A193="","",'Kontoplan'!A193)</f>
        <v/>
      </c>
      <c r="B193" s="5">
        <f>IF($A193="","",'Kontoplan'!B193)</f>
        <v/>
      </c>
      <c r="C193" s="5">
        <f>IF($A193="","",'Kontoplan'!C193)</f>
        <v/>
      </c>
      <c r="D193" s="20">
        <f>IF($A193="","",SUMIFS('Åpningsbalanse'!$C$4:$C$103,'Åpningsbalanse'!$A$4:$A$103,SUBSTITUTE(SUBSTITUTE(SUBSTITUTE('Kontoplan'!$H193,"~","~~"),"*","~*"),"?","~?"))*IFERROR(INDEX('_lister'!$C$2:$C$62,MATCH(C193,'_lister'!$A$2:$A$62,0)),1))</f>
        <v/>
      </c>
      <c r="E193" s="20">
        <f>IF($A193="","",SUMIFS('Journal'!$G$3:$G$2002,'Journal'!$D$3:$D$2002,SUBSTITUTE(SUBSTITUTE(SUBSTITUTE('Kontoplan'!$H193,"~","~~"),"*","~*"),"?","~?"))+SUMIFS('Journal'!$F$3:$F$2002,'Journal'!$E$3:$E$2002,SUBSTITUTE(SUBSTITUTE(SUBSTITUTE('Kontoplan'!$H193,"~","~~"),"*","~*"),"?","~?")))</f>
        <v/>
      </c>
      <c r="F193" s="20">
        <f>IF($A193="","",SUMIFS('Journal'!$F$3:$F$2002,'Journal'!$D$3:$D$2002,SUBSTITUTE(SUBSTITUTE(SUBSTITUTE('Kontoplan'!$H193,"~","~~"),"*","~*"),"?","~?"))+SUMIFS('Journal'!$G$3:$G$2002,'Journal'!$E$3:$E$2002,SUBSTITUTE(SUBSTITUTE(SUBSTITUTE('Kontoplan'!$H193,"~","~~"),"*","~*"),"?","~?")))</f>
        <v/>
      </c>
      <c r="G193" s="20">
        <f>IF($A193="","",D193+E193-F193)</f>
        <v/>
      </c>
      <c r="H193" s="14" t="n"/>
      <c r="I193" s="8" t="n"/>
    </row>
    <row r="194">
      <c r="A194" s="5">
        <f>IF('Kontoplan'!A194="","",'Kontoplan'!A194)</f>
        <v/>
      </c>
      <c r="B194" s="5">
        <f>IF($A194="","",'Kontoplan'!B194)</f>
        <v/>
      </c>
      <c r="C194" s="5">
        <f>IF($A194="","",'Kontoplan'!C194)</f>
        <v/>
      </c>
      <c r="D194" s="20">
        <f>IF($A194="","",SUMIFS('Åpningsbalanse'!$C$4:$C$103,'Åpningsbalanse'!$A$4:$A$103,SUBSTITUTE(SUBSTITUTE(SUBSTITUTE('Kontoplan'!$H194,"~","~~"),"*","~*"),"?","~?"))*IFERROR(INDEX('_lister'!$C$2:$C$62,MATCH(C194,'_lister'!$A$2:$A$62,0)),1))</f>
        <v/>
      </c>
      <c r="E194" s="20">
        <f>IF($A194="","",SUMIFS('Journal'!$G$3:$G$2002,'Journal'!$D$3:$D$2002,SUBSTITUTE(SUBSTITUTE(SUBSTITUTE('Kontoplan'!$H194,"~","~~"),"*","~*"),"?","~?"))+SUMIFS('Journal'!$F$3:$F$2002,'Journal'!$E$3:$E$2002,SUBSTITUTE(SUBSTITUTE(SUBSTITUTE('Kontoplan'!$H194,"~","~~"),"*","~*"),"?","~?")))</f>
        <v/>
      </c>
      <c r="F194" s="20">
        <f>IF($A194="","",SUMIFS('Journal'!$F$3:$F$2002,'Journal'!$D$3:$D$2002,SUBSTITUTE(SUBSTITUTE(SUBSTITUTE('Kontoplan'!$H194,"~","~~"),"*","~*"),"?","~?"))+SUMIFS('Journal'!$G$3:$G$2002,'Journal'!$E$3:$E$2002,SUBSTITUTE(SUBSTITUTE(SUBSTITUTE('Kontoplan'!$H194,"~","~~"),"*","~*"),"?","~?")))</f>
        <v/>
      </c>
      <c r="G194" s="20">
        <f>IF($A194="","",D194+E194-F194)</f>
        <v/>
      </c>
      <c r="H194" s="14" t="n"/>
      <c r="I194" s="8" t="n"/>
    </row>
    <row r="195">
      <c r="A195" s="5">
        <f>IF('Kontoplan'!A195="","",'Kontoplan'!A195)</f>
        <v/>
      </c>
      <c r="B195" s="5">
        <f>IF($A195="","",'Kontoplan'!B195)</f>
        <v/>
      </c>
      <c r="C195" s="5">
        <f>IF($A195="","",'Kontoplan'!C195)</f>
        <v/>
      </c>
      <c r="D195" s="20">
        <f>IF($A195="","",SUMIFS('Åpningsbalanse'!$C$4:$C$103,'Åpningsbalanse'!$A$4:$A$103,SUBSTITUTE(SUBSTITUTE(SUBSTITUTE('Kontoplan'!$H195,"~","~~"),"*","~*"),"?","~?"))*IFERROR(INDEX('_lister'!$C$2:$C$62,MATCH(C195,'_lister'!$A$2:$A$62,0)),1))</f>
        <v/>
      </c>
      <c r="E195" s="20">
        <f>IF($A195="","",SUMIFS('Journal'!$G$3:$G$2002,'Journal'!$D$3:$D$2002,SUBSTITUTE(SUBSTITUTE(SUBSTITUTE('Kontoplan'!$H195,"~","~~"),"*","~*"),"?","~?"))+SUMIFS('Journal'!$F$3:$F$2002,'Journal'!$E$3:$E$2002,SUBSTITUTE(SUBSTITUTE(SUBSTITUTE('Kontoplan'!$H195,"~","~~"),"*","~*"),"?","~?")))</f>
        <v/>
      </c>
      <c r="F195" s="20">
        <f>IF($A195="","",SUMIFS('Journal'!$F$3:$F$2002,'Journal'!$D$3:$D$2002,SUBSTITUTE(SUBSTITUTE(SUBSTITUTE('Kontoplan'!$H195,"~","~~"),"*","~*"),"?","~?"))+SUMIFS('Journal'!$G$3:$G$2002,'Journal'!$E$3:$E$2002,SUBSTITUTE(SUBSTITUTE(SUBSTITUTE('Kontoplan'!$H195,"~","~~"),"*","~*"),"?","~?")))</f>
        <v/>
      </c>
      <c r="G195" s="20">
        <f>IF($A195="","",D195+E195-F195)</f>
        <v/>
      </c>
      <c r="H195" s="14" t="n"/>
      <c r="I195" s="8" t="n"/>
    </row>
    <row r="196">
      <c r="A196" s="5">
        <f>IF('Kontoplan'!A196="","",'Kontoplan'!A196)</f>
        <v/>
      </c>
      <c r="B196" s="5">
        <f>IF($A196="","",'Kontoplan'!B196)</f>
        <v/>
      </c>
      <c r="C196" s="5">
        <f>IF($A196="","",'Kontoplan'!C196)</f>
        <v/>
      </c>
      <c r="D196" s="20">
        <f>IF($A196="","",SUMIFS('Åpningsbalanse'!$C$4:$C$103,'Åpningsbalanse'!$A$4:$A$103,SUBSTITUTE(SUBSTITUTE(SUBSTITUTE('Kontoplan'!$H196,"~","~~"),"*","~*"),"?","~?"))*IFERROR(INDEX('_lister'!$C$2:$C$62,MATCH(C196,'_lister'!$A$2:$A$62,0)),1))</f>
        <v/>
      </c>
      <c r="E196" s="20">
        <f>IF($A196="","",SUMIFS('Journal'!$G$3:$G$2002,'Journal'!$D$3:$D$2002,SUBSTITUTE(SUBSTITUTE(SUBSTITUTE('Kontoplan'!$H196,"~","~~"),"*","~*"),"?","~?"))+SUMIFS('Journal'!$F$3:$F$2002,'Journal'!$E$3:$E$2002,SUBSTITUTE(SUBSTITUTE(SUBSTITUTE('Kontoplan'!$H196,"~","~~"),"*","~*"),"?","~?")))</f>
        <v/>
      </c>
      <c r="F196" s="20">
        <f>IF($A196="","",SUMIFS('Journal'!$F$3:$F$2002,'Journal'!$D$3:$D$2002,SUBSTITUTE(SUBSTITUTE(SUBSTITUTE('Kontoplan'!$H196,"~","~~"),"*","~*"),"?","~?"))+SUMIFS('Journal'!$G$3:$G$2002,'Journal'!$E$3:$E$2002,SUBSTITUTE(SUBSTITUTE(SUBSTITUTE('Kontoplan'!$H196,"~","~~"),"*","~*"),"?","~?")))</f>
        <v/>
      </c>
      <c r="G196" s="20">
        <f>IF($A196="","",D196+E196-F196)</f>
        <v/>
      </c>
      <c r="H196" s="14" t="n"/>
      <c r="I196" s="8" t="n"/>
    </row>
    <row r="197">
      <c r="A197" s="5">
        <f>IF('Kontoplan'!A197="","",'Kontoplan'!A197)</f>
        <v/>
      </c>
      <c r="B197" s="5">
        <f>IF($A197="","",'Kontoplan'!B197)</f>
        <v/>
      </c>
      <c r="C197" s="5">
        <f>IF($A197="","",'Kontoplan'!C197)</f>
        <v/>
      </c>
      <c r="D197" s="20">
        <f>IF($A197="","",SUMIFS('Åpningsbalanse'!$C$4:$C$103,'Åpningsbalanse'!$A$4:$A$103,SUBSTITUTE(SUBSTITUTE(SUBSTITUTE('Kontoplan'!$H197,"~","~~"),"*","~*"),"?","~?"))*IFERROR(INDEX('_lister'!$C$2:$C$62,MATCH(C197,'_lister'!$A$2:$A$62,0)),1))</f>
        <v/>
      </c>
      <c r="E197" s="20">
        <f>IF($A197="","",SUMIFS('Journal'!$G$3:$G$2002,'Journal'!$D$3:$D$2002,SUBSTITUTE(SUBSTITUTE(SUBSTITUTE('Kontoplan'!$H197,"~","~~"),"*","~*"),"?","~?"))+SUMIFS('Journal'!$F$3:$F$2002,'Journal'!$E$3:$E$2002,SUBSTITUTE(SUBSTITUTE(SUBSTITUTE('Kontoplan'!$H197,"~","~~"),"*","~*"),"?","~?")))</f>
        <v/>
      </c>
      <c r="F197" s="20">
        <f>IF($A197="","",SUMIFS('Journal'!$F$3:$F$2002,'Journal'!$D$3:$D$2002,SUBSTITUTE(SUBSTITUTE(SUBSTITUTE('Kontoplan'!$H197,"~","~~"),"*","~*"),"?","~?"))+SUMIFS('Journal'!$G$3:$G$2002,'Journal'!$E$3:$E$2002,SUBSTITUTE(SUBSTITUTE(SUBSTITUTE('Kontoplan'!$H197,"~","~~"),"*","~*"),"?","~?")))</f>
        <v/>
      </c>
      <c r="G197" s="20">
        <f>IF($A197="","",D197+E197-F197)</f>
        <v/>
      </c>
      <c r="H197" s="14" t="n"/>
      <c r="I197" s="8" t="n"/>
    </row>
    <row r="198">
      <c r="A198" s="5">
        <f>IF('Kontoplan'!A198="","",'Kontoplan'!A198)</f>
        <v/>
      </c>
      <c r="B198" s="5">
        <f>IF($A198="","",'Kontoplan'!B198)</f>
        <v/>
      </c>
      <c r="C198" s="5">
        <f>IF($A198="","",'Kontoplan'!C198)</f>
        <v/>
      </c>
      <c r="D198" s="20">
        <f>IF($A198="","",SUMIFS('Åpningsbalanse'!$C$4:$C$103,'Åpningsbalanse'!$A$4:$A$103,SUBSTITUTE(SUBSTITUTE(SUBSTITUTE('Kontoplan'!$H198,"~","~~"),"*","~*"),"?","~?"))*IFERROR(INDEX('_lister'!$C$2:$C$62,MATCH(C198,'_lister'!$A$2:$A$62,0)),1))</f>
        <v/>
      </c>
      <c r="E198" s="20">
        <f>IF($A198="","",SUMIFS('Journal'!$G$3:$G$2002,'Journal'!$D$3:$D$2002,SUBSTITUTE(SUBSTITUTE(SUBSTITUTE('Kontoplan'!$H198,"~","~~"),"*","~*"),"?","~?"))+SUMIFS('Journal'!$F$3:$F$2002,'Journal'!$E$3:$E$2002,SUBSTITUTE(SUBSTITUTE(SUBSTITUTE('Kontoplan'!$H198,"~","~~"),"*","~*"),"?","~?")))</f>
        <v/>
      </c>
      <c r="F198" s="20">
        <f>IF($A198="","",SUMIFS('Journal'!$F$3:$F$2002,'Journal'!$D$3:$D$2002,SUBSTITUTE(SUBSTITUTE(SUBSTITUTE('Kontoplan'!$H198,"~","~~"),"*","~*"),"?","~?"))+SUMIFS('Journal'!$G$3:$G$2002,'Journal'!$E$3:$E$2002,SUBSTITUTE(SUBSTITUTE(SUBSTITUTE('Kontoplan'!$H198,"~","~~"),"*","~*"),"?","~?")))</f>
        <v/>
      </c>
      <c r="G198" s="20">
        <f>IF($A198="","",D198+E198-F198)</f>
        <v/>
      </c>
      <c r="H198" s="14" t="n"/>
      <c r="I198" s="8" t="n"/>
    </row>
    <row r="199">
      <c r="A199" s="5">
        <f>IF('Kontoplan'!A199="","",'Kontoplan'!A199)</f>
        <v/>
      </c>
      <c r="B199" s="5">
        <f>IF($A199="","",'Kontoplan'!B199)</f>
        <v/>
      </c>
      <c r="C199" s="5">
        <f>IF($A199="","",'Kontoplan'!C199)</f>
        <v/>
      </c>
      <c r="D199" s="20">
        <f>IF($A199="","",SUMIFS('Åpningsbalanse'!$C$4:$C$103,'Åpningsbalanse'!$A$4:$A$103,SUBSTITUTE(SUBSTITUTE(SUBSTITUTE('Kontoplan'!$H199,"~","~~"),"*","~*"),"?","~?"))*IFERROR(INDEX('_lister'!$C$2:$C$62,MATCH(C199,'_lister'!$A$2:$A$62,0)),1))</f>
        <v/>
      </c>
      <c r="E199" s="20">
        <f>IF($A199="","",SUMIFS('Journal'!$G$3:$G$2002,'Journal'!$D$3:$D$2002,SUBSTITUTE(SUBSTITUTE(SUBSTITUTE('Kontoplan'!$H199,"~","~~"),"*","~*"),"?","~?"))+SUMIFS('Journal'!$F$3:$F$2002,'Journal'!$E$3:$E$2002,SUBSTITUTE(SUBSTITUTE(SUBSTITUTE('Kontoplan'!$H199,"~","~~"),"*","~*"),"?","~?")))</f>
        <v/>
      </c>
      <c r="F199" s="20">
        <f>IF($A199="","",SUMIFS('Journal'!$F$3:$F$2002,'Journal'!$D$3:$D$2002,SUBSTITUTE(SUBSTITUTE(SUBSTITUTE('Kontoplan'!$H199,"~","~~"),"*","~*"),"?","~?"))+SUMIFS('Journal'!$G$3:$G$2002,'Journal'!$E$3:$E$2002,SUBSTITUTE(SUBSTITUTE(SUBSTITUTE('Kontoplan'!$H199,"~","~~"),"*","~*"),"?","~?")))</f>
        <v/>
      </c>
      <c r="G199" s="20">
        <f>IF($A199="","",D199+E199-F199)</f>
        <v/>
      </c>
      <c r="H199" s="14" t="n"/>
      <c r="I199" s="8" t="n"/>
    </row>
    <row r="200">
      <c r="A200" s="5">
        <f>IF('Kontoplan'!A200="","",'Kontoplan'!A200)</f>
        <v/>
      </c>
      <c r="B200" s="5">
        <f>IF($A200="","",'Kontoplan'!B200)</f>
        <v/>
      </c>
      <c r="C200" s="5">
        <f>IF($A200="","",'Kontoplan'!C200)</f>
        <v/>
      </c>
      <c r="D200" s="20">
        <f>IF($A200="","",SUMIFS('Åpningsbalanse'!$C$4:$C$103,'Åpningsbalanse'!$A$4:$A$103,SUBSTITUTE(SUBSTITUTE(SUBSTITUTE('Kontoplan'!$H200,"~","~~"),"*","~*"),"?","~?"))*IFERROR(INDEX('_lister'!$C$2:$C$62,MATCH(C200,'_lister'!$A$2:$A$62,0)),1))</f>
        <v/>
      </c>
      <c r="E200" s="20">
        <f>IF($A200="","",SUMIFS('Journal'!$G$3:$G$2002,'Journal'!$D$3:$D$2002,SUBSTITUTE(SUBSTITUTE(SUBSTITUTE('Kontoplan'!$H200,"~","~~"),"*","~*"),"?","~?"))+SUMIFS('Journal'!$F$3:$F$2002,'Journal'!$E$3:$E$2002,SUBSTITUTE(SUBSTITUTE(SUBSTITUTE('Kontoplan'!$H200,"~","~~"),"*","~*"),"?","~?")))</f>
        <v/>
      </c>
      <c r="F200" s="20">
        <f>IF($A200="","",SUMIFS('Journal'!$F$3:$F$2002,'Journal'!$D$3:$D$2002,SUBSTITUTE(SUBSTITUTE(SUBSTITUTE('Kontoplan'!$H200,"~","~~"),"*","~*"),"?","~?"))+SUMIFS('Journal'!$G$3:$G$2002,'Journal'!$E$3:$E$2002,SUBSTITUTE(SUBSTITUTE(SUBSTITUTE('Kontoplan'!$H200,"~","~~"),"*","~*"),"?","~?")))</f>
        <v/>
      </c>
      <c r="G200" s="20">
        <f>IF($A200="","",D200+E200-F200)</f>
        <v/>
      </c>
      <c r="H200" s="14" t="n"/>
      <c r="I200" s="8" t="n"/>
    </row>
    <row r="201">
      <c r="A201" s="5">
        <f>IF('Kontoplan'!A201="","",'Kontoplan'!A201)</f>
        <v/>
      </c>
      <c r="B201" s="5">
        <f>IF($A201="","",'Kontoplan'!B201)</f>
        <v/>
      </c>
      <c r="C201" s="5">
        <f>IF($A201="","",'Kontoplan'!C201)</f>
        <v/>
      </c>
      <c r="D201" s="20">
        <f>IF($A201="","",SUMIFS('Åpningsbalanse'!$C$4:$C$103,'Åpningsbalanse'!$A$4:$A$103,SUBSTITUTE(SUBSTITUTE(SUBSTITUTE('Kontoplan'!$H201,"~","~~"),"*","~*"),"?","~?"))*IFERROR(INDEX('_lister'!$C$2:$C$62,MATCH(C201,'_lister'!$A$2:$A$62,0)),1))</f>
        <v/>
      </c>
      <c r="E201" s="20">
        <f>IF($A201="","",SUMIFS('Journal'!$G$3:$G$2002,'Journal'!$D$3:$D$2002,SUBSTITUTE(SUBSTITUTE(SUBSTITUTE('Kontoplan'!$H201,"~","~~"),"*","~*"),"?","~?"))+SUMIFS('Journal'!$F$3:$F$2002,'Journal'!$E$3:$E$2002,SUBSTITUTE(SUBSTITUTE(SUBSTITUTE('Kontoplan'!$H201,"~","~~"),"*","~*"),"?","~?")))</f>
        <v/>
      </c>
      <c r="F201" s="20">
        <f>IF($A201="","",SUMIFS('Journal'!$F$3:$F$2002,'Journal'!$D$3:$D$2002,SUBSTITUTE(SUBSTITUTE(SUBSTITUTE('Kontoplan'!$H201,"~","~~"),"*","~*"),"?","~?"))+SUMIFS('Journal'!$G$3:$G$2002,'Journal'!$E$3:$E$2002,SUBSTITUTE(SUBSTITUTE(SUBSTITUTE('Kontoplan'!$H201,"~","~~"),"*","~*"),"?","~?")))</f>
        <v/>
      </c>
      <c r="G201" s="20">
        <f>IF($A201="","",D201+E201-F201)</f>
        <v/>
      </c>
      <c r="H201" s="14" t="n"/>
      <c r="I201" s="8" t="n"/>
    </row>
    <row r="202">
      <c r="A202" s="5">
        <f>IF('Kontoplan'!A202="","",'Kontoplan'!A202)</f>
        <v/>
      </c>
      <c r="B202" s="5">
        <f>IF($A202="","",'Kontoplan'!B202)</f>
        <v/>
      </c>
      <c r="C202" s="5">
        <f>IF($A202="","",'Kontoplan'!C202)</f>
        <v/>
      </c>
      <c r="D202" s="20">
        <f>IF($A202="","",SUMIFS('Åpningsbalanse'!$C$4:$C$103,'Åpningsbalanse'!$A$4:$A$103,SUBSTITUTE(SUBSTITUTE(SUBSTITUTE('Kontoplan'!$H202,"~","~~"),"*","~*"),"?","~?"))*IFERROR(INDEX('_lister'!$C$2:$C$62,MATCH(C202,'_lister'!$A$2:$A$62,0)),1))</f>
        <v/>
      </c>
      <c r="E202" s="20">
        <f>IF($A202="","",SUMIFS('Journal'!$G$3:$G$2002,'Journal'!$D$3:$D$2002,SUBSTITUTE(SUBSTITUTE(SUBSTITUTE('Kontoplan'!$H202,"~","~~"),"*","~*"),"?","~?"))+SUMIFS('Journal'!$F$3:$F$2002,'Journal'!$E$3:$E$2002,SUBSTITUTE(SUBSTITUTE(SUBSTITUTE('Kontoplan'!$H202,"~","~~"),"*","~*"),"?","~?")))</f>
        <v/>
      </c>
      <c r="F202" s="20">
        <f>IF($A202="","",SUMIFS('Journal'!$F$3:$F$2002,'Journal'!$D$3:$D$2002,SUBSTITUTE(SUBSTITUTE(SUBSTITUTE('Kontoplan'!$H202,"~","~~"),"*","~*"),"?","~?"))+SUMIFS('Journal'!$G$3:$G$2002,'Journal'!$E$3:$E$2002,SUBSTITUTE(SUBSTITUTE(SUBSTITUTE('Kontoplan'!$H202,"~","~~"),"*","~*"),"?","~?")))</f>
        <v/>
      </c>
      <c r="G202" s="20">
        <f>IF($A202="","",D202+E202-F202)</f>
        <v/>
      </c>
      <c r="H202" s="14" t="n"/>
      <c r="I202" s="8" t="n"/>
    </row>
    <row r="203">
      <c r="A203" s="5">
        <f>IF('Kontoplan'!A203="","",'Kontoplan'!A203)</f>
        <v/>
      </c>
      <c r="B203" s="5">
        <f>IF($A203="","",'Kontoplan'!B203)</f>
        <v/>
      </c>
      <c r="C203" s="5">
        <f>IF($A203="","",'Kontoplan'!C203)</f>
        <v/>
      </c>
      <c r="D203" s="20">
        <f>IF($A203="","",SUMIFS('Åpningsbalanse'!$C$4:$C$103,'Åpningsbalanse'!$A$4:$A$103,SUBSTITUTE(SUBSTITUTE(SUBSTITUTE('Kontoplan'!$H203,"~","~~"),"*","~*"),"?","~?"))*IFERROR(INDEX('_lister'!$C$2:$C$62,MATCH(C203,'_lister'!$A$2:$A$62,0)),1))</f>
        <v/>
      </c>
      <c r="E203" s="20">
        <f>IF($A203="","",SUMIFS('Journal'!$G$3:$G$2002,'Journal'!$D$3:$D$2002,SUBSTITUTE(SUBSTITUTE(SUBSTITUTE('Kontoplan'!$H203,"~","~~"),"*","~*"),"?","~?"))+SUMIFS('Journal'!$F$3:$F$2002,'Journal'!$E$3:$E$2002,SUBSTITUTE(SUBSTITUTE(SUBSTITUTE('Kontoplan'!$H203,"~","~~"),"*","~*"),"?","~?")))</f>
        <v/>
      </c>
      <c r="F203" s="20">
        <f>IF($A203="","",SUMIFS('Journal'!$F$3:$F$2002,'Journal'!$D$3:$D$2002,SUBSTITUTE(SUBSTITUTE(SUBSTITUTE('Kontoplan'!$H203,"~","~~"),"*","~*"),"?","~?"))+SUMIFS('Journal'!$G$3:$G$2002,'Journal'!$E$3:$E$2002,SUBSTITUTE(SUBSTITUTE(SUBSTITUTE('Kontoplan'!$H203,"~","~~"),"*","~*"),"?","~?")))</f>
        <v/>
      </c>
      <c r="G203" s="20">
        <f>IF($A203="","",D203+E203-F203)</f>
        <v/>
      </c>
      <c r="H203" s="14" t="n"/>
      <c r="I203" s="8" t="n"/>
    </row>
    <row r="204">
      <c r="A204" s="5">
        <f>IF('Kontoplan'!A204="","",'Kontoplan'!A204)</f>
        <v/>
      </c>
      <c r="B204" s="5">
        <f>IF($A204="","",'Kontoplan'!B204)</f>
        <v/>
      </c>
      <c r="C204" s="5">
        <f>IF($A204="","",'Kontoplan'!C204)</f>
        <v/>
      </c>
      <c r="D204" s="20">
        <f>IF($A204="","",SUMIFS('Åpningsbalanse'!$C$4:$C$103,'Åpningsbalanse'!$A$4:$A$103,SUBSTITUTE(SUBSTITUTE(SUBSTITUTE('Kontoplan'!$H204,"~","~~"),"*","~*"),"?","~?"))*IFERROR(INDEX('_lister'!$C$2:$C$62,MATCH(C204,'_lister'!$A$2:$A$62,0)),1))</f>
        <v/>
      </c>
      <c r="E204" s="20">
        <f>IF($A204="","",SUMIFS('Journal'!$G$3:$G$2002,'Journal'!$D$3:$D$2002,SUBSTITUTE(SUBSTITUTE(SUBSTITUTE('Kontoplan'!$H204,"~","~~"),"*","~*"),"?","~?"))+SUMIFS('Journal'!$F$3:$F$2002,'Journal'!$E$3:$E$2002,SUBSTITUTE(SUBSTITUTE(SUBSTITUTE('Kontoplan'!$H204,"~","~~"),"*","~*"),"?","~?")))</f>
        <v/>
      </c>
      <c r="F204" s="20">
        <f>IF($A204="","",SUMIFS('Journal'!$F$3:$F$2002,'Journal'!$D$3:$D$2002,SUBSTITUTE(SUBSTITUTE(SUBSTITUTE('Kontoplan'!$H204,"~","~~"),"*","~*"),"?","~?"))+SUMIFS('Journal'!$G$3:$G$2002,'Journal'!$E$3:$E$2002,SUBSTITUTE(SUBSTITUTE(SUBSTITUTE('Kontoplan'!$H204,"~","~~"),"*","~*"),"?","~?")))</f>
        <v/>
      </c>
      <c r="G204" s="20">
        <f>IF($A204="","",D204+E204-F204)</f>
        <v/>
      </c>
      <c r="H204" s="14" t="n"/>
      <c r="I204" s="8" t="n"/>
    </row>
    <row r="205">
      <c r="A205" s="5">
        <f>IF('Kontoplan'!A205="","",'Kontoplan'!A205)</f>
        <v/>
      </c>
      <c r="B205" s="5">
        <f>IF($A205="","",'Kontoplan'!B205)</f>
        <v/>
      </c>
      <c r="C205" s="5">
        <f>IF($A205="","",'Kontoplan'!C205)</f>
        <v/>
      </c>
      <c r="D205" s="20">
        <f>IF($A205="","",SUMIFS('Åpningsbalanse'!$C$4:$C$103,'Åpningsbalanse'!$A$4:$A$103,SUBSTITUTE(SUBSTITUTE(SUBSTITUTE('Kontoplan'!$H205,"~","~~"),"*","~*"),"?","~?"))*IFERROR(INDEX('_lister'!$C$2:$C$62,MATCH(C205,'_lister'!$A$2:$A$62,0)),1))</f>
        <v/>
      </c>
      <c r="E205" s="20">
        <f>IF($A205="","",SUMIFS('Journal'!$G$3:$G$2002,'Journal'!$D$3:$D$2002,SUBSTITUTE(SUBSTITUTE(SUBSTITUTE('Kontoplan'!$H205,"~","~~"),"*","~*"),"?","~?"))+SUMIFS('Journal'!$F$3:$F$2002,'Journal'!$E$3:$E$2002,SUBSTITUTE(SUBSTITUTE(SUBSTITUTE('Kontoplan'!$H205,"~","~~"),"*","~*"),"?","~?")))</f>
        <v/>
      </c>
      <c r="F205" s="20">
        <f>IF($A205="","",SUMIFS('Journal'!$F$3:$F$2002,'Journal'!$D$3:$D$2002,SUBSTITUTE(SUBSTITUTE(SUBSTITUTE('Kontoplan'!$H205,"~","~~"),"*","~*"),"?","~?"))+SUMIFS('Journal'!$G$3:$G$2002,'Journal'!$E$3:$E$2002,SUBSTITUTE(SUBSTITUTE(SUBSTITUTE('Kontoplan'!$H205,"~","~~"),"*","~*"),"?","~?")))</f>
        <v/>
      </c>
      <c r="G205" s="20">
        <f>IF($A205="","",D205+E205-F205)</f>
        <v/>
      </c>
      <c r="H205" s="14" t="n"/>
      <c r="I205" s="8" t="n"/>
    </row>
    <row r="206">
      <c r="A206" s="5">
        <f>IF('Kontoplan'!A206="","",'Kontoplan'!A206)</f>
        <v/>
      </c>
      <c r="B206" s="5">
        <f>IF($A206="","",'Kontoplan'!B206)</f>
        <v/>
      </c>
      <c r="C206" s="5">
        <f>IF($A206="","",'Kontoplan'!C206)</f>
        <v/>
      </c>
      <c r="D206" s="20">
        <f>IF($A206="","",SUMIFS('Åpningsbalanse'!$C$4:$C$103,'Åpningsbalanse'!$A$4:$A$103,SUBSTITUTE(SUBSTITUTE(SUBSTITUTE('Kontoplan'!$H206,"~","~~"),"*","~*"),"?","~?"))*IFERROR(INDEX('_lister'!$C$2:$C$62,MATCH(C206,'_lister'!$A$2:$A$62,0)),1))</f>
        <v/>
      </c>
      <c r="E206" s="20">
        <f>IF($A206="","",SUMIFS('Journal'!$G$3:$G$2002,'Journal'!$D$3:$D$2002,SUBSTITUTE(SUBSTITUTE(SUBSTITUTE('Kontoplan'!$H206,"~","~~"),"*","~*"),"?","~?"))+SUMIFS('Journal'!$F$3:$F$2002,'Journal'!$E$3:$E$2002,SUBSTITUTE(SUBSTITUTE(SUBSTITUTE('Kontoplan'!$H206,"~","~~"),"*","~*"),"?","~?")))</f>
        <v/>
      </c>
      <c r="F206" s="20">
        <f>IF($A206="","",SUMIFS('Journal'!$F$3:$F$2002,'Journal'!$D$3:$D$2002,SUBSTITUTE(SUBSTITUTE(SUBSTITUTE('Kontoplan'!$H206,"~","~~"),"*","~*"),"?","~?"))+SUMIFS('Journal'!$G$3:$G$2002,'Journal'!$E$3:$E$2002,SUBSTITUTE(SUBSTITUTE(SUBSTITUTE('Kontoplan'!$H206,"~","~~"),"*","~*"),"?","~?")))</f>
        <v/>
      </c>
      <c r="G206" s="20">
        <f>IF($A206="","",D206+E206-F206)</f>
        <v/>
      </c>
      <c r="H206" s="14" t="n"/>
      <c r="I206" s="8" t="n"/>
    </row>
    <row r="207">
      <c r="A207" s="5">
        <f>IF('Kontoplan'!A207="","",'Kontoplan'!A207)</f>
        <v/>
      </c>
      <c r="B207" s="5">
        <f>IF($A207="","",'Kontoplan'!B207)</f>
        <v/>
      </c>
      <c r="C207" s="5">
        <f>IF($A207="","",'Kontoplan'!C207)</f>
        <v/>
      </c>
      <c r="D207" s="20">
        <f>IF($A207="","",SUMIFS('Åpningsbalanse'!$C$4:$C$103,'Åpningsbalanse'!$A$4:$A$103,SUBSTITUTE(SUBSTITUTE(SUBSTITUTE('Kontoplan'!$H207,"~","~~"),"*","~*"),"?","~?"))*IFERROR(INDEX('_lister'!$C$2:$C$62,MATCH(C207,'_lister'!$A$2:$A$62,0)),1))</f>
        <v/>
      </c>
      <c r="E207" s="20">
        <f>IF($A207="","",SUMIFS('Journal'!$G$3:$G$2002,'Journal'!$D$3:$D$2002,SUBSTITUTE(SUBSTITUTE(SUBSTITUTE('Kontoplan'!$H207,"~","~~"),"*","~*"),"?","~?"))+SUMIFS('Journal'!$F$3:$F$2002,'Journal'!$E$3:$E$2002,SUBSTITUTE(SUBSTITUTE(SUBSTITUTE('Kontoplan'!$H207,"~","~~"),"*","~*"),"?","~?")))</f>
        <v/>
      </c>
      <c r="F207" s="20">
        <f>IF($A207="","",SUMIFS('Journal'!$F$3:$F$2002,'Journal'!$D$3:$D$2002,SUBSTITUTE(SUBSTITUTE(SUBSTITUTE('Kontoplan'!$H207,"~","~~"),"*","~*"),"?","~?"))+SUMIFS('Journal'!$G$3:$G$2002,'Journal'!$E$3:$E$2002,SUBSTITUTE(SUBSTITUTE(SUBSTITUTE('Kontoplan'!$H207,"~","~~"),"*","~*"),"?","~?")))</f>
        <v/>
      </c>
      <c r="G207" s="20">
        <f>IF($A207="","",D207+E207-F207)</f>
        <v/>
      </c>
      <c r="H207" s="14" t="n"/>
      <c r="I207" s="8" t="n"/>
    </row>
    <row r="208">
      <c r="A208" s="5">
        <f>IF('Kontoplan'!A208="","",'Kontoplan'!A208)</f>
        <v/>
      </c>
      <c r="B208" s="5">
        <f>IF($A208="","",'Kontoplan'!B208)</f>
        <v/>
      </c>
      <c r="C208" s="5">
        <f>IF($A208="","",'Kontoplan'!C208)</f>
        <v/>
      </c>
      <c r="D208" s="20">
        <f>IF($A208="","",SUMIFS('Åpningsbalanse'!$C$4:$C$103,'Åpningsbalanse'!$A$4:$A$103,SUBSTITUTE(SUBSTITUTE(SUBSTITUTE('Kontoplan'!$H208,"~","~~"),"*","~*"),"?","~?"))*IFERROR(INDEX('_lister'!$C$2:$C$62,MATCH(C208,'_lister'!$A$2:$A$62,0)),1))</f>
        <v/>
      </c>
      <c r="E208" s="20">
        <f>IF($A208="","",SUMIFS('Journal'!$G$3:$G$2002,'Journal'!$D$3:$D$2002,SUBSTITUTE(SUBSTITUTE(SUBSTITUTE('Kontoplan'!$H208,"~","~~"),"*","~*"),"?","~?"))+SUMIFS('Journal'!$F$3:$F$2002,'Journal'!$E$3:$E$2002,SUBSTITUTE(SUBSTITUTE(SUBSTITUTE('Kontoplan'!$H208,"~","~~"),"*","~*"),"?","~?")))</f>
        <v/>
      </c>
      <c r="F208" s="20">
        <f>IF($A208="","",SUMIFS('Journal'!$F$3:$F$2002,'Journal'!$D$3:$D$2002,SUBSTITUTE(SUBSTITUTE(SUBSTITUTE('Kontoplan'!$H208,"~","~~"),"*","~*"),"?","~?"))+SUMIFS('Journal'!$G$3:$G$2002,'Journal'!$E$3:$E$2002,SUBSTITUTE(SUBSTITUTE(SUBSTITUTE('Kontoplan'!$H208,"~","~~"),"*","~*"),"?","~?")))</f>
        <v/>
      </c>
      <c r="G208" s="20">
        <f>IF($A208="","",D208+E208-F208)</f>
        <v/>
      </c>
      <c r="H208" s="14" t="n"/>
      <c r="I208" s="8" t="n"/>
    </row>
    <row r="209">
      <c r="A209" s="5">
        <f>IF('Kontoplan'!A209="","",'Kontoplan'!A209)</f>
        <v/>
      </c>
      <c r="B209" s="5">
        <f>IF($A209="","",'Kontoplan'!B209)</f>
        <v/>
      </c>
      <c r="C209" s="5">
        <f>IF($A209="","",'Kontoplan'!C209)</f>
        <v/>
      </c>
      <c r="D209" s="20">
        <f>IF($A209="","",SUMIFS('Åpningsbalanse'!$C$4:$C$103,'Åpningsbalanse'!$A$4:$A$103,SUBSTITUTE(SUBSTITUTE(SUBSTITUTE('Kontoplan'!$H209,"~","~~"),"*","~*"),"?","~?"))*IFERROR(INDEX('_lister'!$C$2:$C$62,MATCH(C209,'_lister'!$A$2:$A$62,0)),1))</f>
        <v/>
      </c>
      <c r="E209" s="20">
        <f>IF($A209="","",SUMIFS('Journal'!$G$3:$G$2002,'Journal'!$D$3:$D$2002,SUBSTITUTE(SUBSTITUTE(SUBSTITUTE('Kontoplan'!$H209,"~","~~"),"*","~*"),"?","~?"))+SUMIFS('Journal'!$F$3:$F$2002,'Journal'!$E$3:$E$2002,SUBSTITUTE(SUBSTITUTE(SUBSTITUTE('Kontoplan'!$H209,"~","~~"),"*","~*"),"?","~?")))</f>
        <v/>
      </c>
      <c r="F209" s="20">
        <f>IF($A209="","",SUMIFS('Journal'!$F$3:$F$2002,'Journal'!$D$3:$D$2002,SUBSTITUTE(SUBSTITUTE(SUBSTITUTE('Kontoplan'!$H209,"~","~~"),"*","~*"),"?","~?"))+SUMIFS('Journal'!$G$3:$G$2002,'Journal'!$E$3:$E$2002,SUBSTITUTE(SUBSTITUTE(SUBSTITUTE('Kontoplan'!$H209,"~","~~"),"*","~*"),"?","~?")))</f>
        <v/>
      </c>
      <c r="G209" s="20">
        <f>IF($A209="","",D209+E209-F209)</f>
        <v/>
      </c>
      <c r="H209" s="14" t="n"/>
      <c r="I209" s="8" t="n"/>
    </row>
    <row r="210">
      <c r="A210" s="5">
        <f>IF('Kontoplan'!A210="","",'Kontoplan'!A210)</f>
        <v/>
      </c>
      <c r="B210" s="5">
        <f>IF($A210="","",'Kontoplan'!B210)</f>
        <v/>
      </c>
      <c r="C210" s="5">
        <f>IF($A210="","",'Kontoplan'!C210)</f>
        <v/>
      </c>
      <c r="D210" s="20">
        <f>IF($A210="","",SUMIFS('Åpningsbalanse'!$C$4:$C$103,'Åpningsbalanse'!$A$4:$A$103,SUBSTITUTE(SUBSTITUTE(SUBSTITUTE('Kontoplan'!$H210,"~","~~"),"*","~*"),"?","~?"))*IFERROR(INDEX('_lister'!$C$2:$C$62,MATCH(C210,'_lister'!$A$2:$A$62,0)),1))</f>
        <v/>
      </c>
      <c r="E210" s="20">
        <f>IF($A210="","",SUMIFS('Journal'!$G$3:$G$2002,'Journal'!$D$3:$D$2002,SUBSTITUTE(SUBSTITUTE(SUBSTITUTE('Kontoplan'!$H210,"~","~~"),"*","~*"),"?","~?"))+SUMIFS('Journal'!$F$3:$F$2002,'Journal'!$E$3:$E$2002,SUBSTITUTE(SUBSTITUTE(SUBSTITUTE('Kontoplan'!$H210,"~","~~"),"*","~*"),"?","~?")))</f>
        <v/>
      </c>
      <c r="F210" s="20">
        <f>IF($A210="","",SUMIFS('Journal'!$F$3:$F$2002,'Journal'!$D$3:$D$2002,SUBSTITUTE(SUBSTITUTE(SUBSTITUTE('Kontoplan'!$H210,"~","~~"),"*","~*"),"?","~?"))+SUMIFS('Journal'!$G$3:$G$2002,'Journal'!$E$3:$E$2002,SUBSTITUTE(SUBSTITUTE(SUBSTITUTE('Kontoplan'!$H210,"~","~~"),"*","~*"),"?","~?")))</f>
        <v/>
      </c>
      <c r="G210" s="20">
        <f>IF($A210="","",D210+E210-F210)</f>
        <v/>
      </c>
      <c r="H210" s="14" t="n"/>
      <c r="I210" s="8" t="n"/>
    </row>
    <row r="211">
      <c r="A211" s="5">
        <f>IF('Kontoplan'!A211="","",'Kontoplan'!A211)</f>
        <v/>
      </c>
      <c r="B211" s="5">
        <f>IF($A211="","",'Kontoplan'!B211)</f>
        <v/>
      </c>
      <c r="C211" s="5">
        <f>IF($A211="","",'Kontoplan'!C211)</f>
        <v/>
      </c>
      <c r="D211" s="20">
        <f>IF($A211="","",SUMIFS('Åpningsbalanse'!$C$4:$C$103,'Åpningsbalanse'!$A$4:$A$103,SUBSTITUTE(SUBSTITUTE(SUBSTITUTE('Kontoplan'!$H211,"~","~~"),"*","~*"),"?","~?"))*IFERROR(INDEX('_lister'!$C$2:$C$62,MATCH(C211,'_lister'!$A$2:$A$62,0)),1))</f>
        <v/>
      </c>
      <c r="E211" s="20">
        <f>IF($A211="","",SUMIFS('Journal'!$G$3:$G$2002,'Journal'!$D$3:$D$2002,SUBSTITUTE(SUBSTITUTE(SUBSTITUTE('Kontoplan'!$H211,"~","~~"),"*","~*"),"?","~?"))+SUMIFS('Journal'!$F$3:$F$2002,'Journal'!$E$3:$E$2002,SUBSTITUTE(SUBSTITUTE(SUBSTITUTE('Kontoplan'!$H211,"~","~~"),"*","~*"),"?","~?")))</f>
        <v/>
      </c>
      <c r="F211" s="20">
        <f>IF($A211="","",SUMIFS('Journal'!$F$3:$F$2002,'Journal'!$D$3:$D$2002,SUBSTITUTE(SUBSTITUTE(SUBSTITUTE('Kontoplan'!$H211,"~","~~"),"*","~*"),"?","~?"))+SUMIFS('Journal'!$G$3:$G$2002,'Journal'!$E$3:$E$2002,SUBSTITUTE(SUBSTITUTE(SUBSTITUTE('Kontoplan'!$H211,"~","~~"),"*","~*"),"?","~?")))</f>
        <v/>
      </c>
      <c r="G211" s="20">
        <f>IF($A211="","",D211+E211-F211)</f>
        <v/>
      </c>
      <c r="H211" s="14" t="n"/>
      <c r="I211" s="8" t="n"/>
    </row>
    <row r="212">
      <c r="A212" s="5">
        <f>IF('Kontoplan'!A212="","",'Kontoplan'!A212)</f>
        <v/>
      </c>
      <c r="B212" s="5">
        <f>IF($A212="","",'Kontoplan'!B212)</f>
        <v/>
      </c>
      <c r="C212" s="5">
        <f>IF($A212="","",'Kontoplan'!C212)</f>
        <v/>
      </c>
      <c r="D212" s="20">
        <f>IF($A212="","",SUMIFS('Åpningsbalanse'!$C$4:$C$103,'Åpningsbalanse'!$A$4:$A$103,SUBSTITUTE(SUBSTITUTE(SUBSTITUTE('Kontoplan'!$H212,"~","~~"),"*","~*"),"?","~?"))*IFERROR(INDEX('_lister'!$C$2:$C$62,MATCH(C212,'_lister'!$A$2:$A$62,0)),1))</f>
        <v/>
      </c>
      <c r="E212" s="20">
        <f>IF($A212="","",SUMIFS('Journal'!$G$3:$G$2002,'Journal'!$D$3:$D$2002,SUBSTITUTE(SUBSTITUTE(SUBSTITUTE('Kontoplan'!$H212,"~","~~"),"*","~*"),"?","~?"))+SUMIFS('Journal'!$F$3:$F$2002,'Journal'!$E$3:$E$2002,SUBSTITUTE(SUBSTITUTE(SUBSTITUTE('Kontoplan'!$H212,"~","~~"),"*","~*"),"?","~?")))</f>
        <v/>
      </c>
      <c r="F212" s="20">
        <f>IF($A212="","",SUMIFS('Journal'!$F$3:$F$2002,'Journal'!$D$3:$D$2002,SUBSTITUTE(SUBSTITUTE(SUBSTITUTE('Kontoplan'!$H212,"~","~~"),"*","~*"),"?","~?"))+SUMIFS('Journal'!$G$3:$G$2002,'Journal'!$E$3:$E$2002,SUBSTITUTE(SUBSTITUTE(SUBSTITUTE('Kontoplan'!$H212,"~","~~"),"*","~*"),"?","~?")))</f>
        <v/>
      </c>
      <c r="G212" s="20">
        <f>IF($A212="","",D212+E212-F212)</f>
        <v/>
      </c>
      <c r="H212" s="14" t="n"/>
      <c r="I212" s="8" t="n"/>
    </row>
    <row r="213">
      <c r="A213" s="5">
        <f>IF('Kontoplan'!A213="","",'Kontoplan'!A213)</f>
        <v/>
      </c>
      <c r="B213" s="5">
        <f>IF($A213="","",'Kontoplan'!B213)</f>
        <v/>
      </c>
      <c r="C213" s="5">
        <f>IF($A213="","",'Kontoplan'!C213)</f>
        <v/>
      </c>
      <c r="D213" s="20">
        <f>IF($A213="","",SUMIFS('Åpningsbalanse'!$C$4:$C$103,'Åpningsbalanse'!$A$4:$A$103,SUBSTITUTE(SUBSTITUTE(SUBSTITUTE('Kontoplan'!$H213,"~","~~"),"*","~*"),"?","~?"))*IFERROR(INDEX('_lister'!$C$2:$C$62,MATCH(C213,'_lister'!$A$2:$A$62,0)),1))</f>
        <v/>
      </c>
      <c r="E213" s="20">
        <f>IF($A213="","",SUMIFS('Journal'!$G$3:$G$2002,'Journal'!$D$3:$D$2002,SUBSTITUTE(SUBSTITUTE(SUBSTITUTE('Kontoplan'!$H213,"~","~~"),"*","~*"),"?","~?"))+SUMIFS('Journal'!$F$3:$F$2002,'Journal'!$E$3:$E$2002,SUBSTITUTE(SUBSTITUTE(SUBSTITUTE('Kontoplan'!$H213,"~","~~"),"*","~*"),"?","~?")))</f>
        <v/>
      </c>
      <c r="F213" s="20">
        <f>IF($A213="","",SUMIFS('Journal'!$F$3:$F$2002,'Journal'!$D$3:$D$2002,SUBSTITUTE(SUBSTITUTE(SUBSTITUTE('Kontoplan'!$H213,"~","~~"),"*","~*"),"?","~?"))+SUMIFS('Journal'!$G$3:$G$2002,'Journal'!$E$3:$E$2002,SUBSTITUTE(SUBSTITUTE(SUBSTITUTE('Kontoplan'!$H213,"~","~~"),"*","~*"),"?","~?")))</f>
        <v/>
      </c>
      <c r="G213" s="20">
        <f>IF($A213="","",D213+E213-F213)</f>
        <v/>
      </c>
      <c r="H213" s="14" t="n"/>
      <c r="I213" s="8" t="n"/>
    </row>
    <row r="214">
      <c r="A214" s="5">
        <f>IF('Kontoplan'!A214="","",'Kontoplan'!A214)</f>
        <v/>
      </c>
      <c r="B214" s="5">
        <f>IF($A214="","",'Kontoplan'!B214)</f>
        <v/>
      </c>
      <c r="C214" s="5">
        <f>IF($A214="","",'Kontoplan'!C214)</f>
        <v/>
      </c>
      <c r="D214" s="20">
        <f>IF($A214="","",SUMIFS('Åpningsbalanse'!$C$4:$C$103,'Åpningsbalanse'!$A$4:$A$103,SUBSTITUTE(SUBSTITUTE(SUBSTITUTE('Kontoplan'!$H214,"~","~~"),"*","~*"),"?","~?"))*IFERROR(INDEX('_lister'!$C$2:$C$62,MATCH(C214,'_lister'!$A$2:$A$62,0)),1))</f>
        <v/>
      </c>
      <c r="E214" s="20">
        <f>IF($A214="","",SUMIFS('Journal'!$G$3:$G$2002,'Journal'!$D$3:$D$2002,SUBSTITUTE(SUBSTITUTE(SUBSTITUTE('Kontoplan'!$H214,"~","~~"),"*","~*"),"?","~?"))+SUMIFS('Journal'!$F$3:$F$2002,'Journal'!$E$3:$E$2002,SUBSTITUTE(SUBSTITUTE(SUBSTITUTE('Kontoplan'!$H214,"~","~~"),"*","~*"),"?","~?")))</f>
        <v/>
      </c>
      <c r="F214" s="20">
        <f>IF($A214="","",SUMIFS('Journal'!$F$3:$F$2002,'Journal'!$D$3:$D$2002,SUBSTITUTE(SUBSTITUTE(SUBSTITUTE('Kontoplan'!$H214,"~","~~"),"*","~*"),"?","~?"))+SUMIFS('Journal'!$G$3:$G$2002,'Journal'!$E$3:$E$2002,SUBSTITUTE(SUBSTITUTE(SUBSTITUTE('Kontoplan'!$H214,"~","~~"),"*","~*"),"?","~?")))</f>
        <v/>
      </c>
      <c r="G214" s="20">
        <f>IF($A214="","",D214+E214-F214)</f>
        <v/>
      </c>
      <c r="H214" s="14" t="n"/>
      <c r="I214" s="8" t="n"/>
    </row>
    <row r="215">
      <c r="A215" s="5">
        <f>IF('Kontoplan'!A215="","",'Kontoplan'!A215)</f>
        <v/>
      </c>
      <c r="B215" s="5">
        <f>IF($A215="","",'Kontoplan'!B215)</f>
        <v/>
      </c>
      <c r="C215" s="5">
        <f>IF($A215="","",'Kontoplan'!C215)</f>
        <v/>
      </c>
      <c r="D215" s="20">
        <f>IF($A215="","",SUMIFS('Åpningsbalanse'!$C$4:$C$103,'Åpningsbalanse'!$A$4:$A$103,SUBSTITUTE(SUBSTITUTE(SUBSTITUTE('Kontoplan'!$H215,"~","~~"),"*","~*"),"?","~?"))*IFERROR(INDEX('_lister'!$C$2:$C$62,MATCH(C215,'_lister'!$A$2:$A$62,0)),1))</f>
        <v/>
      </c>
      <c r="E215" s="20">
        <f>IF($A215="","",SUMIFS('Journal'!$G$3:$G$2002,'Journal'!$D$3:$D$2002,SUBSTITUTE(SUBSTITUTE(SUBSTITUTE('Kontoplan'!$H215,"~","~~"),"*","~*"),"?","~?"))+SUMIFS('Journal'!$F$3:$F$2002,'Journal'!$E$3:$E$2002,SUBSTITUTE(SUBSTITUTE(SUBSTITUTE('Kontoplan'!$H215,"~","~~"),"*","~*"),"?","~?")))</f>
        <v/>
      </c>
      <c r="F215" s="20">
        <f>IF($A215="","",SUMIFS('Journal'!$F$3:$F$2002,'Journal'!$D$3:$D$2002,SUBSTITUTE(SUBSTITUTE(SUBSTITUTE('Kontoplan'!$H215,"~","~~"),"*","~*"),"?","~?"))+SUMIFS('Journal'!$G$3:$G$2002,'Journal'!$E$3:$E$2002,SUBSTITUTE(SUBSTITUTE(SUBSTITUTE('Kontoplan'!$H215,"~","~~"),"*","~*"),"?","~?")))</f>
        <v/>
      </c>
      <c r="G215" s="20">
        <f>IF($A215="","",D215+E215-F215)</f>
        <v/>
      </c>
      <c r="H215" s="14" t="n"/>
      <c r="I215" s="8" t="n"/>
    </row>
    <row r="216">
      <c r="A216" s="5">
        <f>IF('Kontoplan'!A216="","",'Kontoplan'!A216)</f>
        <v/>
      </c>
      <c r="B216" s="5">
        <f>IF($A216="","",'Kontoplan'!B216)</f>
        <v/>
      </c>
      <c r="C216" s="5">
        <f>IF($A216="","",'Kontoplan'!C216)</f>
        <v/>
      </c>
      <c r="D216" s="20">
        <f>IF($A216="","",SUMIFS('Åpningsbalanse'!$C$4:$C$103,'Åpningsbalanse'!$A$4:$A$103,SUBSTITUTE(SUBSTITUTE(SUBSTITUTE('Kontoplan'!$H216,"~","~~"),"*","~*"),"?","~?"))*IFERROR(INDEX('_lister'!$C$2:$C$62,MATCH(C216,'_lister'!$A$2:$A$62,0)),1))</f>
        <v/>
      </c>
      <c r="E216" s="20">
        <f>IF($A216="","",SUMIFS('Journal'!$G$3:$G$2002,'Journal'!$D$3:$D$2002,SUBSTITUTE(SUBSTITUTE(SUBSTITUTE('Kontoplan'!$H216,"~","~~"),"*","~*"),"?","~?"))+SUMIFS('Journal'!$F$3:$F$2002,'Journal'!$E$3:$E$2002,SUBSTITUTE(SUBSTITUTE(SUBSTITUTE('Kontoplan'!$H216,"~","~~"),"*","~*"),"?","~?")))</f>
        <v/>
      </c>
      <c r="F216" s="20">
        <f>IF($A216="","",SUMIFS('Journal'!$F$3:$F$2002,'Journal'!$D$3:$D$2002,SUBSTITUTE(SUBSTITUTE(SUBSTITUTE('Kontoplan'!$H216,"~","~~"),"*","~*"),"?","~?"))+SUMIFS('Journal'!$G$3:$G$2002,'Journal'!$E$3:$E$2002,SUBSTITUTE(SUBSTITUTE(SUBSTITUTE('Kontoplan'!$H216,"~","~~"),"*","~*"),"?","~?")))</f>
        <v/>
      </c>
      <c r="G216" s="20">
        <f>IF($A216="","",D216+E216-F216)</f>
        <v/>
      </c>
      <c r="H216" s="14" t="n"/>
      <c r="I216" s="8" t="n"/>
    </row>
    <row r="217">
      <c r="A217" s="5">
        <f>IF('Kontoplan'!A217="","",'Kontoplan'!A217)</f>
        <v/>
      </c>
      <c r="B217" s="5">
        <f>IF($A217="","",'Kontoplan'!B217)</f>
        <v/>
      </c>
      <c r="C217" s="5">
        <f>IF($A217="","",'Kontoplan'!C217)</f>
        <v/>
      </c>
      <c r="D217" s="20">
        <f>IF($A217="","",SUMIFS('Åpningsbalanse'!$C$4:$C$103,'Åpningsbalanse'!$A$4:$A$103,SUBSTITUTE(SUBSTITUTE(SUBSTITUTE('Kontoplan'!$H217,"~","~~"),"*","~*"),"?","~?"))*IFERROR(INDEX('_lister'!$C$2:$C$62,MATCH(C217,'_lister'!$A$2:$A$62,0)),1))</f>
        <v/>
      </c>
      <c r="E217" s="20">
        <f>IF($A217="","",SUMIFS('Journal'!$G$3:$G$2002,'Journal'!$D$3:$D$2002,SUBSTITUTE(SUBSTITUTE(SUBSTITUTE('Kontoplan'!$H217,"~","~~"),"*","~*"),"?","~?"))+SUMIFS('Journal'!$F$3:$F$2002,'Journal'!$E$3:$E$2002,SUBSTITUTE(SUBSTITUTE(SUBSTITUTE('Kontoplan'!$H217,"~","~~"),"*","~*"),"?","~?")))</f>
        <v/>
      </c>
      <c r="F217" s="20">
        <f>IF($A217="","",SUMIFS('Journal'!$F$3:$F$2002,'Journal'!$D$3:$D$2002,SUBSTITUTE(SUBSTITUTE(SUBSTITUTE('Kontoplan'!$H217,"~","~~"),"*","~*"),"?","~?"))+SUMIFS('Journal'!$G$3:$G$2002,'Journal'!$E$3:$E$2002,SUBSTITUTE(SUBSTITUTE(SUBSTITUTE('Kontoplan'!$H217,"~","~~"),"*","~*"),"?","~?")))</f>
        <v/>
      </c>
      <c r="G217" s="20">
        <f>IF($A217="","",D217+E217-F217)</f>
        <v/>
      </c>
      <c r="H217" s="14" t="n"/>
      <c r="I217" s="8" t="n"/>
    </row>
    <row r="218">
      <c r="A218" s="5">
        <f>IF('Kontoplan'!A218="","",'Kontoplan'!A218)</f>
        <v/>
      </c>
      <c r="B218" s="5">
        <f>IF($A218="","",'Kontoplan'!B218)</f>
        <v/>
      </c>
      <c r="C218" s="5">
        <f>IF($A218="","",'Kontoplan'!C218)</f>
        <v/>
      </c>
      <c r="D218" s="20">
        <f>IF($A218="","",SUMIFS('Åpningsbalanse'!$C$4:$C$103,'Åpningsbalanse'!$A$4:$A$103,SUBSTITUTE(SUBSTITUTE(SUBSTITUTE('Kontoplan'!$H218,"~","~~"),"*","~*"),"?","~?"))*IFERROR(INDEX('_lister'!$C$2:$C$62,MATCH(C218,'_lister'!$A$2:$A$62,0)),1))</f>
        <v/>
      </c>
      <c r="E218" s="20">
        <f>IF($A218="","",SUMIFS('Journal'!$G$3:$G$2002,'Journal'!$D$3:$D$2002,SUBSTITUTE(SUBSTITUTE(SUBSTITUTE('Kontoplan'!$H218,"~","~~"),"*","~*"),"?","~?"))+SUMIFS('Journal'!$F$3:$F$2002,'Journal'!$E$3:$E$2002,SUBSTITUTE(SUBSTITUTE(SUBSTITUTE('Kontoplan'!$H218,"~","~~"),"*","~*"),"?","~?")))</f>
        <v/>
      </c>
      <c r="F218" s="20">
        <f>IF($A218="","",SUMIFS('Journal'!$F$3:$F$2002,'Journal'!$D$3:$D$2002,SUBSTITUTE(SUBSTITUTE(SUBSTITUTE('Kontoplan'!$H218,"~","~~"),"*","~*"),"?","~?"))+SUMIFS('Journal'!$G$3:$G$2002,'Journal'!$E$3:$E$2002,SUBSTITUTE(SUBSTITUTE(SUBSTITUTE('Kontoplan'!$H218,"~","~~"),"*","~*"),"?","~?")))</f>
        <v/>
      </c>
      <c r="G218" s="20">
        <f>IF($A218="","",D218+E218-F218)</f>
        <v/>
      </c>
      <c r="H218" s="14" t="n"/>
      <c r="I218" s="8" t="n"/>
    </row>
    <row r="219">
      <c r="A219" s="5">
        <f>IF('Kontoplan'!A219="","",'Kontoplan'!A219)</f>
        <v/>
      </c>
      <c r="B219" s="5">
        <f>IF($A219="","",'Kontoplan'!B219)</f>
        <v/>
      </c>
      <c r="C219" s="5">
        <f>IF($A219="","",'Kontoplan'!C219)</f>
        <v/>
      </c>
      <c r="D219" s="20">
        <f>IF($A219="","",SUMIFS('Åpningsbalanse'!$C$4:$C$103,'Åpningsbalanse'!$A$4:$A$103,SUBSTITUTE(SUBSTITUTE(SUBSTITUTE('Kontoplan'!$H219,"~","~~"),"*","~*"),"?","~?"))*IFERROR(INDEX('_lister'!$C$2:$C$62,MATCH(C219,'_lister'!$A$2:$A$62,0)),1))</f>
        <v/>
      </c>
      <c r="E219" s="20">
        <f>IF($A219="","",SUMIFS('Journal'!$G$3:$G$2002,'Journal'!$D$3:$D$2002,SUBSTITUTE(SUBSTITUTE(SUBSTITUTE('Kontoplan'!$H219,"~","~~"),"*","~*"),"?","~?"))+SUMIFS('Journal'!$F$3:$F$2002,'Journal'!$E$3:$E$2002,SUBSTITUTE(SUBSTITUTE(SUBSTITUTE('Kontoplan'!$H219,"~","~~"),"*","~*"),"?","~?")))</f>
        <v/>
      </c>
      <c r="F219" s="20">
        <f>IF($A219="","",SUMIFS('Journal'!$F$3:$F$2002,'Journal'!$D$3:$D$2002,SUBSTITUTE(SUBSTITUTE(SUBSTITUTE('Kontoplan'!$H219,"~","~~"),"*","~*"),"?","~?"))+SUMIFS('Journal'!$G$3:$G$2002,'Journal'!$E$3:$E$2002,SUBSTITUTE(SUBSTITUTE(SUBSTITUTE('Kontoplan'!$H219,"~","~~"),"*","~*"),"?","~?")))</f>
        <v/>
      </c>
      <c r="G219" s="20">
        <f>IF($A219="","",D219+E219-F219)</f>
        <v/>
      </c>
      <c r="H219" s="14" t="n"/>
      <c r="I219" s="8" t="n"/>
    </row>
    <row r="220">
      <c r="A220" s="5">
        <f>IF('Kontoplan'!A220="","",'Kontoplan'!A220)</f>
        <v/>
      </c>
      <c r="B220" s="5">
        <f>IF($A220="","",'Kontoplan'!B220)</f>
        <v/>
      </c>
      <c r="C220" s="5">
        <f>IF($A220="","",'Kontoplan'!C220)</f>
        <v/>
      </c>
      <c r="D220" s="20">
        <f>IF($A220="","",SUMIFS('Åpningsbalanse'!$C$4:$C$103,'Åpningsbalanse'!$A$4:$A$103,SUBSTITUTE(SUBSTITUTE(SUBSTITUTE('Kontoplan'!$H220,"~","~~"),"*","~*"),"?","~?"))*IFERROR(INDEX('_lister'!$C$2:$C$62,MATCH(C220,'_lister'!$A$2:$A$62,0)),1))</f>
        <v/>
      </c>
      <c r="E220" s="20">
        <f>IF($A220="","",SUMIFS('Journal'!$G$3:$G$2002,'Journal'!$D$3:$D$2002,SUBSTITUTE(SUBSTITUTE(SUBSTITUTE('Kontoplan'!$H220,"~","~~"),"*","~*"),"?","~?"))+SUMIFS('Journal'!$F$3:$F$2002,'Journal'!$E$3:$E$2002,SUBSTITUTE(SUBSTITUTE(SUBSTITUTE('Kontoplan'!$H220,"~","~~"),"*","~*"),"?","~?")))</f>
        <v/>
      </c>
      <c r="F220" s="20">
        <f>IF($A220="","",SUMIFS('Journal'!$F$3:$F$2002,'Journal'!$D$3:$D$2002,SUBSTITUTE(SUBSTITUTE(SUBSTITUTE('Kontoplan'!$H220,"~","~~"),"*","~*"),"?","~?"))+SUMIFS('Journal'!$G$3:$G$2002,'Journal'!$E$3:$E$2002,SUBSTITUTE(SUBSTITUTE(SUBSTITUTE('Kontoplan'!$H220,"~","~~"),"*","~*"),"?","~?")))</f>
        <v/>
      </c>
      <c r="G220" s="20">
        <f>IF($A220="","",D220+E220-F220)</f>
        <v/>
      </c>
      <c r="H220" s="14" t="n"/>
      <c r="I220" s="8" t="n"/>
    </row>
    <row r="221">
      <c r="A221" s="5">
        <f>IF('Kontoplan'!A221="","",'Kontoplan'!A221)</f>
        <v/>
      </c>
      <c r="B221" s="5">
        <f>IF($A221="","",'Kontoplan'!B221)</f>
        <v/>
      </c>
      <c r="C221" s="5">
        <f>IF($A221="","",'Kontoplan'!C221)</f>
        <v/>
      </c>
      <c r="D221" s="20">
        <f>IF($A221="","",SUMIFS('Åpningsbalanse'!$C$4:$C$103,'Åpningsbalanse'!$A$4:$A$103,SUBSTITUTE(SUBSTITUTE(SUBSTITUTE('Kontoplan'!$H221,"~","~~"),"*","~*"),"?","~?"))*IFERROR(INDEX('_lister'!$C$2:$C$62,MATCH(C221,'_lister'!$A$2:$A$62,0)),1))</f>
        <v/>
      </c>
      <c r="E221" s="20">
        <f>IF($A221="","",SUMIFS('Journal'!$G$3:$G$2002,'Journal'!$D$3:$D$2002,SUBSTITUTE(SUBSTITUTE(SUBSTITUTE('Kontoplan'!$H221,"~","~~"),"*","~*"),"?","~?"))+SUMIFS('Journal'!$F$3:$F$2002,'Journal'!$E$3:$E$2002,SUBSTITUTE(SUBSTITUTE(SUBSTITUTE('Kontoplan'!$H221,"~","~~"),"*","~*"),"?","~?")))</f>
        <v/>
      </c>
      <c r="F221" s="20">
        <f>IF($A221="","",SUMIFS('Journal'!$F$3:$F$2002,'Journal'!$D$3:$D$2002,SUBSTITUTE(SUBSTITUTE(SUBSTITUTE('Kontoplan'!$H221,"~","~~"),"*","~*"),"?","~?"))+SUMIFS('Journal'!$G$3:$G$2002,'Journal'!$E$3:$E$2002,SUBSTITUTE(SUBSTITUTE(SUBSTITUTE('Kontoplan'!$H221,"~","~~"),"*","~*"),"?","~?")))</f>
        <v/>
      </c>
      <c r="G221" s="20">
        <f>IF($A221="","",D221+E221-F221)</f>
        <v/>
      </c>
      <c r="H221" s="14" t="n"/>
      <c r="I221" s="8" t="n"/>
    </row>
    <row r="222">
      <c r="A222" s="5">
        <f>IF('Kontoplan'!A222="","",'Kontoplan'!A222)</f>
        <v/>
      </c>
      <c r="B222" s="5">
        <f>IF($A222="","",'Kontoplan'!B222)</f>
        <v/>
      </c>
      <c r="C222" s="5">
        <f>IF($A222="","",'Kontoplan'!C222)</f>
        <v/>
      </c>
      <c r="D222" s="20">
        <f>IF($A222="","",SUMIFS('Åpningsbalanse'!$C$4:$C$103,'Åpningsbalanse'!$A$4:$A$103,SUBSTITUTE(SUBSTITUTE(SUBSTITUTE('Kontoplan'!$H222,"~","~~"),"*","~*"),"?","~?"))*IFERROR(INDEX('_lister'!$C$2:$C$62,MATCH(C222,'_lister'!$A$2:$A$62,0)),1))</f>
        <v/>
      </c>
      <c r="E222" s="20">
        <f>IF($A222="","",SUMIFS('Journal'!$G$3:$G$2002,'Journal'!$D$3:$D$2002,SUBSTITUTE(SUBSTITUTE(SUBSTITUTE('Kontoplan'!$H222,"~","~~"),"*","~*"),"?","~?"))+SUMIFS('Journal'!$F$3:$F$2002,'Journal'!$E$3:$E$2002,SUBSTITUTE(SUBSTITUTE(SUBSTITUTE('Kontoplan'!$H222,"~","~~"),"*","~*"),"?","~?")))</f>
        <v/>
      </c>
      <c r="F222" s="20">
        <f>IF($A222="","",SUMIFS('Journal'!$F$3:$F$2002,'Journal'!$D$3:$D$2002,SUBSTITUTE(SUBSTITUTE(SUBSTITUTE('Kontoplan'!$H222,"~","~~"),"*","~*"),"?","~?"))+SUMIFS('Journal'!$G$3:$G$2002,'Journal'!$E$3:$E$2002,SUBSTITUTE(SUBSTITUTE(SUBSTITUTE('Kontoplan'!$H222,"~","~~"),"*","~*"),"?","~?")))</f>
        <v/>
      </c>
      <c r="G222" s="20">
        <f>IF($A222="","",D222+E222-F222)</f>
        <v/>
      </c>
      <c r="H222" s="14" t="n"/>
      <c r="I222" s="8" t="n"/>
    </row>
    <row r="223">
      <c r="A223" s="5">
        <f>IF('Kontoplan'!A223="","",'Kontoplan'!A223)</f>
        <v/>
      </c>
      <c r="B223" s="5">
        <f>IF($A223="","",'Kontoplan'!B223)</f>
        <v/>
      </c>
      <c r="C223" s="5">
        <f>IF($A223="","",'Kontoplan'!C223)</f>
        <v/>
      </c>
      <c r="D223" s="20">
        <f>IF($A223="","",SUMIFS('Åpningsbalanse'!$C$4:$C$103,'Åpningsbalanse'!$A$4:$A$103,SUBSTITUTE(SUBSTITUTE(SUBSTITUTE('Kontoplan'!$H223,"~","~~"),"*","~*"),"?","~?"))*IFERROR(INDEX('_lister'!$C$2:$C$62,MATCH(C223,'_lister'!$A$2:$A$62,0)),1))</f>
        <v/>
      </c>
      <c r="E223" s="20">
        <f>IF($A223="","",SUMIFS('Journal'!$G$3:$G$2002,'Journal'!$D$3:$D$2002,SUBSTITUTE(SUBSTITUTE(SUBSTITUTE('Kontoplan'!$H223,"~","~~"),"*","~*"),"?","~?"))+SUMIFS('Journal'!$F$3:$F$2002,'Journal'!$E$3:$E$2002,SUBSTITUTE(SUBSTITUTE(SUBSTITUTE('Kontoplan'!$H223,"~","~~"),"*","~*"),"?","~?")))</f>
        <v/>
      </c>
      <c r="F223" s="20">
        <f>IF($A223="","",SUMIFS('Journal'!$F$3:$F$2002,'Journal'!$D$3:$D$2002,SUBSTITUTE(SUBSTITUTE(SUBSTITUTE('Kontoplan'!$H223,"~","~~"),"*","~*"),"?","~?"))+SUMIFS('Journal'!$G$3:$G$2002,'Journal'!$E$3:$E$2002,SUBSTITUTE(SUBSTITUTE(SUBSTITUTE('Kontoplan'!$H223,"~","~~"),"*","~*"),"?","~?")))</f>
        <v/>
      </c>
      <c r="G223" s="20">
        <f>IF($A223="","",D223+E223-F223)</f>
        <v/>
      </c>
      <c r="H223" s="14" t="n"/>
      <c r="I223" s="8" t="n"/>
    </row>
    <row r="224">
      <c r="A224" s="5">
        <f>IF('Kontoplan'!A224="","",'Kontoplan'!A224)</f>
        <v/>
      </c>
      <c r="B224" s="5">
        <f>IF($A224="","",'Kontoplan'!B224)</f>
        <v/>
      </c>
      <c r="C224" s="5">
        <f>IF($A224="","",'Kontoplan'!C224)</f>
        <v/>
      </c>
      <c r="D224" s="20">
        <f>IF($A224="","",SUMIFS('Åpningsbalanse'!$C$4:$C$103,'Åpningsbalanse'!$A$4:$A$103,SUBSTITUTE(SUBSTITUTE(SUBSTITUTE('Kontoplan'!$H224,"~","~~"),"*","~*"),"?","~?"))*IFERROR(INDEX('_lister'!$C$2:$C$62,MATCH(C224,'_lister'!$A$2:$A$62,0)),1))</f>
        <v/>
      </c>
      <c r="E224" s="20">
        <f>IF($A224="","",SUMIFS('Journal'!$G$3:$G$2002,'Journal'!$D$3:$D$2002,SUBSTITUTE(SUBSTITUTE(SUBSTITUTE('Kontoplan'!$H224,"~","~~"),"*","~*"),"?","~?"))+SUMIFS('Journal'!$F$3:$F$2002,'Journal'!$E$3:$E$2002,SUBSTITUTE(SUBSTITUTE(SUBSTITUTE('Kontoplan'!$H224,"~","~~"),"*","~*"),"?","~?")))</f>
        <v/>
      </c>
      <c r="F224" s="20">
        <f>IF($A224="","",SUMIFS('Journal'!$F$3:$F$2002,'Journal'!$D$3:$D$2002,SUBSTITUTE(SUBSTITUTE(SUBSTITUTE('Kontoplan'!$H224,"~","~~"),"*","~*"),"?","~?"))+SUMIFS('Journal'!$G$3:$G$2002,'Journal'!$E$3:$E$2002,SUBSTITUTE(SUBSTITUTE(SUBSTITUTE('Kontoplan'!$H224,"~","~~"),"*","~*"),"?","~?")))</f>
        <v/>
      </c>
      <c r="G224" s="20">
        <f>IF($A224="","",D224+E224-F224)</f>
        <v/>
      </c>
      <c r="H224" s="14" t="n"/>
      <c r="I224" s="8" t="n"/>
    </row>
    <row r="225">
      <c r="A225" s="5">
        <f>IF('Kontoplan'!A225="","",'Kontoplan'!A225)</f>
        <v/>
      </c>
      <c r="B225" s="5">
        <f>IF($A225="","",'Kontoplan'!B225)</f>
        <v/>
      </c>
      <c r="C225" s="5">
        <f>IF($A225="","",'Kontoplan'!C225)</f>
        <v/>
      </c>
      <c r="D225" s="20">
        <f>IF($A225="","",SUMIFS('Åpningsbalanse'!$C$4:$C$103,'Åpningsbalanse'!$A$4:$A$103,SUBSTITUTE(SUBSTITUTE(SUBSTITUTE('Kontoplan'!$H225,"~","~~"),"*","~*"),"?","~?"))*IFERROR(INDEX('_lister'!$C$2:$C$62,MATCH(C225,'_lister'!$A$2:$A$62,0)),1))</f>
        <v/>
      </c>
      <c r="E225" s="20">
        <f>IF($A225="","",SUMIFS('Journal'!$G$3:$G$2002,'Journal'!$D$3:$D$2002,SUBSTITUTE(SUBSTITUTE(SUBSTITUTE('Kontoplan'!$H225,"~","~~"),"*","~*"),"?","~?"))+SUMIFS('Journal'!$F$3:$F$2002,'Journal'!$E$3:$E$2002,SUBSTITUTE(SUBSTITUTE(SUBSTITUTE('Kontoplan'!$H225,"~","~~"),"*","~*"),"?","~?")))</f>
        <v/>
      </c>
      <c r="F225" s="20">
        <f>IF($A225="","",SUMIFS('Journal'!$F$3:$F$2002,'Journal'!$D$3:$D$2002,SUBSTITUTE(SUBSTITUTE(SUBSTITUTE('Kontoplan'!$H225,"~","~~"),"*","~*"),"?","~?"))+SUMIFS('Journal'!$G$3:$G$2002,'Journal'!$E$3:$E$2002,SUBSTITUTE(SUBSTITUTE(SUBSTITUTE('Kontoplan'!$H225,"~","~~"),"*","~*"),"?","~?")))</f>
        <v/>
      </c>
      <c r="G225" s="20">
        <f>IF($A225="","",D225+E225-F225)</f>
        <v/>
      </c>
      <c r="H225" s="14" t="n"/>
      <c r="I225" s="8" t="n"/>
    </row>
    <row r="226">
      <c r="A226" s="5">
        <f>IF('Kontoplan'!A226="","",'Kontoplan'!A226)</f>
        <v/>
      </c>
      <c r="B226" s="5">
        <f>IF($A226="","",'Kontoplan'!B226)</f>
        <v/>
      </c>
      <c r="C226" s="5">
        <f>IF($A226="","",'Kontoplan'!C226)</f>
        <v/>
      </c>
      <c r="D226" s="20">
        <f>IF($A226="","",SUMIFS('Åpningsbalanse'!$C$4:$C$103,'Åpningsbalanse'!$A$4:$A$103,SUBSTITUTE(SUBSTITUTE(SUBSTITUTE('Kontoplan'!$H226,"~","~~"),"*","~*"),"?","~?"))*IFERROR(INDEX('_lister'!$C$2:$C$62,MATCH(C226,'_lister'!$A$2:$A$62,0)),1))</f>
        <v/>
      </c>
      <c r="E226" s="20">
        <f>IF($A226="","",SUMIFS('Journal'!$G$3:$G$2002,'Journal'!$D$3:$D$2002,SUBSTITUTE(SUBSTITUTE(SUBSTITUTE('Kontoplan'!$H226,"~","~~"),"*","~*"),"?","~?"))+SUMIFS('Journal'!$F$3:$F$2002,'Journal'!$E$3:$E$2002,SUBSTITUTE(SUBSTITUTE(SUBSTITUTE('Kontoplan'!$H226,"~","~~"),"*","~*"),"?","~?")))</f>
        <v/>
      </c>
      <c r="F226" s="20">
        <f>IF($A226="","",SUMIFS('Journal'!$F$3:$F$2002,'Journal'!$D$3:$D$2002,SUBSTITUTE(SUBSTITUTE(SUBSTITUTE('Kontoplan'!$H226,"~","~~"),"*","~*"),"?","~?"))+SUMIFS('Journal'!$G$3:$G$2002,'Journal'!$E$3:$E$2002,SUBSTITUTE(SUBSTITUTE(SUBSTITUTE('Kontoplan'!$H226,"~","~~"),"*","~*"),"?","~?")))</f>
        <v/>
      </c>
      <c r="G226" s="20">
        <f>IF($A226="","",D226+E226-F226)</f>
        <v/>
      </c>
      <c r="H226" s="14" t="n"/>
      <c r="I226" s="8" t="n"/>
    </row>
    <row r="227">
      <c r="A227" s="5">
        <f>IF('Kontoplan'!A227="","",'Kontoplan'!A227)</f>
        <v/>
      </c>
      <c r="B227" s="5">
        <f>IF($A227="","",'Kontoplan'!B227)</f>
        <v/>
      </c>
      <c r="C227" s="5">
        <f>IF($A227="","",'Kontoplan'!C227)</f>
        <v/>
      </c>
      <c r="D227" s="20">
        <f>IF($A227="","",SUMIFS('Åpningsbalanse'!$C$4:$C$103,'Åpningsbalanse'!$A$4:$A$103,SUBSTITUTE(SUBSTITUTE(SUBSTITUTE('Kontoplan'!$H227,"~","~~"),"*","~*"),"?","~?"))*IFERROR(INDEX('_lister'!$C$2:$C$62,MATCH(C227,'_lister'!$A$2:$A$62,0)),1))</f>
        <v/>
      </c>
      <c r="E227" s="20">
        <f>IF($A227="","",SUMIFS('Journal'!$G$3:$G$2002,'Journal'!$D$3:$D$2002,SUBSTITUTE(SUBSTITUTE(SUBSTITUTE('Kontoplan'!$H227,"~","~~"),"*","~*"),"?","~?"))+SUMIFS('Journal'!$F$3:$F$2002,'Journal'!$E$3:$E$2002,SUBSTITUTE(SUBSTITUTE(SUBSTITUTE('Kontoplan'!$H227,"~","~~"),"*","~*"),"?","~?")))</f>
        <v/>
      </c>
      <c r="F227" s="20">
        <f>IF($A227="","",SUMIFS('Journal'!$F$3:$F$2002,'Journal'!$D$3:$D$2002,SUBSTITUTE(SUBSTITUTE(SUBSTITUTE('Kontoplan'!$H227,"~","~~"),"*","~*"),"?","~?"))+SUMIFS('Journal'!$G$3:$G$2002,'Journal'!$E$3:$E$2002,SUBSTITUTE(SUBSTITUTE(SUBSTITUTE('Kontoplan'!$H227,"~","~~"),"*","~*"),"?","~?")))</f>
        <v/>
      </c>
      <c r="G227" s="20">
        <f>IF($A227="","",D227+E227-F227)</f>
        <v/>
      </c>
      <c r="H227" s="14" t="n"/>
      <c r="I227" s="8" t="n"/>
    </row>
    <row r="228">
      <c r="A228" s="5">
        <f>IF('Kontoplan'!A228="","",'Kontoplan'!A228)</f>
        <v/>
      </c>
      <c r="B228" s="5">
        <f>IF($A228="","",'Kontoplan'!B228)</f>
        <v/>
      </c>
      <c r="C228" s="5">
        <f>IF($A228="","",'Kontoplan'!C228)</f>
        <v/>
      </c>
      <c r="D228" s="20">
        <f>IF($A228="","",SUMIFS('Åpningsbalanse'!$C$4:$C$103,'Åpningsbalanse'!$A$4:$A$103,SUBSTITUTE(SUBSTITUTE(SUBSTITUTE('Kontoplan'!$H228,"~","~~"),"*","~*"),"?","~?"))*IFERROR(INDEX('_lister'!$C$2:$C$62,MATCH(C228,'_lister'!$A$2:$A$62,0)),1))</f>
        <v/>
      </c>
      <c r="E228" s="20">
        <f>IF($A228="","",SUMIFS('Journal'!$G$3:$G$2002,'Journal'!$D$3:$D$2002,SUBSTITUTE(SUBSTITUTE(SUBSTITUTE('Kontoplan'!$H228,"~","~~"),"*","~*"),"?","~?"))+SUMIFS('Journal'!$F$3:$F$2002,'Journal'!$E$3:$E$2002,SUBSTITUTE(SUBSTITUTE(SUBSTITUTE('Kontoplan'!$H228,"~","~~"),"*","~*"),"?","~?")))</f>
        <v/>
      </c>
      <c r="F228" s="20">
        <f>IF($A228="","",SUMIFS('Journal'!$F$3:$F$2002,'Journal'!$D$3:$D$2002,SUBSTITUTE(SUBSTITUTE(SUBSTITUTE('Kontoplan'!$H228,"~","~~"),"*","~*"),"?","~?"))+SUMIFS('Journal'!$G$3:$G$2002,'Journal'!$E$3:$E$2002,SUBSTITUTE(SUBSTITUTE(SUBSTITUTE('Kontoplan'!$H228,"~","~~"),"*","~*"),"?","~?")))</f>
        <v/>
      </c>
      <c r="G228" s="20">
        <f>IF($A228="","",D228+E228-F228)</f>
        <v/>
      </c>
      <c r="H228" s="14" t="n"/>
      <c r="I228" s="8" t="n"/>
    </row>
    <row r="229">
      <c r="A229" s="5">
        <f>IF('Kontoplan'!A229="","",'Kontoplan'!A229)</f>
        <v/>
      </c>
      <c r="B229" s="5">
        <f>IF($A229="","",'Kontoplan'!B229)</f>
        <v/>
      </c>
      <c r="C229" s="5">
        <f>IF($A229="","",'Kontoplan'!C229)</f>
        <v/>
      </c>
      <c r="D229" s="20">
        <f>IF($A229="","",SUMIFS('Åpningsbalanse'!$C$4:$C$103,'Åpningsbalanse'!$A$4:$A$103,SUBSTITUTE(SUBSTITUTE(SUBSTITUTE('Kontoplan'!$H229,"~","~~"),"*","~*"),"?","~?"))*IFERROR(INDEX('_lister'!$C$2:$C$62,MATCH(C229,'_lister'!$A$2:$A$62,0)),1))</f>
        <v/>
      </c>
      <c r="E229" s="20">
        <f>IF($A229="","",SUMIFS('Journal'!$G$3:$G$2002,'Journal'!$D$3:$D$2002,SUBSTITUTE(SUBSTITUTE(SUBSTITUTE('Kontoplan'!$H229,"~","~~"),"*","~*"),"?","~?"))+SUMIFS('Journal'!$F$3:$F$2002,'Journal'!$E$3:$E$2002,SUBSTITUTE(SUBSTITUTE(SUBSTITUTE('Kontoplan'!$H229,"~","~~"),"*","~*"),"?","~?")))</f>
        <v/>
      </c>
      <c r="F229" s="20">
        <f>IF($A229="","",SUMIFS('Journal'!$F$3:$F$2002,'Journal'!$D$3:$D$2002,SUBSTITUTE(SUBSTITUTE(SUBSTITUTE('Kontoplan'!$H229,"~","~~"),"*","~*"),"?","~?"))+SUMIFS('Journal'!$G$3:$G$2002,'Journal'!$E$3:$E$2002,SUBSTITUTE(SUBSTITUTE(SUBSTITUTE('Kontoplan'!$H229,"~","~~"),"*","~*"),"?","~?")))</f>
        <v/>
      </c>
      <c r="G229" s="20">
        <f>IF($A229="","",D229+E229-F229)</f>
        <v/>
      </c>
      <c r="H229" s="14" t="n"/>
      <c r="I229" s="8" t="n"/>
    </row>
    <row r="230">
      <c r="A230" s="5">
        <f>IF('Kontoplan'!A230="","",'Kontoplan'!A230)</f>
        <v/>
      </c>
      <c r="B230" s="5">
        <f>IF($A230="","",'Kontoplan'!B230)</f>
        <v/>
      </c>
      <c r="C230" s="5">
        <f>IF($A230="","",'Kontoplan'!C230)</f>
        <v/>
      </c>
      <c r="D230" s="20">
        <f>IF($A230="","",SUMIFS('Åpningsbalanse'!$C$4:$C$103,'Åpningsbalanse'!$A$4:$A$103,SUBSTITUTE(SUBSTITUTE(SUBSTITUTE('Kontoplan'!$H230,"~","~~"),"*","~*"),"?","~?"))*IFERROR(INDEX('_lister'!$C$2:$C$62,MATCH(C230,'_lister'!$A$2:$A$62,0)),1))</f>
        <v/>
      </c>
      <c r="E230" s="20">
        <f>IF($A230="","",SUMIFS('Journal'!$G$3:$G$2002,'Journal'!$D$3:$D$2002,SUBSTITUTE(SUBSTITUTE(SUBSTITUTE('Kontoplan'!$H230,"~","~~"),"*","~*"),"?","~?"))+SUMIFS('Journal'!$F$3:$F$2002,'Journal'!$E$3:$E$2002,SUBSTITUTE(SUBSTITUTE(SUBSTITUTE('Kontoplan'!$H230,"~","~~"),"*","~*"),"?","~?")))</f>
        <v/>
      </c>
      <c r="F230" s="20">
        <f>IF($A230="","",SUMIFS('Journal'!$F$3:$F$2002,'Journal'!$D$3:$D$2002,SUBSTITUTE(SUBSTITUTE(SUBSTITUTE('Kontoplan'!$H230,"~","~~"),"*","~*"),"?","~?"))+SUMIFS('Journal'!$G$3:$G$2002,'Journal'!$E$3:$E$2002,SUBSTITUTE(SUBSTITUTE(SUBSTITUTE('Kontoplan'!$H230,"~","~~"),"*","~*"),"?","~?")))</f>
        <v/>
      </c>
      <c r="G230" s="20">
        <f>IF($A230="","",D230+E230-F230)</f>
        <v/>
      </c>
      <c r="H230" s="14" t="n"/>
      <c r="I230" s="8" t="n"/>
    </row>
    <row r="231">
      <c r="A231" s="5">
        <f>IF('Kontoplan'!A231="","",'Kontoplan'!A231)</f>
        <v/>
      </c>
      <c r="B231" s="5">
        <f>IF($A231="","",'Kontoplan'!B231)</f>
        <v/>
      </c>
      <c r="C231" s="5">
        <f>IF($A231="","",'Kontoplan'!C231)</f>
        <v/>
      </c>
      <c r="D231" s="20">
        <f>IF($A231="","",SUMIFS('Åpningsbalanse'!$C$4:$C$103,'Åpningsbalanse'!$A$4:$A$103,SUBSTITUTE(SUBSTITUTE(SUBSTITUTE('Kontoplan'!$H231,"~","~~"),"*","~*"),"?","~?"))*IFERROR(INDEX('_lister'!$C$2:$C$62,MATCH(C231,'_lister'!$A$2:$A$62,0)),1))</f>
        <v/>
      </c>
      <c r="E231" s="20">
        <f>IF($A231="","",SUMIFS('Journal'!$G$3:$G$2002,'Journal'!$D$3:$D$2002,SUBSTITUTE(SUBSTITUTE(SUBSTITUTE('Kontoplan'!$H231,"~","~~"),"*","~*"),"?","~?"))+SUMIFS('Journal'!$F$3:$F$2002,'Journal'!$E$3:$E$2002,SUBSTITUTE(SUBSTITUTE(SUBSTITUTE('Kontoplan'!$H231,"~","~~"),"*","~*"),"?","~?")))</f>
        <v/>
      </c>
      <c r="F231" s="20">
        <f>IF($A231="","",SUMIFS('Journal'!$F$3:$F$2002,'Journal'!$D$3:$D$2002,SUBSTITUTE(SUBSTITUTE(SUBSTITUTE('Kontoplan'!$H231,"~","~~"),"*","~*"),"?","~?"))+SUMIFS('Journal'!$G$3:$G$2002,'Journal'!$E$3:$E$2002,SUBSTITUTE(SUBSTITUTE(SUBSTITUTE('Kontoplan'!$H231,"~","~~"),"*","~*"),"?","~?")))</f>
        <v/>
      </c>
      <c r="G231" s="20">
        <f>IF($A231="","",D231+E231-F231)</f>
        <v/>
      </c>
      <c r="H231" s="14" t="n"/>
      <c r="I231" s="8" t="n"/>
    </row>
    <row r="232">
      <c r="A232" s="5">
        <f>IF('Kontoplan'!A232="","",'Kontoplan'!A232)</f>
        <v/>
      </c>
      <c r="B232" s="5">
        <f>IF($A232="","",'Kontoplan'!B232)</f>
        <v/>
      </c>
      <c r="C232" s="5">
        <f>IF($A232="","",'Kontoplan'!C232)</f>
        <v/>
      </c>
      <c r="D232" s="20">
        <f>IF($A232="","",SUMIFS('Åpningsbalanse'!$C$4:$C$103,'Åpningsbalanse'!$A$4:$A$103,SUBSTITUTE(SUBSTITUTE(SUBSTITUTE('Kontoplan'!$H232,"~","~~"),"*","~*"),"?","~?"))*IFERROR(INDEX('_lister'!$C$2:$C$62,MATCH(C232,'_lister'!$A$2:$A$62,0)),1))</f>
        <v/>
      </c>
      <c r="E232" s="20">
        <f>IF($A232="","",SUMIFS('Journal'!$G$3:$G$2002,'Journal'!$D$3:$D$2002,SUBSTITUTE(SUBSTITUTE(SUBSTITUTE('Kontoplan'!$H232,"~","~~"),"*","~*"),"?","~?"))+SUMIFS('Journal'!$F$3:$F$2002,'Journal'!$E$3:$E$2002,SUBSTITUTE(SUBSTITUTE(SUBSTITUTE('Kontoplan'!$H232,"~","~~"),"*","~*"),"?","~?")))</f>
        <v/>
      </c>
      <c r="F232" s="20">
        <f>IF($A232="","",SUMIFS('Journal'!$F$3:$F$2002,'Journal'!$D$3:$D$2002,SUBSTITUTE(SUBSTITUTE(SUBSTITUTE('Kontoplan'!$H232,"~","~~"),"*","~*"),"?","~?"))+SUMIFS('Journal'!$G$3:$G$2002,'Journal'!$E$3:$E$2002,SUBSTITUTE(SUBSTITUTE(SUBSTITUTE('Kontoplan'!$H232,"~","~~"),"*","~*"),"?","~?")))</f>
        <v/>
      </c>
      <c r="G232" s="20">
        <f>IF($A232="","",D232+E232-F232)</f>
        <v/>
      </c>
      <c r="H232" s="14" t="n"/>
      <c r="I232" s="8" t="n"/>
    </row>
    <row r="233">
      <c r="A233" s="5">
        <f>IF('Kontoplan'!A233="","",'Kontoplan'!A233)</f>
        <v/>
      </c>
      <c r="B233" s="5">
        <f>IF($A233="","",'Kontoplan'!B233)</f>
        <v/>
      </c>
      <c r="C233" s="5">
        <f>IF($A233="","",'Kontoplan'!C233)</f>
        <v/>
      </c>
      <c r="D233" s="20">
        <f>IF($A233="","",SUMIFS('Åpningsbalanse'!$C$4:$C$103,'Åpningsbalanse'!$A$4:$A$103,SUBSTITUTE(SUBSTITUTE(SUBSTITUTE('Kontoplan'!$H233,"~","~~"),"*","~*"),"?","~?"))*IFERROR(INDEX('_lister'!$C$2:$C$62,MATCH(C233,'_lister'!$A$2:$A$62,0)),1))</f>
        <v/>
      </c>
      <c r="E233" s="20">
        <f>IF($A233="","",SUMIFS('Journal'!$G$3:$G$2002,'Journal'!$D$3:$D$2002,SUBSTITUTE(SUBSTITUTE(SUBSTITUTE('Kontoplan'!$H233,"~","~~"),"*","~*"),"?","~?"))+SUMIFS('Journal'!$F$3:$F$2002,'Journal'!$E$3:$E$2002,SUBSTITUTE(SUBSTITUTE(SUBSTITUTE('Kontoplan'!$H233,"~","~~"),"*","~*"),"?","~?")))</f>
        <v/>
      </c>
      <c r="F233" s="20">
        <f>IF($A233="","",SUMIFS('Journal'!$F$3:$F$2002,'Journal'!$D$3:$D$2002,SUBSTITUTE(SUBSTITUTE(SUBSTITUTE('Kontoplan'!$H233,"~","~~"),"*","~*"),"?","~?"))+SUMIFS('Journal'!$G$3:$G$2002,'Journal'!$E$3:$E$2002,SUBSTITUTE(SUBSTITUTE(SUBSTITUTE('Kontoplan'!$H233,"~","~~"),"*","~*"),"?","~?")))</f>
        <v/>
      </c>
      <c r="G233" s="20">
        <f>IF($A233="","",D233+E233-F233)</f>
        <v/>
      </c>
      <c r="H233" s="14" t="n"/>
      <c r="I233" s="8" t="n"/>
    </row>
    <row r="234">
      <c r="A234" s="5">
        <f>IF('Kontoplan'!A234="","",'Kontoplan'!A234)</f>
        <v/>
      </c>
      <c r="B234" s="5">
        <f>IF($A234="","",'Kontoplan'!B234)</f>
        <v/>
      </c>
      <c r="C234" s="5">
        <f>IF($A234="","",'Kontoplan'!C234)</f>
        <v/>
      </c>
      <c r="D234" s="20">
        <f>IF($A234="","",SUMIFS('Åpningsbalanse'!$C$4:$C$103,'Åpningsbalanse'!$A$4:$A$103,SUBSTITUTE(SUBSTITUTE(SUBSTITUTE('Kontoplan'!$H234,"~","~~"),"*","~*"),"?","~?"))*IFERROR(INDEX('_lister'!$C$2:$C$62,MATCH(C234,'_lister'!$A$2:$A$62,0)),1))</f>
        <v/>
      </c>
      <c r="E234" s="20">
        <f>IF($A234="","",SUMIFS('Journal'!$G$3:$G$2002,'Journal'!$D$3:$D$2002,SUBSTITUTE(SUBSTITUTE(SUBSTITUTE('Kontoplan'!$H234,"~","~~"),"*","~*"),"?","~?"))+SUMIFS('Journal'!$F$3:$F$2002,'Journal'!$E$3:$E$2002,SUBSTITUTE(SUBSTITUTE(SUBSTITUTE('Kontoplan'!$H234,"~","~~"),"*","~*"),"?","~?")))</f>
        <v/>
      </c>
      <c r="F234" s="20">
        <f>IF($A234="","",SUMIFS('Journal'!$F$3:$F$2002,'Journal'!$D$3:$D$2002,SUBSTITUTE(SUBSTITUTE(SUBSTITUTE('Kontoplan'!$H234,"~","~~"),"*","~*"),"?","~?"))+SUMIFS('Journal'!$G$3:$G$2002,'Journal'!$E$3:$E$2002,SUBSTITUTE(SUBSTITUTE(SUBSTITUTE('Kontoplan'!$H234,"~","~~"),"*","~*"),"?","~?")))</f>
        <v/>
      </c>
      <c r="G234" s="20">
        <f>IF($A234="","",D234+E234-F234)</f>
        <v/>
      </c>
      <c r="H234" s="14" t="n"/>
      <c r="I234" s="8" t="n"/>
    </row>
    <row r="235">
      <c r="A235" s="5">
        <f>IF('Kontoplan'!A235="","",'Kontoplan'!A235)</f>
        <v/>
      </c>
      <c r="B235" s="5">
        <f>IF($A235="","",'Kontoplan'!B235)</f>
        <v/>
      </c>
      <c r="C235" s="5">
        <f>IF($A235="","",'Kontoplan'!C235)</f>
        <v/>
      </c>
      <c r="D235" s="20">
        <f>IF($A235="","",SUMIFS('Åpningsbalanse'!$C$4:$C$103,'Åpningsbalanse'!$A$4:$A$103,SUBSTITUTE(SUBSTITUTE(SUBSTITUTE('Kontoplan'!$H235,"~","~~"),"*","~*"),"?","~?"))*IFERROR(INDEX('_lister'!$C$2:$C$62,MATCH(C235,'_lister'!$A$2:$A$62,0)),1))</f>
        <v/>
      </c>
      <c r="E235" s="20">
        <f>IF($A235="","",SUMIFS('Journal'!$G$3:$G$2002,'Journal'!$D$3:$D$2002,SUBSTITUTE(SUBSTITUTE(SUBSTITUTE('Kontoplan'!$H235,"~","~~"),"*","~*"),"?","~?"))+SUMIFS('Journal'!$F$3:$F$2002,'Journal'!$E$3:$E$2002,SUBSTITUTE(SUBSTITUTE(SUBSTITUTE('Kontoplan'!$H235,"~","~~"),"*","~*"),"?","~?")))</f>
        <v/>
      </c>
      <c r="F235" s="20">
        <f>IF($A235="","",SUMIFS('Journal'!$F$3:$F$2002,'Journal'!$D$3:$D$2002,SUBSTITUTE(SUBSTITUTE(SUBSTITUTE('Kontoplan'!$H235,"~","~~"),"*","~*"),"?","~?"))+SUMIFS('Journal'!$G$3:$G$2002,'Journal'!$E$3:$E$2002,SUBSTITUTE(SUBSTITUTE(SUBSTITUTE('Kontoplan'!$H235,"~","~~"),"*","~*"),"?","~?")))</f>
        <v/>
      </c>
      <c r="G235" s="20">
        <f>IF($A235="","",D235+E235-F235)</f>
        <v/>
      </c>
      <c r="H235" s="14" t="n"/>
      <c r="I235" s="8" t="n"/>
    </row>
    <row r="236">
      <c r="A236" s="5">
        <f>IF('Kontoplan'!A236="","",'Kontoplan'!A236)</f>
        <v/>
      </c>
      <c r="B236" s="5">
        <f>IF($A236="","",'Kontoplan'!B236)</f>
        <v/>
      </c>
      <c r="C236" s="5">
        <f>IF($A236="","",'Kontoplan'!C236)</f>
        <v/>
      </c>
      <c r="D236" s="20">
        <f>IF($A236="","",SUMIFS('Åpningsbalanse'!$C$4:$C$103,'Åpningsbalanse'!$A$4:$A$103,SUBSTITUTE(SUBSTITUTE(SUBSTITUTE('Kontoplan'!$H236,"~","~~"),"*","~*"),"?","~?"))*IFERROR(INDEX('_lister'!$C$2:$C$62,MATCH(C236,'_lister'!$A$2:$A$62,0)),1))</f>
        <v/>
      </c>
      <c r="E236" s="20">
        <f>IF($A236="","",SUMIFS('Journal'!$G$3:$G$2002,'Journal'!$D$3:$D$2002,SUBSTITUTE(SUBSTITUTE(SUBSTITUTE('Kontoplan'!$H236,"~","~~"),"*","~*"),"?","~?"))+SUMIFS('Journal'!$F$3:$F$2002,'Journal'!$E$3:$E$2002,SUBSTITUTE(SUBSTITUTE(SUBSTITUTE('Kontoplan'!$H236,"~","~~"),"*","~*"),"?","~?")))</f>
        <v/>
      </c>
      <c r="F236" s="20">
        <f>IF($A236="","",SUMIFS('Journal'!$F$3:$F$2002,'Journal'!$D$3:$D$2002,SUBSTITUTE(SUBSTITUTE(SUBSTITUTE('Kontoplan'!$H236,"~","~~"),"*","~*"),"?","~?"))+SUMIFS('Journal'!$G$3:$G$2002,'Journal'!$E$3:$E$2002,SUBSTITUTE(SUBSTITUTE(SUBSTITUTE('Kontoplan'!$H236,"~","~~"),"*","~*"),"?","~?")))</f>
        <v/>
      </c>
      <c r="G236" s="20">
        <f>IF($A236="","",D236+E236-F236)</f>
        <v/>
      </c>
      <c r="H236" s="14" t="n"/>
      <c r="I236" s="8" t="n"/>
    </row>
    <row r="237">
      <c r="A237" s="5">
        <f>IF('Kontoplan'!A237="","",'Kontoplan'!A237)</f>
        <v/>
      </c>
      <c r="B237" s="5">
        <f>IF($A237="","",'Kontoplan'!B237)</f>
        <v/>
      </c>
      <c r="C237" s="5">
        <f>IF($A237="","",'Kontoplan'!C237)</f>
        <v/>
      </c>
      <c r="D237" s="20">
        <f>IF($A237="","",SUMIFS('Åpningsbalanse'!$C$4:$C$103,'Åpningsbalanse'!$A$4:$A$103,SUBSTITUTE(SUBSTITUTE(SUBSTITUTE('Kontoplan'!$H237,"~","~~"),"*","~*"),"?","~?"))*IFERROR(INDEX('_lister'!$C$2:$C$62,MATCH(C237,'_lister'!$A$2:$A$62,0)),1))</f>
        <v/>
      </c>
      <c r="E237" s="20">
        <f>IF($A237="","",SUMIFS('Journal'!$G$3:$G$2002,'Journal'!$D$3:$D$2002,SUBSTITUTE(SUBSTITUTE(SUBSTITUTE('Kontoplan'!$H237,"~","~~"),"*","~*"),"?","~?"))+SUMIFS('Journal'!$F$3:$F$2002,'Journal'!$E$3:$E$2002,SUBSTITUTE(SUBSTITUTE(SUBSTITUTE('Kontoplan'!$H237,"~","~~"),"*","~*"),"?","~?")))</f>
        <v/>
      </c>
      <c r="F237" s="20">
        <f>IF($A237="","",SUMIFS('Journal'!$F$3:$F$2002,'Journal'!$D$3:$D$2002,SUBSTITUTE(SUBSTITUTE(SUBSTITUTE('Kontoplan'!$H237,"~","~~"),"*","~*"),"?","~?"))+SUMIFS('Journal'!$G$3:$G$2002,'Journal'!$E$3:$E$2002,SUBSTITUTE(SUBSTITUTE(SUBSTITUTE('Kontoplan'!$H237,"~","~~"),"*","~*"),"?","~?")))</f>
        <v/>
      </c>
      <c r="G237" s="20">
        <f>IF($A237="","",D237+E237-F237)</f>
        <v/>
      </c>
      <c r="H237" s="14" t="n"/>
      <c r="I237" s="8" t="n"/>
    </row>
    <row r="238">
      <c r="A238" s="5">
        <f>IF('Kontoplan'!A238="","",'Kontoplan'!A238)</f>
        <v/>
      </c>
      <c r="B238" s="5">
        <f>IF($A238="","",'Kontoplan'!B238)</f>
        <v/>
      </c>
      <c r="C238" s="5">
        <f>IF($A238="","",'Kontoplan'!C238)</f>
        <v/>
      </c>
      <c r="D238" s="20">
        <f>IF($A238="","",SUMIFS('Åpningsbalanse'!$C$4:$C$103,'Åpningsbalanse'!$A$4:$A$103,SUBSTITUTE(SUBSTITUTE(SUBSTITUTE('Kontoplan'!$H238,"~","~~"),"*","~*"),"?","~?"))*IFERROR(INDEX('_lister'!$C$2:$C$62,MATCH(C238,'_lister'!$A$2:$A$62,0)),1))</f>
        <v/>
      </c>
      <c r="E238" s="20">
        <f>IF($A238="","",SUMIFS('Journal'!$G$3:$G$2002,'Journal'!$D$3:$D$2002,SUBSTITUTE(SUBSTITUTE(SUBSTITUTE('Kontoplan'!$H238,"~","~~"),"*","~*"),"?","~?"))+SUMIFS('Journal'!$F$3:$F$2002,'Journal'!$E$3:$E$2002,SUBSTITUTE(SUBSTITUTE(SUBSTITUTE('Kontoplan'!$H238,"~","~~"),"*","~*"),"?","~?")))</f>
        <v/>
      </c>
      <c r="F238" s="20">
        <f>IF($A238="","",SUMIFS('Journal'!$F$3:$F$2002,'Journal'!$D$3:$D$2002,SUBSTITUTE(SUBSTITUTE(SUBSTITUTE('Kontoplan'!$H238,"~","~~"),"*","~*"),"?","~?"))+SUMIFS('Journal'!$G$3:$G$2002,'Journal'!$E$3:$E$2002,SUBSTITUTE(SUBSTITUTE(SUBSTITUTE('Kontoplan'!$H238,"~","~~"),"*","~*"),"?","~?")))</f>
        <v/>
      </c>
      <c r="G238" s="20">
        <f>IF($A238="","",D238+E238-F238)</f>
        <v/>
      </c>
      <c r="H238" s="14" t="n"/>
      <c r="I238" s="8" t="n"/>
    </row>
    <row r="239">
      <c r="A239" s="5">
        <f>IF('Kontoplan'!A239="","",'Kontoplan'!A239)</f>
        <v/>
      </c>
      <c r="B239" s="5">
        <f>IF($A239="","",'Kontoplan'!B239)</f>
        <v/>
      </c>
      <c r="C239" s="5">
        <f>IF($A239="","",'Kontoplan'!C239)</f>
        <v/>
      </c>
      <c r="D239" s="20">
        <f>IF($A239="","",SUMIFS('Åpningsbalanse'!$C$4:$C$103,'Åpningsbalanse'!$A$4:$A$103,SUBSTITUTE(SUBSTITUTE(SUBSTITUTE('Kontoplan'!$H239,"~","~~"),"*","~*"),"?","~?"))*IFERROR(INDEX('_lister'!$C$2:$C$62,MATCH(C239,'_lister'!$A$2:$A$62,0)),1))</f>
        <v/>
      </c>
      <c r="E239" s="20">
        <f>IF($A239="","",SUMIFS('Journal'!$G$3:$G$2002,'Journal'!$D$3:$D$2002,SUBSTITUTE(SUBSTITUTE(SUBSTITUTE('Kontoplan'!$H239,"~","~~"),"*","~*"),"?","~?"))+SUMIFS('Journal'!$F$3:$F$2002,'Journal'!$E$3:$E$2002,SUBSTITUTE(SUBSTITUTE(SUBSTITUTE('Kontoplan'!$H239,"~","~~"),"*","~*"),"?","~?")))</f>
        <v/>
      </c>
      <c r="F239" s="20">
        <f>IF($A239="","",SUMIFS('Journal'!$F$3:$F$2002,'Journal'!$D$3:$D$2002,SUBSTITUTE(SUBSTITUTE(SUBSTITUTE('Kontoplan'!$H239,"~","~~"),"*","~*"),"?","~?"))+SUMIFS('Journal'!$G$3:$G$2002,'Journal'!$E$3:$E$2002,SUBSTITUTE(SUBSTITUTE(SUBSTITUTE('Kontoplan'!$H239,"~","~~"),"*","~*"),"?","~?")))</f>
        <v/>
      </c>
      <c r="G239" s="20">
        <f>IF($A239="","",D239+E239-F239)</f>
        <v/>
      </c>
      <c r="H239" s="14" t="n"/>
      <c r="I239" s="8" t="n"/>
    </row>
    <row r="240">
      <c r="A240" s="5">
        <f>IF('Kontoplan'!A240="","",'Kontoplan'!A240)</f>
        <v/>
      </c>
      <c r="B240" s="5">
        <f>IF($A240="","",'Kontoplan'!B240)</f>
        <v/>
      </c>
      <c r="C240" s="5">
        <f>IF($A240="","",'Kontoplan'!C240)</f>
        <v/>
      </c>
      <c r="D240" s="20">
        <f>IF($A240="","",SUMIFS('Åpningsbalanse'!$C$4:$C$103,'Åpningsbalanse'!$A$4:$A$103,SUBSTITUTE(SUBSTITUTE(SUBSTITUTE('Kontoplan'!$H240,"~","~~"),"*","~*"),"?","~?"))*IFERROR(INDEX('_lister'!$C$2:$C$62,MATCH(C240,'_lister'!$A$2:$A$62,0)),1))</f>
        <v/>
      </c>
      <c r="E240" s="20">
        <f>IF($A240="","",SUMIFS('Journal'!$G$3:$G$2002,'Journal'!$D$3:$D$2002,SUBSTITUTE(SUBSTITUTE(SUBSTITUTE('Kontoplan'!$H240,"~","~~"),"*","~*"),"?","~?"))+SUMIFS('Journal'!$F$3:$F$2002,'Journal'!$E$3:$E$2002,SUBSTITUTE(SUBSTITUTE(SUBSTITUTE('Kontoplan'!$H240,"~","~~"),"*","~*"),"?","~?")))</f>
        <v/>
      </c>
      <c r="F240" s="20">
        <f>IF($A240="","",SUMIFS('Journal'!$F$3:$F$2002,'Journal'!$D$3:$D$2002,SUBSTITUTE(SUBSTITUTE(SUBSTITUTE('Kontoplan'!$H240,"~","~~"),"*","~*"),"?","~?"))+SUMIFS('Journal'!$G$3:$G$2002,'Journal'!$E$3:$E$2002,SUBSTITUTE(SUBSTITUTE(SUBSTITUTE('Kontoplan'!$H240,"~","~~"),"*","~*"),"?","~?")))</f>
        <v/>
      </c>
      <c r="G240" s="20">
        <f>IF($A240="","",D240+E240-F240)</f>
        <v/>
      </c>
      <c r="H240" s="14" t="n"/>
      <c r="I240" s="8" t="n"/>
    </row>
    <row r="241">
      <c r="A241" s="5">
        <f>IF('Kontoplan'!A241="","",'Kontoplan'!A241)</f>
        <v/>
      </c>
      <c r="B241" s="5">
        <f>IF($A241="","",'Kontoplan'!B241)</f>
        <v/>
      </c>
      <c r="C241" s="5">
        <f>IF($A241="","",'Kontoplan'!C241)</f>
        <v/>
      </c>
      <c r="D241" s="20">
        <f>IF($A241="","",SUMIFS('Åpningsbalanse'!$C$4:$C$103,'Åpningsbalanse'!$A$4:$A$103,SUBSTITUTE(SUBSTITUTE(SUBSTITUTE('Kontoplan'!$H241,"~","~~"),"*","~*"),"?","~?"))*IFERROR(INDEX('_lister'!$C$2:$C$62,MATCH(C241,'_lister'!$A$2:$A$62,0)),1))</f>
        <v/>
      </c>
      <c r="E241" s="20">
        <f>IF($A241="","",SUMIFS('Journal'!$G$3:$G$2002,'Journal'!$D$3:$D$2002,SUBSTITUTE(SUBSTITUTE(SUBSTITUTE('Kontoplan'!$H241,"~","~~"),"*","~*"),"?","~?"))+SUMIFS('Journal'!$F$3:$F$2002,'Journal'!$E$3:$E$2002,SUBSTITUTE(SUBSTITUTE(SUBSTITUTE('Kontoplan'!$H241,"~","~~"),"*","~*"),"?","~?")))</f>
        <v/>
      </c>
      <c r="F241" s="20">
        <f>IF($A241="","",SUMIFS('Journal'!$F$3:$F$2002,'Journal'!$D$3:$D$2002,SUBSTITUTE(SUBSTITUTE(SUBSTITUTE('Kontoplan'!$H241,"~","~~"),"*","~*"),"?","~?"))+SUMIFS('Journal'!$G$3:$G$2002,'Journal'!$E$3:$E$2002,SUBSTITUTE(SUBSTITUTE(SUBSTITUTE('Kontoplan'!$H241,"~","~~"),"*","~*"),"?","~?")))</f>
        <v/>
      </c>
      <c r="G241" s="20">
        <f>IF($A241="","",D241+E241-F241)</f>
        <v/>
      </c>
      <c r="H241" s="14" t="n"/>
      <c r="I241" s="8" t="n"/>
    </row>
    <row r="242">
      <c r="A242" s="5">
        <f>IF('Kontoplan'!A242="","",'Kontoplan'!A242)</f>
        <v/>
      </c>
      <c r="B242" s="5">
        <f>IF($A242="","",'Kontoplan'!B242)</f>
        <v/>
      </c>
      <c r="C242" s="5">
        <f>IF($A242="","",'Kontoplan'!C242)</f>
        <v/>
      </c>
      <c r="D242" s="20">
        <f>IF($A242="","",SUMIFS('Åpningsbalanse'!$C$4:$C$103,'Åpningsbalanse'!$A$4:$A$103,SUBSTITUTE(SUBSTITUTE(SUBSTITUTE('Kontoplan'!$H242,"~","~~"),"*","~*"),"?","~?"))*IFERROR(INDEX('_lister'!$C$2:$C$62,MATCH(C242,'_lister'!$A$2:$A$62,0)),1))</f>
        <v/>
      </c>
      <c r="E242" s="20">
        <f>IF($A242="","",SUMIFS('Journal'!$G$3:$G$2002,'Journal'!$D$3:$D$2002,SUBSTITUTE(SUBSTITUTE(SUBSTITUTE('Kontoplan'!$H242,"~","~~"),"*","~*"),"?","~?"))+SUMIFS('Journal'!$F$3:$F$2002,'Journal'!$E$3:$E$2002,SUBSTITUTE(SUBSTITUTE(SUBSTITUTE('Kontoplan'!$H242,"~","~~"),"*","~*"),"?","~?")))</f>
        <v/>
      </c>
      <c r="F242" s="20">
        <f>IF($A242="","",SUMIFS('Journal'!$F$3:$F$2002,'Journal'!$D$3:$D$2002,SUBSTITUTE(SUBSTITUTE(SUBSTITUTE('Kontoplan'!$H242,"~","~~"),"*","~*"),"?","~?"))+SUMIFS('Journal'!$G$3:$G$2002,'Journal'!$E$3:$E$2002,SUBSTITUTE(SUBSTITUTE(SUBSTITUTE('Kontoplan'!$H242,"~","~~"),"*","~*"),"?","~?")))</f>
        <v/>
      </c>
      <c r="G242" s="20">
        <f>IF($A242="","",D242+E242-F242)</f>
        <v/>
      </c>
      <c r="H242" s="14" t="n"/>
      <c r="I242" s="8" t="n"/>
    </row>
    <row r="243">
      <c r="A243" s="5">
        <f>IF('Kontoplan'!A243="","",'Kontoplan'!A243)</f>
        <v/>
      </c>
      <c r="B243" s="5">
        <f>IF($A243="","",'Kontoplan'!B243)</f>
        <v/>
      </c>
      <c r="C243" s="5">
        <f>IF($A243="","",'Kontoplan'!C243)</f>
        <v/>
      </c>
      <c r="D243" s="20">
        <f>IF($A243="","",SUMIFS('Åpningsbalanse'!$C$4:$C$103,'Åpningsbalanse'!$A$4:$A$103,SUBSTITUTE(SUBSTITUTE(SUBSTITUTE('Kontoplan'!$H243,"~","~~"),"*","~*"),"?","~?"))*IFERROR(INDEX('_lister'!$C$2:$C$62,MATCH(C243,'_lister'!$A$2:$A$62,0)),1))</f>
        <v/>
      </c>
      <c r="E243" s="20">
        <f>IF($A243="","",SUMIFS('Journal'!$G$3:$G$2002,'Journal'!$D$3:$D$2002,SUBSTITUTE(SUBSTITUTE(SUBSTITUTE('Kontoplan'!$H243,"~","~~"),"*","~*"),"?","~?"))+SUMIFS('Journal'!$F$3:$F$2002,'Journal'!$E$3:$E$2002,SUBSTITUTE(SUBSTITUTE(SUBSTITUTE('Kontoplan'!$H243,"~","~~"),"*","~*"),"?","~?")))</f>
        <v/>
      </c>
      <c r="F243" s="20">
        <f>IF($A243="","",SUMIFS('Journal'!$F$3:$F$2002,'Journal'!$D$3:$D$2002,SUBSTITUTE(SUBSTITUTE(SUBSTITUTE('Kontoplan'!$H243,"~","~~"),"*","~*"),"?","~?"))+SUMIFS('Journal'!$G$3:$G$2002,'Journal'!$E$3:$E$2002,SUBSTITUTE(SUBSTITUTE(SUBSTITUTE('Kontoplan'!$H243,"~","~~"),"*","~*"),"?","~?")))</f>
        <v/>
      </c>
      <c r="G243" s="20">
        <f>IF($A243="","",D243+E243-F243)</f>
        <v/>
      </c>
      <c r="H243" s="14" t="n"/>
      <c r="I243" s="8" t="n"/>
    </row>
    <row r="244">
      <c r="A244" s="5">
        <f>IF('Kontoplan'!A244="","",'Kontoplan'!A244)</f>
        <v/>
      </c>
      <c r="B244" s="5">
        <f>IF($A244="","",'Kontoplan'!B244)</f>
        <v/>
      </c>
      <c r="C244" s="5">
        <f>IF($A244="","",'Kontoplan'!C244)</f>
        <v/>
      </c>
      <c r="D244" s="20">
        <f>IF($A244="","",SUMIFS('Åpningsbalanse'!$C$4:$C$103,'Åpningsbalanse'!$A$4:$A$103,SUBSTITUTE(SUBSTITUTE(SUBSTITUTE('Kontoplan'!$H244,"~","~~"),"*","~*"),"?","~?"))*IFERROR(INDEX('_lister'!$C$2:$C$62,MATCH(C244,'_lister'!$A$2:$A$62,0)),1))</f>
        <v/>
      </c>
      <c r="E244" s="20">
        <f>IF($A244="","",SUMIFS('Journal'!$G$3:$G$2002,'Journal'!$D$3:$D$2002,SUBSTITUTE(SUBSTITUTE(SUBSTITUTE('Kontoplan'!$H244,"~","~~"),"*","~*"),"?","~?"))+SUMIFS('Journal'!$F$3:$F$2002,'Journal'!$E$3:$E$2002,SUBSTITUTE(SUBSTITUTE(SUBSTITUTE('Kontoplan'!$H244,"~","~~"),"*","~*"),"?","~?")))</f>
        <v/>
      </c>
      <c r="F244" s="20">
        <f>IF($A244="","",SUMIFS('Journal'!$F$3:$F$2002,'Journal'!$D$3:$D$2002,SUBSTITUTE(SUBSTITUTE(SUBSTITUTE('Kontoplan'!$H244,"~","~~"),"*","~*"),"?","~?"))+SUMIFS('Journal'!$G$3:$G$2002,'Journal'!$E$3:$E$2002,SUBSTITUTE(SUBSTITUTE(SUBSTITUTE('Kontoplan'!$H244,"~","~~"),"*","~*"),"?","~?")))</f>
        <v/>
      </c>
      <c r="G244" s="20">
        <f>IF($A244="","",D244+E244-F244)</f>
        <v/>
      </c>
      <c r="H244" s="14" t="n"/>
      <c r="I244" s="8" t="n"/>
    </row>
    <row r="245">
      <c r="A245" s="5">
        <f>IF('Kontoplan'!A245="","",'Kontoplan'!A245)</f>
        <v/>
      </c>
      <c r="B245" s="5">
        <f>IF($A245="","",'Kontoplan'!B245)</f>
        <v/>
      </c>
      <c r="C245" s="5">
        <f>IF($A245="","",'Kontoplan'!C245)</f>
        <v/>
      </c>
      <c r="D245" s="20">
        <f>IF($A245="","",SUMIFS('Åpningsbalanse'!$C$4:$C$103,'Åpningsbalanse'!$A$4:$A$103,SUBSTITUTE(SUBSTITUTE(SUBSTITUTE('Kontoplan'!$H245,"~","~~"),"*","~*"),"?","~?"))*IFERROR(INDEX('_lister'!$C$2:$C$62,MATCH(C245,'_lister'!$A$2:$A$62,0)),1))</f>
        <v/>
      </c>
      <c r="E245" s="20">
        <f>IF($A245="","",SUMIFS('Journal'!$G$3:$G$2002,'Journal'!$D$3:$D$2002,SUBSTITUTE(SUBSTITUTE(SUBSTITUTE('Kontoplan'!$H245,"~","~~"),"*","~*"),"?","~?"))+SUMIFS('Journal'!$F$3:$F$2002,'Journal'!$E$3:$E$2002,SUBSTITUTE(SUBSTITUTE(SUBSTITUTE('Kontoplan'!$H245,"~","~~"),"*","~*"),"?","~?")))</f>
        <v/>
      </c>
      <c r="F245" s="20">
        <f>IF($A245="","",SUMIFS('Journal'!$F$3:$F$2002,'Journal'!$D$3:$D$2002,SUBSTITUTE(SUBSTITUTE(SUBSTITUTE('Kontoplan'!$H245,"~","~~"),"*","~*"),"?","~?"))+SUMIFS('Journal'!$G$3:$G$2002,'Journal'!$E$3:$E$2002,SUBSTITUTE(SUBSTITUTE(SUBSTITUTE('Kontoplan'!$H245,"~","~~"),"*","~*"),"?","~?")))</f>
        <v/>
      </c>
      <c r="G245" s="20">
        <f>IF($A245="","",D245+E245-F245)</f>
        <v/>
      </c>
      <c r="H245" s="14" t="n"/>
      <c r="I245" s="8" t="n"/>
    </row>
    <row r="246">
      <c r="A246" s="5">
        <f>IF('Kontoplan'!A246="","",'Kontoplan'!A246)</f>
        <v/>
      </c>
      <c r="B246" s="5">
        <f>IF($A246="","",'Kontoplan'!B246)</f>
        <v/>
      </c>
      <c r="C246" s="5">
        <f>IF($A246="","",'Kontoplan'!C246)</f>
        <v/>
      </c>
      <c r="D246" s="20">
        <f>IF($A246="","",SUMIFS('Åpningsbalanse'!$C$4:$C$103,'Åpningsbalanse'!$A$4:$A$103,SUBSTITUTE(SUBSTITUTE(SUBSTITUTE('Kontoplan'!$H246,"~","~~"),"*","~*"),"?","~?"))*IFERROR(INDEX('_lister'!$C$2:$C$62,MATCH(C246,'_lister'!$A$2:$A$62,0)),1))</f>
        <v/>
      </c>
      <c r="E246" s="20">
        <f>IF($A246="","",SUMIFS('Journal'!$G$3:$G$2002,'Journal'!$D$3:$D$2002,SUBSTITUTE(SUBSTITUTE(SUBSTITUTE('Kontoplan'!$H246,"~","~~"),"*","~*"),"?","~?"))+SUMIFS('Journal'!$F$3:$F$2002,'Journal'!$E$3:$E$2002,SUBSTITUTE(SUBSTITUTE(SUBSTITUTE('Kontoplan'!$H246,"~","~~"),"*","~*"),"?","~?")))</f>
        <v/>
      </c>
      <c r="F246" s="20">
        <f>IF($A246="","",SUMIFS('Journal'!$F$3:$F$2002,'Journal'!$D$3:$D$2002,SUBSTITUTE(SUBSTITUTE(SUBSTITUTE('Kontoplan'!$H246,"~","~~"),"*","~*"),"?","~?"))+SUMIFS('Journal'!$G$3:$G$2002,'Journal'!$E$3:$E$2002,SUBSTITUTE(SUBSTITUTE(SUBSTITUTE('Kontoplan'!$H246,"~","~~"),"*","~*"),"?","~?")))</f>
        <v/>
      </c>
      <c r="G246" s="20">
        <f>IF($A246="","",D246+E246-F246)</f>
        <v/>
      </c>
      <c r="H246" s="14" t="n"/>
      <c r="I246" s="8" t="n"/>
    </row>
    <row r="247">
      <c r="A247" s="5">
        <f>IF('Kontoplan'!A247="","",'Kontoplan'!A247)</f>
        <v/>
      </c>
      <c r="B247" s="5">
        <f>IF($A247="","",'Kontoplan'!B247)</f>
        <v/>
      </c>
      <c r="C247" s="5">
        <f>IF($A247="","",'Kontoplan'!C247)</f>
        <v/>
      </c>
      <c r="D247" s="20">
        <f>IF($A247="","",SUMIFS('Åpningsbalanse'!$C$4:$C$103,'Åpningsbalanse'!$A$4:$A$103,SUBSTITUTE(SUBSTITUTE(SUBSTITUTE('Kontoplan'!$H247,"~","~~"),"*","~*"),"?","~?"))*IFERROR(INDEX('_lister'!$C$2:$C$62,MATCH(C247,'_lister'!$A$2:$A$62,0)),1))</f>
        <v/>
      </c>
      <c r="E247" s="20">
        <f>IF($A247="","",SUMIFS('Journal'!$G$3:$G$2002,'Journal'!$D$3:$D$2002,SUBSTITUTE(SUBSTITUTE(SUBSTITUTE('Kontoplan'!$H247,"~","~~"),"*","~*"),"?","~?"))+SUMIFS('Journal'!$F$3:$F$2002,'Journal'!$E$3:$E$2002,SUBSTITUTE(SUBSTITUTE(SUBSTITUTE('Kontoplan'!$H247,"~","~~"),"*","~*"),"?","~?")))</f>
        <v/>
      </c>
      <c r="F247" s="20">
        <f>IF($A247="","",SUMIFS('Journal'!$F$3:$F$2002,'Journal'!$D$3:$D$2002,SUBSTITUTE(SUBSTITUTE(SUBSTITUTE('Kontoplan'!$H247,"~","~~"),"*","~*"),"?","~?"))+SUMIFS('Journal'!$G$3:$G$2002,'Journal'!$E$3:$E$2002,SUBSTITUTE(SUBSTITUTE(SUBSTITUTE('Kontoplan'!$H247,"~","~~"),"*","~*"),"?","~?")))</f>
        <v/>
      </c>
      <c r="G247" s="20">
        <f>IF($A247="","",D247+E247-F247)</f>
        <v/>
      </c>
      <c r="H247" s="14" t="n"/>
      <c r="I247" s="8" t="n"/>
    </row>
    <row r="248">
      <c r="A248" s="5">
        <f>IF('Kontoplan'!A248="","",'Kontoplan'!A248)</f>
        <v/>
      </c>
      <c r="B248" s="5">
        <f>IF($A248="","",'Kontoplan'!B248)</f>
        <v/>
      </c>
      <c r="C248" s="5">
        <f>IF($A248="","",'Kontoplan'!C248)</f>
        <v/>
      </c>
      <c r="D248" s="20">
        <f>IF($A248="","",SUMIFS('Åpningsbalanse'!$C$4:$C$103,'Åpningsbalanse'!$A$4:$A$103,SUBSTITUTE(SUBSTITUTE(SUBSTITUTE('Kontoplan'!$H248,"~","~~"),"*","~*"),"?","~?"))*IFERROR(INDEX('_lister'!$C$2:$C$62,MATCH(C248,'_lister'!$A$2:$A$62,0)),1))</f>
        <v/>
      </c>
      <c r="E248" s="20">
        <f>IF($A248="","",SUMIFS('Journal'!$G$3:$G$2002,'Journal'!$D$3:$D$2002,SUBSTITUTE(SUBSTITUTE(SUBSTITUTE('Kontoplan'!$H248,"~","~~"),"*","~*"),"?","~?"))+SUMIFS('Journal'!$F$3:$F$2002,'Journal'!$E$3:$E$2002,SUBSTITUTE(SUBSTITUTE(SUBSTITUTE('Kontoplan'!$H248,"~","~~"),"*","~*"),"?","~?")))</f>
        <v/>
      </c>
      <c r="F248" s="20">
        <f>IF($A248="","",SUMIFS('Journal'!$F$3:$F$2002,'Journal'!$D$3:$D$2002,SUBSTITUTE(SUBSTITUTE(SUBSTITUTE('Kontoplan'!$H248,"~","~~"),"*","~*"),"?","~?"))+SUMIFS('Journal'!$G$3:$G$2002,'Journal'!$E$3:$E$2002,SUBSTITUTE(SUBSTITUTE(SUBSTITUTE('Kontoplan'!$H248,"~","~~"),"*","~*"),"?","~?")))</f>
        <v/>
      </c>
      <c r="G248" s="20">
        <f>IF($A248="","",D248+E248-F248)</f>
        <v/>
      </c>
      <c r="H248" s="14" t="n"/>
      <c r="I248" s="8" t="n"/>
    </row>
    <row r="249">
      <c r="A249" s="5">
        <f>IF('Kontoplan'!A249="","",'Kontoplan'!A249)</f>
        <v/>
      </c>
      <c r="B249" s="5">
        <f>IF($A249="","",'Kontoplan'!B249)</f>
        <v/>
      </c>
      <c r="C249" s="5">
        <f>IF($A249="","",'Kontoplan'!C249)</f>
        <v/>
      </c>
      <c r="D249" s="20">
        <f>IF($A249="","",SUMIFS('Åpningsbalanse'!$C$4:$C$103,'Åpningsbalanse'!$A$4:$A$103,SUBSTITUTE(SUBSTITUTE(SUBSTITUTE('Kontoplan'!$H249,"~","~~"),"*","~*"),"?","~?"))*IFERROR(INDEX('_lister'!$C$2:$C$62,MATCH(C249,'_lister'!$A$2:$A$62,0)),1))</f>
        <v/>
      </c>
      <c r="E249" s="20">
        <f>IF($A249="","",SUMIFS('Journal'!$G$3:$G$2002,'Journal'!$D$3:$D$2002,SUBSTITUTE(SUBSTITUTE(SUBSTITUTE('Kontoplan'!$H249,"~","~~"),"*","~*"),"?","~?"))+SUMIFS('Journal'!$F$3:$F$2002,'Journal'!$E$3:$E$2002,SUBSTITUTE(SUBSTITUTE(SUBSTITUTE('Kontoplan'!$H249,"~","~~"),"*","~*"),"?","~?")))</f>
        <v/>
      </c>
      <c r="F249" s="20">
        <f>IF($A249="","",SUMIFS('Journal'!$F$3:$F$2002,'Journal'!$D$3:$D$2002,SUBSTITUTE(SUBSTITUTE(SUBSTITUTE('Kontoplan'!$H249,"~","~~"),"*","~*"),"?","~?"))+SUMIFS('Journal'!$G$3:$G$2002,'Journal'!$E$3:$E$2002,SUBSTITUTE(SUBSTITUTE(SUBSTITUTE('Kontoplan'!$H249,"~","~~"),"*","~*"),"?","~?")))</f>
        <v/>
      </c>
      <c r="G249" s="20">
        <f>IF($A249="","",D249+E249-F249)</f>
        <v/>
      </c>
      <c r="H249" s="14" t="n"/>
      <c r="I249" s="8" t="n"/>
    </row>
    <row r="250">
      <c r="A250" s="5">
        <f>IF('Kontoplan'!A250="","",'Kontoplan'!A250)</f>
        <v/>
      </c>
      <c r="B250" s="5">
        <f>IF($A250="","",'Kontoplan'!B250)</f>
        <v/>
      </c>
      <c r="C250" s="5">
        <f>IF($A250="","",'Kontoplan'!C250)</f>
        <v/>
      </c>
      <c r="D250" s="20">
        <f>IF($A250="","",SUMIFS('Åpningsbalanse'!$C$4:$C$103,'Åpningsbalanse'!$A$4:$A$103,SUBSTITUTE(SUBSTITUTE(SUBSTITUTE('Kontoplan'!$H250,"~","~~"),"*","~*"),"?","~?"))*IFERROR(INDEX('_lister'!$C$2:$C$62,MATCH(C250,'_lister'!$A$2:$A$62,0)),1))</f>
        <v/>
      </c>
      <c r="E250" s="20">
        <f>IF($A250="","",SUMIFS('Journal'!$G$3:$G$2002,'Journal'!$D$3:$D$2002,SUBSTITUTE(SUBSTITUTE(SUBSTITUTE('Kontoplan'!$H250,"~","~~"),"*","~*"),"?","~?"))+SUMIFS('Journal'!$F$3:$F$2002,'Journal'!$E$3:$E$2002,SUBSTITUTE(SUBSTITUTE(SUBSTITUTE('Kontoplan'!$H250,"~","~~"),"*","~*"),"?","~?")))</f>
        <v/>
      </c>
      <c r="F250" s="20">
        <f>IF($A250="","",SUMIFS('Journal'!$F$3:$F$2002,'Journal'!$D$3:$D$2002,SUBSTITUTE(SUBSTITUTE(SUBSTITUTE('Kontoplan'!$H250,"~","~~"),"*","~*"),"?","~?"))+SUMIFS('Journal'!$G$3:$G$2002,'Journal'!$E$3:$E$2002,SUBSTITUTE(SUBSTITUTE(SUBSTITUTE('Kontoplan'!$H250,"~","~~"),"*","~*"),"?","~?")))</f>
        <v/>
      </c>
      <c r="G250" s="20">
        <f>IF($A250="","",D250+E250-F250)</f>
        <v/>
      </c>
      <c r="H250" s="14" t="n"/>
      <c r="I250" s="8" t="n"/>
    </row>
    <row r="251">
      <c r="A251" s="5">
        <f>IF('Kontoplan'!A251="","",'Kontoplan'!A251)</f>
        <v/>
      </c>
      <c r="B251" s="5">
        <f>IF($A251="","",'Kontoplan'!B251)</f>
        <v/>
      </c>
      <c r="C251" s="5">
        <f>IF($A251="","",'Kontoplan'!C251)</f>
        <v/>
      </c>
      <c r="D251" s="20">
        <f>IF($A251="","",SUMIFS('Åpningsbalanse'!$C$4:$C$103,'Åpningsbalanse'!$A$4:$A$103,SUBSTITUTE(SUBSTITUTE(SUBSTITUTE('Kontoplan'!$H251,"~","~~"),"*","~*"),"?","~?"))*IFERROR(INDEX('_lister'!$C$2:$C$62,MATCH(C251,'_lister'!$A$2:$A$62,0)),1))</f>
        <v/>
      </c>
      <c r="E251" s="20">
        <f>IF($A251="","",SUMIFS('Journal'!$G$3:$G$2002,'Journal'!$D$3:$D$2002,SUBSTITUTE(SUBSTITUTE(SUBSTITUTE('Kontoplan'!$H251,"~","~~"),"*","~*"),"?","~?"))+SUMIFS('Journal'!$F$3:$F$2002,'Journal'!$E$3:$E$2002,SUBSTITUTE(SUBSTITUTE(SUBSTITUTE('Kontoplan'!$H251,"~","~~"),"*","~*"),"?","~?")))</f>
        <v/>
      </c>
      <c r="F251" s="20">
        <f>IF($A251="","",SUMIFS('Journal'!$F$3:$F$2002,'Journal'!$D$3:$D$2002,SUBSTITUTE(SUBSTITUTE(SUBSTITUTE('Kontoplan'!$H251,"~","~~"),"*","~*"),"?","~?"))+SUMIFS('Journal'!$G$3:$G$2002,'Journal'!$E$3:$E$2002,SUBSTITUTE(SUBSTITUTE(SUBSTITUTE('Kontoplan'!$H251,"~","~~"),"*","~*"),"?","~?")))</f>
        <v/>
      </c>
      <c r="G251" s="20">
        <f>IF($A251="","",D251+E251-F251)</f>
        <v/>
      </c>
      <c r="H251" s="14" t="n"/>
      <c r="I251" s="8" t="n"/>
    </row>
    <row r="252">
      <c r="A252" s="5">
        <f>IF('Kontoplan'!A252="","",'Kontoplan'!A252)</f>
        <v/>
      </c>
      <c r="B252" s="5">
        <f>IF($A252="","",'Kontoplan'!B252)</f>
        <v/>
      </c>
      <c r="C252" s="5">
        <f>IF($A252="","",'Kontoplan'!C252)</f>
        <v/>
      </c>
      <c r="D252" s="20">
        <f>IF($A252="","",SUMIFS('Åpningsbalanse'!$C$4:$C$103,'Åpningsbalanse'!$A$4:$A$103,SUBSTITUTE(SUBSTITUTE(SUBSTITUTE('Kontoplan'!$H252,"~","~~"),"*","~*"),"?","~?"))*IFERROR(INDEX('_lister'!$C$2:$C$62,MATCH(C252,'_lister'!$A$2:$A$62,0)),1))</f>
        <v/>
      </c>
      <c r="E252" s="20">
        <f>IF($A252="","",SUMIFS('Journal'!$G$3:$G$2002,'Journal'!$D$3:$D$2002,SUBSTITUTE(SUBSTITUTE(SUBSTITUTE('Kontoplan'!$H252,"~","~~"),"*","~*"),"?","~?"))+SUMIFS('Journal'!$F$3:$F$2002,'Journal'!$E$3:$E$2002,SUBSTITUTE(SUBSTITUTE(SUBSTITUTE('Kontoplan'!$H252,"~","~~"),"*","~*"),"?","~?")))</f>
        <v/>
      </c>
      <c r="F252" s="20">
        <f>IF($A252="","",SUMIFS('Journal'!$F$3:$F$2002,'Journal'!$D$3:$D$2002,SUBSTITUTE(SUBSTITUTE(SUBSTITUTE('Kontoplan'!$H252,"~","~~"),"*","~*"),"?","~?"))+SUMIFS('Journal'!$G$3:$G$2002,'Journal'!$E$3:$E$2002,SUBSTITUTE(SUBSTITUTE(SUBSTITUTE('Kontoplan'!$H252,"~","~~"),"*","~*"),"?","~?")))</f>
        <v/>
      </c>
      <c r="G252" s="20">
        <f>IF($A252="","",D252+E252-F252)</f>
        <v/>
      </c>
      <c r="H252" s="14" t="n"/>
      <c r="I252" s="8" t="n"/>
    </row>
    <row r="253">
      <c r="A253" s="5">
        <f>IF('Kontoplan'!A253="","",'Kontoplan'!A253)</f>
        <v/>
      </c>
      <c r="B253" s="5">
        <f>IF($A253="","",'Kontoplan'!B253)</f>
        <v/>
      </c>
      <c r="C253" s="5">
        <f>IF($A253="","",'Kontoplan'!C253)</f>
        <v/>
      </c>
      <c r="D253" s="20">
        <f>IF($A253="","",SUMIFS('Åpningsbalanse'!$C$4:$C$103,'Åpningsbalanse'!$A$4:$A$103,SUBSTITUTE(SUBSTITUTE(SUBSTITUTE('Kontoplan'!$H253,"~","~~"),"*","~*"),"?","~?"))*IFERROR(INDEX('_lister'!$C$2:$C$62,MATCH(C253,'_lister'!$A$2:$A$62,0)),1))</f>
        <v/>
      </c>
      <c r="E253" s="20">
        <f>IF($A253="","",SUMIFS('Journal'!$G$3:$G$2002,'Journal'!$D$3:$D$2002,SUBSTITUTE(SUBSTITUTE(SUBSTITUTE('Kontoplan'!$H253,"~","~~"),"*","~*"),"?","~?"))+SUMIFS('Journal'!$F$3:$F$2002,'Journal'!$E$3:$E$2002,SUBSTITUTE(SUBSTITUTE(SUBSTITUTE('Kontoplan'!$H253,"~","~~"),"*","~*"),"?","~?")))</f>
        <v/>
      </c>
      <c r="F253" s="20">
        <f>IF($A253="","",SUMIFS('Journal'!$F$3:$F$2002,'Journal'!$D$3:$D$2002,SUBSTITUTE(SUBSTITUTE(SUBSTITUTE('Kontoplan'!$H253,"~","~~"),"*","~*"),"?","~?"))+SUMIFS('Journal'!$G$3:$G$2002,'Journal'!$E$3:$E$2002,SUBSTITUTE(SUBSTITUTE(SUBSTITUTE('Kontoplan'!$H253,"~","~~"),"*","~*"),"?","~?")))</f>
        <v/>
      </c>
      <c r="G253" s="20">
        <f>IF($A253="","",D253+E253-F253)</f>
        <v/>
      </c>
      <c r="H253" s="14" t="n"/>
      <c r="I253" s="8" t="n"/>
    </row>
    <row r="254">
      <c r="A254" s="5">
        <f>IF('Kontoplan'!A254="","",'Kontoplan'!A254)</f>
        <v/>
      </c>
      <c r="B254" s="5">
        <f>IF($A254="","",'Kontoplan'!B254)</f>
        <v/>
      </c>
      <c r="C254" s="5">
        <f>IF($A254="","",'Kontoplan'!C254)</f>
        <v/>
      </c>
      <c r="D254" s="20">
        <f>IF($A254="","",SUMIFS('Åpningsbalanse'!$C$4:$C$103,'Åpningsbalanse'!$A$4:$A$103,SUBSTITUTE(SUBSTITUTE(SUBSTITUTE('Kontoplan'!$H254,"~","~~"),"*","~*"),"?","~?"))*IFERROR(INDEX('_lister'!$C$2:$C$62,MATCH(C254,'_lister'!$A$2:$A$62,0)),1))</f>
        <v/>
      </c>
      <c r="E254" s="20">
        <f>IF($A254="","",SUMIFS('Journal'!$G$3:$G$2002,'Journal'!$D$3:$D$2002,SUBSTITUTE(SUBSTITUTE(SUBSTITUTE('Kontoplan'!$H254,"~","~~"),"*","~*"),"?","~?"))+SUMIFS('Journal'!$F$3:$F$2002,'Journal'!$E$3:$E$2002,SUBSTITUTE(SUBSTITUTE(SUBSTITUTE('Kontoplan'!$H254,"~","~~"),"*","~*"),"?","~?")))</f>
        <v/>
      </c>
      <c r="F254" s="20">
        <f>IF($A254="","",SUMIFS('Journal'!$F$3:$F$2002,'Journal'!$D$3:$D$2002,SUBSTITUTE(SUBSTITUTE(SUBSTITUTE('Kontoplan'!$H254,"~","~~"),"*","~*"),"?","~?"))+SUMIFS('Journal'!$G$3:$G$2002,'Journal'!$E$3:$E$2002,SUBSTITUTE(SUBSTITUTE(SUBSTITUTE('Kontoplan'!$H254,"~","~~"),"*","~*"),"?","~?")))</f>
        <v/>
      </c>
      <c r="G254" s="20">
        <f>IF($A254="","",D254+E254-F254)</f>
        <v/>
      </c>
      <c r="H254" s="14" t="n"/>
      <c r="I254" s="8" t="n"/>
    </row>
    <row r="255">
      <c r="A255" s="5">
        <f>IF('Kontoplan'!A255="","",'Kontoplan'!A255)</f>
        <v/>
      </c>
      <c r="B255" s="5">
        <f>IF($A255="","",'Kontoplan'!B255)</f>
        <v/>
      </c>
      <c r="C255" s="5">
        <f>IF($A255="","",'Kontoplan'!C255)</f>
        <v/>
      </c>
      <c r="D255" s="20">
        <f>IF($A255="","",SUMIFS('Åpningsbalanse'!$C$4:$C$103,'Åpningsbalanse'!$A$4:$A$103,SUBSTITUTE(SUBSTITUTE(SUBSTITUTE('Kontoplan'!$H255,"~","~~"),"*","~*"),"?","~?"))*IFERROR(INDEX('_lister'!$C$2:$C$62,MATCH(C255,'_lister'!$A$2:$A$62,0)),1))</f>
        <v/>
      </c>
      <c r="E255" s="20">
        <f>IF($A255="","",SUMIFS('Journal'!$G$3:$G$2002,'Journal'!$D$3:$D$2002,SUBSTITUTE(SUBSTITUTE(SUBSTITUTE('Kontoplan'!$H255,"~","~~"),"*","~*"),"?","~?"))+SUMIFS('Journal'!$F$3:$F$2002,'Journal'!$E$3:$E$2002,SUBSTITUTE(SUBSTITUTE(SUBSTITUTE('Kontoplan'!$H255,"~","~~"),"*","~*"),"?","~?")))</f>
        <v/>
      </c>
      <c r="F255" s="20">
        <f>IF($A255="","",SUMIFS('Journal'!$F$3:$F$2002,'Journal'!$D$3:$D$2002,SUBSTITUTE(SUBSTITUTE(SUBSTITUTE('Kontoplan'!$H255,"~","~~"),"*","~*"),"?","~?"))+SUMIFS('Journal'!$G$3:$G$2002,'Journal'!$E$3:$E$2002,SUBSTITUTE(SUBSTITUTE(SUBSTITUTE('Kontoplan'!$H255,"~","~~"),"*","~*"),"?","~?")))</f>
        <v/>
      </c>
      <c r="G255" s="20">
        <f>IF($A255="","",D255+E255-F255)</f>
        <v/>
      </c>
      <c r="H255" s="14" t="n"/>
      <c r="I255" s="8" t="n"/>
    </row>
    <row r="256">
      <c r="A256" s="5">
        <f>IF('Kontoplan'!A256="","",'Kontoplan'!A256)</f>
        <v/>
      </c>
      <c r="B256" s="5">
        <f>IF($A256="","",'Kontoplan'!B256)</f>
        <v/>
      </c>
      <c r="C256" s="5">
        <f>IF($A256="","",'Kontoplan'!C256)</f>
        <v/>
      </c>
      <c r="D256" s="20">
        <f>IF($A256="","",SUMIFS('Åpningsbalanse'!$C$4:$C$103,'Åpningsbalanse'!$A$4:$A$103,SUBSTITUTE(SUBSTITUTE(SUBSTITUTE('Kontoplan'!$H256,"~","~~"),"*","~*"),"?","~?"))*IFERROR(INDEX('_lister'!$C$2:$C$62,MATCH(C256,'_lister'!$A$2:$A$62,0)),1))</f>
        <v/>
      </c>
      <c r="E256" s="20">
        <f>IF($A256="","",SUMIFS('Journal'!$G$3:$G$2002,'Journal'!$D$3:$D$2002,SUBSTITUTE(SUBSTITUTE(SUBSTITUTE('Kontoplan'!$H256,"~","~~"),"*","~*"),"?","~?"))+SUMIFS('Journal'!$F$3:$F$2002,'Journal'!$E$3:$E$2002,SUBSTITUTE(SUBSTITUTE(SUBSTITUTE('Kontoplan'!$H256,"~","~~"),"*","~*"),"?","~?")))</f>
        <v/>
      </c>
      <c r="F256" s="20">
        <f>IF($A256="","",SUMIFS('Journal'!$F$3:$F$2002,'Journal'!$D$3:$D$2002,SUBSTITUTE(SUBSTITUTE(SUBSTITUTE('Kontoplan'!$H256,"~","~~"),"*","~*"),"?","~?"))+SUMIFS('Journal'!$G$3:$G$2002,'Journal'!$E$3:$E$2002,SUBSTITUTE(SUBSTITUTE(SUBSTITUTE('Kontoplan'!$H256,"~","~~"),"*","~*"),"?","~?")))</f>
        <v/>
      </c>
      <c r="G256" s="20">
        <f>IF($A256="","",D256+E256-F256)</f>
        <v/>
      </c>
      <c r="H256" s="14" t="n"/>
      <c r="I256" s="8" t="n"/>
    </row>
    <row r="257">
      <c r="A257" s="5">
        <f>IF('Kontoplan'!A257="","",'Kontoplan'!A257)</f>
        <v/>
      </c>
      <c r="B257" s="5">
        <f>IF($A257="","",'Kontoplan'!B257)</f>
        <v/>
      </c>
      <c r="C257" s="5">
        <f>IF($A257="","",'Kontoplan'!C257)</f>
        <v/>
      </c>
      <c r="D257" s="20">
        <f>IF($A257="","",SUMIFS('Åpningsbalanse'!$C$4:$C$103,'Åpningsbalanse'!$A$4:$A$103,SUBSTITUTE(SUBSTITUTE(SUBSTITUTE('Kontoplan'!$H257,"~","~~"),"*","~*"),"?","~?"))*IFERROR(INDEX('_lister'!$C$2:$C$62,MATCH(C257,'_lister'!$A$2:$A$62,0)),1))</f>
        <v/>
      </c>
      <c r="E257" s="20">
        <f>IF($A257="","",SUMIFS('Journal'!$G$3:$G$2002,'Journal'!$D$3:$D$2002,SUBSTITUTE(SUBSTITUTE(SUBSTITUTE('Kontoplan'!$H257,"~","~~"),"*","~*"),"?","~?"))+SUMIFS('Journal'!$F$3:$F$2002,'Journal'!$E$3:$E$2002,SUBSTITUTE(SUBSTITUTE(SUBSTITUTE('Kontoplan'!$H257,"~","~~"),"*","~*"),"?","~?")))</f>
        <v/>
      </c>
      <c r="F257" s="20">
        <f>IF($A257="","",SUMIFS('Journal'!$F$3:$F$2002,'Journal'!$D$3:$D$2002,SUBSTITUTE(SUBSTITUTE(SUBSTITUTE('Kontoplan'!$H257,"~","~~"),"*","~*"),"?","~?"))+SUMIFS('Journal'!$G$3:$G$2002,'Journal'!$E$3:$E$2002,SUBSTITUTE(SUBSTITUTE(SUBSTITUTE('Kontoplan'!$H257,"~","~~"),"*","~*"),"?","~?")))</f>
        <v/>
      </c>
      <c r="G257" s="20">
        <f>IF($A257="","",D257+E257-F257)</f>
        <v/>
      </c>
      <c r="H257" s="14" t="n"/>
      <c r="I257" s="8" t="n"/>
    </row>
    <row r="258">
      <c r="A258" s="5">
        <f>IF('Kontoplan'!A258="","",'Kontoplan'!A258)</f>
        <v/>
      </c>
      <c r="B258" s="5">
        <f>IF($A258="","",'Kontoplan'!B258)</f>
        <v/>
      </c>
      <c r="C258" s="5">
        <f>IF($A258="","",'Kontoplan'!C258)</f>
        <v/>
      </c>
      <c r="D258" s="20">
        <f>IF($A258="","",SUMIFS('Åpningsbalanse'!$C$4:$C$103,'Åpningsbalanse'!$A$4:$A$103,SUBSTITUTE(SUBSTITUTE(SUBSTITUTE('Kontoplan'!$H258,"~","~~"),"*","~*"),"?","~?"))*IFERROR(INDEX('_lister'!$C$2:$C$62,MATCH(C258,'_lister'!$A$2:$A$62,0)),1))</f>
        <v/>
      </c>
      <c r="E258" s="20">
        <f>IF($A258="","",SUMIFS('Journal'!$G$3:$G$2002,'Journal'!$D$3:$D$2002,SUBSTITUTE(SUBSTITUTE(SUBSTITUTE('Kontoplan'!$H258,"~","~~"),"*","~*"),"?","~?"))+SUMIFS('Journal'!$F$3:$F$2002,'Journal'!$E$3:$E$2002,SUBSTITUTE(SUBSTITUTE(SUBSTITUTE('Kontoplan'!$H258,"~","~~"),"*","~*"),"?","~?")))</f>
        <v/>
      </c>
      <c r="F258" s="20">
        <f>IF($A258="","",SUMIFS('Journal'!$F$3:$F$2002,'Journal'!$D$3:$D$2002,SUBSTITUTE(SUBSTITUTE(SUBSTITUTE('Kontoplan'!$H258,"~","~~"),"*","~*"),"?","~?"))+SUMIFS('Journal'!$G$3:$G$2002,'Journal'!$E$3:$E$2002,SUBSTITUTE(SUBSTITUTE(SUBSTITUTE('Kontoplan'!$H258,"~","~~"),"*","~*"),"?","~?")))</f>
        <v/>
      </c>
      <c r="G258" s="20">
        <f>IF($A258="","",D258+E258-F258)</f>
        <v/>
      </c>
      <c r="H258" s="14" t="n"/>
      <c r="I258" s="8" t="n"/>
    </row>
    <row r="259">
      <c r="A259" s="5">
        <f>IF('Kontoplan'!A259="","",'Kontoplan'!A259)</f>
        <v/>
      </c>
      <c r="B259" s="5">
        <f>IF($A259="","",'Kontoplan'!B259)</f>
        <v/>
      </c>
      <c r="C259" s="5">
        <f>IF($A259="","",'Kontoplan'!C259)</f>
        <v/>
      </c>
      <c r="D259" s="20">
        <f>IF($A259="","",SUMIFS('Åpningsbalanse'!$C$4:$C$103,'Åpningsbalanse'!$A$4:$A$103,SUBSTITUTE(SUBSTITUTE(SUBSTITUTE('Kontoplan'!$H259,"~","~~"),"*","~*"),"?","~?"))*IFERROR(INDEX('_lister'!$C$2:$C$62,MATCH(C259,'_lister'!$A$2:$A$62,0)),1))</f>
        <v/>
      </c>
      <c r="E259" s="20">
        <f>IF($A259="","",SUMIFS('Journal'!$G$3:$G$2002,'Journal'!$D$3:$D$2002,SUBSTITUTE(SUBSTITUTE(SUBSTITUTE('Kontoplan'!$H259,"~","~~"),"*","~*"),"?","~?"))+SUMIFS('Journal'!$F$3:$F$2002,'Journal'!$E$3:$E$2002,SUBSTITUTE(SUBSTITUTE(SUBSTITUTE('Kontoplan'!$H259,"~","~~"),"*","~*"),"?","~?")))</f>
        <v/>
      </c>
      <c r="F259" s="20">
        <f>IF($A259="","",SUMIFS('Journal'!$F$3:$F$2002,'Journal'!$D$3:$D$2002,SUBSTITUTE(SUBSTITUTE(SUBSTITUTE('Kontoplan'!$H259,"~","~~"),"*","~*"),"?","~?"))+SUMIFS('Journal'!$G$3:$G$2002,'Journal'!$E$3:$E$2002,SUBSTITUTE(SUBSTITUTE(SUBSTITUTE('Kontoplan'!$H259,"~","~~"),"*","~*"),"?","~?")))</f>
        <v/>
      </c>
      <c r="G259" s="20">
        <f>IF($A259="","",D259+E259-F259)</f>
        <v/>
      </c>
      <c r="H259" s="14" t="n"/>
      <c r="I259" s="8" t="n"/>
    </row>
    <row r="260">
      <c r="A260" s="5">
        <f>IF('Kontoplan'!A260="","",'Kontoplan'!A260)</f>
        <v/>
      </c>
      <c r="B260" s="5">
        <f>IF($A260="","",'Kontoplan'!B260)</f>
        <v/>
      </c>
      <c r="C260" s="5">
        <f>IF($A260="","",'Kontoplan'!C260)</f>
        <v/>
      </c>
      <c r="D260" s="20">
        <f>IF($A260="","",SUMIFS('Åpningsbalanse'!$C$4:$C$103,'Åpningsbalanse'!$A$4:$A$103,SUBSTITUTE(SUBSTITUTE(SUBSTITUTE('Kontoplan'!$H260,"~","~~"),"*","~*"),"?","~?"))*IFERROR(INDEX('_lister'!$C$2:$C$62,MATCH(C260,'_lister'!$A$2:$A$62,0)),1))</f>
        <v/>
      </c>
      <c r="E260" s="20">
        <f>IF($A260="","",SUMIFS('Journal'!$G$3:$G$2002,'Journal'!$D$3:$D$2002,SUBSTITUTE(SUBSTITUTE(SUBSTITUTE('Kontoplan'!$H260,"~","~~"),"*","~*"),"?","~?"))+SUMIFS('Journal'!$F$3:$F$2002,'Journal'!$E$3:$E$2002,SUBSTITUTE(SUBSTITUTE(SUBSTITUTE('Kontoplan'!$H260,"~","~~"),"*","~*"),"?","~?")))</f>
        <v/>
      </c>
      <c r="F260" s="20">
        <f>IF($A260="","",SUMIFS('Journal'!$F$3:$F$2002,'Journal'!$D$3:$D$2002,SUBSTITUTE(SUBSTITUTE(SUBSTITUTE('Kontoplan'!$H260,"~","~~"),"*","~*"),"?","~?"))+SUMIFS('Journal'!$G$3:$G$2002,'Journal'!$E$3:$E$2002,SUBSTITUTE(SUBSTITUTE(SUBSTITUTE('Kontoplan'!$H260,"~","~~"),"*","~*"),"?","~?")))</f>
        <v/>
      </c>
      <c r="G260" s="20">
        <f>IF($A260="","",D260+E260-F260)</f>
        <v/>
      </c>
      <c r="H260" s="14" t="n"/>
      <c r="I260" s="8" t="n"/>
    </row>
    <row r="261">
      <c r="A261" s="5">
        <f>IF('Kontoplan'!A261="","",'Kontoplan'!A261)</f>
        <v/>
      </c>
      <c r="B261" s="5">
        <f>IF($A261="","",'Kontoplan'!B261)</f>
        <v/>
      </c>
      <c r="C261" s="5">
        <f>IF($A261="","",'Kontoplan'!C261)</f>
        <v/>
      </c>
      <c r="D261" s="20">
        <f>IF($A261="","",SUMIFS('Åpningsbalanse'!$C$4:$C$103,'Åpningsbalanse'!$A$4:$A$103,SUBSTITUTE(SUBSTITUTE(SUBSTITUTE('Kontoplan'!$H261,"~","~~"),"*","~*"),"?","~?"))*IFERROR(INDEX('_lister'!$C$2:$C$62,MATCH(C261,'_lister'!$A$2:$A$62,0)),1))</f>
        <v/>
      </c>
      <c r="E261" s="20">
        <f>IF($A261="","",SUMIFS('Journal'!$G$3:$G$2002,'Journal'!$D$3:$D$2002,SUBSTITUTE(SUBSTITUTE(SUBSTITUTE('Kontoplan'!$H261,"~","~~"),"*","~*"),"?","~?"))+SUMIFS('Journal'!$F$3:$F$2002,'Journal'!$E$3:$E$2002,SUBSTITUTE(SUBSTITUTE(SUBSTITUTE('Kontoplan'!$H261,"~","~~"),"*","~*"),"?","~?")))</f>
        <v/>
      </c>
      <c r="F261" s="20">
        <f>IF($A261="","",SUMIFS('Journal'!$F$3:$F$2002,'Journal'!$D$3:$D$2002,SUBSTITUTE(SUBSTITUTE(SUBSTITUTE('Kontoplan'!$H261,"~","~~"),"*","~*"),"?","~?"))+SUMIFS('Journal'!$G$3:$G$2002,'Journal'!$E$3:$E$2002,SUBSTITUTE(SUBSTITUTE(SUBSTITUTE('Kontoplan'!$H261,"~","~~"),"*","~*"),"?","~?")))</f>
        <v/>
      </c>
      <c r="G261" s="20">
        <f>IF($A261="","",D261+E261-F261)</f>
        <v/>
      </c>
      <c r="H261" s="14" t="n"/>
      <c r="I261" s="8" t="n"/>
    </row>
    <row r="262">
      <c r="A262" s="5">
        <f>IF('Kontoplan'!A262="","",'Kontoplan'!A262)</f>
        <v/>
      </c>
      <c r="B262" s="5">
        <f>IF($A262="","",'Kontoplan'!B262)</f>
        <v/>
      </c>
      <c r="C262" s="5">
        <f>IF($A262="","",'Kontoplan'!C262)</f>
        <v/>
      </c>
      <c r="D262" s="20">
        <f>IF($A262="","",SUMIFS('Åpningsbalanse'!$C$4:$C$103,'Åpningsbalanse'!$A$4:$A$103,SUBSTITUTE(SUBSTITUTE(SUBSTITUTE('Kontoplan'!$H262,"~","~~"),"*","~*"),"?","~?"))*IFERROR(INDEX('_lister'!$C$2:$C$62,MATCH(C262,'_lister'!$A$2:$A$62,0)),1))</f>
        <v/>
      </c>
      <c r="E262" s="20">
        <f>IF($A262="","",SUMIFS('Journal'!$G$3:$G$2002,'Journal'!$D$3:$D$2002,SUBSTITUTE(SUBSTITUTE(SUBSTITUTE('Kontoplan'!$H262,"~","~~"),"*","~*"),"?","~?"))+SUMIFS('Journal'!$F$3:$F$2002,'Journal'!$E$3:$E$2002,SUBSTITUTE(SUBSTITUTE(SUBSTITUTE('Kontoplan'!$H262,"~","~~"),"*","~*"),"?","~?")))</f>
        <v/>
      </c>
      <c r="F262" s="20">
        <f>IF($A262="","",SUMIFS('Journal'!$F$3:$F$2002,'Journal'!$D$3:$D$2002,SUBSTITUTE(SUBSTITUTE(SUBSTITUTE('Kontoplan'!$H262,"~","~~"),"*","~*"),"?","~?"))+SUMIFS('Journal'!$G$3:$G$2002,'Journal'!$E$3:$E$2002,SUBSTITUTE(SUBSTITUTE(SUBSTITUTE('Kontoplan'!$H262,"~","~~"),"*","~*"),"?","~?")))</f>
        <v/>
      </c>
      <c r="G262" s="20">
        <f>IF($A262="","",D262+E262-F262)</f>
        <v/>
      </c>
      <c r="H262" s="14" t="n"/>
      <c r="I262" s="8" t="n"/>
    </row>
    <row r="263">
      <c r="A263" s="5">
        <f>IF('Kontoplan'!A263="","",'Kontoplan'!A263)</f>
        <v/>
      </c>
      <c r="B263" s="5">
        <f>IF($A263="","",'Kontoplan'!B263)</f>
        <v/>
      </c>
      <c r="C263" s="5">
        <f>IF($A263="","",'Kontoplan'!C263)</f>
        <v/>
      </c>
      <c r="D263" s="20">
        <f>IF($A263="","",SUMIFS('Åpningsbalanse'!$C$4:$C$103,'Åpningsbalanse'!$A$4:$A$103,SUBSTITUTE(SUBSTITUTE(SUBSTITUTE('Kontoplan'!$H263,"~","~~"),"*","~*"),"?","~?"))*IFERROR(INDEX('_lister'!$C$2:$C$62,MATCH(C263,'_lister'!$A$2:$A$62,0)),1))</f>
        <v/>
      </c>
      <c r="E263" s="20">
        <f>IF($A263="","",SUMIFS('Journal'!$G$3:$G$2002,'Journal'!$D$3:$D$2002,SUBSTITUTE(SUBSTITUTE(SUBSTITUTE('Kontoplan'!$H263,"~","~~"),"*","~*"),"?","~?"))+SUMIFS('Journal'!$F$3:$F$2002,'Journal'!$E$3:$E$2002,SUBSTITUTE(SUBSTITUTE(SUBSTITUTE('Kontoplan'!$H263,"~","~~"),"*","~*"),"?","~?")))</f>
        <v/>
      </c>
      <c r="F263" s="20">
        <f>IF($A263="","",SUMIFS('Journal'!$F$3:$F$2002,'Journal'!$D$3:$D$2002,SUBSTITUTE(SUBSTITUTE(SUBSTITUTE('Kontoplan'!$H263,"~","~~"),"*","~*"),"?","~?"))+SUMIFS('Journal'!$G$3:$G$2002,'Journal'!$E$3:$E$2002,SUBSTITUTE(SUBSTITUTE(SUBSTITUTE('Kontoplan'!$H263,"~","~~"),"*","~*"),"?","~?")))</f>
        <v/>
      </c>
      <c r="G263" s="20">
        <f>IF($A263="","",D263+E263-F263)</f>
        <v/>
      </c>
      <c r="H263" s="14" t="n"/>
      <c r="I263" s="8" t="n"/>
    </row>
    <row r="264">
      <c r="A264" s="5">
        <f>IF('Kontoplan'!A264="","",'Kontoplan'!A264)</f>
        <v/>
      </c>
      <c r="B264" s="5">
        <f>IF($A264="","",'Kontoplan'!B264)</f>
        <v/>
      </c>
      <c r="C264" s="5">
        <f>IF($A264="","",'Kontoplan'!C264)</f>
        <v/>
      </c>
      <c r="D264" s="20">
        <f>IF($A264="","",SUMIFS('Åpningsbalanse'!$C$4:$C$103,'Åpningsbalanse'!$A$4:$A$103,SUBSTITUTE(SUBSTITUTE(SUBSTITUTE('Kontoplan'!$H264,"~","~~"),"*","~*"),"?","~?"))*IFERROR(INDEX('_lister'!$C$2:$C$62,MATCH(C264,'_lister'!$A$2:$A$62,0)),1))</f>
        <v/>
      </c>
      <c r="E264" s="20">
        <f>IF($A264="","",SUMIFS('Journal'!$G$3:$G$2002,'Journal'!$D$3:$D$2002,SUBSTITUTE(SUBSTITUTE(SUBSTITUTE('Kontoplan'!$H264,"~","~~"),"*","~*"),"?","~?"))+SUMIFS('Journal'!$F$3:$F$2002,'Journal'!$E$3:$E$2002,SUBSTITUTE(SUBSTITUTE(SUBSTITUTE('Kontoplan'!$H264,"~","~~"),"*","~*"),"?","~?")))</f>
        <v/>
      </c>
      <c r="F264" s="20">
        <f>IF($A264="","",SUMIFS('Journal'!$F$3:$F$2002,'Journal'!$D$3:$D$2002,SUBSTITUTE(SUBSTITUTE(SUBSTITUTE('Kontoplan'!$H264,"~","~~"),"*","~*"),"?","~?"))+SUMIFS('Journal'!$G$3:$G$2002,'Journal'!$E$3:$E$2002,SUBSTITUTE(SUBSTITUTE(SUBSTITUTE('Kontoplan'!$H264,"~","~~"),"*","~*"),"?","~?")))</f>
        <v/>
      </c>
      <c r="G264" s="20">
        <f>IF($A264="","",D264+E264-F264)</f>
        <v/>
      </c>
      <c r="H264" s="14" t="n"/>
      <c r="I264" s="8" t="n"/>
    </row>
    <row r="265">
      <c r="A265" s="5">
        <f>IF('Kontoplan'!A265="","",'Kontoplan'!A265)</f>
        <v/>
      </c>
      <c r="B265" s="5">
        <f>IF($A265="","",'Kontoplan'!B265)</f>
        <v/>
      </c>
      <c r="C265" s="5">
        <f>IF($A265="","",'Kontoplan'!C265)</f>
        <v/>
      </c>
      <c r="D265" s="20">
        <f>IF($A265="","",SUMIFS('Åpningsbalanse'!$C$4:$C$103,'Åpningsbalanse'!$A$4:$A$103,SUBSTITUTE(SUBSTITUTE(SUBSTITUTE('Kontoplan'!$H265,"~","~~"),"*","~*"),"?","~?"))*IFERROR(INDEX('_lister'!$C$2:$C$62,MATCH(C265,'_lister'!$A$2:$A$62,0)),1))</f>
        <v/>
      </c>
      <c r="E265" s="20">
        <f>IF($A265="","",SUMIFS('Journal'!$G$3:$G$2002,'Journal'!$D$3:$D$2002,SUBSTITUTE(SUBSTITUTE(SUBSTITUTE('Kontoplan'!$H265,"~","~~"),"*","~*"),"?","~?"))+SUMIFS('Journal'!$F$3:$F$2002,'Journal'!$E$3:$E$2002,SUBSTITUTE(SUBSTITUTE(SUBSTITUTE('Kontoplan'!$H265,"~","~~"),"*","~*"),"?","~?")))</f>
        <v/>
      </c>
      <c r="F265" s="20">
        <f>IF($A265="","",SUMIFS('Journal'!$F$3:$F$2002,'Journal'!$D$3:$D$2002,SUBSTITUTE(SUBSTITUTE(SUBSTITUTE('Kontoplan'!$H265,"~","~~"),"*","~*"),"?","~?"))+SUMIFS('Journal'!$G$3:$G$2002,'Journal'!$E$3:$E$2002,SUBSTITUTE(SUBSTITUTE(SUBSTITUTE('Kontoplan'!$H265,"~","~~"),"*","~*"),"?","~?")))</f>
        <v/>
      </c>
      <c r="G265" s="20">
        <f>IF($A265="","",D265+E265-F265)</f>
        <v/>
      </c>
      <c r="H265" s="14" t="n"/>
      <c r="I265" s="8" t="n"/>
    </row>
    <row r="266">
      <c r="A266" s="5">
        <f>IF('Kontoplan'!A266="","",'Kontoplan'!A266)</f>
        <v/>
      </c>
      <c r="B266" s="5">
        <f>IF($A266="","",'Kontoplan'!B266)</f>
        <v/>
      </c>
      <c r="C266" s="5">
        <f>IF($A266="","",'Kontoplan'!C266)</f>
        <v/>
      </c>
      <c r="D266" s="20">
        <f>IF($A266="","",SUMIFS('Åpningsbalanse'!$C$4:$C$103,'Åpningsbalanse'!$A$4:$A$103,SUBSTITUTE(SUBSTITUTE(SUBSTITUTE('Kontoplan'!$H266,"~","~~"),"*","~*"),"?","~?"))*IFERROR(INDEX('_lister'!$C$2:$C$62,MATCH(C266,'_lister'!$A$2:$A$62,0)),1))</f>
        <v/>
      </c>
      <c r="E266" s="20">
        <f>IF($A266="","",SUMIFS('Journal'!$G$3:$G$2002,'Journal'!$D$3:$D$2002,SUBSTITUTE(SUBSTITUTE(SUBSTITUTE('Kontoplan'!$H266,"~","~~"),"*","~*"),"?","~?"))+SUMIFS('Journal'!$F$3:$F$2002,'Journal'!$E$3:$E$2002,SUBSTITUTE(SUBSTITUTE(SUBSTITUTE('Kontoplan'!$H266,"~","~~"),"*","~*"),"?","~?")))</f>
        <v/>
      </c>
      <c r="F266" s="20">
        <f>IF($A266="","",SUMIFS('Journal'!$F$3:$F$2002,'Journal'!$D$3:$D$2002,SUBSTITUTE(SUBSTITUTE(SUBSTITUTE('Kontoplan'!$H266,"~","~~"),"*","~*"),"?","~?"))+SUMIFS('Journal'!$G$3:$G$2002,'Journal'!$E$3:$E$2002,SUBSTITUTE(SUBSTITUTE(SUBSTITUTE('Kontoplan'!$H266,"~","~~"),"*","~*"),"?","~?")))</f>
        <v/>
      </c>
      <c r="G266" s="20">
        <f>IF($A266="","",D266+E266-F266)</f>
        <v/>
      </c>
      <c r="H266" s="14" t="n"/>
      <c r="I266" s="8" t="n"/>
    </row>
    <row r="267">
      <c r="A267" s="5">
        <f>IF('Kontoplan'!A267="","",'Kontoplan'!A267)</f>
        <v/>
      </c>
      <c r="B267" s="5">
        <f>IF($A267="","",'Kontoplan'!B267)</f>
        <v/>
      </c>
      <c r="C267" s="5">
        <f>IF($A267="","",'Kontoplan'!C267)</f>
        <v/>
      </c>
      <c r="D267" s="20">
        <f>IF($A267="","",SUMIFS('Åpningsbalanse'!$C$4:$C$103,'Åpningsbalanse'!$A$4:$A$103,SUBSTITUTE(SUBSTITUTE(SUBSTITUTE('Kontoplan'!$H267,"~","~~"),"*","~*"),"?","~?"))*IFERROR(INDEX('_lister'!$C$2:$C$62,MATCH(C267,'_lister'!$A$2:$A$62,0)),1))</f>
        <v/>
      </c>
      <c r="E267" s="20">
        <f>IF($A267="","",SUMIFS('Journal'!$G$3:$G$2002,'Journal'!$D$3:$D$2002,SUBSTITUTE(SUBSTITUTE(SUBSTITUTE('Kontoplan'!$H267,"~","~~"),"*","~*"),"?","~?"))+SUMIFS('Journal'!$F$3:$F$2002,'Journal'!$E$3:$E$2002,SUBSTITUTE(SUBSTITUTE(SUBSTITUTE('Kontoplan'!$H267,"~","~~"),"*","~*"),"?","~?")))</f>
        <v/>
      </c>
      <c r="F267" s="20">
        <f>IF($A267="","",SUMIFS('Journal'!$F$3:$F$2002,'Journal'!$D$3:$D$2002,SUBSTITUTE(SUBSTITUTE(SUBSTITUTE('Kontoplan'!$H267,"~","~~"),"*","~*"),"?","~?"))+SUMIFS('Journal'!$G$3:$G$2002,'Journal'!$E$3:$E$2002,SUBSTITUTE(SUBSTITUTE(SUBSTITUTE('Kontoplan'!$H267,"~","~~"),"*","~*"),"?","~?")))</f>
        <v/>
      </c>
      <c r="G267" s="20">
        <f>IF($A267="","",D267+E267-F267)</f>
        <v/>
      </c>
      <c r="H267" s="14" t="n"/>
      <c r="I267" s="8" t="n"/>
    </row>
    <row r="268">
      <c r="A268" s="5">
        <f>IF('Kontoplan'!A268="","",'Kontoplan'!A268)</f>
        <v/>
      </c>
      <c r="B268" s="5">
        <f>IF($A268="","",'Kontoplan'!B268)</f>
        <v/>
      </c>
      <c r="C268" s="5">
        <f>IF($A268="","",'Kontoplan'!C268)</f>
        <v/>
      </c>
      <c r="D268" s="20">
        <f>IF($A268="","",SUMIFS('Åpningsbalanse'!$C$4:$C$103,'Åpningsbalanse'!$A$4:$A$103,SUBSTITUTE(SUBSTITUTE(SUBSTITUTE('Kontoplan'!$H268,"~","~~"),"*","~*"),"?","~?"))*IFERROR(INDEX('_lister'!$C$2:$C$62,MATCH(C268,'_lister'!$A$2:$A$62,0)),1))</f>
        <v/>
      </c>
      <c r="E268" s="20">
        <f>IF($A268="","",SUMIFS('Journal'!$G$3:$G$2002,'Journal'!$D$3:$D$2002,SUBSTITUTE(SUBSTITUTE(SUBSTITUTE('Kontoplan'!$H268,"~","~~"),"*","~*"),"?","~?"))+SUMIFS('Journal'!$F$3:$F$2002,'Journal'!$E$3:$E$2002,SUBSTITUTE(SUBSTITUTE(SUBSTITUTE('Kontoplan'!$H268,"~","~~"),"*","~*"),"?","~?")))</f>
        <v/>
      </c>
      <c r="F268" s="20">
        <f>IF($A268="","",SUMIFS('Journal'!$F$3:$F$2002,'Journal'!$D$3:$D$2002,SUBSTITUTE(SUBSTITUTE(SUBSTITUTE('Kontoplan'!$H268,"~","~~"),"*","~*"),"?","~?"))+SUMIFS('Journal'!$G$3:$G$2002,'Journal'!$E$3:$E$2002,SUBSTITUTE(SUBSTITUTE(SUBSTITUTE('Kontoplan'!$H268,"~","~~"),"*","~*"),"?","~?")))</f>
        <v/>
      </c>
      <c r="G268" s="20">
        <f>IF($A268="","",D268+E268-F268)</f>
        <v/>
      </c>
      <c r="H268" s="14" t="n"/>
      <c r="I268" s="8" t="n"/>
    </row>
    <row r="269">
      <c r="A269" s="5">
        <f>IF('Kontoplan'!A269="","",'Kontoplan'!A269)</f>
        <v/>
      </c>
      <c r="B269" s="5">
        <f>IF($A269="","",'Kontoplan'!B269)</f>
        <v/>
      </c>
      <c r="C269" s="5">
        <f>IF($A269="","",'Kontoplan'!C269)</f>
        <v/>
      </c>
      <c r="D269" s="20">
        <f>IF($A269="","",SUMIFS('Åpningsbalanse'!$C$4:$C$103,'Åpningsbalanse'!$A$4:$A$103,SUBSTITUTE(SUBSTITUTE(SUBSTITUTE('Kontoplan'!$H269,"~","~~"),"*","~*"),"?","~?"))*IFERROR(INDEX('_lister'!$C$2:$C$62,MATCH(C269,'_lister'!$A$2:$A$62,0)),1))</f>
        <v/>
      </c>
      <c r="E269" s="20">
        <f>IF($A269="","",SUMIFS('Journal'!$G$3:$G$2002,'Journal'!$D$3:$D$2002,SUBSTITUTE(SUBSTITUTE(SUBSTITUTE('Kontoplan'!$H269,"~","~~"),"*","~*"),"?","~?"))+SUMIFS('Journal'!$F$3:$F$2002,'Journal'!$E$3:$E$2002,SUBSTITUTE(SUBSTITUTE(SUBSTITUTE('Kontoplan'!$H269,"~","~~"),"*","~*"),"?","~?")))</f>
        <v/>
      </c>
      <c r="F269" s="20">
        <f>IF($A269="","",SUMIFS('Journal'!$F$3:$F$2002,'Journal'!$D$3:$D$2002,SUBSTITUTE(SUBSTITUTE(SUBSTITUTE('Kontoplan'!$H269,"~","~~"),"*","~*"),"?","~?"))+SUMIFS('Journal'!$G$3:$G$2002,'Journal'!$E$3:$E$2002,SUBSTITUTE(SUBSTITUTE(SUBSTITUTE('Kontoplan'!$H269,"~","~~"),"*","~*"),"?","~?")))</f>
        <v/>
      </c>
      <c r="G269" s="20">
        <f>IF($A269="","",D269+E269-F269)</f>
        <v/>
      </c>
      <c r="H269" s="14" t="n"/>
      <c r="I269" s="8" t="n"/>
    </row>
    <row r="270">
      <c r="A270" s="5">
        <f>IF('Kontoplan'!A270="","",'Kontoplan'!A270)</f>
        <v/>
      </c>
      <c r="B270" s="5">
        <f>IF($A270="","",'Kontoplan'!B270)</f>
        <v/>
      </c>
      <c r="C270" s="5">
        <f>IF($A270="","",'Kontoplan'!C270)</f>
        <v/>
      </c>
      <c r="D270" s="20">
        <f>IF($A270="","",SUMIFS('Åpningsbalanse'!$C$4:$C$103,'Åpningsbalanse'!$A$4:$A$103,SUBSTITUTE(SUBSTITUTE(SUBSTITUTE('Kontoplan'!$H270,"~","~~"),"*","~*"),"?","~?"))*IFERROR(INDEX('_lister'!$C$2:$C$62,MATCH(C270,'_lister'!$A$2:$A$62,0)),1))</f>
        <v/>
      </c>
      <c r="E270" s="20">
        <f>IF($A270="","",SUMIFS('Journal'!$G$3:$G$2002,'Journal'!$D$3:$D$2002,SUBSTITUTE(SUBSTITUTE(SUBSTITUTE('Kontoplan'!$H270,"~","~~"),"*","~*"),"?","~?"))+SUMIFS('Journal'!$F$3:$F$2002,'Journal'!$E$3:$E$2002,SUBSTITUTE(SUBSTITUTE(SUBSTITUTE('Kontoplan'!$H270,"~","~~"),"*","~*"),"?","~?")))</f>
        <v/>
      </c>
      <c r="F270" s="20">
        <f>IF($A270="","",SUMIFS('Journal'!$F$3:$F$2002,'Journal'!$D$3:$D$2002,SUBSTITUTE(SUBSTITUTE(SUBSTITUTE('Kontoplan'!$H270,"~","~~"),"*","~*"),"?","~?"))+SUMIFS('Journal'!$G$3:$G$2002,'Journal'!$E$3:$E$2002,SUBSTITUTE(SUBSTITUTE(SUBSTITUTE('Kontoplan'!$H270,"~","~~"),"*","~*"),"?","~?")))</f>
        <v/>
      </c>
      <c r="G270" s="20">
        <f>IF($A270="","",D270+E270-F270)</f>
        <v/>
      </c>
      <c r="H270" s="14" t="n"/>
      <c r="I270" s="8" t="n"/>
    </row>
    <row r="271">
      <c r="A271" s="5">
        <f>IF('Kontoplan'!A271="","",'Kontoplan'!A271)</f>
        <v/>
      </c>
      <c r="B271" s="5">
        <f>IF($A271="","",'Kontoplan'!B271)</f>
        <v/>
      </c>
      <c r="C271" s="5">
        <f>IF($A271="","",'Kontoplan'!C271)</f>
        <v/>
      </c>
      <c r="D271" s="20">
        <f>IF($A271="","",SUMIFS('Åpningsbalanse'!$C$4:$C$103,'Åpningsbalanse'!$A$4:$A$103,SUBSTITUTE(SUBSTITUTE(SUBSTITUTE('Kontoplan'!$H271,"~","~~"),"*","~*"),"?","~?"))*IFERROR(INDEX('_lister'!$C$2:$C$62,MATCH(C271,'_lister'!$A$2:$A$62,0)),1))</f>
        <v/>
      </c>
      <c r="E271" s="20">
        <f>IF($A271="","",SUMIFS('Journal'!$G$3:$G$2002,'Journal'!$D$3:$D$2002,SUBSTITUTE(SUBSTITUTE(SUBSTITUTE('Kontoplan'!$H271,"~","~~"),"*","~*"),"?","~?"))+SUMIFS('Journal'!$F$3:$F$2002,'Journal'!$E$3:$E$2002,SUBSTITUTE(SUBSTITUTE(SUBSTITUTE('Kontoplan'!$H271,"~","~~"),"*","~*"),"?","~?")))</f>
        <v/>
      </c>
      <c r="F271" s="20">
        <f>IF($A271="","",SUMIFS('Journal'!$F$3:$F$2002,'Journal'!$D$3:$D$2002,SUBSTITUTE(SUBSTITUTE(SUBSTITUTE('Kontoplan'!$H271,"~","~~"),"*","~*"),"?","~?"))+SUMIFS('Journal'!$G$3:$G$2002,'Journal'!$E$3:$E$2002,SUBSTITUTE(SUBSTITUTE(SUBSTITUTE('Kontoplan'!$H271,"~","~~"),"*","~*"),"?","~?")))</f>
        <v/>
      </c>
      <c r="G271" s="20">
        <f>IF($A271="","",D271+E271-F271)</f>
        <v/>
      </c>
      <c r="H271" s="14" t="n"/>
      <c r="I271" s="8" t="n"/>
    </row>
    <row r="272">
      <c r="A272" s="5">
        <f>IF('Kontoplan'!A272="","",'Kontoplan'!A272)</f>
        <v/>
      </c>
      <c r="B272" s="5">
        <f>IF($A272="","",'Kontoplan'!B272)</f>
        <v/>
      </c>
      <c r="C272" s="5">
        <f>IF($A272="","",'Kontoplan'!C272)</f>
        <v/>
      </c>
      <c r="D272" s="20">
        <f>IF($A272="","",SUMIFS('Åpningsbalanse'!$C$4:$C$103,'Åpningsbalanse'!$A$4:$A$103,SUBSTITUTE(SUBSTITUTE(SUBSTITUTE('Kontoplan'!$H272,"~","~~"),"*","~*"),"?","~?"))*IFERROR(INDEX('_lister'!$C$2:$C$62,MATCH(C272,'_lister'!$A$2:$A$62,0)),1))</f>
        <v/>
      </c>
      <c r="E272" s="20">
        <f>IF($A272="","",SUMIFS('Journal'!$G$3:$G$2002,'Journal'!$D$3:$D$2002,SUBSTITUTE(SUBSTITUTE(SUBSTITUTE('Kontoplan'!$H272,"~","~~"),"*","~*"),"?","~?"))+SUMIFS('Journal'!$F$3:$F$2002,'Journal'!$E$3:$E$2002,SUBSTITUTE(SUBSTITUTE(SUBSTITUTE('Kontoplan'!$H272,"~","~~"),"*","~*"),"?","~?")))</f>
        <v/>
      </c>
      <c r="F272" s="20">
        <f>IF($A272="","",SUMIFS('Journal'!$F$3:$F$2002,'Journal'!$D$3:$D$2002,SUBSTITUTE(SUBSTITUTE(SUBSTITUTE('Kontoplan'!$H272,"~","~~"),"*","~*"),"?","~?"))+SUMIFS('Journal'!$G$3:$G$2002,'Journal'!$E$3:$E$2002,SUBSTITUTE(SUBSTITUTE(SUBSTITUTE('Kontoplan'!$H272,"~","~~"),"*","~*"),"?","~?")))</f>
        <v/>
      </c>
      <c r="G272" s="20">
        <f>IF($A272="","",D272+E272-F272)</f>
        <v/>
      </c>
      <c r="H272" s="14" t="n"/>
      <c r="I272" s="8" t="n"/>
    </row>
    <row r="273">
      <c r="A273" s="5">
        <f>IF('Kontoplan'!A273="","",'Kontoplan'!A273)</f>
        <v/>
      </c>
      <c r="B273" s="5">
        <f>IF($A273="","",'Kontoplan'!B273)</f>
        <v/>
      </c>
      <c r="C273" s="5">
        <f>IF($A273="","",'Kontoplan'!C273)</f>
        <v/>
      </c>
      <c r="D273" s="20">
        <f>IF($A273="","",SUMIFS('Åpningsbalanse'!$C$4:$C$103,'Åpningsbalanse'!$A$4:$A$103,SUBSTITUTE(SUBSTITUTE(SUBSTITUTE('Kontoplan'!$H273,"~","~~"),"*","~*"),"?","~?"))*IFERROR(INDEX('_lister'!$C$2:$C$62,MATCH(C273,'_lister'!$A$2:$A$62,0)),1))</f>
        <v/>
      </c>
      <c r="E273" s="20">
        <f>IF($A273="","",SUMIFS('Journal'!$G$3:$G$2002,'Journal'!$D$3:$D$2002,SUBSTITUTE(SUBSTITUTE(SUBSTITUTE('Kontoplan'!$H273,"~","~~"),"*","~*"),"?","~?"))+SUMIFS('Journal'!$F$3:$F$2002,'Journal'!$E$3:$E$2002,SUBSTITUTE(SUBSTITUTE(SUBSTITUTE('Kontoplan'!$H273,"~","~~"),"*","~*"),"?","~?")))</f>
        <v/>
      </c>
      <c r="F273" s="20">
        <f>IF($A273="","",SUMIFS('Journal'!$F$3:$F$2002,'Journal'!$D$3:$D$2002,SUBSTITUTE(SUBSTITUTE(SUBSTITUTE('Kontoplan'!$H273,"~","~~"),"*","~*"),"?","~?"))+SUMIFS('Journal'!$G$3:$G$2002,'Journal'!$E$3:$E$2002,SUBSTITUTE(SUBSTITUTE(SUBSTITUTE('Kontoplan'!$H273,"~","~~"),"*","~*"),"?","~?")))</f>
        <v/>
      </c>
      <c r="G273" s="20">
        <f>IF($A273="","",D273+E273-F273)</f>
        <v/>
      </c>
      <c r="H273" s="14" t="n"/>
      <c r="I273" s="8" t="n"/>
    </row>
    <row r="274">
      <c r="A274" s="5">
        <f>IF('Kontoplan'!A274="","",'Kontoplan'!A274)</f>
        <v/>
      </c>
      <c r="B274" s="5">
        <f>IF($A274="","",'Kontoplan'!B274)</f>
        <v/>
      </c>
      <c r="C274" s="5">
        <f>IF($A274="","",'Kontoplan'!C274)</f>
        <v/>
      </c>
      <c r="D274" s="20">
        <f>IF($A274="","",SUMIFS('Åpningsbalanse'!$C$4:$C$103,'Åpningsbalanse'!$A$4:$A$103,SUBSTITUTE(SUBSTITUTE(SUBSTITUTE('Kontoplan'!$H274,"~","~~"),"*","~*"),"?","~?"))*IFERROR(INDEX('_lister'!$C$2:$C$62,MATCH(C274,'_lister'!$A$2:$A$62,0)),1))</f>
        <v/>
      </c>
      <c r="E274" s="20">
        <f>IF($A274="","",SUMIFS('Journal'!$G$3:$G$2002,'Journal'!$D$3:$D$2002,SUBSTITUTE(SUBSTITUTE(SUBSTITUTE('Kontoplan'!$H274,"~","~~"),"*","~*"),"?","~?"))+SUMIFS('Journal'!$F$3:$F$2002,'Journal'!$E$3:$E$2002,SUBSTITUTE(SUBSTITUTE(SUBSTITUTE('Kontoplan'!$H274,"~","~~"),"*","~*"),"?","~?")))</f>
        <v/>
      </c>
      <c r="F274" s="20">
        <f>IF($A274="","",SUMIFS('Journal'!$F$3:$F$2002,'Journal'!$D$3:$D$2002,SUBSTITUTE(SUBSTITUTE(SUBSTITUTE('Kontoplan'!$H274,"~","~~"),"*","~*"),"?","~?"))+SUMIFS('Journal'!$G$3:$G$2002,'Journal'!$E$3:$E$2002,SUBSTITUTE(SUBSTITUTE(SUBSTITUTE('Kontoplan'!$H274,"~","~~"),"*","~*"),"?","~?")))</f>
        <v/>
      </c>
      <c r="G274" s="20">
        <f>IF($A274="","",D274+E274-F274)</f>
        <v/>
      </c>
      <c r="H274" s="14" t="n"/>
      <c r="I274" s="8" t="n"/>
    </row>
    <row r="275">
      <c r="A275" s="5">
        <f>IF('Kontoplan'!A275="","",'Kontoplan'!A275)</f>
        <v/>
      </c>
      <c r="B275" s="5">
        <f>IF($A275="","",'Kontoplan'!B275)</f>
        <v/>
      </c>
      <c r="C275" s="5">
        <f>IF($A275="","",'Kontoplan'!C275)</f>
        <v/>
      </c>
      <c r="D275" s="20">
        <f>IF($A275="","",SUMIFS('Åpningsbalanse'!$C$4:$C$103,'Åpningsbalanse'!$A$4:$A$103,SUBSTITUTE(SUBSTITUTE(SUBSTITUTE('Kontoplan'!$H275,"~","~~"),"*","~*"),"?","~?"))*IFERROR(INDEX('_lister'!$C$2:$C$62,MATCH(C275,'_lister'!$A$2:$A$62,0)),1))</f>
        <v/>
      </c>
      <c r="E275" s="20">
        <f>IF($A275="","",SUMIFS('Journal'!$G$3:$G$2002,'Journal'!$D$3:$D$2002,SUBSTITUTE(SUBSTITUTE(SUBSTITUTE('Kontoplan'!$H275,"~","~~"),"*","~*"),"?","~?"))+SUMIFS('Journal'!$F$3:$F$2002,'Journal'!$E$3:$E$2002,SUBSTITUTE(SUBSTITUTE(SUBSTITUTE('Kontoplan'!$H275,"~","~~"),"*","~*"),"?","~?")))</f>
        <v/>
      </c>
      <c r="F275" s="20">
        <f>IF($A275="","",SUMIFS('Journal'!$F$3:$F$2002,'Journal'!$D$3:$D$2002,SUBSTITUTE(SUBSTITUTE(SUBSTITUTE('Kontoplan'!$H275,"~","~~"),"*","~*"),"?","~?"))+SUMIFS('Journal'!$G$3:$G$2002,'Journal'!$E$3:$E$2002,SUBSTITUTE(SUBSTITUTE(SUBSTITUTE('Kontoplan'!$H275,"~","~~"),"*","~*"),"?","~?")))</f>
        <v/>
      </c>
      <c r="G275" s="20">
        <f>IF($A275="","",D275+E275-F275)</f>
        <v/>
      </c>
      <c r="H275" s="14" t="n"/>
      <c r="I275" s="8" t="n"/>
    </row>
    <row r="276">
      <c r="A276" s="5">
        <f>IF('Kontoplan'!A276="","",'Kontoplan'!A276)</f>
        <v/>
      </c>
      <c r="B276" s="5">
        <f>IF($A276="","",'Kontoplan'!B276)</f>
        <v/>
      </c>
      <c r="C276" s="5">
        <f>IF($A276="","",'Kontoplan'!C276)</f>
        <v/>
      </c>
      <c r="D276" s="20">
        <f>IF($A276="","",SUMIFS('Åpningsbalanse'!$C$4:$C$103,'Åpningsbalanse'!$A$4:$A$103,SUBSTITUTE(SUBSTITUTE(SUBSTITUTE('Kontoplan'!$H276,"~","~~"),"*","~*"),"?","~?"))*IFERROR(INDEX('_lister'!$C$2:$C$62,MATCH(C276,'_lister'!$A$2:$A$62,0)),1))</f>
        <v/>
      </c>
      <c r="E276" s="20">
        <f>IF($A276="","",SUMIFS('Journal'!$G$3:$G$2002,'Journal'!$D$3:$D$2002,SUBSTITUTE(SUBSTITUTE(SUBSTITUTE('Kontoplan'!$H276,"~","~~"),"*","~*"),"?","~?"))+SUMIFS('Journal'!$F$3:$F$2002,'Journal'!$E$3:$E$2002,SUBSTITUTE(SUBSTITUTE(SUBSTITUTE('Kontoplan'!$H276,"~","~~"),"*","~*"),"?","~?")))</f>
        <v/>
      </c>
      <c r="F276" s="20">
        <f>IF($A276="","",SUMIFS('Journal'!$F$3:$F$2002,'Journal'!$D$3:$D$2002,SUBSTITUTE(SUBSTITUTE(SUBSTITUTE('Kontoplan'!$H276,"~","~~"),"*","~*"),"?","~?"))+SUMIFS('Journal'!$G$3:$G$2002,'Journal'!$E$3:$E$2002,SUBSTITUTE(SUBSTITUTE(SUBSTITUTE('Kontoplan'!$H276,"~","~~"),"*","~*"),"?","~?")))</f>
        <v/>
      </c>
      <c r="G276" s="20">
        <f>IF($A276="","",D276+E276-F276)</f>
        <v/>
      </c>
      <c r="H276" s="14" t="n"/>
      <c r="I276" s="8" t="n"/>
    </row>
    <row r="277">
      <c r="A277" s="5">
        <f>IF('Kontoplan'!A277="","",'Kontoplan'!A277)</f>
        <v/>
      </c>
      <c r="B277" s="5">
        <f>IF($A277="","",'Kontoplan'!B277)</f>
        <v/>
      </c>
      <c r="C277" s="5">
        <f>IF($A277="","",'Kontoplan'!C277)</f>
        <v/>
      </c>
      <c r="D277" s="20">
        <f>IF($A277="","",SUMIFS('Åpningsbalanse'!$C$4:$C$103,'Åpningsbalanse'!$A$4:$A$103,SUBSTITUTE(SUBSTITUTE(SUBSTITUTE('Kontoplan'!$H277,"~","~~"),"*","~*"),"?","~?"))*IFERROR(INDEX('_lister'!$C$2:$C$62,MATCH(C277,'_lister'!$A$2:$A$62,0)),1))</f>
        <v/>
      </c>
      <c r="E277" s="20">
        <f>IF($A277="","",SUMIFS('Journal'!$G$3:$G$2002,'Journal'!$D$3:$D$2002,SUBSTITUTE(SUBSTITUTE(SUBSTITUTE('Kontoplan'!$H277,"~","~~"),"*","~*"),"?","~?"))+SUMIFS('Journal'!$F$3:$F$2002,'Journal'!$E$3:$E$2002,SUBSTITUTE(SUBSTITUTE(SUBSTITUTE('Kontoplan'!$H277,"~","~~"),"*","~*"),"?","~?")))</f>
        <v/>
      </c>
      <c r="F277" s="20">
        <f>IF($A277="","",SUMIFS('Journal'!$F$3:$F$2002,'Journal'!$D$3:$D$2002,SUBSTITUTE(SUBSTITUTE(SUBSTITUTE('Kontoplan'!$H277,"~","~~"),"*","~*"),"?","~?"))+SUMIFS('Journal'!$G$3:$G$2002,'Journal'!$E$3:$E$2002,SUBSTITUTE(SUBSTITUTE(SUBSTITUTE('Kontoplan'!$H277,"~","~~"),"*","~*"),"?","~?")))</f>
        <v/>
      </c>
      <c r="G277" s="20">
        <f>IF($A277="","",D277+E277-F277)</f>
        <v/>
      </c>
      <c r="H277" s="14" t="n"/>
      <c r="I277" s="8" t="n"/>
    </row>
    <row r="278">
      <c r="A278" s="5">
        <f>IF('Kontoplan'!A278="","",'Kontoplan'!A278)</f>
        <v/>
      </c>
      <c r="B278" s="5">
        <f>IF($A278="","",'Kontoplan'!B278)</f>
        <v/>
      </c>
      <c r="C278" s="5">
        <f>IF($A278="","",'Kontoplan'!C278)</f>
        <v/>
      </c>
      <c r="D278" s="20">
        <f>IF($A278="","",SUMIFS('Åpningsbalanse'!$C$4:$C$103,'Åpningsbalanse'!$A$4:$A$103,SUBSTITUTE(SUBSTITUTE(SUBSTITUTE('Kontoplan'!$H278,"~","~~"),"*","~*"),"?","~?"))*IFERROR(INDEX('_lister'!$C$2:$C$62,MATCH(C278,'_lister'!$A$2:$A$62,0)),1))</f>
        <v/>
      </c>
      <c r="E278" s="20">
        <f>IF($A278="","",SUMIFS('Journal'!$G$3:$G$2002,'Journal'!$D$3:$D$2002,SUBSTITUTE(SUBSTITUTE(SUBSTITUTE('Kontoplan'!$H278,"~","~~"),"*","~*"),"?","~?"))+SUMIFS('Journal'!$F$3:$F$2002,'Journal'!$E$3:$E$2002,SUBSTITUTE(SUBSTITUTE(SUBSTITUTE('Kontoplan'!$H278,"~","~~"),"*","~*"),"?","~?")))</f>
        <v/>
      </c>
      <c r="F278" s="20">
        <f>IF($A278="","",SUMIFS('Journal'!$F$3:$F$2002,'Journal'!$D$3:$D$2002,SUBSTITUTE(SUBSTITUTE(SUBSTITUTE('Kontoplan'!$H278,"~","~~"),"*","~*"),"?","~?"))+SUMIFS('Journal'!$G$3:$G$2002,'Journal'!$E$3:$E$2002,SUBSTITUTE(SUBSTITUTE(SUBSTITUTE('Kontoplan'!$H278,"~","~~"),"*","~*"),"?","~?")))</f>
        <v/>
      </c>
      <c r="G278" s="20">
        <f>IF($A278="","",D278+E278-F278)</f>
        <v/>
      </c>
      <c r="H278" s="14" t="n"/>
      <c r="I278" s="8" t="n"/>
    </row>
    <row r="279">
      <c r="A279" s="5">
        <f>IF('Kontoplan'!A279="","",'Kontoplan'!A279)</f>
        <v/>
      </c>
      <c r="B279" s="5">
        <f>IF($A279="","",'Kontoplan'!B279)</f>
        <v/>
      </c>
      <c r="C279" s="5">
        <f>IF($A279="","",'Kontoplan'!C279)</f>
        <v/>
      </c>
      <c r="D279" s="20">
        <f>IF($A279="","",SUMIFS('Åpningsbalanse'!$C$4:$C$103,'Åpningsbalanse'!$A$4:$A$103,SUBSTITUTE(SUBSTITUTE(SUBSTITUTE('Kontoplan'!$H279,"~","~~"),"*","~*"),"?","~?"))*IFERROR(INDEX('_lister'!$C$2:$C$62,MATCH(C279,'_lister'!$A$2:$A$62,0)),1))</f>
        <v/>
      </c>
      <c r="E279" s="20">
        <f>IF($A279="","",SUMIFS('Journal'!$G$3:$G$2002,'Journal'!$D$3:$D$2002,SUBSTITUTE(SUBSTITUTE(SUBSTITUTE('Kontoplan'!$H279,"~","~~"),"*","~*"),"?","~?"))+SUMIFS('Journal'!$F$3:$F$2002,'Journal'!$E$3:$E$2002,SUBSTITUTE(SUBSTITUTE(SUBSTITUTE('Kontoplan'!$H279,"~","~~"),"*","~*"),"?","~?")))</f>
        <v/>
      </c>
      <c r="F279" s="20">
        <f>IF($A279="","",SUMIFS('Journal'!$F$3:$F$2002,'Journal'!$D$3:$D$2002,SUBSTITUTE(SUBSTITUTE(SUBSTITUTE('Kontoplan'!$H279,"~","~~"),"*","~*"),"?","~?"))+SUMIFS('Journal'!$G$3:$G$2002,'Journal'!$E$3:$E$2002,SUBSTITUTE(SUBSTITUTE(SUBSTITUTE('Kontoplan'!$H279,"~","~~"),"*","~*"),"?","~?")))</f>
        <v/>
      </c>
      <c r="G279" s="20">
        <f>IF($A279="","",D279+E279-F279)</f>
        <v/>
      </c>
      <c r="H279" s="14" t="n"/>
      <c r="I279" s="8" t="n"/>
    </row>
    <row r="280">
      <c r="A280" s="5">
        <f>IF('Kontoplan'!A280="","",'Kontoplan'!A280)</f>
        <v/>
      </c>
      <c r="B280" s="5">
        <f>IF($A280="","",'Kontoplan'!B280)</f>
        <v/>
      </c>
      <c r="C280" s="5">
        <f>IF($A280="","",'Kontoplan'!C280)</f>
        <v/>
      </c>
      <c r="D280" s="20">
        <f>IF($A280="","",SUMIFS('Åpningsbalanse'!$C$4:$C$103,'Åpningsbalanse'!$A$4:$A$103,SUBSTITUTE(SUBSTITUTE(SUBSTITUTE('Kontoplan'!$H280,"~","~~"),"*","~*"),"?","~?"))*IFERROR(INDEX('_lister'!$C$2:$C$62,MATCH(C280,'_lister'!$A$2:$A$62,0)),1))</f>
        <v/>
      </c>
      <c r="E280" s="20">
        <f>IF($A280="","",SUMIFS('Journal'!$G$3:$G$2002,'Journal'!$D$3:$D$2002,SUBSTITUTE(SUBSTITUTE(SUBSTITUTE('Kontoplan'!$H280,"~","~~"),"*","~*"),"?","~?"))+SUMIFS('Journal'!$F$3:$F$2002,'Journal'!$E$3:$E$2002,SUBSTITUTE(SUBSTITUTE(SUBSTITUTE('Kontoplan'!$H280,"~","~~"),"*","~*"),"?","~?")))</f>
        <v/>
      </c>
      <c r="F280" s="20">
        <f>IF($A280="","",SUMIFS('Journal'!$F$3:$F$2002,'Journal'!$D$3:$D$2002,SUBSTITUTE(SUBSTITUTE(SUBSTITUTE('Kontoplan'!$H280,"~","~~"),"*","~*"),"?","~?"))+SUMIFS('Journal'!$G$3:$G$2002,'Journal'!$E$3:$E$2002,SUBSTITUTE(SUBSTITUTE(SUBSTITUTE('Kontoplan'!$H280,"~","~~"),"*","~*"),"?","~?")))</f>
        <v/>
      </c>
      <c r="G280" s="20">
        <f>IF($A280="","",D280+E280-F280)</f>
        <v/>
      </c>
      <c r="H280" s="14" t="n"/>
      <c r="I280" s="8" t="n"/>
    </row>
    <row r="281">
      <c r="A281" s="5">
        <f>IF('Kontoplan'!A281="","",'Kontoplan'!A281)</f>
        <v/>
      </c>
      <c r="B281" s="5">
        <f>IF($A281="","",'Kontoplan'!B281)</f>
        <v/>
      </c>
      <c r="C281" s="5">
        <f>IF($A281="","",'Kontoplan'!C281)</f>
        <v/>
      </c>
      <c r="D281" s="20">
        <f>IF($A281="","",SUMIFS('Åpningsbalanse'!$C$4:$C$103,'Åpningsbalanse'!$A$4:$A$103,SUBSTITUTE(SUBSTITUTE(SUBSTITUTE('Kontoplan'!$H281,"~","~~"),"*","~*"),"?","~?"))*IFERROR(INDEX('_lister'!$C$2:$C$62,MATCH(C281,'_lister'!$A$2:$A$62,0)),1))</f>
        <v/>
      </c>
      <c r="E281" s="20">
        <f>IF($A281="","",SUMIFS('Journal'!$G$3:$G$2002,'Journal'!$D$3:$D$2002,SUBSTITUTE(SUBSTITUTE(SUBSTITUTE('Kontoplan'!$H281,"~","~~"),"*","~*"),"?","~?"))+SUMIFS('Journal'!$F$3:$F$2002,'Journal'!$E$3:$E$2002,SUBSTITUTE(SUBSTITUTE(SUBSTITUTE('Kontoplan'!$H281,"~","~~"),"*","~*"),"?","~?")))</f>
        <v/>
      </c>
      <c r="F281" s="20">
        <f>IF($A281="","",SUMIFS('Journal'!$F$3:$F$2002,'Journal'!$D$3:$D$2002,SUBSTITUTE(SUBSTITUTE(SUBSTITUTE('Kontoplan'!$H281,"~","~~"),"*","~*"),"?","~?"))+SUMIFS('Journal'!$G$3:$G$2002,'Journal'!$E$3:$E$2002,SUBSTITUTE(SUBSTITUTE(SUBSTITUTE('Kontoplan'!$H281,"~","~~"),"*","~*"),"?","~?")))</f>
        <v/>
      </c>
      <c r="G281" s="20">
        <f>IF($A281="","",D281+E281-F281)</f>
        <v/>
      </c>
      <c r="H281" s="14" t="n"/>
      <c r="I281" s="8" t="n"/>
    </row>
    <row r="282">
      <c r="A282" s="5">
        <f>IF('Kontoplan'!A282="","",'Kontoplan'!A282)</f>
        <v/>
      </c>
      <c r="B282" s="5">
        <f>IF($A282="","",'Kontoplan'!B282)</f>
        <v/>
      </c>
      <c r="C282" s="5">
        <f>IF($A282="","",'Kontoplan'!C282)</f>
        <v/>
      </c>
      <c r="D282" s="20">
        <f>IF($A282="","",SUMIFS('Åpningsbalanse'!$C$4:$C$103,'Åpningsbalanse'!$A$4:$A$103,SUBSTITUTE(SUBSTITUTE(SUBSTITUTE('Kontoplan'!$H282,"~","~~"),"*","~*"),"?","~?"))*IFERROR(INDEX('_lister'!$C$2:$C$62,MATCH(C282,'_lister'!$A$2:$A$62,0)),1))</f>
        <v/>
      </c>
      <c r="E282" s="20">
        <f>IF($A282="","",SUMIFS('Journal'!$G$3:$G$2002,'Journal'!$D$3:$D$2002,SUBSTITUTE(SUBSTITUTE(SUBSTITUTE('Kontoplan'!$H282,"~","~~"),"*","~*"),"?","~?"))+SUMIFS('Journal'!$F$3:$F$2002,'Journal'!$E$3:$E$2002,SUBSTITUTE(SUBSTITUTE(SUBSTITUTE('Kontoplan'!$H282,"~","~~"),"*","~*"),"?","~?")))</f>
        <v/>
      </c>
      <c r="F282" s="20">
        <f>IF($A282="","",SUMIFS('Journal'!$F$3:$F$2002,'Journal'!$D$3:$D$2002,SUBSTITUTE(SUBSTITUTE(SUBSTITUTE('Kontoplan'!$H282,"~","~~"),"*","~*"),"?","~?"))+SUMIFS('Journal'!$G$3:$G$2002,'Journal'!$E$3:$E$2002,SUBSTITUTE(SUBSTITUTE(SUBSTITUTE('Kontoplan'!$H282,"~","~~"),"*","~*"),"?","~?")))</f>
        <v/>
      </c>
      <c r="G282" s="20">
        <f>IF($A282="","",D282+E282-F282)</f>
        <v/>
      </c>
      <c r="H282" s="14" t="n"/>
      <c r="I282" s="8" t="n"/>
    </row>
    <row r="283">
      <c r="A283" s="5">
        <f>IF('Kontoplan'!A283="","",'Kontoplan'!A283)</f>
        <v/>
      </c>
      <c r="B283" s="5">
        <f>IF($A283="","",'Kontoplan'!B283)</f>
        <v/>
      </c>
      <c r="C283" s="5">
        <f>IF($A283="","",'Kontoplan'!C283)</f>
        <v/>
      </c>
      <c r="D283" s="20">
        <f>IF($A283="","",SUMIFS('Åpningsbalanse'!$C$4:$C$103,'Åpningsbalanse'!$A$4:$A$103,SUBSTITUTE(SUBSTITUTE(SUBSTITUTE('Kontoplan'!$H283,"~","~~"),"*","~*"),"?","~?"))*IFERROR(INDEX('_lister'!$C$2:$C$62,MATCH(C283,'_lister'!$A$2:$A$62,0)),1))</f>
        <v/>
      </c>
      <c r="E283" s="20">
        <f>IF($A283="","",SUMIFS('Journal'!$G$3:$G$2002,'Journal'!$D$3:$D$2002,SUBSTITUTE(SUBSTITUTE(SUBSTITUTE('Kontoplan'!$H283,"~","~~"),"*","~*"),"?","~?"))+SUMIFS('Journal'!$F$3:$F$2002,'Journal'!$E$3:$E$2002,SUBSTITUTE(SUBSTITUTE(SUBSTITUTE('Kontoplan'!$H283,"~","~~"),"*","~*"),"?","~?")))</f>
        <v/>
      </c>
      <c r="F283" s="20">
        <f>IF($A283="","",SUMIFS('Journal'!$F$3:$F$2002,'Journal'!$D$3:$D$2002,SUBSTITUTE(SUBSTITUTE(SUBSTITUTE('Kontoplan'!$H283,"~","~~"),"*","~*"),"?","~?"))+SUMIFS('Journal'!$G$3:$G$2002,'Journal'!$E$3:$E$2002,SUBSTITUTE(SUBSTITUTE(SUBSTITUTE('Kontoplan'!$H283,"~","~~"),"*","~*"),"?","~?")))</f>
        <v/>
      </c>
      <c r="G283" s="20">
        <f>IF($A283="","",D283+E283-F283)</f>
        <v/>
      </c>
      <c r="H283" s="14" t="n"/>
      <c r="I283" s="8" t="n"/>
    </row>
    <row r="284">
      <c r="A284" s="5">
        <f>IF('Kontoplan'!A284="","",'Kontoplan'!A284)</f>
        <v/>
      </c>
      <c r="B284" s="5">
        <f>IF($A284="","",'Kontoplan'!B284)</f>
        <v/>
      </c>
      <c r="C284" s="5">
        <f>IF($A284="","",'Kontoplan'!C284)</f>
        <v/>
      </c>
      <c r="D284" s="20">
        <f>IF($A284="","",SUMIFS('Åpningsbalanse'!$C$4:$C$103,'Åpningsbalanse'!$A$4:$A$103,SUBSTITUTE(SUBSTITUTE(SUBSTITUTE('Kontoplan'!$H284,"~","~~"),"*","~*"),"?","~?"))*IFERROR(INDEX('_lister'!$C$2:$C$62,MATCH(C284,'_lister'!$A$2:$A$62,0)),1))</f>
        <v/>
      </c>
      <c r="E284" s="20">
        <f>IF($A284="","",SUMIFS('Journal'!$G$3:$G$2002,'Journal'!$D$3:$D$2002,SUBSTITUTE(SUBSTITUTE(SUBSTITUTE('Kontoplan'!$H284,"~","~~"),"*","~*"),"?","~?"))+SUMIFS('Journal'!$F$3:$F$2002,'Journal'!$E$3:$E$2002,SUBSTITUTE(SUBSTITUTE(SUBSTITUTE('Kontoplan'!$H284,"~","~~"),"*","~*"),"?","~?")))</f>
        <v/>
      </c>
      <c r="F284" s="20">
        <f>IF($A284="","",SUMIFS('Journal'!$F$3:$F$2002,'Journal'!$D$3:$D$2002,SUBSTITUTE(SUBSTITUTE(SUBSTITUTE('Kontoplan'!$H284,"~","~~"),"*","~*"),"?","~?"))+SUMIFS('Journal'!$G$3:$G$2002,'Journal'!$E$3:$E$2002,SUBSTITUTE(SUBSTITUTE(SUBSTITUTE('Kontoplan'!$H284,"~","~~"),"*","~*"),"?","~?")))</f>
        <v/>
      </c>
      <c r="G284" s="20">
        <f>IF($A284="","",D284+E284-F284)</f>
        <v/>
      </c>
      <c r="H284" s="14" t="n"/>
      <c r="I284" s="8" t="n"/>
    </row>
    <row r="285">
      <c r="A285" s="5">
        <f>IF('Kontoplan'!A285="","",'Kontoplan'!A285)</f>
        <v/>
      </c>
      <c r="B285" s="5">
        <f>IF($A285="","",'Kontoplan'!B285)</f>
        <v/>
      </c>
      <c r="C285" s="5">
        <f>IF($A285="","",'Kontoplan'!C285)</f>
        <v/>
      </c>
      <c r="D285" s="20">
        <f>IF($A285="","",SUMIFS('Åpningsbalanse'!$C$4:$C$103,'Åpningsbalanse'!$A$4:$A$103,SUBSTITUTE(SUBSTITUTE(SUBSTITUTE('Kontoplan'!$H285,"~","~~"),"*","~*"),"?","~?"))*IFERROR(INDEX('_lister'!$C$2:$C$62,MATCH(C285,'_lister'!$A$2:$A$62,0)),1))</f>
        <v/>
      </c>
      <c r="E285" s="20">
        <f>IF($A285="","",SUMIFS('Journal'!$G$3:$G$2002,'Journal'!$D$3:$D$2002,SUBSTITUTE(SUBSTITUTE(SUBSTITUTE('Kontoplan'!$H285,"~","~~"),"*","~*"),"?","~?"))+SUMIFS('Journal'!$F$3:$F$2002,'Journal'!$E$3:$E$2002,SUBSTITUTE(SUBSTITUTE(SUBSTITUTE('Kontoplan'!$H285,"~","~~"),"*","~*"),"?","~?")))</f>
        <v/>
      </c>
      <c r="F285" s="20">
        <f>IF($A285="","",SUMIFS('Journal'!$F$3:$F$2002,'Journal'!$D$3:$D$2002,SUBSTITUTE(SUBSTITUTE(SUBSTITUTE('Kontoplan'!$H285,"~","~~"),"*","~*"),"?","~?"))+SUMIFS('Journal'!$G$3:$G$2002,'Journal'!$E$3:$E$2002,SUBSTITUTE(SUBSTITUTE(SUBSTITUTE('Kontoplan'!$H285,"~","~~"),"*","~*"),"?","~?")))</f>
        <v/>
      </c>
      <c r="G285" s="20">
        <f>IF($A285="","",D285+E285-F285)</f>
        <v/>
      </c>
      <c r="H285" s="14" t="n"/>
      <c r="I285" s="8" t="n"/>
    </row>
    <row r="286">
      <c r="A286" s="5">
        <f>IF('Kontoplan'!A286="","",'Kontoplan'!A286)</f>
        <v/>
      </c>
      <c r="B286" s="5">
        <f>IF($A286="","",'Kontoplan'!B286)</f>
        <v/>
      </c>
      <c r="C286" s="5">
        <f>IF($A286="","",'Kontoplan'!C286)</f>
        <v/>
      </c>
      <c r="D286" s="20">
        <f>IF($A286="","",SUMIFS('Åpningsbalanse'!$C$4:$C$103,'Åpningsbalanse'!$A$4:$A$103,SUBSTITUTE(SUBSTITUTE(SUBSTITUTE('Kontoplan'!$H286,"~","~~"),"*","~*"),"?","~?"))*IFERROR(INDEX('_lister'!$C$2:$C$62,MATCH(C286,'_lister'!$A$2:$A$62,0)),1))</f>
        <v/>
      </c>
      <c r="E286" s="20">
        <f>IF($A286="","",SUMIFS('Journal'!$G$3:$G$2002,'Journal'!$D$3:$D$2002,SUBSTITUTE(SUBSTITUTE(SUBSTITUTE('Kontoplan'!$H286,"~","~~"),"*","~*"),"?","~?"))+SUMIFS('Journal'!$F$3:$F$2002,'Journal'!$E$3:$E$2002,SUBSTITUTE(SUBSTITUTE(SUBSTITUTE('Kontoplan'!$H286,"~","~~"),"*","~*"),"?","~?")))</f>
        <v/>
      </c>
      <c r="F286" s="20">
        <f>IF($A286="","",SUMIFS('Journal'!$F$3:$F$2002,'Journal'!$D$3:$D$2002,SUBSTITUTE(SUBSTITUTE(SUBSTITUTE('Kontoplan'!$H286,"~","~~"),"*","~*"),"?","~?"))+SUMIFS('Journal'!$G$3:$G$2002,'Journal'!$E$3:$E$2002,SUBSTITUTE(SUBSTITUTE(SUBSTITUTE('Kontoplan'!$H286,"~","~~"),"*","~*"),"?","~?")))</f>
        <v/>
      </c>
      <c r="G286" s="20">
        <f>IF($A286="","",D286+E286-F286)</f>
        <v/>
      </c>
      <c r="H286" s="14" t="n"/>
      <c r="I286" s="8" t="n"/>
    </row>
    <row r="287">
      <c r="A287" s="5">
        <f>IF('Kontoplan'!A287="","",'Kontoplan'!A287)</f>
        <v/>
      </c>
      <c r="B287" s="5">
        <f>IF($A287="","",'Kontoplan'!B287)</f>
        <v/>
      </c>
      <c r="C287" s="5">
        <f>IF($A287="","",'Kontoplan'!C287)</f>
        <v/>
      </c>
      <c r="D287" s="20">
        <f>IF($A287="","",SUMIFS('Åpningsbalanse'!$C$4:$C$103,'Åpningsbalanse'!$A$4:$A$103,SUBSTITUTE(SUBSTITUTE(SUBSTITUTE('Kontoplan'!$H287,"~","~~"),"*","~*"),"?","~?"))*IFERROR(INDEX('_lister'!$C$2:$C$62,MATCH(C287,'_lister'!$A$2:$A$62,0)),1))</f>
        <v/>
      </c>
      <c r="E287" s="20">
        <f>IF($A287="","",SUMIFS('Journal'!$G$3:$G$2002,'Journal'!$D$3:$D$2002,SUBSTITUTE(SUBSTITUTE(SUBSTITUTE('Kontoplan'!$H287,"~","~~"),"*","~*"),"?","~?"))+SUMIFS('Journal'!$F$3:$F$2002,'Journal'!$E$3:$E$2002,SUBSTITUTE(SUBSTITUTE(SUBSTITUTE('Kontoplan'!$H287,"~","~~"),"*","~*"),"?","~?")))</f>
        <v/>
      </c>
      <c r="F287" s="20">
        <f>IF($A287="","",SUMIFS('Journal'!$F$3:$F$2002,'Journal'!$D$3:$D$2002,SUBSTITUTE(SUBSTITUTE(SUBSTITUTE('Kontoplan'!$H287,"~","~~"),"*","~*"),"?","~?"))+SUMIFS('Journal'!$G$3:$G$2002,'Journal'!$E$3:$E$2002,SUBSTITUTE(SUBSTITUTE(SUBSTITUTE('Kontoplan'!$H287,"~","~~"),"*","~*"),"?","~?")))</f>
        <v/>
      </c>
      <c r="G287" s="20">
        <f>IF($A287="","",D287+E287-F287)</f>
        <v/>
      </c>
      <c r="H287" s="14" t="n"/>
      <c r="I287" s="8" t="n"/>
    </row>
    <row r="288">
      <c r="A288" s="5">
        <f>IF('Kontoplan'!A288="","",'Kontoplan'!A288)</f>
        <v/>
      </c>
      <c r="B288" s="5">
        <f>IF($A288="","",'Kontoplan'!B288)</f>
        <v/>
      </c>
      <c r="C288" s="5">
        <f>IF($A288="","",'Kontoplan'!C288)</f>
        <v/>
      </c>
      <c r="D288" s="20">
        <f>IF($A288="","",SUMIFS('Åpningsbalanse'!$C$4:$C$103,'Åpningsbalanse'!$A$4:$A$103,SUBSTITUTE(SUBSTITUTE(SUBSTITUTE('Kontoplan'!$H288,"~","~~"),"*","~*"),"?","~?"))*IFERROR(INDEX('_lister'!$C$2:$C$62,MATCH(C288,'_lister'!$A$2:$A$62,0)),1))</f>
        <v/>
      </c>
      <c r="E288" s="20">
        <f>IF($A288="","",SUMIFS('Journal'!$G$3:$G$2002,'Journal'!$D$3:$D$2002,SUBSTITUTE(SUBSTITUTE(SUBSTITUTE('Kontoplan'!$H288,"~","~~"),"*","~*"),"?","~?"))+SUMIFS('Journal'!$F$3:$F$2002,'Journal'!$E$3:$E$2002,SUBSTITUTE(SUBSTITUTE(SUBSTITUTE('Kontoplan'!$H288,"~","~~"),"*","~*"),"?","~?")))</f>
        <v/>
      </c>
      <c r="F288" s="20">
        <f>IF($A288="","",SUMIFS('Journal'!$F$3:$F$2002,'Journal'!$D$3:$D$2002,SUBSTITUTE(SUBSTITUTE(SUBSTITUTE('Kontoplan'!$H288,"~","~~"),"*","~*"),"?","~?"))+SUMIFS('Journal'!$G$3:$G$2002,'Journal'!$E$3:$E$2002,SUBSTITUTE(SUBSTITUTE(SUBSTITUTE('Kontoplan'!$H288,"~","~~"),"*","~*"),"?","~?")))</f>
        <v/>
      </c>
      <c r="G288" s="20">
        <f>IF($A288="","",D288+E288-F288)</f>
        <v/>
      </c>
      <c r="H288" s="14" t="n"/>
      <c r="I288" s="8" t="n"/>
    </row>
    <row r="289">
      <c r="A289" s="5">
        <f>IF('Kontoplan'!A289="","",'Kontoplan'!A289)</f>
        <v/>
      </c>
      <c r="B289" s="5">
        <f>IF($A289="","",'Kontoplan'!B289)</f>
        <v/>
      </c>
      <c r="C289" s="5">
        <f>IF($A289="","",'Kontoplan'!C289)</f>
        <v/>
      </c>
      <c r="D289" s="20">
        <f>IF($A289="","",SUMIFS('Åpningsbalanse'!$C$4:$C$103,'Åpningsbalanse'!$A$4:$A$103,SUBSTITUTE(SUBSTITUTE(SUBSTITUTE('Kontoplan'!$H289,"~","~~"),"*","~*"),"?","~?"))*IFERROR(INDEX('_lister'!$C$2:$C$62,MATCH(C289,'_lister'!$A$2:$A$62,0)),1))</f>
        <v/>
      </c>
      <c r="E289" s="20">
        <f>IF($A289="","",SUMIFS('Journal'!$G$3:$G$2002,'Journal'!$D$3:$D$2002,SUBSTITUTE(SUBSTITUTE(SUBSTITUTE('Kontoplan'!$H289,"~","~~"),"*","~*"),"?","~?"))+SUMIFS('Journal'!$F$3:$F$2002,'Journal'!$E$3:$E$2002,SUBSTITUTE(SUBSTITUTE(SUBSTITUTE('Kontoplan'!$H289,"~","~~"),"*","~*"),"?","~?")))</f>
        <v/>
      </c>
      <c r="F289" s="20">
        <f>IF($A289="","",SUMIFS('Journal'!$F$3:$F$2002,'Journal'!$D$3:$D$2002,SUBSTITUTE(SUBSTITUTE(SUBSTITUTE('Kontoplan'!$H289,"~","~~"),"*","~*"),"?","~?"))+SUMIFS('Journal'!$G$3:$G$2002,'Journal'!$E$3:$E$2002,SUBSTITUTE(SUBSTITUTE(SUBSTITUTE('Kontoplan'!$H289,"~","~~"),"*","~*"),"?","~?")))</f>
        <v/>
      </c>
      <c r="G289" s="20">
        <f>IF($A289="","",D289+E289-F289)</f>
        <v/>
      </c>
      <c r="H289" s="14" t="n"/>
      <c r="I289" s="8" t="n"/>
    </row>
    <row r="290">
      <c r="A290" s="5">
        <f>IF('Kontoplan'!A290="","",'Kontoplan'!A290)</f>
        <v/>
      </c>
      <c r="B290" s="5">
        <f>IF($A290="","",'Kontoplan'!B290)</f>
        <v/>
      </c>
      <c r="C290" s="5">
        <f>IF($A290="","",'Kontoplan'!C290)</f>
        <v/>
      </c>
      <c r="D290" s="20">
        <f>IF($A290="","",SUMIFS('Åpningsbalanse'!$C$4:$C$103,'Åpningsbalanse'!$A$4:$A$103,SUBSTITUTE(SUBSTITUTE(SUBSTITUTE('Kontoplan'!$H290,"~","~~"),"*","~*"),"?","~?"))*IFERROR(INDEX('_lister'!$C$2:$C$62,MATCH(C290,'_lister'!$A$2:$A$62,0)),1))</f>
        <v/>
      </c>
      <c r="E290" s="20">
        <f>IF($A290="","",SUMIFS('Journal'!$G$3:$G$2002,'Journal'!$D$3:$D$2002,SUBSTITUTE(SUBSTITUTE(SUBSTITUTE('Kontoplan'!$H290,"~","~~"),"*","~*"),"?","~?"))+SUMIFS('Journal'!$F$3:$F$2002,'Journal'!$E$3:$E$2002,SUBSTITUTE(SUBSTITUTE(SUBSTITUTE('Kontoplan'!$H290,"~","~~"),"*","~*"),"?","~?")))</f>
        <v/>
      </c>
      <c r="F290" s="20">
        <f>IF($A290="","",SUMIFS('Journal'!$F$3:$F$2002,'Journal'!$D$3:$D$2002,SUBSTITUTE(SUBSTITUTE(SUBSTITUTE('Kontoplan'!$H290,"~","~~"),"*","~*"),"?","~?"))+SUMIFS('Journal'!$G$3:$G$2002,'Journal'!$E$3:$E$2002,SUBSTITUTE(SUBSTITUTE(SUBSTITUTE('Kontoplan'!$H290,"~","~~"),"*","~*"),"?","~?")))</f>
        <v/>
      </c>
      <c r="G290" s="20">
        <f>IF($A290="","",D290+E290-F290)</f>
        <v/>
      </c>
      <c r="H290" s="14" t="n"/>
      <c r="I290" s="8" t="n"/>
    </row>
    <row r="291">
      <c r="A291" s="5">
        <f>IF('Kontoplan'!A291="","",'Kontoplan'!A291)</f>
        <v/>
      </c>
      <c r="B291" s="5">
        <f>IF($A291="","",'Kontoplan'!B291)</f>
        <v/>
      </c>
      <c r="C291" s="5">
        <f>IF($A291="","",'Kontoplan'!C291)</f>
        <v/>
      </c>
      <c r="D291" s="20">
        <f>IF($A291="","",SUMIFS('Åpningsbalanse'!$C$4:$C$103,'Åpningsbalanse'!$A$4:$A$103,SUBSTITUTE(SUBSTITUTE(SUBSTITUTE('Kontoplan'!$H291,"~","~~"),"*","~*"),"?","~?"))*IFERROR(INDEX('_lister'!$C$2:$C$62,MATCH(C291,'_lister'!$A$2:$A$62,0)),1))</f>
        <v/>
      </c>
      <c r="E291" s="20">
        <f>IF($A291="","",SUMIFS('Journal'!$G$3:$G$2002,'Journal'!$D$3:$D$2002,SUBSTITUTE(SUBSTITUTE(SUBSTITUTE('Kontoplan'!$H291,"~","~~"),"*","~*"),"?","~?"))+SUMIFS('Journal'!$F$3:$F$2002,'Journal'!$E$3:$E$2002,SUBSTITUTE(SUBSTITUTE(SUBSTITUTE('Kontoplan'!$H291,"~","~~"),"*","~*"),"?","~?")))</f>
        <v/>
      </c>
      <c r="F291" s="20">
        <f>IF($A291="","",SUMIFS('Journal'!$F$3:$F$2002,'Journal'!$D$3:$D$2002,SUBSTITUTE(SUBSTITUTE(SUBSTITUTE('Kontoplan'!$H291,"~","~~"),"*","~*"),"?","~?"))+SUMIFS('Journal'!$G$3:$G$2002,'Journal'!$E$3:$E$2002,SUBSTITUTE(SUBSTITUTE(SUBSTITUTE('Kontoplan'!$H291,"~","~~"),"*","~*"),"?","~?")))</f>
        <v/>
      </c>
      <c r="G291" s="20">
        <f>IF($A291="","",D291+E291-F291)</f>
        <v/>
      </c>
      <c r="H291" s="14" t="n"/>
      <c r="I291" s="8" t="n"/>
    </row>
    <row r="292">
      <c r="A292" s="5">
        <f>IF('Kontoplan'!A292="","",'Kontoplan'!A292)</f>
        <v/>
      </c>
      <c r="B292" s="5">
        <f>IF($A292="","",'Kontoplan'!B292)</f>
        <v/>
      </c>
      <c r="C292" s="5">
        <f>IF($A292="","",'Kontoplan'!C292)</f>
        <v/>
      </c>
      <c r="D292" s="20">
        <f>IF($A292="","",SUMIFS('Åpningsbalanse'!$C$4:$C$103,'Åpningsbalanse'!$A$4:$A$103,SUBSTITUTE(SUBSTITUTE(SUBSTITUTE('Kontoplan'!$H292,"~","~~"),"*","~*"),"?","~?"))*IFERROR(INDEX('_lister'!$C$2:$C$62,MATCH(C292,'_lister'!$A$2:$A$62,0)),1))</f>
        <v/>
      </c>
      <c r="E292" s="20">
        <f>IF($A292="","",SUMIFS('Journal'!$G$3:$G$2002,'Journal'!$D$3:$D$2002,SUBSTITUTE(SUBSTITUTE(SUBSTITUTE('Kontoplan'!$H292,"~","~~"),"*","~*"),"?","~?"))+SUMIFS('Journal'!$F$3:$F$2002,'Journal'!$E$3:$E$2002,SUBSTITUTE(SUBSTITUTE(SUBSTITUTE('Kontoplan'!$H292,"~","~~"),"*","~*"),"?","~?")))</f>
        <v/>
      </c>
      <c r="F292" s="20">
        <f>IF($A292="","",SUMIFS('Journal'!$F$3:$F$2002,'Journal'!$D$3:$D$2002,SUBSTITUTE(SUBSTITUTE(SUBSTITUTE('Kontoplan'!$H292,"~","~~"),"*","~*"),"?","~?"))+SUMIFS('Journal'!$G$3:$G$2002,'Journal'!$E$3:$E$2002,SUBSTITUTE(SUBSTITUTE(SUBSTITUTE('Kontoplan'!$H292,"~","~~"),"*","~*"),"?","~?")))</f>
        <v/>
      </c>
      <c r="G292" s="20">
        <f>IF($A292="","",D292+E292-F292)</f>
        <v/>
      </c>
      <c r="H292" s="14" t="n"/>
      <c r="I292" s="8" t="n"/>
    </row>
    <row r="293">
      <c r="A293" s="5">
        <f>IF('Kontoplan'!A293="","",'Kontoplan'!A293)</f>
        <v/>
      </c>
      <c r="B293" s="5">
        <f>IF($A293="","",'Kontoplan'!B293)</f>
        <v/>
      </c>
      <c r="C293" s="5">
        <f>IF($A293="","",'Kontoplan'!C293)</f>
        <v/>
      </c>
      <c r="D293" s="20">
        <f>IF($A293="","",SUMIFS('Åpningsbalanse'!$C$4:$C$103,'Åpningsbalanse'!$A$4:$A$103,SUBSTITUTE(SUBSTITUTE(SUBSTITUTE('Kontoplan'!$H293,"~","~~"),"*","~*"),"?","~?"))*IFERROR(INDEX('_lister'!$C$2:$C$62,MATCH(C293,'_lister'!$A$2:$A$62,0)),1))</f>
        <v/>
      </c>
      <c r="E293" s="20">
        <f>IF($A293="","",SUMIFS('Journal'!$G$3:$G$2002,'Journal'!$D$3:$D$2002,SUBSTITUTE(SUBSTITUTE(SUBSTITUTE('Kontoplan'!$H293,"~","~~"),"*","~*"),"?","~?"))+SUMIFS('Journal'!$F$3:$F$2002,'Journal'!$E$3:$E$2002,SUBSTITUTE(SUBSTITUTE(SUBSTITUTE('Kontoplan'!$H293,"~","~~"),"*","~*"),"?","~?")))</f>
        <v/>
      </c>
      <c r="F293" s="20">
        <f>IF($A293="","",SUMIFS('Journal'!$F$3:$F$2002,'Journal'!$D$3:$D$2002,SUBSTITUTE(SUBSTITUTE(SUBSTITUTE('Kontoplan'!$H293,"~","~~"),"*","~*"),"?","~?"))+SUMIFS('Journal'!$G$3:$G$2002,'Journal'!$E$3:$E$2002,SUBSTITUTE(SUBSTITUTE(SUBSTITUTE('Kontoplan'!$H293,"~","~~"),"*","~*"),"?","~?")))</f>
        <v/>
      </c>
      <c r="G293" s="20">
        <f>IF($A293="","",D293+E293-F293)</f>
        <v/>
      </c>
      <c r="H293" s="14" t="n"/>
      <c r="I293" s="8" t="n"/>
    </row>
    <row r="294">
      <c r="A294" s="5">
        <f>IF('Kontoplan'!A294="","",'Kontoplan'!A294)</f>
        <v/>
      </c>
      <c r="B294" s="5">
        <f>IF($A294="","",'Kontoplan'!B294)</f>
        <v/>
      </c>
      <c r="C294" s="5">
        <f>IF($A294="","",'Kontoplan'!C294)</f>
        <v/>
      </c>
      <c r="D294" s="20">
        <f>IF($A294="","",SUMIFS('Åpningsbalanse'!$C$4:$C$103,'Åpningsbalanse'!$A$4:$A$103,SUBSTITUTE(SUBSTITUTE(SUBSTITUTE('Kontoplan'!$H294,"~","~~"),"*","~*"),"?","~?"))*IFERROR(INDEX('_lister'!$C$2:$C$62,MATCH(C294,'_lister'!$A$2:$A$62,0)),1))</f>
        <v/>
      </c>
      <c r="E294" s="20">
        <f>IF($A294="","",SUMIFS('Journal'!$G$3:$G$2002,'Journal'!$D$3:$D$2002,SUBSTITUTE(SUBSTITUTE(SUBSTITUTE('Kontoplan'!$H294,"~","~~"),"*","~*"),"?","~?"))+SUMIFS('Journal'!$F$3:$F$2002,'Journal'!$E$3:$E$2002,SUBSTITUTE(SUBSTITUTE(SUBSTITUTE('Kontoplan'!$H294,"~","~~"),"*","~*"),"?","~?")))</f>
        <v/>
      </c>
      <c r="F294" s="20">
        <f>IF($A294="","",SUMIFS('Journal'!$F$3:$F$2002,'Journal'!$D$3:$D$2002,SUBSTITUTE(SUBSTITUTE(SUBSTITUTE('Kontoplan'!$H294,"~","~~"),"*","~*"),"?","~?"))+SUMIFS('Journal'!$G$3:$G$2002,'Journal'!$E$3:$E$2002,SUBSTITUTE(SUBSTITUTE(SUBSTITUTE('Kontoplan'!$H294,"~","~~"),"*","~*"),"?","~?")))</f>
        <v/>
      </c>
      <c r="G294" s="20">
        <f>IF($A294="","",D294+E294-F294)</f>
        <v/>
      </c>
      <c r="H294" s="14" t="n"/>
      <c r="I294" s="8" t="n"/>
    </row>
    <row r="295">
      <c r="A295" s="5">
        <f>IF('Kontoplan'!A295="","",'Kontoplan'!A295)</f>
        <v/>
      </c>
      <c r="B295" s="5">
        <f>IF($A295="","",'Kontoplan'!B295)</f>
        <v/>
      </c>
      <c r="C295" s="5">
        <f>IF($A295="","",'Kontoplan'!C295)</f>
        <v/>
      </c>
      <c r="D295" s="20">
        <f>IF($A295="","",SUMIFS('Åpningsbalanse'!$C$4:$C$103,'Åpningsbalanse'!$A$4:$A$103,SUBSTITUTE(SUBSTITUTE(SUBSTITUTE('Kontoplan'!$H295,"~","~~"),"*","~*"),"?","~?"))*IFERROR(INDEX('_lister'!$C$2:$C$62,MATCH(C295,'_lister'!$A$2:$A$62,0)),1))</f>
        <v/>
      </c>
      <c r="E295" s="20">
        <f>IF($A295="","",SUMIFS('Journal'!$G$3:$G$2002,'Journal'!$D$3:$D$2002,SUBSTITUTE(SUBSTITUTE(SUBSTITUTE('Kontoplan'!$H295,"~","~~"),"*","~*"),"?","~?"))+SUMIFS('Journal'!$F$3:$F$2002,'Journal'!$E$3:$E$2002,SUBSTITUTE(SUBSTITUTE(SUBSTITUTE('Kontoplan'!$H295,"~","~~"),"*","~*"),"?","~?")))</f>
        <v/>
      </c>
      <c r="F295" s="20">
        <f>IF($A295="","",SUMIFS('Journal'!$F$3:$F$2002,'Journal'!$D$3:$D$2002,SUBSTITUTE(SUBSTITUTE(SUBSTITUTE('Kontoplan'!$H295,"~","~~"),"*","~*"),"?","~?"))+SUMIFS('Journal'!$G$3:$G$2002,'Journal'!$E$3:$E$2002,SUBSTITUTE(SUBSTITUTE(SUBSTITUTE('Kontoplan'!$H295,"~","~~"),"*","~*"),"?","~?")))</f>
        <v/>
      </c>
      <c r="G295" s="20">
        <f>IF($A295="","",D295+E295-F295)</f>
        <v/>
      </c>
      <c r="H295" s="14" t="n"/>
      <c r="I295" s="8" t="n"/>
    </row>
    <row r="296">
      <c r="A296" s="5">
        <f>IF('Kontoplan'!A296="","",'Kontoplan'!A296)</f>
        <v/>
      </c>
      <c r="B296" s="5">
        <f>IF($A296="","",'Kontoplan'!B296)</f>
        <v/>
      </c>
      <c r="C296" s="5">
        <f>IF($A296="","",'Kontoplan'!C296)</f>
        <v/>
      </c>
      <c r="D296" s="20">
        <f>IF($A296="","",SUMIFS('Åpningsbalanse'!$C$4:$C$103,'Åpningsbalanse'!$A$4:$A$103,SUBSTITUTE(SUBSTITUTE(SUBSTITUTE('Kontoplan'!$H296,"~","~~"),"*","~*"),"?","~?"))*IFERROR(INDEX('_lister'!$C$2:$C$62,MATCH(C296,'_lister'!$A$2:$A$62,0)),1))</f>
        <v/>
      </c>
      <c r="E296" s="20">
        <f>IF($A296="","",SUMIFS('Journal'!$G$3:$G$2002,'Journal'!$D$3:$D$2002,SUBSTITUTE(SUBSTITUTE(SUBSTITUTE('Kontoplan'!$H296,"~","~~"),"*","~*"),"?","~?"))+SUMIFS('Journal'!$F$3:$F$2002,'Journal'!$E$3:$E$2002,SUBSTITUTE(SUBSTITUTE(SUBSTITUTE('Kontoplan'!$H296,"~","~~"),"*","~*"),"?","~?")))</f>
        <v/>
      </c>
      <c r="F296" s="20">
        <f>IF($A296="","",SUMIFS('Journal'!$F$3:$F$2002,'Journal'!$D$3:$D$2002,SUBSTITUTE(SUBSTITUTE(SUBSTITUTE('Kontoplan'!$H296,"~","~~"),"*","~*"),"?","~?"))+SUMIFS('Journal'!$G$3:$G$2002,'Journal'!$E$3:$E$2002,SUBSTITUTE(SUBSTITUTE(SUBSTITUTE('Kontoplan'!$H296,"~","~~"),"*","~*"),"?","~?")))</f>
        <v/>
      </c>
      <c r="G296" s="20">
        <f>IF($A296="","",D296+E296-F296)</f>
        <v/>
      </c>
      <c r="H296" s="14" t="n"/>
      <c r="I296" s="8" t="n"/>
    </row>
    <row r="297">
      <c r="A297" s="5">
        <f>IF('Kontoplan'!A297="","",'Kontoplan'!A297)</f>
        <v/>
      </c>
      <c r="B297" s="5">
        <f>IF($A297="","",'Kontoplan'!B297)</f>
        <v/>
      </c>
      <c r="C297" s="5">
        <f>IF($A297="","",'Kontoplan'!C297)</f>
        <v/>
      </c>
      <c r="D297" s="20">
        <f>IF($A297="","",SUMIFS('Åpningsbalanse'!$C$4:$C$103,'Åpningsbalanse'!$A$4:$A$103,SUBSTITUTE(SUBSTITUTE(SUBSTITUTE('Kontoplan'!$H297,"~","~~"),"*","~*"),"?","~?"))*IFERROR(INDEX('_lister'!$C$2:$C$62,MATCH(C297,'_lister'!$A$2:$A$62,0)),1))</f>
        <v/>
      </c>
      <c r="E297" s="20">
        <f>IF($A297="","",SUMIFS('Journal'!$G$3:$G$2002,'Journal'!$D$3:$D$2002,SUBSTITUTE(SUBSTITUTE(SUBSTITUTE('Kontoplan'!$H297,"~","~~"),"*","~*"),"?","~?"))+SUMIFS('Journal'!$F$3:$F$2002,'Journal'!$E$3:$E$2002,SUBSTITUTE(SUBSTITUTE(SUBSTITUTE('Kontoplan'!$H297,"~","~~"),"*","~*"),"?","~?")))</f>
        <v/>
      </c>
      <c r="F297" s="20">
        <f>IF($A297="","",SUMIFS('Journal'!$F$3:$F$2002,'Journal'!$D$3:$D$2002,SUBSTITUTE(SUBSTITUTE(SUBSTITUTE('Kontoplan'!$H297,"~","~~"),"*","~*"),"?","~?"))+SUMIFS('Journal'!$G$3:$G$2002,'Journal'!$E$3:$E$2002,SUBSTITUTE(SUBSTITUTE(SUBSTITUTE('Kontoplan'!$H297,"~","~~"),"*","~*"),"?","~?")))</f>
        <v/>
      </c>
      <c r="G297" s="20">
        <f>IF($A297="","",D297+E297-F297)</f>
        <v/>
      </c>
      <c r="H297" s="14" t="n"/>
      <c r="I297" s="8" t="n"/>
    </row>
    <row r="298">
      <c r="A298" s="5">
        <f>IF('Kontoplan'!A298="","",'Kontoplan'!A298)</f>
        <v/>
      </c>
      <c r="B298" s="5">
        <f>IF($A298="","",'Kontoplan'!B298)</f>
        <v/>
      </c>
      <c r="C298" s="5">
        <f>IF($A298="","",'Kontoplan'!C298)</f>
        <v/>
      </c>
      <c r="D298" s="20">
        <f>IF($A298="","",SUMIFS('Åpningsbalanse'!$C$4:$C$103,'Åpningsbalanse'!$A$4:$A$103,SUBSTITUTE(SUBSTITUTE(SUBSTITUTE('Kontoplan'!$H298,"~","~~"),"*","~*"),"?","~?"))*IFERROR(INDEX('_lister'!$C$2:$C$62,MATCH(C298,'_lister'!$A$2:$A$62,0)),1))</f>
        <v/>
      </c>
      <c r="E298" s="20">
        <f>IF($A298="","",SUMIFS('Journal'!$G$3:$G$2002,'Journal'!$D$3:$D$2002,SUBSTITUTE(SUBSTITUTE(SUBSTITUTE('Kontoplan'!$H298,"~","~~"),"*","~*"),"?","~?"))+SUMIFS('Journal'!$F$3:$F$2002,'Journal'!$E$3:$E$2002,SUBSTITUTE(SUBSTITUTE(SUBSTITUTE('Kontoplan'!$H298,"~","~~"),"*","~*"),"?","~?")))</f>
        <v/>
      </c>
      <c r="F298" s="20">
        <f>IF($A298="","",SUMIFS('Journal'!$F$3:$F$2002,'Journal'!$D$3:$D$2002,SUBSTITUTE(SUBSTITUTE(SUBSTITUTE('Kontoplan'!$H298,"~","~~"),"*","~*"),"?","~?"))+SUMIFS('Journal'!$G$3:$G$2002,'Journal'!$E$3:$E$2002,SUBSTITUTE(SUBSTITUTE(SUBSTITUTE('Kontoplan'!$H298,"~","~~"),"*","~*"),"?","~?")))</f>
        <v/>
      </c>
      <c r="G298" s="20">
        <f>IF($A298="","",D298+E298-F298)</f>
        <v/>
      </c>
      <c r="H298" s="14" t="n"/>
      <c r="I298" s="8" t="n"/>
    </row>
    <row r="299">
      <c r="A299" s="5">
        <f>IF('Kontoplan'!A299="","",'Kontoplan'!A299)</f>
        <v/>
      </c>
      <c r="B299" s="5">
        <f>IF($A299="","",'Kontoplan'!B299)</f>
        <v/>
      </c>
      <c r="C299" s="5">
        <f>IF($A299="","",'Kontoplan'!C299)</f>
        <v/>
      </c>
      <c r="D299" s="20">
        <f>IF($A299="","",SUMIFS('Åpningsbalanse'!$C$4:$C$103,'Åpningsbalanse'!$A$4:$A$103,SUBSTITUTE(SUBSTITUTE(SUBSTITUTE('Kontoplan'!$H299,"~","~~"),"*","~*"),"?","~?"))*IFERROR(INDEX('_lister'!$C$2:$C$62,MATCH(C299,'_lister'!$A$2:$A$62,0)),1))</f>
        <v/>
      </c>
      <c r="E299" s="20">
        <f>IF($A299="","",SUMIFS('Journal'!$G$3:$G$2002,'Journal'!$D$3:$D$2002,SUBSTITUTE(SUBSTITUTE(SUBSTITUTE('Kontoplan'!$H299,"~","~~"),"*","~*"),"?","~?"))+SUMIFS('Journal'!$F$3:$F$2002,'Journal'!$E$3:$E$2002,SUBSTITUTE(SUBSTITUTE(SUBSTITUTE('Kontoplan'!$H299,"~","~~"),"*","~*"),"?","~?")))</f>
        <v/>
      </c>
      <c r="F299" s="20">
        <f>IF($A299="","",SUMIFS('Journal'!$F$3:$F$2002,'Journal'!$D$3:$D$2002,SUBSTITUTE(SUBSTITUTE(SUBSTITUTE('Kontoplan'!$H299,"~","~~"),"*","~*"),"?","~?"))+SUMIFS('Journal'!$G$3:$G$2002,'Journal'!$E$3:$E$2002,SUBSTITUTE(SUBSTITUTE(SUBSTITUTE('Kontoplan'!$H299,"~","~~"),"*","~*"),"?","~?")))</f>
        <v/>
      </c>
      <c r="G299" s="20">
        <f>IF($A299="","",D299+E299-F299)</f>
        <v/>
      </c>
      <c r="H299" s="14" t="n"/>
      <c r="I299" s="8" t="n"/>
    </row>
    <row r="300">
      <c r="A300" s="5">
        <f>IF('Kontoplan'!A300="","",'Kontoplan'!A300)</f>
        <v/>
      </c>
      <c r="B300" s="5">
        <f>IF($A300="","",'Kontoplan'!B300)</f>
        <v/>
      </c>
      <c r="C300" s="5">
        <f>IF($A300="","",'Kontoplan'!C300)</f>
        <v/>
      </c>
      <c r="D300" s="20">
        <f>IF($A300="","",SUMIFS('Åpningsbalanse'!$C$4:$C$103,'Åpningsbalanse'!$A$4:$A$103,SUBSTITUTE(SUBSTITUTE(SUBSTITUTE('Kontoplan'!$H300,"~","~~"),"*","~*"),"?","~?"))*IFERROR(INDEX('_lister'!$C$2:$C$62,MATCH(C300,'_lister'!$A$2:$A$62,0)),1))</f>
        <v/>
      </c>
      <c r="E300" s="20">
        <f>IF($A300="","",SUMIFS('Journal'!$G$3:$G$2002,'Journal'!$D$3:$D$2002,SUBSTITUTE(SUBSTITUTE(SUBSTITUTE('Kontoplan'!$H300,"~","~~"),"*","~*"),"?","~?"))+SUMIFS('Journal'!$F$3:$F$2002,'Journal'!$E$3:$E$2002,SUBSTITUTE(SUBSTITUTE(SUBSTITUTE('Kontoplan'!$H300,"~","~~"),"*","~*"),"?","~?")))</f>
        <v/>
      </c>
      <c r="F300" s="20">
        <f>IF($A300="","",SUMIFS('Journal'!$F$3:$F$2002,'Journal'!$D$3:$D$2002,SUBSTITUTE(SUBSTITUTE(SUBSTITUTE('Kontoplan'!$H300,"~","~~"),"*","~*"),"?","~?"))+SUMIFS('Journal'!$G$3:$G$2002,'Journal'!$E$3:$E$2002,SUBSTITUTE(SUBSTITUTE(SUBSTITUTE('Kontoplan'!$H300,"~","~~"),"*","~*"),"?","~?")))</f>
        <v/>
      </c>
      <c r="G300" s="20">
        <f>IF($A300="","",D300+E300-F300)</f>
        <v/>
      </c>
      <c r="H300" s="14" t="n"/>
      <c r="I300" s="8" t="n"/>
    </row>
    <row r="301">
      <c r="A301" s="5">
        <f>IF('Kontoplan'!A301="","",'Kontoplan'!A301)</f>
        <v/>
      </c>
      <c r="B301" s="5">
        <f>IF($A301="","",'Kontoplan'!B301)</f>
        <v/>
      </c>
      <c r="C301" s="5">
        <f>IF($A301="","",'Kontoplan'!C301)</f>
        <v/>
      </c>
      <c r="D301" s="20">
        <f>IF($A301="","",SUMIFS('Åpningsbalanse'!$C$4:$C$103,'Åpningsbalanse'!$A$4:$A$103,SUBSTITUTE(SUBSTITUTE(SUBSTITUTE('Kontoplan'!$H301,"~","~~"),"*","~*"),"?","~?"))*IFERROR(INDEX('_lister'!$C$2:$C$62,MATCH(C301,'_lister'!$A$2:$A$62,0)),1))</f>
        <v/>
      </c>
      <c r="E301" s="20">
        <f>IF($A301="","",SUMIFS('Journal'!$G$3:$G$2002,'Journal'!$D$3:$D$2002,SUBSTITUTE(SUBSTITUTE(SUBSTITUTE('Kontoplan'!$H301,"~","~~"),"*","~*"),"?","~?"))+SUMIFS('Journal'!$F$3:$F$2002,'Journal'!$E$3:$E$2002,SUBSTITUTE(SUBSTITUTE(SUBSTITUTE('Kontoplan'!$H301,"~","~~"),"*","~*"),"?","~?")))</f>
        <v/>
      </c>
      <c r="F301" s="20">
        <f>IF($A301="","",SUMIFS('Journal'!$F$3:$F$2002,'Journal'!$D$3:$D$2002,SUBSTITUTE(SUBSTITUTE(SUBSTITUTE('Kontoplan'!$H301,"~","~~"),"*","~*"),"?","~?"))+SUMIFS('Journal'!$G$3:$G$2002,'Journal'!$E$3:$E$2002,SUBSTITUTE(SUBSTITUTE(SUBSTITUTE('Kontoplan'!$H301,"~","~~"),"*","~*"),"?","~?")))</f>
        <v/>
      </c>
      <c r="G301" s="20">
        <f>IF($A301="","",D301+E301-F301)</f>
        <v/>
      </c>
      <c r="H301" s="14" t="n"/>
      <c r="I301" s="8" t="n"/>
    </row>
    <row r="302">
      <c r="A302" s="5">
        <f>IF('Kontoplan'!A302="","",'Kontoplan'!A302)</f>
        <v/>
      </c>
      <c r="B302" s="5">
        <f>IF($A302="","",'Kontoplan'!B302)</f>
        <v/>
      </c>
      <c r="C302" s="5">
        <f>IF($A302="","",'Kontoplan'!C302)</f>
        <v/>
      </c>
      <c r="D302" s="20">
        <f>IF($A302="","",SUMIFS('Åpningsbalanse'!$C$4:$C$103,'Åpningsbalanse'!$A$4:$A$103,SUBSTITUTE(SUBSTITUTE(SUBSTITUTE('Kontoplan'!$H302,"~","~~"),"*","~*"),"?","~?"))*IFERROR(INDEX('_lister'!$C$2:$C$62,MATCH(C302,'_lister'!$A$2:$A$62,0)),1))</f>
        <v/>
      </c>
      <c r="E302" s="20">
        <f>IF($A302="","",SUMIFS('Journal'!$G$3:$G$2002,'Journal'!$D$3:$D$2002,SUBSTITUTE(SUBSTITUTE(SUBSTITUTE('Kontoplan'!$H302,"~","~~"),"*","~*"),"?","~?"))+SUMIFS('Journal'!$F$3:$F$2002,'Journal'!$E$3:$E$2002,SUBSTITUTE(SUBSTITUTE(SUBSTITUTE('Kontoplan'!$H302,"~","~~"),"*","~*"),"?","~?")))</f>
        <v/>
      </c>
      <c r="F302" s="20">
        <f>IF($A302="","",SUMIFS('Journal'!$F$3:$F$2002,'Journal'!$D$3:$D$2002,SUBSTITUTE(SUBSTITUTE(SUBSTITUTE('Kontoplan'!$H302,"~","~~"),"*","~*"),"?","~?"))+SUMIFS('Journal'!$G$3:$G$2002,'Journal'!$E$3:$E$2002,SUBSTITUTE(SUBSTITUTE(SUBSTITUTE('Kontoplan'!$H302,"~","~~"),"*","~*"),"?","~?")))</f>
        <v/>
      </c>
      <c r="G302" s="20">
        <f>IF($A302="","",D302+E302-F302)</f>
        <v/>
      </c>
      <c r="H302" s="14" t="n"/>
      <c r="I302" s="8" t="n"/>
    </row>
    <row r="304">
      <c r="A304" s="15" t="inlineStr">
        <is>
          <t>Sum (skal være 0)</t>
        </is>
      </c>
      <c r="D304" s="16">
        <f>SUM(D3:D302)</f>
        <v/>
      </c>
      <c r="E304" s="16">
        <f>SUM(E3:E302)</f>
        <v/>
      </c>
      <c r="F304" s="16">
        <f>SUM(F3:F302)</f>
        <v/>
      </c>
      <c r="G304" s="16">
        <f>SUM(G3:G302)</f>
        <v/>
      </c>
      <c r="H304" s="16">
        <f>SUM(H3:H302)</f>
        <v/>
      </c>
    </row>
  </sheetData>
  <sheetProtection selectLockedCells="0" selectUnlockedCells="0" sheet="1" objects="0" insertRows="1" insertHyperlinks="1" autoFilter="1" scenarios="0" formatColumns="1" deleteColumns="1" insertColumns="1" pivotTables="1" deleteRows="1" formatCells="1" formatRows="1" sort="1"/>
  <mergeCells count="1">
    <mergeCell ref="A2:I2"/>
  </mergeCells>
  <conditionalFormatting sqref="G304">
    <cfRule type="expression" priority="1" dxfId="0" stopIfTrue="0">
      <formula>ROUND(G304,2)&lt;&gt;0</formula>
    </cfRule>
  </conditionalFormatting>
  <conditionalFormatting sqref="H304">
    <cfRule type="expression" priority="2" dxfId="0" stopIfTrue="0">
      <formula>ROUND(H304,2)&lt;&gt;0</formula>
    </cfRule>
  </conditionalFormatting>
  <dataValidations count="1">
    <dataValidation sqref="H3:H302" showDropDown="0" showInputMessage="0" showErrorMessage="1" allowBlank="1" errorTitle="Formells regnskapsmal" error="Skriv saldoen som et tall med høyst to desimaler." type="custom">
      <formula1>AND(ISNUMBER(H3),ROUND(H3,2)=H3)</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006"/>
  <sheetViews>
    <sheetView workbookViewId="0">
      <pane ySplit="5" topLeftCell="A6" activePane="bottomLeft" state="frozen"/>
      <selection pane="bottomLeft" activeCell="A1" sqref="A1"/>
    </sheetView>
  </sheetViews>
  <sheetFormatPr baseColWidth="8" defaultRowHeight="15"/>
  <cols>
    <col width="10" customWidth="1" min="1" max="1"/>
    <col width="12" customWidth="1" min="2" max="2"/>
    <col width="36" customWidth="1" min="3" max="3"/>
    <col width="34" customWidth="1" min="4" max="4"/>
    <col width="16" customWidth="1" min="5" max="5"/>
    <col width="16" customWidth="1" min="6" max="6"/>
    <col width="16" customWidth="1" min="7" max="7"/>
    <col hidden="1" width="8" customWidth="1" min="8" max="8"/>
  </cols>
  <sheetData>
    <row r="1">
      <c r="A1" s="15" t="inlineStr">
        <is>
          <t>Velg konto</t>
        </is>
      </c>
      <c r="B1" s="8" t="n"/>
      <c r="C1" s="19" t="n"/>
      <c r="D1" s="11" t="inlineStr">
        <is>
          <t>Velg en konto for å se alle posteringer på den. Skriv ut eller lagre som PDF når du låser en periode.</t>
        </is>
      </c>
    </row>
    <row r="2">
      <c r="A2" s="15" t="inlineStr">
        <is>
          <t>Fra dato</t>
        </is>
      </c>
      <c r="B2" s="9" t="n">
        <v>46388</v>
      </c>
    </row>
    <row r="3">
      <c r="A3" s="15" t="inlineStr">
        <is>
          <t>Til dato</t>
        </is>
      </c>
      <c r="B3" s="9" t="n">
        <v>46752</v>
      </c>
    </row>
    <row r="4">
      <c r="A4" s="10" t="inlineStr">
        <is>
          <t>Bilagsnr.</t>
        </is>
      </c>
      <c r="B4" s="10" t="inlineStr">
        <is>
          <t>Dato</t>
        </is>
      </c>
      <c r="C4" s="10" t="inlineStr">
        <is>
          <t>Tekst</t>
        </is>
      </c>
      <c r="D4" s="10" t="inlineStr">
        <is>
          <t>Motkonto</t>
        </is>
      </c>
      <c r="E4" s="10" t="inlineStr">
        <is>
          <t>Debet</t>
        </is>
      </c>
      <c r="F4" s="10" t="inlineStr">
        <is>
          <t>Kredit</t>
        </is>
      </c>
      <c r="G4" s="10" t="inlineStr">
        <is>
          <t>Saldo</t>
        </is>
      </c>
      <c r="H4" s="10" t="inlineStr">
        <is>
          <t>Rad i Journal</t>
        </is>
      </c>
    </row>
    <row r="5">
      <c r="A5" s="15" t="inlineStr">
        <is>
          <t>Inngående saldo</t>
        </is>
      </c>
      <c r="G5" s="20">
        <f>IF($B$1="","",SUMIFS('Åpningsbalanse'!$C$4:$C$103,'Åpningsbalanse'!$A$4:$A$103,SUBSTITUTE(SUBSTITUTE(SUBSTITUTE($B$1,"~","~~"),"*","~*"),"?","~?"))*IFERROR(INDEX('_lister'!$C$2:$C$62,MATCH(INDEX('Kontoplan'!$C$3:$C$302,MATCH($B$1,'Kontoplan'!$H$3:$H$302,0)),'_lister'!$A$2:$A$62,0)),1)+SUMIFS('Journal'!$G$3:$G$2002,'Journal'!$D$3:$D$2002,SUBSTITUTE(SUBSTITUTE(SUBSTITUTE($B$1,"~","~~"),"*","~*"),"?","~?"),'Journal'!$B$3:$B$2002,"&lt;"&amp;$B$2)+SUMIFS('Journal'!$F$3:$F$2002,'Journal'!$E$3:$E$2002,SUBSTITUTE(SUBSTITUTE(SUBSTITUTE($B$1,"~","~~"),"*","~*"),"?","~?"),'Journal'!$B$3:$B$2002,"&lt;"&amp;$B$2)-(SUMIFS('Journal'!$F$3:$F$2002,'Journal'!$D$3:$D$2002,SUBSTITUTE(SUBSTITUTE(SUBSTITUTE($B$1,"~","~~"),"*","~*"),"?","~?"),'Journal'!$B$3:$B$2002,"&lt;"&amp;$B$2)+SUMIFS('Journal'!$G$3:$G$2002,'Journal'!$E$3:$E$2002,SUBSTITUTE(SUBSTITUTE(SUBSTITUTE($B$1,"~","~~"),"*","~*"),"?","~?"),'Journal'!$B$3:$B$2002,"&lt;"&amp;$B$2)))</f>
        <v/>
      </c>
    </row>
    <row r="6">
      <c r="A6" s="18">
        <f>IF($H6="","",INDEX('Journal'!$A$1:$A$2002,$H6))</f>
        <v/>
      </c>
      <c r="B6" s="21">
        <f>IF($H6="","",INDEX('Journal'!$B$1:$B$2002,$H6))</f>
        <v/>
      </c>
      <c r="C6" s="5">
        <f>IF($H6="","",INDEX('Journal'!$C$1:$C$2002,$H6)&amp;"")</f>
        <v/>
      </c>
      <c r="D6" s="5">
        <f>IF($H6="","",IF(INDEX('Journal'!$D$1:$D$2002,$H6)=$B$1,INDEX('Journal'!$E$1:$E$2002,$H6),INDEX('Journal'!$D$1:$D$2002,$H6))&amp;"")</f>
        <v/>
      </c>
      <c r="E6" s="20">
        <f>IF($H6="","",IF(INDEX('Journal'!$D$1:$D$2002,$H6)=$B$1,N(INDEX('Journal'!$G$1:$G$2002,$H6)),N(INDEX('Journal'!$F$1:$F$2002,$H6))))</f>
        <v/>
      </c>
      <c r="F6" s="20">
        <f>IF($H6="","",IF(INDEX('Journal'!$D$1:$D$2002,$H6)=$B$1,N(INDEX('Journal'!$F$1:$F$2002,$H6)),N(INDEX('Journal'!$G$1:$G$2002,$H6))))</f>
        <v/>
      </c>
      <c r="G6" s="20">
        <f>IF($H6="","",G5+E6-F6)</f>
        <v/>
      </c>
      <c r="H6" s="18">
        <f t="array" ref="H6">IF($B$1="","",IFERROR(_xlfn.AGGREGATE(15,6,ROW('Journal'!$A$3:$A$2002)/(('Journal'!$D$3:$D$2002=$B$1)+('Journal'!$E$3:$E$2002=$B$1))/('Journal'!$B$3:$B$2002&gt;=$B$2)/('Journal'!$B$3:$B$2002&lt;=$B$3),1),""))</f>
        <v/>
      </c>
    </row>
    <row r="7">
      <c r="A7" s="18">
        <f>IF($H7="","",INDEX('Journal'!$A$1:$A$2002,$H7))</f>
        <v/>
      </c>
      <c r="B7" s="21">
        <f>IF($H7="","",INDEX('Journal'!$B$1:$B$2002,$H7))</f>
        <v/>
      </c>
      <c r="C7" s="5">
        <f>IF($H7="","",INDEX('Journal'!$C$1:$C$2002,$H7)&amp;"")</f>
        <v/>
      </c>
      <c r="D7" s="5">
        <f>IF($H7="","",IF(INDEX('Journal'!$D$1:$D$2002,$H7)=$B$1,INDEX('Journal'!$E$1:$E$2002,$H7),INDEX('Journal'!$D$1:$D$2002,$H7))&amp;"")</f>
        <v/>
      </c>
      <c r="E7" s="20">
        <f>IF($H7="","",IF(INDEX('Journal'!$D$1:$D$2002,$H7)=$B$1,N(INDEX('Journal'!$G$1:$G$2002,$H7)),N(INDEX('Journal'!$F$1:$F$2002,$H7))))</f>
        <v/>
      </c>
      <c r="F7" s="20">
        <f>IF($H7="","",IF(INDEX('Journal'!$D$1:$D$2002,$H7)=$B$1,N(INDEX('Journal'!$F$1:$F$2002,$H7)),N(INDEX('Journal'!$G$1:$G$2002,$H7))))</f>
        <v/>
      </c>
      <c r="G7" s="20">
        <f>IF($H7="","",G6+E7-F7)</f>
        <v/>
      </c>
      <c r="H7" s="18">
        <f t="array" ref="H7">IF($B$1="","",IFERROR(_xlfn.AGGREGATE(15,6,ROW('Journal'!$A$3:$A$2002)/(('Journal'!$D$3:$D$2002=$B$1)+('Journal'!$E$3:$E$2002=$B$1))/('Journal'!$B$3:$B$2002&gt;=$B$2)/('Journal'!$B$3:$B$2002&lt;=$B$3),2),""))</f>
        <v/>
      </c>
    </row>
    <row r="8">
      <c r="A8" s="18">
        <f>IF($H8="","",INDEX('Journal'!$A$1:$A$2002,$H8))</f>
        <v/>
      </c>
      <c r="B8" s="21">
        <f>IF($H8="","",INDEX('Journal'!$B$1:$B$2002,$H8))</f>
        <v/>
      </c>
      <c r="C8" s="5">
        <f>IF($H8="","",INDEX('Journal'!$C$1:$C$2002,$H8)&amp;"")</f>
        <v/>
      </c>
      <c r="D8" s="5">
        <f>IF($H8="","",IF(INDEX('Journal'!$D$1:$D$2002,$H8)=$B$1,INDEX('Journal'!$E$1:$E$2002,$H8),INDEX('Journal'!$D$1:$D$2002,$H8))&amp;"")</f>
        <v/>
      </c>
      <c r="E8" s="20">
        <f>IF($H8="","",IF(INDEX('Journal'!$D$1:$D$2002,$H8)=$B$1,N(INDEX('Journal'!$G$1:$G$2002,$H8)),N(INDEX('Journal'!$F$1:$F$2002,$H8))))</f>
        <v/>
      </c>
      <c r="F8" s="20">
        <f>IF($H8="","",IF(INDEX('Journal'!$D$1:$D$2002,$H8)=$B$1,N(INDEX('Journal'!$F$1:$F$2002,$H8)),N(INDEX('Journal'!$G$1:$G$2002,$H8))))</f>
        <v/>
      </c>
      <c r="G8" s="20">
        <f>IF($H8="","",G7+E8-F8)</f>
        <v/>
      </c>
      <c r="H8" s="18">
        <f t="array" ref="H8">IF($B$1="","",IFERROR(_xlfn.AGGREGATE(15,6,ROW('Journal'!$A$3:$A$2002)/(('Journal'!$D$3:$D$2002=$B$1)+('Journal'!$E$3:$E$2002=$B$1))/('Journal'!$B$3:$B$2002&gt;=$B$2)/('Journal'!$B$3:$B$2002&lt;=$B$3),3),""))</f>
        <v/>
      </c>
    </row>
    <row r="9">
      <c r="A9" s="18">
        <f>IF($H9="","",INDEX('Journal'!$A$1:$A$2002,$H9))</f>
        <v/>
      </c>
      <c r="B9" s="21">
        <f>IF($H9="","",INDEX('Journal'!$B$1:$B$2002,$H9))</f>
        <v/>
      </c>
      <c r="C9" s="5">
        <f>IF($H9="","",INDEX('Journal'!$C$1:$C$2002,$H9)&amp;"")</f>
        <v/>
      </c>
      <c r="D9" s="5">
        <f>IF($H9="","",IF(INDEX('Journal'!$D$1:$D$2002,$H9)=$B$1,INDEX('Journal'!$E$1:$E$2002,$H9),INDEX('Journal'!$D$1:$D$2002,$H9))&amp;"")</f>
        <v/>
      </c>
      <c r="E9" s="20">
        <f>IF($H9="","",IF(INDEX('Journal'!$D$1:$D$2002,$H9)=$B$1,N(INDEX('Journal'!$G$1:$G$2002,$H9)),N(INDEX('Journal'!$F$1:$F$2002,$H9))))</f>
        <v/>
      </c>
      <c r="F9" s="20">
        <f>IF($H9="","",IF(INDEX('Journal'!$D$1:$D$2002,$H9)=$B$1,N(INDEX('Journal'!$F$1:$F$2002,$H9)),N(INDEX('Journal'!$G$1:$G$2002,$H9))))</f>
        <v/>
      </c>
      <c r="G9" s="20">
        <f>IF($H9="","",G8+E9-F9)</f>
        <v/>
      </c>
      <c r="H9" s="18">
        <f t="array" ref="H9">IF($B$1="","",IFERROR(_xlfn.AGGREGATE(15,6,ROW('Journal'!$A$3:$A$2002)/(('Journal'!$D$3:$D$2002=$B$1)+('Journal'!$E$3:$E$2002=$B$1))/('Journal'!$B$3:$B$2002&gt;=$B$2)/('Journal'!$B$3:$B$2002&lt;=$B$3),4),""))</f>
        <v/>
      </c>
    </row>
    <row r="10">
      <c r="A10" s="18">
        <f>IF($H10="","",INDEX('Journal'!$A$1:$A$2002,$H10))</f>
        <v/>
      </c>
      <c r="B10" s="21">
        <f>IF($H10="","",INDEX('Journal'!$B$1:$B$2002,$H10))</f>
        <v/>
      </c>
      <c r="C10" s="5">
        <f>IF($H10="","",INDEX('Journal'!$C$1:$C$2002,$H10)&amp;"")</f>
        <v/>
      </c>
      <c r="D10" s="5">
        <f>IF($H10="","",IF(INDEX('Journal'!$D$1:$D$2002,$H10)=$B$1,INDEX('Journal'!$E$1:$E$2002,$H10),INDEX('Journal'!$D$1:$D$2002,$H10))&amp;"")</f>
        <v/>
      </c>
      <c r="E10" s="20">
        <f>IF($H10="","",IF(INDEX('Journal'!$D$1:$D$2002,$H10)=$B$1,N(INDEX('Journal'!$G$1:$G$2002,$H10)),N(INDEX('Journal'!$F$1:$F$2002,$H10))))</f>
        <v/>
      </c>
      <c r="F10" s="20">
        <f>IF($H10="","",IF(INDEX('Journal'!$D$1:$D$2002,$H10)=$B$1,N(INDEX('Journal'!$F$1:$F$2002,$H10)),N(INDEX('Journal'!$G$1:$G$2002,$H10))))</f>
        <v/>
      </c>
      <c r="G10" s="20">
        <f>IF($H10="","",G9+E10-F10)</f>
        <v/>
      </c>
      <c r="H10" s="18">
        <f t="array" ref="H10">IF($B$1="","",IFERROR(_xlfn.AGGREGATE(15,6,ROW('Journal'!$A$3:$A$2002)/(('Journal'!$D$3:$D$2002=$B$1)+('Journal'!$E$3:$E$2002=$B$1))/('Journal'!$B$3:$B$2002&gt;=$B$2)/('Journal'!$B$3:$B$2002&lt;=$B$3),5),""))</f>
        <v/>
      </c>
    </row>
    <row r="11">
      <c r="A11" s="18">
        <f>IF($H11="","",INDEX('Journal'!$A$1:$A$2002,$H11))</f>
        <v/>
      </c>
      <c r="B11" s="21">
        <f>IF($H11="","",INDEX('Journal'!$B$1:$B$2002,$H11))</f>
        <v/>
      </c>
      <c r="C11" s="5">
        <f>IF($H11="","",INDEX('Journal'!$C$1:$C$2002,$H11)&amp;"")</f>
        <v/>
      </c>
      <c r="D11" s="5">
        <f>IF($H11="","",IF(INDEX('Journal'!$D$1:$D$2002,$H11)=$B$1,INDEX('Journal'!$E$1:$E$2002,$H11),INDEX('Journal'!$D$1:$D$2002,$H11))&amp;"")</f>
        <v/>
      </c>
      <c r="E11" s="20">
        <f>IF($H11="","",IF(INDEX('Journal'!$D$1:$D$2002,$H11)=$B$1,N(INDEX('Journal'!$G$1:$G$2002,$H11)),N(INDEX('Journal'!$F$1:$F$2002,$H11))))</f>
        <v/>
      </c>
      <c r="F11" s="20">
        <f>IF($H11="","",IF(INDEX('Journal'!$D$1:$D$2002,$H11)=$B$1,N(INDEX('Journal'!$F$1:$F$2002,$H11)),N(INDEX('Journal'!$G$1:$G$2002,$H11))))</f>
        <v/>
      </c>
      <c r="G11" s="20">
        <f>IF($H11="","",G10+E11-F11)</f>
        <v/>
      </c>
      <c r="H11" s="18">
        <f t="array" ref="H11">IF($B$1="","",IFERROR(_xlfn.AGGREGATE(15,6,ROW('Journal'!$A$3:$A$2002)/(('Journal'!$D$3:$D$2002=$B$1)+('Journal'!$E$3:$E$2002=$B$1))/('Journal'!$B$3:$B$2002&gt;=$B$2)/('Journal'!$B$3:$B$2002&lt;=$B$3),6),""))</f>
        <v/>
      </c>
    </row>
    <row r="12">
      <c r="A12" s="18">
        <f>IF($H12="","",INDEX('Journal'!$A$1:$A$2002,$H12))</f>
        <v/>
      </c>
      <c r="B12" s="21">
        <f>IF($H12="","",INDEX('Journal'!$B$1:$B$2002,$H12))</f>
        <v/>
      </c>
      <c r="C12" s="5">
        <f>IF($H12="","",INDEX('Journal'!$C$1:$C$2002,$H12)&amp;"")</f>
        <v/>
      </c>
      <c r="D12" s="5">
        <f>IF($H12="","",IF(INDEX('Journal'!$D$1:$D$2002,$H12)=$B$1,INDEX('Journal'!$E$1:$E$2002,$H12),INDEX('Journal'!$D$1:$D$2002,$H12))&amp;"")</f>
        <v/>
      </c>
      <c r="E12" s="20">
        <f>IF($H12="","",IF(INDEX('Journal'!$D$1:$D$2002,$H12)=$B$1,N(INDEX('Journal'!$G$1:$G$2002,$H12)),N(INDEX('Journal'!$F$1:$F$2002,$H12))))</f>
        <v/>
      </c>
      <c r="F12" s="20">
        <f>IF($H12="","",IF(INDEX('Journal'!$D$1:$D$2002,$H12)=$B$1,N(INDEX('Journal'!$F$1:$F$2002,$H12)),N(INDEX('Journal'!$G$1:$G$2002,$H12))))</f>
        <v/>
      </c>
      <c r="G12" s="20">
        <f>IF($H12="","",G11+E12-F12)</f>
        <v/>
      </c>
      <c r="H12" s="18">
        <f t="array" ref="H12">IF($B$1="","",IFERROR(_xlfn.AGGREGATE(15,6,ROW('Journal'!$A$3:$A$2002)/(('Journal'!$D$3:$D$2002=$B$1)+('Journal'!$E$3:$E$2002=$B$1))/('Journal'!$B$3:$B$2002&gt;=$B$2)/('Journal'!$B$3:$B$2002&lt;=$B$3),7),""))</f>
        <v/>
      </c>
    </row>
    <row r="13">
      <c r="A13" s="18">
        <f>IF($H13="","",INDEX('Journal'!$A$1:$A$2002,$H13))</f>
        <v/>
      </c>
      <c r="B13" s="21">
        <f>IF($H13="","",INDEX('Journal'!$B$1:$B$2002,$H13))</f>
        <v/>
      </c>
      <c r="C13" s="5">
        <f>IF($H13="","",INDEX('Journal'!$C$1:$C$2002,$H13)&amp;"")</f>
        <v/>
      </c>
      <c r="D13" s="5">
        <f>IF($H13="","",IF(INDEX('Journal'!$D$1:$D$2002,$H13)=$B$1,INDEX('Journal'!$E$1:$E$2002,$H13),INDEX('Journal'!$D$1:$D$2002,$H13))&amp;"")</f>
        <v/>
      </c>
      <c r="E13" s="20">
        <f>IF($H13="","",IF(INDEX('Journal'!$D$1:$D$2002,$H13)=$B$1,N(INDEX('Journal'!$G$1:$G$2002,$H13)),N(INDEX('Journal'!$F$1:$F$2002,$H13))))</f>
        <v/>
      </c>
      <c r="F13" s="20">
        <f>IF($H13="","",IF(INDEX('Journal'!$D$1:$D$2002,$H13)=$B$1,N(INDEX('Journal'!$F$1:$F$2002,$H13)),N(INDEX('Journal'!$G$1:$G$2002,$H13))))</f>
        <v/>
      </c>
      <c r="G13" s="20">
        <f>IF($H13="","",G12+E13-F13)</f>
        <v/>
      </c>
      <c r="H13" s="18">
        <f t="array" ref="H13">IF($B$1="","",IFERROR(_xlfn.AGGREGATE(15,6,ROW('Journal'!$A$3:$A$2002)/(('Journal'!$D$3:$D$2002=$B$1)+('Journal'!$E$3:$E$2002=$B$1))/('Journal'!$B$3:$B$2002&gt;=$B$2)/('Journal'!$B$3:$B$2002&lt;=$B$3),8),""))</f>
        <v/>
      </c>
    </row>
    <row r="14">
      <c r="A14" s="18">
        <f>IF($H14="","",INDEX('Journal'!$A$1:$A$2002,$H14))</f>
        <v/>
      </c>
      <c r="B14" s="21">
        <f>IF($H14="","",INDEX('Journal'!$B$1:$B$2002,$H14))</f>
        <v/>
      </c>
      <c r="C14" s="5">
        <f>IF($H14="","",INDEX('Journal'!$C$1:$C$2002,$H14)&amp;"")</f>
        <v/>
      </c>
      <c r="D14" s="5">
        <f>IF($H14="","",IF(INDEX('Journal'!$D$1:$D$2002,$H14)=$B$1,INDEX('Journal'!$E$1:$E$2002,$H14),INDEX('Journal'!$D$1:$D$2002,$H14))&amp;"")</f>
        <v/>
      </c>
      <c r="E14" s="20">
        <f>IF($H14="","",IF(INDEX('Journal'!$D$1:$D$2002,$H14)=$B$1,N(INDEX('Journal'!$G$1:$G$2002,$H14)),N(INDEX('Journal'!$F$1:$F$2002,$H14))))</f>
        <v/>
      </c>
      <c r="F14" s="20">
        <f>IF($H14="","",IF(INDEX('Journal'!$D$1:$D$2002,$H14)=$B$1,N(INDEX('Journal'!$F$1:$F$2002,$H14)),N(INDEX('Journal'!$G$1:$G$2002,$H14))))</f>
        <v/>
      </c>
      <c r="G14" s="20">
        <f>IF($H14="","",G13+E14-F14)</f>
        <v/>
      </c>
      <c r="H14" s="18">
        <f t="array" ref="H14">IF($B$1="","",IFERROR(_xlfn.AGGREGATE(15,6,ROW('Journal'!$A$3:$A$2002)/(('Journal'!$D$3:$D$2002=$B$1)+('Journal'!$E$3:$E$2002=$B$1))/('Journal'!$B$3:$B$2002&gt;=$B$2)/('Journal'!$B$3:$B$2002&lt;=$B$3),9),""))</f>
        <v/>
      </c>
    </row>
    <row r="15">
      <c r="A15" s="18">
        <f>IF($H15="","",INDEX('Journal'!$A$1:$A$2002,$H15))</f>
        <v/>
      </c>
      <c r="B15" s="21">
        <f>IF($H15="","",INDEX('Journal'!$B$1:$B$2002,$H15))</f>
        <v/>
      </c>
      <c r="C15" s="5">
        <f>IF($H15="","",INDEX('Journal'!$C$1:$C$2002,$H15)&amp;"")</f>
        <v/>
      </c>
      <c r="D15" s="5">
        <f>IF($H15="","",IF(INDEX('Journal'!$D$1:$D$2002,$H15)=$B$1,INDEX('Journal'!$E$1:$E$2002,$H15),INDEX('Journal'!$D$1:$D$2002,$H15))&amp;"")</f>
        <v/>
      </c>
      <c r="E15" s="20">
        <f>IF($H15="","",IF(INDEX('Journal'!$D$1:$D$2002,$H15)=$B$1,N(INDEX('Journal'!$G$1:$G$2002,$H15)),N(INDEX('Journal'!$F$1:$F$2002,$H15))))</f>
        <v/>
      </c>
      <c r="F15" s="20">
        <f>IF($H15="","",IF(INDEX('Journal'!$D$1:$D$2002,$H15)=$B$1,N(INDEX('Journal'!$F$1:$F$2002,$H15)),N(INDEX('Journal'!$G$1:$G$2002,$H15))))</f>
        <v/>
      </c>
      <c r="G15" s="20">
        <f>IF($H15="","",G14+E15-F15)</f>
        <v/>
      </c>
      <c r="H15" s="18">
        <f t="array" ref="H15">IF($B$1="","",IFERROR(_xlfn.AGGREGATE(15,6,ROW('Journal'!$A$3:$A$2002)/(('Journal'!$D$3:$D$2002=$B$1)+('Journal'!$E$3:$E$2002=$B$1))/('Journal'!$B$3:$B$2002&gt;=$B$2)/('Journal'!$B$3:$B$2002&lt;=$B$3),10),""))</f>
        <v/>
      </c>
    </row>
    <row r="16">
      <c r="A16" s="18">
        <f>IF($H16="","",INDEX('Journal'!$A$1:$A$2002,$H16))</f>
        <v/>
      </c>
      <c r="B16" s="21">
        <f>IF($H16="","",INDEX('Journal'!$B$1:$B$2002,$H16))</f>
        <v/>
      </c>
      <c r="C16" s="5">
        <f>IF($H16="","",INDEX('Journal'!$C$1:$C$2002,$H16)&amp;"")</f>
        <v/>
      </c>
      <c r="D16" s="5">
        <f>IF($H16="","",IF(INDEX('Journal'!$D$1:$D$2002,$H16)=$B$1,INDEX('Journal'!$E$1:$E$2002,$H16),INDEX('Journal'!$D$1:$D$2002,$H16))&amp;"")</f>
        <v/>
      </c>
      <c r="E16" s="20">
        <f>IF($H16="","",IF(INDEX('Journal'!$D$1:$D$2002,$H16)=$B$1,N(INDEX('Journal'!$G$1:$G$2002,$H16)),N(INDEX('Journal'!$F$1:$F$2002,$H16))))</f>
        <v/>
      </c>
      <c r="F16" s="20">
        <f>IF($H16="","",IF(INDEX('Journal'!$D$1:$D$2002,$H16)=$B$1,N(INDEX('Journal'!$F$1:$F$2002,$H16)),N(INDEX('Journal'!$G$1:$G$2002,$H16))))</f>
        <v/>
      </c>
      <c r="G16" s="20">
        <f>IF($H16="","",G15+E16-F16)</f>
        <v/>
      </c>
      <c r="H16" s="18">
        <f t="array" ref="H16">IF($B$1="","",IFERROR(_xlfn.AGGREGATE(15,6,ROW('Journal'!$A$3:$A$2002)/(('Journal'!$D$3:$D$2002=$B$1)+('Journal'!$E$3:$E$2002=$B$1))/('Journal'!$B$3:$B$2002&gt;=$B$2)/('Journal'!$B$3:$B$2002&lt;=$B$3),11),""))</f>
        <v/>
      </c>
    </row>
    <row r="17">
      <c r="A17" s="18">
        <f>IF($H17="","",INDEX('Journal'!$A$1:$A$2002,$H17))</f>
        <v/>
      </c>
      <c r="B17" s="21">
        <f>IF($H17="","",INDEX('Journal'!$B$1:$B$2002,$H17))</f>
        <v/>
      </c>
      <c r="C17" s="5">
        <f>IF($H17="","",INDEX('Journal'!$C$1:$C$2002,$H17)&amp;"")</f>
        <v/>
      </c>
      <c r="D17" s="5">
        <f>IF($H17="","",IF(INDEX('Journal'!$D$1:$D$2002,$H17)=$B$1,INDEX('Journal'!$E$1:$E$2002,$H17),INDEX('Journal'!$D$1:$D$2002,$H17))&amp;"")</f>
        <v/>
      </c>
      <c r="E17" s="20">
        <f>IF($H17="","",IF(INDEX('Journal'!$D$1:$D$2002,$H17)=$B$1,N(INDEX('Journal'!$G$1:$G$2002,$H17)),N(INDEX('Journal'!$F$1:$F$2002,$H17))))</f>
        <v/>
      </c>
      <c r="F17" s="20">
        <f>IF($H17="","",IF(INDEX('Journal'!$D$1:$D$2002,$H17)=$B$1,N(INDEX('Journal'!$F$1:$F$2002,$H17)),N(INDEX('Journal'!$G$1:$G$2002,$H17))))</f>
        <v/>
      </c>
      <c r="G17" s="20">
        <f>IF($H17="","",G16+E17-F17)</f>
        <v/>
      </c>
      <c r="H17" s="18">
        <f t="array" ref="H17">IF($B$1="","",IFERROR(_xlfn.AGGREGATE(15,6,ROW('Journal'!$A$3:$A$2002)/(('Journal'!$D$3:$D$2002=$B$1)+('Journal'!$E$3:$E$2002=$B$1))/('Journal'!$B$3:$B$2002&gt;=$B$2)/('Journal'!$B$3:$B$2002&lt;=$B$3),12),""))</f>
        <v/>
      </c>
    </row>
    <row r="18">
      <c r="A18" s="18">
        <f>IF($H18="","",INDEX('Journal'!$A$1:$A$2002,$H18))</f>
        <v/>
      </c>
      <c r="B18" s="21">
        <f>IF($H18="","",INDEX('Journal'!$B$1:$B$2002,$H18))</f>
        <v/>
      </c>
      <c r="C18" s="5">
        <f>IF($H18="","",INDEX('Journal'!$C$1:$C$2002,$H18)&amp;"")</f>
        <v/>
      </c>
      <c r="D18" s="5">
        <f>IF($H18="","",IF(INDEX('Journal'!$D$1:$D$2002,$H18)=$B$1,INDEX('Journal'!$E$1:$E$2002,$H18),INDEX('Journal'!$D$1:$D$2002,$H18))&amp;"")</f>
        <v/>
      </c>
      <c r="E18" s="20">
        <f>IF($H18="","",IF(INDEX('Journal'!$D$1:$D$2002,$H18)=$B$1,N(INDEX('Journal'!$G$1:$G$2002,$H18)),N(INDEX('Journal'!$F$1:$F$2002,$H18))))</f>
        <v/>
      </c>
      <c r="F18" s="20">
        <f>IF($H18="","",IF(INDEX('Journal'!$D$1:$D$2002,$H18)=$B$1,N(INDEX('Journal'!$F$1:$F$2002,$H18)),N(INDEX('Journal'!$G$1:$G$2002,$H18))))</f>
        <v/>
      </c>
      <c r="G18" s="20">
        <f>IF($H18="","",G17+E18-F18)</f>
        <v/>
      </c>
      <c r="H18" s="18">
        <f t="array" ref="H18">IF($B$1="","",IFERROR(_xlfn.AGGREGATE(15,6,ROW('Journal'!$A$3:$A$2002)/(('Journal'!$D$3:$D$2002=$B$1)+('Journal'!$E$3:$E$2002=$B$1))/('Journal'!$B$3:$B$2002&gt;=$B$2)/('Journal'!$B$3:$B$2002&lt;=$B$3),13),""))</f>
        <v/>
      </c>
    </row>
    <row r="19">
      <c r="A19" s="18">
        <f>IF($H19="","",INDEX('Journal'!$A$1:$A$2002,$H19))</f>
        <v/>
      </c>
      <c r="B19" s="21">
        <f>IF($H19="","",INDEX('Journal'!$B$1:$B$2002,$H19))</f>
        <v/>
      </c>
      <c r="C19" s="5">
        <f>IF($H19="","",INDEX('Journal'!$C$1:$C$2002,$H19)&amp;"")</f>
        <v/>
      </c>
      <c r="D19" s="5">
        <f>IF($H19="","",IF(INDEX('Journal'!$D$1:$D$2002,$H19)=$B$1,INDEX('Journal'!$E$1:$E$2002,$H19),INDEX('Journal'!$D$1:$D$2002,$H19))&amp;"")</f>
        <v/>
      </c>
      <c r="E19" s="20">
        <f>IF($H19="","",IF(INDEX('Journal'!$D$1:$D$2002,$H19)=$B$1,N(INDEX('Journal'!$G$1:$G$2002,$H19)),N(INDEX('Journal'!$F$1:$F$2002,$H19))))</f>
        <v/>
      </c>
      <c r="F19" s="20">
        <f>IF($H19="","",IF(INDEX('Journal'!$D$1:$D$2002,$H19)=$B$1,N(INDEX('Journal'!$F$1:$F$2002,$H19)),N(INDEX('Journal'!$G$1:$G$2002,$H19))))</f>
        <v/>
      </c>
      <c r="G19" s="20">
        <f>IF($H19="","",G18+E19-F19)</f>
        <v/>
      </c>
      <c r="H19" s="18">
        <f t="array" ref="H19">IF($B$1="","",IFERROR(_xlfn.AGGREGATE(15,6,ROW('Journal'!$A$3:$A$2002)/(('Journal'!$D$3:$D$2002=$B$1)+('Journal'!$E$3:$E$2002=$B$1))/('Journal'!$B$3:$B$2002&gt;=$B$2)/('Journal'!$B$3:$B$2002&lt;=$B$3),14),""))</f>
        <v/>
      </c>
    </row>
    <row r="20">
      <c r="A20" s="18">
        <f>IF($H20="","",INDEX('Journal'!$A$1:$A$2002,$H20))</f>
        <v/>
      </c>
      <c r="B20" s="21">
        <f>IF($H20="","",INDEX('Journal'!$B$1:$B$2002,$H20))</f>
        <v/>
      </c>
      <c r="C20" s="5">
        <f>IF($H20="","",INDEX('Journal'!$C$1:$C$2002,$H20)&amp;"")</f>
        <v/>
      </c>
      <c r="D20" s="5">
        <f>IF($H20="","",IF(INDEX('Journal'!$D$1:$D$2002,$H20)=$B$1,INDEX('Journal'!$E$1:$E$2002,$H20),INDEX('Journal'!$D$1:$D$2002,$H20))&amp;"")</f>
        <v/>
      </c>
      <c r="E20" s="20">
        <f>IF($H20="","",IF(INDEX('Journal'!$D$1:$D$2002,$H20)=$B$1,N(INDEX('Journal'!$G$1:$G$2002,$H20)),N(INDEX('Journal'!$F$1:$F$2002,$H20))))</f>
        <v/>
      </c>
      <c r="F20" s="20">
        <f>IF($H20="","",IF(INDEX('Journal'!$D$1:$D$2002,$H20)=$B$1,N(INDEX('Journal'!$F$1:$F$2002,$H20)),N(INDEX('Journal'!$G$1:$G$2002,$H20))))</f>
        <v/>
      </c>
      <c r="G20" s="20">
        <f>IF($H20="","",G19+E20-F20)</f>
        <v/>
      </c>
      <c r="H20" s="18">
        <f t="array" ref="H20">IF($B$1="","",IFERROR(_xlfn.AGGREGATE(15,6,ROW('Journal'!$A$3:$A$2002)/(('Journal'!$D$3:$D$2002=$B$1)+('Journal'!$E$3:$E$2002=$B$1))/('Journal'!$B$3:$B$2002&gt;=$B$2)/('Journal'!$B$3:$B$2002&lt;=$B$3),15),""))</f>
        <v/>
      </c>
    </row>
    <row r="21">
      <c r="A21" s="18">
        <f>IF($H21="","",INDEX('Journal'!$A$1:$A$2002,$H21))</f>
        <v/>
      </c>
      <c r="B21" s="21">
        <f>IF($H21="","",INDEX('Journal'!$B$1:$B$2002,$H21))</f>
        <v/>
      </c>
      <c r="C21" s="5">
        <f>IF($H21="","",INDEX('Journal'!$C$1:$C$2002,$H21)&amp;"")</f>
        <v/>
      </c>
      <c r="D21" s="5">
        <f>IF($H21="","",IF(INDEX('Journal'!$D$1:$D$2002,$H21)=$B$1,INDEX('Journal'!$E$1:$E$2002,$H21),INDEX('Journal'!$D$1:$D$2002,$H21))&amp;"")</f>
        <v/>
      </c>
      <c r="E21" s="20">
        <f>IF($H21="","",IF(INDEX('Journal'!$D$1:$D$2002,$H21)=$B$1,N(INDEX('Journal'!$G$1:$G$2002,$H21)),N(INDEX('Journal'!$F$1:$F$2002,$H21))))</f>
        <v/>
      </c>
      <c r="F21" s="20">
        <f>IF($H21="","",IF(INDEX('Journal'!$D$1:$D$2002,$H21)=$B$1,N(INDEX('Journal'!$F$1:$F$2002,$H21)),N(INDEX('Journal'!$G$1:$G$2002,$H21))))</f>
        <v/>
      </c>
      <c r="G21" s="20">
        <f>IF($H21="","",G20+E21-F21)</f>
        <v/>
      </c>
      <c r="H21" s="18">
        <f t="array" ref="H21">IF($B$1="","",IFERROR(_xlfn.AGGREGATE(15,6,ROW('Journal'!$A$3:$A$2002)/(('Journal'!$D$3:$D$2002=$B$1)+('Journal'!$E$3:$E$2002=$B$1))/('Journal'!$B$3:$B$2002&gt;=$B$2)/('Journal'!$B$3:$B$2002&lt;=$B$3),16),""))</f>
        <v/>
      </c>
    </row>
    <row r="22">
      <c r="A22" s="18">
        <f>IF($H22="","",INDEX('Journal'!$A$1:$A$2002,$H22))</f>
        <v/>
      </c>
      <c r="B22" s="21">
        <f>IF($H22="","",INDEX('Journal'!$B$1:$B$2002,$H22))</f>
        <v/>
      </c>
      <c r="C22" s="5">
        <f>IF($H22="","",INDEX('Journal'!$C$1:$C$2002,$H22)&amp;"")</f>
        <v/>
      </c>
      <c r="D22" s="5">
        <f>IF($H22="","",IF(INDEX('Journal'!$D$1:$D$2002,$H22)=$B$1,INDEX('Journal'!$E$1:$E$2002,$H22),INDEX('Journal'!$D$1:$D$2002,$H22))&amp;"")</f>
        <v/>
      </c>
      <c r="E22" s="20">
        <f>IF($H22="","",IF(INDEX('Journal'!$D$1:$D$2002,$H22)=$B$1,N(INDEX('Journal'!$G$1:$G$2002,$H22)),N(INDEX('Journal'!$F$1:$F$2002,$H22))))</f>
        <v/>
      </c>
      <c r="F22" s="20">
        <f>IF($H22="","",IF(INDEX('Journal'!$D$1:$D$2002,$H22)=$B$1,N(INDEX('Journal'!$F$1:$F$2002,$H22)),N(INDEX('Journal'!$G$1:$G$2002,$H22))))</f>
        <v/>
      </c>
      <c r="G22" s="20">
        <f>IF($H22="","",G21+E22-F22)</f>
        <v/>
      </c>
      <c r="H22" s="18">
        <f t="array" ref="H22">IF($B$1="","",IFERROR(_xlfn.AGGREGATE(15,6,ROW('Journal'!$A$3:$A$2002)/(('Journal'!$D$3:$D$2002=$B$1)+('Journal'!$E$3:$E$2002=$B$1))/('Journal'!$B$3:$B$2002&gt;=$B$2)/('Journal'!$B$3:$B$2002&lt;=$B$3),17),""))</f>
        <v/>
      </c>
    </row>
    <row r="23">
      <c r="A23" s="18">
        <f>IF($H23="","",INDEX('Journal'!$A$1:$A$2002,$H23))</f>
        <v/>
      </c>
      <c r="B23" s="21">
        <f>IF($H23="","",INDEX('Journal'!$B$1:$B$2002,$H23))</f>
        <v/>
      </c>
      <c r="C23" s="5">
        <f>IF($H23="","",INDEX('Journal'!$C$1:$C$2002,$H23)&amp;"")</f>
        <v/>
      </c>
      <c r="D23" s="5">
        <f>IF($H23="","",IF(INDEX('Journal'!$D$1:$D$2002,$H23)=$B$1,INDEX('Journal'!$E$1:$E$2002,$H23),INDEX('Journal'!$D$1:$D$2002,$H23))&amp;"")</f>
        <v/>
      </c>
      <c r="E23" s="20">
        <f>IF($H23="","",IF(INDEX('Journal'!$D$1:$D$2002,$H23)=$B$1,N(INDEX('Journal'!$G$1:$G$2002,$H23)),N(INDEX('Journal'!$F$1:$F$2002,$H23))))</f>
        <v/>
      </c>
      <c r="F23" s="20">
        <f>IF($H23="","",IF(INDEX('Journal'!$D$1:$D$2002,$H23)=$B$1,N(INDEX('Journal'!$F$1:$F$2002,$H23)),N(INDEX('Journal'!$G$1:$G$2002,$H23))))</f>
        <v/>
      </c>
      <c r="G23" s="20">
        <f>IF($H23="","",G22+E23-F23)</f>
        <v/>
      </c>
      <c r="H23" s="18">
        <f t="array" ref="H23">IF($B$1="","",IFERROR(_xlfn.AGGREGATE(15,6,ROW('Journal'!$A$3:$A$2002)/(('Journal'!$D$3:$D$2002=$B$1)+('Journal'!$E$3:$E$2002=$B$1))/('Journal'!$B$3:$B$2002&gt;=$B$2)/('Journal'!$B$3:$B$2002&lt;=$B$3),18),""))</f>
        <v/>
      </c>
    </row>
    <row r="24">
      <c r="A24" s="18">
        <f>IF($H24="","",INDEX('Journal'!$A$1:$A$2002,$H24))</f>
        <v/>
      </c>
      <c r="B24" s="21">
        <f>IF($H24="","",INDEX('Journal'!$B$1:$B$2002,$H24))</f>
        <v/>
      </c>
      <c r="C24" s="5">
        <f>IF($H24="","",INDEX('Journal'!$C$1:$C$2002,$H24)&amp;"")</f>
        <v/>
      </c>
      <c r="D24" s="5">
        <f>IF($H24="","",IF(INDEX('Journal'!$D$1:$D$2002,$H24)=$B$1,INDEX('Journal'!$E$1:$E$2002,$H24),INDEX('Journal'!$D$1:$D$2002,$H24))&amp;"")</f>
        <v/>
      </c>
      <c r="E24" s="20">
        <f>IF($H24="","",IF(INDEX('Journal'!$D$1:$D$2002,$H24)=$B$1,N(INDEX('Journal'!$G$1:$G$2002,$H24)),N(INDEX('Journal'!$F$1:$F$2002,$H24))))</f>
        <v/>
      </c>
      <c r="F24" s="20">
        <f>IF($H24="","",IF(INDEX('Journal'!$D$1:$D$2002,$H24)=$B$1,N(INDEX('Journal'!$F$1:$F$2002,$H24)),N(INDEX('Journal'!$G$1:$G$2002,$H24))))</f>
        <v/>
      </c>
      <c r="G24" s="20">
        <f>IF($H24="","",G23+E24-F24)</f>
        <v/>
      </c>
      <c r="H24" s="18">
        <f t="array" ref="H24">IF($B$1="","",IFERROR(_xlfn.AGGREGATE(15,6,ROW('Journal'!$A$3:$A$2002)/(('Journal'!$D$3:$D$2002=$B$1)+('Journal'!$E$3:$E$2002=$B$1))/('Journal'!$B$3:$B$2002&gt;=$B$2)/('Journal'!$B$3:$B$2002&lt;=$B$3),19),""))</f>
        <v/>
      </c>
    </row>
    <row r="25">
      <c r="A25" s="18">
        <f>IF($H25="","",INDEX('Journal'!$A$1:$A$2002,$H25))</f>
        <v/>
      </c>
      <c r="B25" s="21">
        <f>IF($H25="","",INDEX('Journal'!$B$1:$B$2002,$H25))</f>
        <v/>
      </c>
      <c r="C25" s="5">
        <f>IF($H25="","",INDEX('Journal'!$C$1:$C$2002,$H25)&amp;"")</f>
        <v/>
      </c>
      <c r="D25" s="5">
        <f>IF($H25="","",IF(INDEX('Journal'!$D$1:$D$2002,$H25)=$B$1,INDEX('Journal'!$E$1:$E$2002,$H25),INDEX('Journal'!$D$1:$D$2002,$H25))&amp;"")</f>
        <v/>
      </c>
      <c r="E25" s="20">
        <f>IF($H25="","",IF(INDEX('Journal'!$D$1:$D$2002,$H25)=$B$1,N(INDEX('Journal'!$G$1:$G$2002,$H25)),N(INDEX('Journal'!$F$1:$F$2002,$H25))))</f>
        <v/>
      </c>
      <c r="F25" s="20">
        <f>IF($H25="","",IF(INDEX('Journal'!$D$1:$D$2002,$H25)=$B$1,N(INDEX('Journal'!$F$1:$F$2002,$H25)),N(INDEX('Journal'!$G$1:$G$2002,$H25))))</f>
        <v/>
      </c>
      <c r="G25" s="20">
        <f>IF($H25="","",G24+E25-F25)</f>
        <v/>
      </c>
      <c r="H25" s="18">
        <f t="array" ref="H25">IF($B$1="","",IFERROR(_xlfn.AGGREGATE(15,6,ROW('Journal'!$A$3:$A$2002)/(('Journal'!$D$3:$D$2002=$B$1)+('Journal'!$E$3:$E$2002=$B$1))/('Journal'!$B$3:$B$2002&gt;=$B$2)/('Journal'!$B$3:$B$2002&lt;=$B$3),20),""))</f>
        <v/>
      </c>
    </row>
    <row r="26">
      <c r="A26" s="18">
        <f>IF($H26="","",INDEX('Journal'!$A$1:$A$2002,$H26))</f>
        <v/>
      </c>
      <c r="B26" s="21">
        <f>IF($H26="","",INDEX('Journal'!$B$1:$B$2002,$H26))</f>
        <v/>
      </c>
      <c r="C26" s="5">
        <f>IF($H26="","",INDEX('Journal'!$C$1:$C$2002,$H26)&amp;"")</f>
        <v/>
      </c>
      <c r="D26" s="5">
        <f>IF($H26="","",IF(INDEX('Journal'!$D$1:$D$2002,$H26)=$B$1,INDEX('Journal'!$E$1:$E$2002,$H26),INDEX('Journal'!$D$1:$D$2002,$H26))&amp;"")</f>
        <v/>
      </c>
      <c r="E26" s="20">
        <f>IF($H26="","",IF(INDEX('Journal'!$D$1:$D$2002,$H26)=$B$1,N(INDEX('Journal'!$G$1:$G$2002,$H26)),N(INDEX('Journal'!$F$1:$F$2002,$H26))))</f>
        <v/>
      </c>
      <c r="F26" s="20">
        <f>IF($H26="","",IF(INDEX('Journal'!$D$1:$D$2002,$H26)=$B$1,N(INDEX('Journal'!$F$1:$F$2002,$H26)),N(INDEX('Journal'!$G$1:$G$2002,$H26))))</f>
        <v/>
      </c>
      <c r="G26" s="20">
        <f>IF($H26="","",G25+E26-F26)</f>
        <v/>
      </c>
      <c r="H26" s="18">
        <f t="array" ref="H26">IF($B$1="","",IFERROR(_xlfn.AGGREGATE(15,6,ROW('Journal'!$A$3:$A$2002)/(('Journal'!$D$3:$D$2002=$B$1)+('Journal'!$E$3:$E$2002=$B$1))/('Journal'!$B$3:$B$2002&gt;=$B$2)/('Journal'!$B$3:$B$2002&lt;=$B$3),21),""))</f>
        <v/>
      </c>
    </row>
    <row r="27">
      <c r="A27" s="18">
        <f>IF($H27="","",INDEX('Journal'!$A$1:$A$2002,$H27))</f>
        <v/>
      </c>
      <c r="B27" s="21">
        <f>IF($H27="","",INDEX('Journal'!$B$1:$B$2002,$H27))</f>
        <v/>
      </c>
      <c r="C27" s="5">
        <f>IF($H27="","",INDEX('Journal'!$C$1:$C$2002,$H27)&amp;"")</f>
        <v/>
      </c>
      <c r="D27" s="5">
        <f>IF($H27="","",IF(INDEX('Journal'!$D$1:$D$2002,$H27)=$B$1,INDEX('Journal'!$E$1:$E$2002,$H27),INDEX('Journal'!$D$1:$D$2002,$H27))&amp;"")</f>
        <v/>
      </c>
      <c r="E27" s="20">
        <f>IF($H27="","",IF(INDEX('Journal'!$D$1:$D$2002,$H27)=$B$1,N(INDEX('Journal'!$G$1:$G$2002,$H27)),N(INDEX('Journal'!$F$1:$F$2002,$H27))))</f>
        <v/>
      </c>
      <c r="F27" s="20">
        <f>IF($H27="","",IF(INDEX('Journal'!$D$1:$D$2002,$H27)=$B$1,N(INDEX('Journal'!$F$1:$F$2002,$H27)),N(INDEX('Journal'!$G$1:$G$2002,$H27))))</f>
        <v/>
      </c>
      <c r="G27" s="20">
        <f>IF($H27="","",G26+E27-F27)</f>
        <v/>
      </c>
      <c r="H27" s="18">
        <f t="array" ref="H27">IF($B$1="","",IFERROR(_xlfn.AGGREGATE(15,6,ROW('Journal'!$A$3:$A$2002)/(('Journal'!$D$3:$D$2002=$B$1)+('Journal'!$E$3:$E$2002=$B$1))/('Journal'!$B$3:$B$2002&gt;=$B$2)/('Journal'!$B$3:$B$2002&lt;=$B$3),22),""))</f>
        <v/>
      </c>
    </row>
    <row r="28">
      <c r="A28" s="18">
        <f>IF($H28="","",INDEX('Journal'!$A$1:$A$2002,$H28))</f>
        <v/>
      </c>
      <c r="B28" s="21">
        <f>IF($H28="","",INDEX('Journal'!$B$1:$B$2002,$H28))</f>
        <v/>
      </c>
      <c r="C28" s="5">
        <f>IF($H28="","",INDEX('Journal'!$C$1:$C$2002,$H28)&amp;"")</f>
        <v/>
      </c>
      <c r="D28" s="5">
        <f>IF($H28="","",IF(INDEX('Journal'!$D$1:$D$2002,$H28)=$B$1,INDEX('Journal'!$E$1:$E$2002,$H28),INDEX('Journal'!$D$1:$D$2002,$H28))&amp;"")</f>
        <v/>
      </c>
      <c r="E28" s="20">
        <f>IF($H28="","",IF(INDEX('Journal'!$D$1:$D$2002,$H28)=$B$1,N(INDEX('Journal'!$G$1:$G$2002,$H28)),N(INDEX('Journal'!$F$1:$F$2002,$H28))))</f>
        <v/>
      </c>
      <c r="F28" s="20">
        <f>IF($H28="","",IF(INDEX('Journal'!$D$1:$D$2002,$H28)=$B$1,N(INDEX('Journal'!$F$1:$F$2002,$H28)),N(INDEX('Journal'!$G$1:$G$2002,$H28))))</f>
        <v/>
      </c>
      <c r="G28" s="20">
        <f>IF($H28="","",G27+E28-F28)</f>
        <v/>
      </c>
      <c r="H28" s="18">
        <f t="array" ref="H28">IF($B$1="","",IFERROR(_xlfn.AGGREGATE(15,6,ROW('Journal'!$A$3:$A$2002)/(('Journal'!$D$3:$D$2002=$B$1)+('Journal'!$E$3:$E$2002=$B$1))/('Journal'!$B$3:$B$2002&gt;=$B$2)/('Journal'!$B$3:$B$2002&lt;=$B$3),23),""))</f>
        <v/>
      </c>
    </row>
    <row r="29">
      <c r="A29" s="18">
        <f>IF($H29="","",INDEX('Journal'!$A$1:$A$2002,$H29))</f>
        <v/>
      </c>
      <c r="B29" s="21">
        <f>IF($H29="","",INDEX('Journal'!$B$1:$B$2002,$H29))</f>
        <v/>
      </c>
      <c r="C29" s="5">
        <f>IF($H29="","",INDEX('Journal'!$C$1:$C$2002,$H29)&amp;"")</f>
        <v/>
      </c>
      <c r="D29" s="5">
        <f>IF($H29="","",IF(INDEX('Journal'!$D$1:$D$2002,$H29)=$B$1,INDEX('Journal'!$E$1:$E$2002,$H29),INDEX('Journal'!$D$1:$D$2002,$H29))&amp;"")</f>
        <v/>
      </c>
      <c r="E29" s="20">
        <f>IF($H29="","",IF(INDEX('Journal'!$D$1:$D$2002,$H29)=$B$1,N(INDEX('Journal'!$G$1:$G$2002,$H29)),N(INDEX('Journal'!$F$1:$F$2002,$H29))))</f>
        <v/>
      </c>
      <c r="F29" s="20">
        <f>IF($H29="","",IF(INDEX('Journal'!$D$1:$D$2002,$H29)=$B$1,N(INDEX('Journal'!$F$1:$F$2002,$H29)),N(INDEX('Journal'!$G$1:$G$2002,$H29))))</f>
        <v/>
      </c>
      <c r="G29" s="20">
        <f>IF($H29="","",G28+E29-F29)</f>
        <v/>
      </c>
      <c r="H29" s="18">
        <f t="array" ref="H29">IF($B$1="","",IFERROR(_xlfn.AGGREGATE(15,6,ROW('Journal'!$A$3:$A$2002)/(('Journal'!$D$3:$D$2002=$B$1)+('Journal'!$E$3:$E$2002=$B$1))/('Journal'!$B$3:$B$2002&gt;=$B$2)/('Journal'!$B$3:$B$2002&lt;=$B$3),24),""))</f>
        <v/>
      </c>
    </row>
    <row r="30">
      <c r="A30" s="18">
        <f>IF($H30="","",INDEX('Journal'!$A$1:$A$2002,$H30))</f>
        <v/>
      </c>
      <c r="B30" s="21">
        <f>IF($H30="","",INDEX('Journal'!$B$1:$B$2002,$H30))</f>
        <v/>
      </c>
      <c r="C30" s="5">
        <f>IF($H30="","",INDEX('Journal'!$C$1:$C$2002,$H30)&amp;"")</f>
        <v/>
      </c>
      <c r="D30" s="5">
        <f>IF($H30="","",IF(INDEX('Journal'!$D$1:$D$2002,$H30)=$B$1,INDEX('Journal'!$E$1:$E$2002,$H30),INDEX('Journal'!$D$1:$D$2002,$H30))&amp;"")</f>
        <v/>
      </c>
      <c r="E30" s="20">
        <f>IF($H30="","",IF(INDEX('Journal'!$D$1:$D$2002,$H30)=$B$1,N(INDEX('Journal'!$G$1:$G$2002,$H30)),N(INDEX('Journal'!$F$1:$F$2002,$H30))))</f>
        <v/>
      </c>
      <c r="F30" s="20">
        <f>IF($H30="","",IF(INDEX('Journal'!$D$1:$D$2002,$H30)=$B$1,N(INDEX('Journal'!$F$1:$F$2002,$H30)),N(INDEX('Journal'!$G$1:$G$2002,$H30))))</f>
        <v/>
      </c>
      <c r="G30" s="20">
        <f>IF($H30="","",G29+E30-F30)</f>
        <v/>
      </c>
      <c r="H30" s="18">
        <f t="array" ref="H30">IF($B$1="","",IFERROR(_xlfn.AGGREGATE(15,6,ROW('Journal'!$A$3:$A$2002)/(('Journal'!$D$3:$D$2002=$B$1)+('Journal'!$E$3:$E$2002=$B$1))/('Journal'!$B$3:$B$2002&gt;=$B$2)/('Journal'!$B$3:$B$2002&lt;=$B$3),25),""))</f>
        <v/>
      </c>
    </row>
    <row r="31">
      <c r="A31" s="18">
        <f>IF($H31="","",INDEX('Journal'!$A$1:$A$2002,$H31))</f>
        <v/>
      </c>
      <c r="B31" s="21">
        <f>IF($H31="","",INDEX('Journal'!$B$1:$B$2002,$H31))</f>
        <v/>
      </c>
      <c r="C31" s="5">
        <f>IF($H31="","",INDEX('Journal'!$C$1:$C$2002,$H31)&amp;"")</f>
        <v/>
      </c>
      <c r="D31" s="5">
        <f>IF($H31="","",IF(INDEX('Journal'!$D$1:$D$2002,$H31)=$B$1,INDEX('Journal'!$E$1:$E$2002,$H31),INDEX('Journal'!$D$1:$D$2002,$H31))&amp;"")</f>
        <v/>
      </c>
      <c r="E31" s="20">
        <f>IF($H31="","",IF(INDEX('Journal'!$D$1:$D$2002,$H31)=$B$1,N(INDEX('Journal'!$G$1:$G$2002,$H31)),N(INDEX('Journal'!$F$1:$F$2002,$H31))))</f>
        <v/>
      </c>
      <c r="F31" s="20">
        <f>IF($H31="","",IF(INDEX('Journal'!$D$1:$D$2002,$H31)=$B$1,N(INDEX('Journal'!$F$1:$F$2002,$H31)),N(INDEX('Journal'!$G$1:$G$2002,$H31))))</f>
        <v/>
      </c>
      <c r="G31" s="20">
        <f>IF($H31="","",G30+E31-F31)</f>
        <v/>
      </c>
      <c r="H31" s="18">
        <f t="array" ref="H31">IF($B$1="","",IFERROR(_xlfn.AGGREGATE(15,6,ROW('Journal'!$A$3:$A$2002)/(('Journal'!$D$3:$D$2002=$B$1)+('Journal'!$E$3:$E$2002=$B$1))/('Journal'!$B$3:$B$2002&gt;=$B$2)/('Journal'!$B$3:$B$2002&lt;=$B$3),26),""))</f>
        <v/>
      </c>
    </row>
    <row r="32">
      <c r="A32" s="18">
        <f>IF($H32="","",INDEX('Journal'!$A$1:$A$2002,$H32))</f>
        <v/>
      </c>
      <c r="B32" s="21">
        <f>IF($H32="","",INDEX('Journal'!$B$1:$B$2002,$H32))</f>
        <v/>
      </c>
      <c r="C32" s="5">
        <f>IF($H32="","",INDEX('Journal'!$C$1:$C$2002,$H32)&amp;"")</f>
        <v/>
      </c>
      <c r="D32" s="5">
        <f>IF($H32="","",IF(INDEX('Journal'!$D$1:$D$2002,$H32)=$B$1,INDEX('Journal'!$E$1:$E$2002,$H32),INDEX('Journal'!$D$1:$D$2002,$H32))&amp;"")</f>
        <v/>
      </c>
      <c r="E32" s="20">
        <f>IF($H32="","",IF(INDEX('Journal'!$D$1:$D$2002,$H32)=$B$1,N(INDEX('Journal'!$G$1:$G$2002,$H32)),N(INDEX('Journal'!$F$1:$F$2002,$H32))))</f>
        <v/>
      </c>
      <c r="F32" s="20">
        <f>IF($H32="","",IF(INDEX('Journal'!$D$1:$D$2002,$H32)=$B$1,N(INDEX('Journal'!$F$1:$F$2002,$H32)),N(INDEX('Journal'!$G$1:$G$2002,$H32))))</f>
        <v/>
      </c>
      <c r="G32" s="20">
        <f>IF($H32="","",G31+E32-F32)</f>
        <v/>
      </c>
      <c r="H32" s="18">
        <f t="array" ref="H32">IF($B$1="","",IFERROR(_xlfn.AGGREGATE(15,6,ROW('Journal'!$A$3:$A$2002)/(('Journal'!$D$3:$D$2002=$B$1)+('Journal'!$E$3:$E$2002=$B$1))/('Journal'!$B$3:$B$2002&gt;=$B$2)/('Journal'!$B$3:$B$2002&lt;=$B$3),27),""))</f>
        <v/>
      </c>
    </row>
    <row r="33">
      <c r="A33" s="18">
        <f>IF($H33="","",INDEX('Journal'!$A$1:$A$2002,$H33))</f>
        <v/>
      </c>
      <c r="B33" s="21">
        <f>IF($H33="","",INDEX('Journal'!$B$1:$B$2002,$H33))</f>
        <v/>
      </c>
      <c r="C33" s="5">
        <f>IF($H33="","",INDEX('Journal'!$C$1:$C$2002,$H33)&amp;"")</f>
        <v/>
      </c>
      <c r="D33" s="5">
        <f>IF($H33="","",IF(INDEX('Journal'!$D$1:$D$2002,$H33)=$B$1,INDEX('Journal'!$E$1:$E$2002,$H33),INDEX('Journal'!$D$1:$D$2002,$H33))&amp;"")</f>
        <v/>
      </c>
      <c r="E33" s="20">
        <f>IF($H33="","",IF(INDEX('Journal'!$D$1:$D$2002,$H33)=$B$1,N(INDEX('Journal'!$G$1:$G$2002,$H33)),N(INDEX('Journal'!$F$1:$F$2002,$H33))))</f>
        <v/>
      </c>
      <c r="F33" s="20">
        <f>IF($H33="","",IF(INDEX('Journal'!$D$1:$D$2002,$H33)=$B$1,N(INDEX('Journal'!$F$1:$F$2002,$H33)),N(INDEX('Journal'!$G$1:$G$2002,$H33))))</f>
        <v/>
      </c>
      <c r="G33" s="20">
        <f>IF($H33="","",G32+E33-F33)</f>
        <v/>
      </c>
      <c r="H33" s="18">
        <f t="array" ref="H33">IF($B$1="","",IFERROR(_xlfn.AGGREGATE(15,6,ROW('Journal'!$A$3:$A$2002)/(('Journal'!$D$3:$D$2002=$B$1)+('Journal'!$E$3:$E$2002=$B$1))/('Journal'!$B$3:$B$2002&gt;=$B$2)/('Journal'!$B$3:$B$2002&lt;=$B$3),28),""))</f>
        <v/>
      </c>
    </row>
    <row r="34">
      <c r="A34" s="18">
        <f>IF($H34="","",INDEX('Journal'!$A$1:$A$2002,$H34))</f>
        <v/>
      </c>
      <c r="B34" s="21">
        <f>IF($H34="","",INDEX('Journal'!$B$1:$B$2002,$H34))</f>
        <v/>
      </c>
      <c r="C34" s="5">
        <f>IF($H34="","",INDEX('Journal'!$C$1:$C$2002,$H34)&amp;"")</f>
        <v/>
      </c>
      <c r="D34" s="5">
        <f>IF($H34="","",IF(INDEX('Journal'!$D$1:$D$2002,$H34)=$B$1,INDEX('Journal'!$E$1:$E$2002,$H34),INDEX('Journal'!$D$1:$D$2002,$H34))&amp;"")</f>
        <v/>
      </c>
      <c r="E34" s="20">
        <f>IF($H34="","",IF(INDEX('Journal'!$D$1:$D$2002,$H34)=$B$1,N(INDEX('Journal'!$G$1:$G$2002,$H34)),N(INDEX('Journal'!$F$1:$F$2002,$H34))))</f>
        <v/>
      </c>
      <c r="F34" s="20">
        <f>IF($H34="","",IF(INDEX('Journal'!$D$1:$D$2002,$H34)=$B$1,N(INDEX('Journal'!$F$1:$F$2002,$H34)),N(INDEX('Journal'!$G$1:$G$2002,$H34))))</f>
        <v/>
      </c>
      <c r="G34" s="20">
        <f>IF($H34="","",G33+E34-F34)</f>
        <v/>
      </c>
      <c r="H34" s="18">
        <f t="array" ref="H34">IF($B$1="","",IFERROR(_xlfn.AGGREGATE(15,6,ROW('Journal'!$A$3:$A$2002)/(('Journal'!$D$3:$D$2002=$B$1)+('Journal'!$E$3:$E$2002=$B$1))/('Journal'!$B$3:$B$2002&gt;=$B$2)/('Journal'!$B$3:$B$2002&lt;=$B$3),29),""))</f>
        <v/>
      </c>
    </row>
    <row r="35">
      <c r="A35" s="18">
        <f>IF($H35="","",INDEX('Journal'!$A$1:$A$2002,$H35))</f>
        <v/>
      </c>
      <c r="B35" s="21">
        <f>IF($H35="","",INDEX('Journal'!$B$1:$B$2002,$H35))</f>
        <v/>
      </c>
      <c r="C35" s="5">
        <f>IF($H35="","",INDEX('Journal'!$C$1:$C$2002,$H35)&amp;"")</f>
        <v/>
      </c>
      <c r="D35" s="5">
        <f>IF($H35="","",IF(INDEX('Journal'!$D$1:$D$2002,$H35)=$B$1,INDEX('Journal'!$E$1:$E$2002,$H35),INDEX('Journal'!$D$1:$D$2002,$H35))&amp;"")</f>
        <v/>
      </c>
      <c r="E35" s="20">
        <f>IF($H35="","",IF(INDEX('Journal'!$D$1:$D$2002,$H35)=$B$1,N(INDEX('Journal'!$G$1:$G$2002,$H35)),N(INDEX('Journal'!$F$1:$F$2002,$H35))))</f>
        <v/>
      </c>
      <c r="F35" s="20">
        <f>IF($H35="","",IF(INDEX('Journal'!$D$1:$D$2002,$H35)=$B$1,N(INDEX('Journal'!$F$1:$F$2002,$H35)),N(INDEX('Journal'!$G$1:$G$2002,$H35))))</f>
        <v/>
      </c>
      <c r="G35" s="20">
        <f>IF($H35="","",G34+E35-F35)</f>
        <v/>
      </c>
      <c r="H35" s="18">
        <f t="array" ref="H35">IF($B$1="","",IFERROR(_xlfn.AGGREGATE(15,6,ROW('Journal'!$A$3:$A$2002)/(('Journal'!$D$3:$D$2002=$B$1)+('Journal'!$E$3:$E$2002=$B$1))/('Journal'!$B$3:$B$2002&gt;=$B$2)/('Journal'!$B$3:$B$2002&lt;=$B$3),30),""))</f>
        <v/>
      </c>
    </row>
    <row r="36">
      <c r="A36" s="18">
        <f>IF($H36="","",INDEX('Journal'!$A$1:$A$2002,$H36))</f>
        <v/>
      </c>
      <c r="B36" s="21">
        <f>IF($H36="","",INDEX('Journal'!$B$1:$B$2002,$H36))</f>
        <v/>
      </c>
      <c r="C36" s="5">
        <f>IF($H36="","",INDEX('Journal'!$C$1:$C$2002,$H36)&amp;"")</f>
        <v/>
      </c>
      <c r="D36" s="5">
        <f>IF($H36="","",IF(INDEX('Journal'!$D$1:$D$2002,$H36)=$B$1,INDEX('Journal'!$E$1:$E$2002,$H36),INDEX('Journal'!$D$1:$D$2002,$H36))&amp;"")</f>
        <v/>
      </c>
      <c r="E36" s="20">
        <f>IF($H36="","",IF(INDEX('Journal'!$D$1:$D$2002,$H36)=$B$1,N(INDEX('Journal'!$G$1:$G$2002,$H36)),N(INDEX('Journal'!$F$1:$F$2002,$H36))))</f>
        <v/>
      </c>
      <c r="F36" s="20">
        <f>IF($H36="","",IF(INDEX('Journal'!$D$1:$D$2002,$H36)=$B$1,N(INDEX('Journal'!$F$1:$F$2002,$H36)),N(INDEX('Journal'!$G$1:$G$2002,$H36))))</f>
        <v/>
      </c>
      <c r="G36" s="20">
        <f>IF($H36="","",G35+E36-F36)</f>
        <v/>
      </c>
      <c r="H36" s="18">
        <f t="array" ref="H36">IF($B$1="","",IFERROR(_xlfn.AGGREGATE(15,6,ROW('Journal'!$A$3:$A$2002)/(('Journal'!$D$3:$D$2002=$B$1)+('Journal'!$E$3:$E$2002=$B$1))/('Journal'!$B$3:$B$2002&gt;=$B$2)/('Journal'!$B$3:$B$2002&lt;=$B$3),31),""))</f>
        <v/>
      </c>
    </row>
    <row r="37">
      <c r="A37" s="18">
        <f>IF($H37="","",INDEX('Journal'!$A$1:$A$2002,$H37))</f>
        <v/>
      </c>
      <c r="B37" s="21">
        <f>IF($H37="","",INDEX('Journal'!$B$1:$B$2002,$H37))</f>
        <v/>
      </c>
      <c r="C37" s="5">
        <f>IF($H37="","",INDEX('Journal'!$C$1:$C$2002,$H37)&amp;"")</f>
        <v/>
      </c>
      <c r="D37" s="5">
        <f>IF($H37="","",IF(INDEX('Journal'!$D$1:$D$2002,$H37)=$B$1,INDEX('Journal'!$E$1:$E$2002,$H37),INDEX('Journal'!$D$1:$D$2002,$H37))&amp;"")</f>
        <v/>
      </c>
      <c r="E37" s="20">
        <f>IF($H37="","",IF(INDEX('Journal'!$D$1:$D$2002,$H37)=$B$1,N(INDEX('Journal'!$G$1:$G$2002,$H37)),N(INDEX('Journal'!$F$1:$F$2002,$H37))))</f>
        <v/>
      </c>
      <c r="F37" s="20">
        <f>IF($H37="","",IF(INDEX('Journal'!$D$1:$D$2002,$H37)=$B$1,N(INDEX('Journal'!$F$1:$F$2002,$H37)),N(INDEX('Journal'!$G$1:$G$2002,$H37))))</f>
        <v/>
      </c>
      <c r="G37" s="20">
        <f>IF($H37="","",G36+E37-F37)</f>
        <v/>
      </c>
      <c r="H37" s="18">
        <f t="array" ref="H37">IF($B$1="","",IFERROR(_xlfn.AGGREGATE(15,6,ROW('Journal'!$A$3:$A$2002)/(('Journal'!$D$3:$D$2002=$B$1)+('Journal'!$E$3:$E$2002=$B$1))/('Journal'!$B$3:$B$2002&gt;=$B$2)/('Journal'!$B$3:$B$2002&lt;=$B$3),32),""))</f>
        <v/>
      </c>
    </row>
    <row r="38">
      <c r="A38" s="18">
        <f>IF($H38="","",INDEX('Journal'!$A$1:$A$2002,$H38))</f>
        <v/>
      </c>
      <c r="B38" s="21">
        <f>IF($H38="","",INDEX('Journal'!$B$1:$B$2002,$H38))</f>
        <v/>
      </c>
      <c r="C38" s="5">
        <f>IF($H38="","",INDEX('Journal'!$C$1:$C$2002,$H38)&amp;"")</f>
        <v/>
      </c>
      <c r="D38" s="5">
        <f>IF($H38="","",IF(INDEX('Journal'!$D$1:$D$2002,$H38)=$B$1,INDEX('Journal'!$E$1:$E$2002,$H38),INDEX('Journal'!$D$1:$D$2002,$H38))&amp;"")</f>
        <v/>
      </c>
      <c r="E38" s="20">
        <f>IF($H38="","",IF(INDEX('Journal'!$D$1:$D$2002,$H38)=$B$1,N(INDEX('Journal'!$G$1:$G$2002,$H38)),N(INDEX('Journal'!$F$1:$F$2002,$H38))))</f>
        <v/>
      </c>
      <c r="F38" s="20">
        <f>IF($H38="","",IF(INDEX('Journal'!$D$1:$D$2002,$H38)=$B$1,N(INDEX('Journal'!$F$1:$F$2002,$H38)),N(INDEX('Journal'!$G$1:$G$2002,$H38))))</f>
        <v/>
      </c>
      <c r="G38" s="20">
        <f>IF($H38="","",G37+E38-F38)</f>
        <v/>
      </c>
      <c r="H38" s="18">
        <f t="array" ref="H38">IF($B$1="","",IFERROR(_xlfn.AGGREGATE(15,6,ROW('Journal'!$A$3:$A$2002)/(('Journal'!$D$3:$D$2002=$B$1)+('Journal'!$E$3:$E$2002=$B$1))/('Journal'!$B$3:$B$2002&gt;=$B$2)/('Journal'!$B$3:$B$2002&lt;=$B$3),33),""))</f>
        <v/>
      </c>
    </row>
    <row r="39">
      <c r="A39" s="18">
        <f>IF($H39="","",INDEX('Journal'!$A$1:$A$2002,$H39))</f>
        <v/>
      </c>
      <c r="B39" s="21">
        <f>IF($H39="","",INDEX('Journal'!$B$1:$B$2002,$H39))</f>
        <v/>
      </c>
      <c r="C39" s="5">
        <f>IF($H39="","",INDEX('Journal'!$C$1:$C$2002,$H39)&amp;"")</f>
        <v/>
      </c>
      <c r="D39" s="5">
        <f>IF($H39="","",IF(INDEX('Journal'!$D$1:$D$2002,$H39)=$B$1,INDEX('Journal'!$E$1:$E$2002,$H39),INDEX('Journal'!$D$1:$D$2002,$H39))&amp;"")</f>
        <v/>
      </c>
      <c r="E39" s="20">
        <f>IF($H39="","",IF(INDEX('Journal'!$D$1:$D$2002,$H39)=$B$1,N(INDEX('Journal'!$G$1:$G$2002,$H39)),N(INDEX('Journal'!$F$1:$F$2002,$H39))))</f>
        <v/>
      </c>
      <c r="F39" s="20">
        <f>IF($H39="","",IF(INDEX('Journal'!$D$1:$D$2002,$H39)=$B$1,N(INDEX('Journal'!$F$1:$F$2002,$H39)),N(INDEX('Journal'!$G$1:$G$2002,$H39))))</f>
        <v/>
      </c>
      <c r="G39" s="20">
        <f>IF($H39="","",G38+E39-F39)</f>
        <v/>
      </c>
      <c r="H39" s="18">
        <f t="array" ref="H39">IF($B$1="","",IFERROR(_xlfn.AGGREGATE(15,6,ROW('Journal'!$A$3:$A$2002)/(('Journal'!$D$3:$D$2002=$B$1)+('Journal'!$E$3:$E$2002=$B$1))/('Journal'!$B$3:$B$2002&gt;=$B$2)/('Journal'!$B$3:$B$2002&lt;=$B$3),34),""))</f>
        <v/>
      </c>
    </row>
    <row r="40">
      <c r="A40" s="18">
        <f>IF($H40="","",INDEX('Journal'!$A$1:$A$2002,$H40))</f>
        <v/>
      </c>
      <c r="B40" s="21">
        <f>IF($H40="","",INDEX('Journal'!$B$1:$B$2002,$H40))</f>
        <v/>
      </c>
      <c r="C40" s="5">
        <f>IF($H40="","",INDEX('Journal'!$C$1:$C$2002,$H40)&amp;"")</f>
        <v/>
      </c>
      <c r="D40" s="5">
        <f>IF($H40="","",IF(INDEX('Journal'!$D$1:$D$2002,$H40)=$B$1,INDEX('Journal'!$E$1:$E$2002,$H40),INDEX('Journal'!$D$1:$D$2002,$H40))&amp;"")</f>
        <v/>
      </c>
      <c r="E40" s="20">
        <f>IF($H40="","",IF(INDEX('Journal'!$D$1:$D$2002,$H40)=$B$1,N(INDEX('Journal'!$G$1:$G$2002,$H40)),N(INDEX('Journal'!$F$1:$F$2002,$H40))))</f>
        <v/>
      </c>
      <c r="F40" s="20">
        <f>IF($H40="","",IF(INDEX('Journal'!$D$1:$D$2002,$H40)=$B$1,N(INDEX('Journal'!$F$1:$F$2002,$H40)),N(INDEX('Journal'!$G$1:$G$2002,$H40))))</f>
        <v/>
      </c>
      <c r="G40" s="20">
        <f>IF($H40="","",G39+E40-F40)</f>
        <v/>
      </c>
      <c r="H40" s="18">
        <f t="array" ref="H40">IF($B$1="","",IFERROR(_xlfn.AGGREGATE(15,6,ROW('Journal'!$A$3:$A$2002)/(('Journal'!$D$3:$D$2002=$B$1)+('Journal'!$E$3:$E$2002=$B$1))/('Journal'!$B$3:$B$2002&gt;=$B$2)/('Journal'!$B$3:$B$2002&lt;=$B$3),35),""))</f>
        <v/>
      </c>
    </row>
    <row r="41">
      <c r="A41" s="18">
        <f>IF($H41="","",INDEX('Journal'!$A$1:$A$2002,$H41))</f>
        <v/>
      </c>
      <c r="B41" s="21">
        <f>IF($H41="","",INDEX('Journal'!$B$1:$B$2002,$H41))</f>
        <v/>
      </c>
      <c r="C41" s="5">
        <f>IF($H41="","",INDEX('Journal'!$C$1:$C$2002,$H41)&amp;"")</f>
        <v/>
      </c>
      <c r="D41" s="5">
        <f>IF($H41="","",IF(INDEX('Journal'!$D$1:$D$2002,$H41)=$B$1,INDEX('Journal'!$E$1:$E$2002,$H41),INDEX('Journal'!$D$1:$D$2002,$H41))&amp;"")</f>
        <v/>
      </c>
      <c r="E41" s="20">
        <f>IF($H41="","",IF(INDEX('Journal'!$D$1:$D$2002,$H41)=$B$1,N(INDEX('Journal'!$G$1:$G$2002,$H41)),N(INDEX('Journal'!$F$1:$F$2002,$H41))))</f>
        <v/>
      </c>
      <c r="F41" s="20">
        <f>IF($H41="","",IF(INDEX('Journal'!$D$1:$D$2002,$H41)=$B$1,N(INDEX('Journal'!$F$1:$F$2002,$H41)),N(INDEX('Journal'!$G$1:$G$2002,$H41))))</f>
        <v/>
      </c>
      <c r="G41" s="20">
        <f>IF($H41="","",G40+E41-F41)</f>
        <v/>
      </c>
      <c r="H41" s="18">
        <f t="array" ref="H41">IF($B$1="","",IFERROR(_xlfn.AGGREGATE(15,6,ROW('Journal'!$A$3:$A$2002)/(('Journal'!$D$3:$D$2002=$B$1)+('Journal'!$E$3:$E$2002=$B$1))/('Journal'!$B$3:$B$2002&gt;=$B$2)/('Journal'!$B$3:$B$2002&lt;=$B$3),36),""))</f>
        <v/>
      </c>
    </row>
    <row r="42">
      <c r="A42" s="18">
        <f>IF($H42="","",INDEX('Journal'!$A$1:$A$2002,$H42))</f>
        <v/>
      </c>
      <c r="B42" s="21">
        <f>IF($H42="","",INDEX('Journal'!$B$1:$B$2002,$H42))</f>
        <v/>
      </c>
      <c r="C42" s="5">
        <f>IF($H42="","",INDEX('Journal'!$C$1:$C$2002,$H42)&amp;"")</f>
        <v/>
      </c>
      <c r="D42" s="5">
        <f>IF($H42="","",IF(INDEX('Journal'!$D$1:$D$2002,$H42)=$B$1,INDEX('Journal'!$E$1:$E$2002,$H42),INDEX('Journal'!$D$1:$D$2002,$H42))&amp;"")</f>
        <v/>
      </c>
      <c r="E42" s="20">
        <f>IF($H42="","",IF(INDEX('Journal'!$D$1:$D$2002,$H42)=$B$1,N(INDEX('Journal'!$G$1:$G$2002,$H42)),N(INDEX('Journal'!$F$1:$F$2002,$H42))))</f>
        <v/>
      </c>
      <c r="F42" s="20">
        <f>IF($H42="","",IF(INDEX('Journal'!$D$1:$D$2002,$H42)=$B$1,N(INDEX('Journal'!$F$1:$F$2002,$H42)),N(INDEX('Journal'!$G$1:$G$2002,$H42))))</f>
        <v/>
      </c>
      <c r="G42" s="20">
        <f>IF($H42="","",G41+E42-F42)</f>
        <v/>
      </c>
      <c r="H42" s="18">
        <f t="array" ref="H42">IF($B$1="","",IFERROR(_xlfn.AGGREGATE(15,6,ROW('Journal'!$A$3:$A$2002)/(('Journal'!$D$3:$D$2002=$B$1)+('Journal'!$E$3:$E$2002=$B$1))/('Journal'!$B$3:$B$2002&gt;=$B$2)/('Journal'!$B$3:$B$2002&lt;=$B$3),37),""))</f>
        <v/>
      </c>
    </row>
    <row r="43">
      <c r="A43" s="18">
        <f>IF($H43="","",INDEX('Journal'!$A$1:$A$2002,$H43))</f>
        <v/>
      </c>
      <c r="B43" s="21">
        <f>IF($H43="","",INDEX('Journal'!$B$1:$B$2002,$H43))</f>
        <v/>
      </c>
      <c r="C43" s="5">
        <f>IF($H43="","",INDEX('Journal'!$C$1:$C$2002,$H43)&amp;"")</f>
        <v/>
      </c>
      <c r="D43" s="5">
        <f>IF($H43="","",IF(INDEX('Journal'!$D$1:$D$2002,$H43)=$B$1,INDEX('Journal'!$E$1:$E$2002,$H43),INDEX('Journal'!$D$1:$D$2002,$H43))&amp;"")</f>
        <v/>
      </c>
      <c r="E43" s="20">
        <f>IF($H43="","",IF(INDEX('Journal'!$D$1:$D$2002,$H43)=$B$1,N(INDEX('Journal'!$G$1:$G$2002,$H43)),N(INDEX('Journal'!$F$1:$F$2002,$H43))))</f>
        <v/>
      </c>
      <c r="F43" s="20">
        <f>IF($H43="","",IF(INDEX('Journal'!$D$1:$D$2002,$H43)=$B$1,N(INDEX('Journal'!$F$1:$F$2002,$H43)),N(INDEX('Journal'!$G$1:$G$2002,$H43))))</f>
        <v/>
      </c>
      <c r="G43" s="20">
        <f>IF($H43="","",G42+E43-F43)</f>
        <v/>
      </c>
      <c r="H43" s="18">
        <f t="array" ref="H43">IF($B$1="","",IFERROR(_xlfn.AGGREGATE(15,6,ROW('Journal'!$A$3:$A$2002)/(('Journal'!$D$3:$D$2002=$B$1)+('Journal'!$E$3:$E$2002=$B$1))/('Journal'!$B$3:$B$2002&gt;=$B$2)/('Journal'!$B$3:$B$2002&lt;=$B$3),38),""))</f>
        <v/>
      </c>
    </row>
    <row r="44">
      <c r="A44" s="18">
        <f>IF($H44="","",INDEX('Journal'!$A$1:$A$2002,$H44))</f>
        <v/>
      </c>
      <c r="B44" s="21">
        <f>IF($H44="","",INDEX('Journal'!$B$1:$B$2002,$H44))</f>
        <v/>
      </c>
      <c r="C44" s="5">
        <f>IF($H44="","",INDEX('Journal'!$C$1:$C$2002,$H44)&amp;"")</f>
        <v/>
      </c>
      <c r="D44" s="5">
        <f>IF($H44="","",IF(INDEX('Journal'!$D$1:$D$2002,$H44)=$B$1,INDEX('Journal'!$E$1:$E$2002,$H44),INDEX('Journal'!$D$1:$D$2002,$H44))&amp;"")</f>
        <v/>
      </c>
      <c r="E44" s="20">
        <f>IF($H44="","",IF(INDEX('Journal'!$D$1:$D$2002,$H44)=$B$1,N(INDEX('Journal'!$G$1:$G$2002,$H44)),N(INDEX('Journal'!$F$1:$F$2002,$H44))))</f>
        <v/>
      </c>
      <c r="F44" s="20">
        <f>IF($H44="","",IF(INDEX('Journal'!$D$1:$D$2002,$H44)=$B$1,N(INDEX('Journal'!$F$1:$F$2002,$H44)),N(INDEX('Journal'!$G$1:$G$2002,$H44))))</f>
        <v/>
      </c>
      <c r="G44" s="20">
        <f>IF($H44="","",G43+E44-F44)</f>
        <v/>
      </c>
      <c r="H44" s="18">
        <f t="array" ref="H44">IF($B$1="","",IFERROR(_xlfn.AGGREGATE(15,6,ROW('Journal'!$A$3:$A$2002)/(('Journal'!$D$3:$D$2002=$B$1)+('Journal'!$E$3:$E$2002=$B$1))/('Journal'!$B$3:$B$2002&gt;=$B$2)/('Journal'!$B$3:$B$2002&lt;=$B$3),39),""))</f>
        <v/>
      </c>
    </row>
    <row r="45">
      <c r="A45" s="18">
        <f>IF($H45="","",INDEX('Journal'!$A$1:$A$2002,$H45))</f>
        <v/>
      </c>
      <c r="B45" s="21">
        <f>IF($H45="","",INDEX('Journal'!$B$1:$B$2002,$H45))</f>
        <v/>
      </c>
      <c r="C45" s="5">
        <f>IF($H45="","",INDEX('Journal'!$C$1:$C$2002,$H45)&amp;"")</f>
        <v/>
      </c>
      <c r="D45" s="5">
        <f>IF($H45="","",IF(INDEX('Journal'!$D$1:$D$2002,$H45)=$B$1,INDEX('Journal'!$E$1:$E$2002,$H45),INDEX('Journal'!$D$1:$D$2002,$H45))&amp;"")</f>
        <v/>
      </c>
      <c r="E45" s="20">
        <f>IF($H45="","",IF(INDEX('Journal'!$D$1:$D$2002,$H45)=$B$1,N(INDEX('Journal'!$G$1:$G$2002,$H45)),N(INDEX('Journal'!$F$1:$F$2002,$H45))))</f>
        <v/>
      </c>
      <c r="F45" s="20">
        <f>IF($H45="","",IF(INDEX('Journal'!$D$1:$D$2002,$H45)=$B$1,N(INDEX('Journal'!$F$1:$F$2002,$H45)),N(INDEX('Journal'!$G$1:$G$2002,$H45))))</f>
        <v/>
      </c>
      <c r="G45" s="20">
        <f>IF($H45="","",G44+E45-F45)</f>
        <v/>
      </c>
      <c r="H45" s="18">
        <f t="array" ref="H45">IF($B$1="","",IFERROR(_xlfn.AGGREGATE(15,6,ROW('Journal'!$A$3:$A$2002)/(('Journal'!$D$3:$D$2002=$B$1)+('Journal'!$E$3:$E$2002=$B$1))/('Journal'!$B$3:$B$2002&gt;=$B$2)/('Journal'!$B$3:$B$2002&lt;=$B$3),40),""))</f>
        <v/>
      </c>
    </row>
    <row r="46">
      <c r="A46" s="18">
        <f>IF($H46="","",INDEX('Journal'!$A$1:$A$2002,$H46))</f>
        <v/>
      </c>
      <c r="B46" s="21">
        <f>IF($H46="","",INDEX('Journal'!$B$1:$B$2002,$H46))</f>
        <v/>
      </c>
      <c r="C46" s="5">
        <f>IF($H46="","",INDEX('Journal'!$C$1:$C$2002,$H46)&amp;"")</f>
        <v/>
      </c>
      <c r="D46" s="5">
        <f>IF($H46="","",IF(INDEX('Journal'!$D$1:$D$2002,$H46)=$B$1,INDEX('Journal'!$E$1:$E$2002,$H46),INDEX('Journal'!$D$1:$D$2002,$H46))&amp;"")</f>
        <v/>
      </c>
      <c r="E46" s="20">
        <f>IF($H46="","",IF(INDEX('Journal'!$D$1:$D$2002,$H46)=$B$1,N(INDEX('Journal'!$G$1:$G$2002,$H46)),N(INDEX('Journal'!$F$1:$F$2002,$H46))))</f>
        <v/>
      </c>
      <c r="F46" s="20">
        <f>IF($H46="","",IF(INDEX('Journal'!$D$1:$D$2002,$H46)=$B$1,N(INDEX('Journal'!$F$1:$F$2002,$H46)),N(INDEX('Journal'!$G$1:$G$2002,$H46))))</f>
        <v/>
      </c>
      <c r="G46" s="20">
        <f>IF($H46="","",G45+E46-F46)</f>
        <v/>
      </c>
      <c r="H46" s="18">
        <f t="array" ref="H46">IF($B$1="","",IFERROR(_xlfn.AGGREGATE(15,6,ROW('Journal'!$A$3:$A$2002)/(('Journal'!$D$3:$D$2002=$B$1)+('Journal'!$E$3:$E$2002=$B$1))/('Journal'!$B$3:$B$2002&gt;=$B$2)/('Journal'!$B$3:$B$2002&lt;=$B$3),41),""))</f>
        <v/>
      </c>
    </row>
    <row r="47">
      <c r="A47" s="18">
        <f>IF($H47="","",INDEX('Journal'!$A$1:$A$2002,$H47))</f>
        <v/>
      </c>
      <c r="B47" s="21">
        <f>IF($H47="","",INDEX('Journal'!$B$1:$B$2002,$H47))</f>
        <v/>
      </c>
      <c r="C47" s="5">
        <f>IF($H47="","",INDEX('Journal'!$C$1:$C$2002,$H47)&amp;"")</f>
        <v/>
      </c>
      <c r="D47" s="5">
        <f>IF($H47="","",IF(INDEX('Journal'!$D$1:$D$2002,$H47)=$B$1,INDEX('Journal'!$E$1:$E$2002,$H47),INDEX('Journal'!$D$1:$D$2002,$H47))&amp;"")</f>
        <v/>
      </c>
      <c r="E47" s="20">
        <f>IF($H47="","",IF(INDEX('Journal'!$D$1:$D$2002,$H47)=$B$1,N(INDEX('Journal'!$G$1:$G$2002,$H47)),N(INDEX('Journal'!$F$1:$F$2002,$H47))))</f>
        <v/>
      </c>
      <c r="F47" s="20">
        <f>IF($H47="","",IF(INDEX('Journal'!$D$1:$D$2002,$H47)=$B$1,N(INDEX('Journal'!$F$1:$F$2002,$H47)),N(INDEX('Journal'!$G$1:$G$2002,$H47))))</f>
        <v/>
      </c>
      <c r="G47" s="20">
        <f>IF($H47="","",G46+E47-F47)</f>
        <v/>
      </c>
      <c r="H47" s="18">
        <f t="array" ref="H47">IF($B$1="","",IFERROR(_xlfn.AGGREGATE(15,6,ROW('Journal'!$A$3:$A$2002)/(('Journal'!$D$3:$D$2002=$B$1)+('Journal'!$E$3:$E$2002=$B$1))/('Journal'!$B$3:$B$2002&gt;=$B$2)/('Journal'!$B$3:$B$2002&lt;=$B$3),42),""))</f>
        <v/>
      </c>
    </row>
    <row r="48">
      <c r="A48" s="18">
        <f>IF($H48="","",INDEX('Journal'!$A$1:$A$2002,$H48))</f>
        <v/>
      </c>
      <c r="B48" s="21">
        <f>IF($H48="","",INDEX('Journal'!$B$1:$B$2002,$H48))</f>
        <v/>
      </c>
      <c r="C48" s="5">
        <f>IF($H48="","",INDEX('Journal'!$C$1:$C$2002,$H48)&amp;"")</f>
        <v/>
      </c>
      <c r="D48" s="5">
        <f>IF($H48="","",IF(INDEX('Journal'!$D$1:$D$2002,$H48)=$B$1,INDEX('Journal'!$E$1:$E$2002,$H48),INDEX('Journal'!$D$1:$D$2002,$H48))&amp;"")</f>
        <v/>
      </c>
      <c r="E48" s="20">
        <f>IF($H48="","",IF(INDEX('Journal'!$D$1:$D$2002,$H48)=$B$1,N(INDEX('Journal'!$G$1:$G$2002,$H48)),N(INDEX('Journal'!$F$1:$F$2002,$H48))))</f>
        <v/>
      </c>
      <c r="F48" s="20">
        <f>IF($H48="","",IF(INDEX('Journal'!$D$1:$D$2002,$H48)=$B$1,N(INDEX('Journal'!$F$1:$F$2002,$H48)),N(INDEX('Journal'!$G$1:$G$2002,$H48))))</f>
        <v/>
      </c>
      <c r="G48" s="20">
        <f>IF($H48="","",G47+E48-F48)</f>
        <v/>
      </c>
      <c r="H48" s="18">
        <f t="array" ref="H48">IF($B$1="","",IFERROR(_xlfn.AGGREGATE(15,6,ROW('Journal'!$A$3:$A$2002)/(('Journal'!$D$3:$D$2002=$B$1)+('Journal'!$E$3:$E$2002=$B$1))/('Journal'!$B$3:$B$2002&gt;=$B$2)/('Journal'!$B$3:$B$2002&lt;=$B$3),43),""))</f>
        <v/>
      </c>
    </row>
    <row r="49">
      <c r="A49" s="18">
        <f>IF($H49="","",INDEX('Journal'!$A$1:$A$2002,$H49))</f>
        <v/>
      </c>
      <c r="B49" s="21">
        <f>IF($H49="","",INDEX('Journal'!$B$1:$B$2002,$H49))</f>
        <v/>
      </c>
      <c r="C49" s="5">
        <f>IF($H49="","",INDEX('Journal'!$C$1:$C$2002,$H49)&amp;"")</f>
        <v/>
      </c>
      <c r="D49" s="5">
        <f>IF($H49="","",IF(INDEX('Journal'!$D$1:$D$2002,$H49)=$B$1,INDEX('Journal'!$E$1:$E$2002,$H49),INDEX('Journal'!$D$1:$D$2002,$H49))&amp;"")</f>
        <v/>
      </c>
      <c r="E49" s="20">
        <f>IF($H49="","",IF(INDEX('Journal'!$D$1:$D$2002,$H49)=$B$1,N(INDEX('Journal'!$G$1:$G$2002,$H49)),N(INDEX('Journal'!$F$1:$F$2002,$H49))))</f>
        <v/>
      </c>
      <c r="F49" s="20">
        <f>IF($H49="","",IF(INDEX('Journal'!$D$1:$D$2002,$H49)=$B$1,N(INDEX('Journal'!$F$1:$F$2002,$H49)),N(INDEX('Journal'!$G$1:$G$2002,$H49))))</f>
        <v/>
      </c>
      <c r="G49" s="20">
        <f>IF($H49="","",G48+E49-F49)</f>
        <v/>
      </c>
      <c r="H49" s="18">
        <f t="array" ref="H49">IF($B$1="","",IFERROR(_xlfn.AGGREGATE(15,6,ROW('Journal'!$A$3:$A$2002)/(('Journal'!$D$3:$D$2002=$B$1)+('Journal'!$E$3:$E$2002=$B$1))/('Journal'!$B$3:$B$2002&gt;=$B$2)/('Journal'!$B$3:$B$2002&lt;=$B$3),44),""))</f>
        <v/>
      </c>
    </row>
    <row r="50">
      <c r="A50" s="18">
        <f>IF($H50="","",INDEX('Journal'!$A$1:$A$2002,$H50))</f>
        <v/>
      </c>
      <c r="B50" s="21">
        <f>IF($H50="","",INDEX('Journal'!$B$1:$B$2002,$H50))</f>
        <v/>
      </c>
      <c r="C50" s="5">
        <f>IF($H50="","",INDEX('Journal'!$C$1:$C$2002,$H50)&amp;"")</f>
        <v/>
      </c>
      <c r="D50" s="5">
        <f>IF($H50="","",IF(INDEX('Journal'!$D$1:$D$2002,$H50)=$B$1,INDEX('Journal'!$E$1:$E$2002,$H50),INDEX('Journal'!$D$1:$D$2002,$H50))&amp;"")</f>
        <v/>
      </c>
      <c r="E50" s="20">
        <f>IF($H50="","",IF(INDEX('Journal'!$D$1:$D$2002,$H50)=$B$1,N(INDEX('Journal'!$G$1:$G$2002,$H50)),N(INDEX('Journal'!$F$1:$F$2002,$H50))))</f>
        <v/>
      </c>
      <c r="F50" s="20">
        <f>IF($H50="","",IF(INDEX('Journal'!$D$1:$D$2002,$H50)=$B$1,N(INDEX('Journal'!$F$1:$F$2002,$H50)),N(INDEX('Journal'!$G$1:$G$2002,$H50))))</f>
        <v/>
      </c>
      <c r="G50" s="20">
        <f>IF($H50="","",G49+E50-F50)</f>
        <v/>
      </c>
      <c r="H50" s="18">
        <f t="array" ref="H50">IF($B$1="","",IFERROR(_xlfn.AGGREGATE(15,6,ROW('Journal'!$A$3:$A$2002)/(('Journal'!$D$3:$D$2002=$B$1)+('Journal'!$E$3:$E$2002=$B$1))/('Journal'!$B$3:$B$2002&gt;=$B$2)/('Journal'!$B$3:$B$2002&lt;=$B$3),45),""))</f>
        <v/>
      </c>
    </row>
    <row r="51">
      <c r="A51" s="18">
        <f>IF($H51="","",INDEX('Journal'!$A$1:$A$2002,$H51))</f>
        <v/>
      </c>
      <c r="B51" s="21">
        <f>IF($H51="","",INDEX('Journal'!$B$1:$B$2002,$H51))</f>
        <v/>
      </c>
      <c r="C51" s="5">
        <f>IF($H51="","",INDEX('Journal'!$C$1:$C$2002,$H51)&amp;"")</f>
        <v/>
      </c>
      <c r="D51" s="5">
        <f>IF($H51="","",IF(INDEX('Journal'!$D$1:$D$2002,$H51)=$B$1,INDEX('Journal'!$E$1:$E$2002,$H51),INDEX('Journal'!$D$1:$D$2002,$H51))&amp;"")</f>
        <v/>
      </c>
      <c r="E51" s="20">
        <f>IF($H51="","",IF(INDEX('Journal'!$D$1:$D$2002,$H51)=$B$1,N(INDEX('Journal'!$G$1:$G$2002,$H51)),N(INDEX('Journal'!$F$1:$F$2002,$H51))))</f>
        <v/>
      </c>
      <c r="F51" s="20">
        <f>IF($H51="","",IF(INDEX('Journal'!$D$1:$D$2002,$H51)=$B$1,N(INDEX('Journal'!$F$1:$F$2002,$H51)),N(INDEX('Journal'!$G$1:$G$2002,$H51))))</f>
        <v/>
      </c>
      <c r="G51" s="20">
        <f>IF($H51="","",G50+E51-F51)</f>
        <v/>
      </c>
      <c r="H51" s="18">
        <f t="array" ref="H51">IF($B$1="","",IFERROR(_xlfn.AGGREGATE(15,6,ROW('Journal'!$A$3:$A$2002)/(('Journal'!$D$3:$D$2002=$B$1)+('Journal'!$E$3:$E$2002=$B$1))/('Journal'!$B$3:$B$2002&gt;=$B$2)/('Journal'!$B$3:$B$2002&lt;=$B$3),46),""))</f>
        <v/>
      </c>
    </row>
    <row r="52">
      <c r="A52" s="18">
        <f>IF($H52="","",INDEX('Journal'!$A$1:$A$2002,$H52))</f>
        <v/>
      </c>
      <c r="B52" s="21">
        <f>IF($H52="","",INDEX('Journal'!$B$1:$B$2002,$H52))</f>
        <v/>
      </c>
      <c r="C52" s="5">
        <f>IF($H52="","",INDEX('Journal'!$C$1:$C$2002,$H52)&amp;"")</f>
        <v/>
      </c>
      <c r="D52" s="5">
        <f>IF($H52="","",IF(INDEX('Journal'!$D$1:$D$2002,$H52)=$B$1,INDEX('Journal'!$E$1:$E$2002,$H52),INDEX('Journal'!$D$1:$D$2002,$H52))&amp;"")</f>
        <v/>
      </c>
      <c r="E52" s="20">
        <f>IF($H52="","",IF(INDEX('Journal'!$D$1:$D$2002,$H52)=$B$1,N(INDEX('Journal'!$G$1:$G$2002,$H52)),N(INDEX('Journal'!$F$1:$F$2002,$H52))))</f>
        <v/>
      </c>
      <c r="F52" s="20">
        <f>IF($H52="","",IF(INDEX('Journal'!$D$1:$D$2002,$H52)=$B$1,N(INDEX('Journal'!$F$1:$F$2002,$H52)),N(INDEX('Journal'!$G$1:$G$2002,$H52))))</f>
        <v/>
      </c>
      <c r="G52" s="20">
        <f>IF($H52="","",G51+E52-F52)</f>
        <v/>
      </c>
      <c r="H52" s="18">
        <f t="array" ref="H52">IF($B$1="","",IFERROR(_xlfn.AGGREGATE(15,6,ROW('Journal'!$A$3:$A$2002)/(('Journal'!$D$3:$D$2002=$B$1)+('Journal'!$E$3:$E$2002=$B$1))/('Journal'!$B$3:$B$2002&gt;=$B$2)/('Journal'!$B$3:$B$2002&lt;=$B$3),47),""))</f>
        <v/>
      </c>
    </row>
    <row r="53">
      <c r="A53" s="18">
        <f>IF($H53="","",INDEX('Journal'!$A$1:$A$2002,$H53))</f>
        <v/>
      </c>
      <c r="B53" s="21">
        <f>IF($H53="","",INDEX('Journal'!$B$1:$B$2002,$H53))</f>
        <v/>
      </c>
      <c r="C53" s="5">
        <f>IF($H53="","",INDEX('Journal'!$C$1:$C$2002,$H53)&amp;"")</f>
        <v/>
      </c>
      <c r="D53" s="5">
        <f>IF($H53="","",IF(INDEX('Journal'!$D$1:$D$2002,$H53)=$B$1,INDEX('Journal'!$E$1:$E$2002,$H53),INDEX('Journal'!$D$1:$D$2002,$H53))&amp;"")</f>
        <v/>
      </c>
      <c r="E53" s="20">
        <f>IF($H53="","",IF(INDEX('Journal'!$D$1:$D$2002,$H53)=$B$1,N(INDEX('Journal'!$G$1:$G$2002,$H53)),N(INDEX('Journal'!$F$1:$F$2002,$H53))))</f>
        <v/>
      </c>
      <c r="F53" s="20">
        <f>IF($H53="","",IF(INDEX('Journal'!$D$1:$D$2002,$H53)=$B$1,N(INDEX('Journal'!$F$1:$F$2002,$H53)),N(INDEX('Journal'!$G$1:$G$2002,$H53))))</f>
        <v/>
      </c>
      <c r="G53" s="20">
        <f>IF($H53="","",G52+E53-F53)</f>
        <v/>
      </c>
      <c r="H53" s="18">
        <f t="array" ref="H53">IF($B$1="","",IFERROR(_xlfn.AGGREGATE(15,6,ROW('Journal'!$A$3:$A$2002)/(('Journal'!$D$3:$D$2002=$B$1)+('Journal'!$E$3:$E$2002=$B$1))/('Journal'!$B$3:$B$2002&gt;=$B$2)/('Journal'!$B$3:$B$2002&lt;=$B$3),48),""))</f>
        <v/>
      </c>
    </row>
    <row r="54">
      <c r="A54" s="18">
        <f>IF($H54="","",INDEX('Journal'!$A$1:$A$2002,$H54))</f>
        <v/>
      </c>
      <c r="B54" s="21">
        <f>IF($H54="","",INDEX('Journal'!$B$1:$B$2002,$H54))</f>
        <v/>
      </c>
      <c r="C54" s="5">
        <f>IF($H54="","",INDEX('Journal'!$C$1:$C$2002,$H54)&amp;"")</f>
        <v/>
      </c>
      <c r="D54" s="5">
        <f>IF($H54="","",IF(INDEX('Journal'!$D$1:$D$2002,$H54)=$B$1,INDEX('Journal'!$E$1:$E$2002,$H54),INDEX('Journal'!$D$1:$D$2002,$H54))&amp;"")</f>
        <v/>
      </c>
      <c r="E54" s="20">
        <f>IF($H54="","",IF(INDEX('Journal'!$D$1:$D$2002,$H54)=$B$1,N(INDEX('Journal'!$G$1:$G$2002,$H54)),N(INDEX('Journal'!$F$1:$F$2002,$H54))))</f>
        <v/>
      </c>
      <c r="F54" s="20">
        <f>IF($H54="","",IF(INDEX('Journal'!$D$1:$D$2002,$H54)=$B$1,N(INDEX('Journal'!$F$1:$F$2002,$H54)),N(INDEX('Journal'!$G$1:$G$2002,$H54))))</f>
        <v/>
      </c>
      <c r="G54" s="20">
        <f>IF($H54="","",G53+E54-F54)</f>
        <v/>
      </c>
      <c r="H54" s="18">
        <f t="array" ref="H54">IF($B$1="","",IFERROR(_xlfn.AGGREGATE(15,6,ROW('Journal'!$A$3:$A$2002)/(('Journal'!$D$3:$D$2002=$B$1)+('Journal'!$E$3:$E$2002=$B$1))/('Journal'!$B$3:$B$2002&gt;=$B$2)/('Journal'!$B$3:$B$2002&lt;=$B$3),49),""))</f>
        <v/>
      </c>
    </row>
    <row r="55">
      <c r="A55" s="18">
        <f>IF($H55="","",INDEX('Journal'!$A$1:$A$2002,$H55))</f>
        <v/>
      </c>
      <c r="B55" s="21">
        <f>IF($H55="","",INDEX('Journal'!$B$1:$B$2002,$H55))</f>
        <v/>
      </c>
      <c r="C55" s="5">
        <f>IF($H55="","",INDEX('Journal'!$C$1:$C$2002,$H55)&amp;"")</f>
        <v/>
      </c>
      <c r="D55" s="5">
        <f>IF($H55="","",IF(INDEX('Journal'!$D$1:$D$2002,$H55)=$B$1,INDEX('Journal'!$E$1:$E$2002,$H55),INDEX('Journal'!$D$1:$D$2002,$H55))&amp;"")</f>
        <v/>
      </c>
      <c r="E55" s="20">
        <f>IF($H55="","",IF(INDEX('Journal'!$D$1:$D$2002,$H55)=$B$1,N(INDEX('Journal'!$G$1:$G$2002,$H55)),N(INDEX('Journal'!$F$1:$F$2002,$H55))))</f>
        <v/>
      </c>
      <c r="F55" s="20">
        <f>IF($H55="","",IF(INDEX('Journal'!$D$1:$D$2002,$H55)=$B$1,N(INDEX('Journal'!$F$1:$F$2002,$H55)),N(INDEX('Journal'!$G$1:$G$2002,$H55))))</f>
        <v/>
      </c>
      <c r="G55" s="20">
        <f>IF($H55="","",G54+E55-F55)</f>
        <v/>
      </c>
      <c r="H55" s="18">
        <f t="array" ref="H55">IF($B$1="","",IFERROR(_xlfn.AGGREGATE(15,6,ROW('Journal'!$A$3:$A$2002)/(('Journal'!$D$3:$D$2002=$B$1)+('Journal'!$E$3:$E$2002=$B$1))/('Journal'!$B$3:$B$2002&gt;=$B$2)/('Journal'!$B$3:$B$2002&lt;=$B$3),50),""))</f>
        <v/>
      </c>
    </row>
    <row r="56">
      <c r="A56" s="18">
        <f>IF($H56="","",INDEX('Journal'!$A$1:$A$2002,$H56))</f>
        <v/>
      </c>
      <c r="B56" s="21">
        <f>IF($H56="","",INDEX('Journal'!$B$1:$B$2002,$H56))</f>
        <v/>
      </c>
      <c r="C56" s="5">
        <f>IF($H56="","",INDEX('Journal'!$C$1:$C$2002,$H56)&amp;"")</f>
        <v/>
      </c>
      <c r="D56" s="5">
        <f>IF($H56="","",IF(INDEX('Journal'!$D$1:$D$2002,$H56)=$B$1,INDEX('Journal'!$E$1:$E$2002,$H56),INDEX('Journal'!$D$1:$D$2002,$H56))&amp;"")</f>
        <v/>
      </c>
      <c r="E56" s="20">
        <f>IF($H56="","",IF(INDEX('Journal'!$D$1:$D$2002,$H56)=$B$1,N(INDEX('Journal'!$G$1:$G$2002,$H56)),N(INDEX('Journal'!$F$1:$F$2002,$H56))))</f>
        <v/>
      </c>
      <c r="F56" s="20">
        <f>IF($H56="","",IF(INDEX('Journal'!$D$1:$D$2002,$H56)=$B$1,N(INDEX('Journal'!$F$1:$F$2002,$H56)),N(INDEX('Journal'!$G$1:$G$2002,$H56))))</f>
        <v/>
      </c>
      <c r="G56" s="20">
        <f>IF($H56="","",G55+E56-F56)</f>
        <v/>
      </c>
      <c r="H56" s="18">
        <f t="array" ref="H56">IF($B$1="","",IFERROR(_xlfn.AGGREGATE(15,6,ROW('Journal'!$A$3:$A$2002)/(('Journal'!$D$3:$D$2002=$B$1)+('Journal'!$E$3:$E$2002=$B$1))/('Journal'!$B$3:$B$2002&gt;=$B$2)/('Journal'!$B$3:$B$2002&lt;=$B$3),51),""))</f>
        <v/>
      </c>
    </row>
    <row r="57">
      <c r="A57" s="18">
        <f>IF($H57="","",INDEX('Journal'!$A$1:$A$2002,$H57))</f>
        <v/>
      </c>
      <c r="B57" s="21">
        <f>IF($H57="","",INDEX('Journal'!$B$1:$B$2002,$H57))</f>
        <v/>
      </c>
      <c r="C57" s="5">
        <f>IF($H57="","",INDEX('Journal'!$C$1:$C$2002,$H57)&amp;"")</f>
        <v/>
      </c>
      <c r="D57" s="5">
        <f>IF($H57="","",IF(INDEX('Journal'!$D$1:$D$2002,$H57)=$B$1,INDEX('Journal'!$E$1:$E$2002,$H57),INDEX('Journal'!$D$1:$D$2002,$H57))&amp;"")</f>
        <v/>
      </c>
      <c r="E57" s="20">
        <f>IF($H57="","",IF(INDEX('Journal'!$D$1:$D$2002,$H57)=$B$1,N(INDEX('Journal'!$G$1:$G$2002,$H57)),N(INDEX('Journal'!$F$1:$F$2002,$H57))))</f>
        <v/>
      </c>
      <c r="F57" s="20">
        <f>IF($H57="","",IF(INDEX('Journal'!$D$1:$D$2002,$H57)=$B$1,N(INDEX('Journal'!$F$1:$F$2002,$H57)),N(INDEX('Journal'!$G$1:$G$2002,$H57))))</f>
        <v/>
      </c>
      <c r="G57" s="20">
        <f>IF($H57="","",G56+E57-F57)</f>
        <v/>
      </c>
      <c r="H57" s="18">
        <f t="array" ref="H57">IF($B$1="","",IFERROR(_xlfn.AGGREGATE(15,6,ROW('Journal'!$A$3:$A$2002)/(('Journal'!$D$3:$D$2002=$B$1)+('Journal'!$E$3:$E$2002=$B$1))/('Journal'!$B$3:$B$2002&gt;=$B$2)/('Journal'!$B$3:$B$2002&lt;=$B$3),52),""))</f>
        <v/>
      </c>
    </row>
    <row r="58">
      <c r="A58" s="18">
        <f>IF($H58="","",INDEX('Journal'!$A$1:$A$2002,$H58))</f>
        <v/>
      </c>
      <c r="B58" s="21">
        <f>IF($H58="","",INDEX('Journal'!$B$1:$B$2002,$H58))</f>
        <v/>
      </c>
      <c r="C58" s="5">
        <f>IF($H58="","",INDEX('Journal'!$C$1:$C$2002,$H58)&amp;"")</f>
        <v/>
      </c>
      <c r="D58" s="5">
        <f>IF($H58="","",IF(INDEX('Journal'!$D$1:$D$2002,$H58)=$B$1,INDEX('Journal'!$E$1:$E$2002,$H58),INDEX('Journal'!$D$1:$D$2002,$H58))&amp;"")</f>
        <v/>
      </c>
      <c r="E58" s="20">
        <f>IF($H58="","",IF(INDEX('Journal'!$D$1:$D$2002,$H58)=$B$1,N(INDEX('Journal'!$G$1:$G$2002,$H58)),N(INDEX('Journal'!$F$1:$F$2002,$H58))))</f>
        <v/>
      </c>
      <c r="F58" s="20">
        <f>IF($H58="","",IF(INDEX('Journal'!$D$1:$D$2002,$H58)=$B$1,N(INDEX('Journal'!$F$1:$F$2002,$H58)),N(INDEX('Journal'!$G$1:$G$2002,$H58))))</f>
        <v/>
      </c>
      <c r="G58" s="20">
        <f>IF($H58="","",G57+E58-F58)</f>
        <v/>
      </c>
      <c r="H58" s="18">
        <f t="array" ref="H58">IF($B$1="","",IFERROR(_xlfn.AGGREGATE(15,6,ROW('Journal'!$A$3:$A$2002)/(('Journal'!$D$3:$D$2002=$B$1)+('Journal'!$E$3:$E$2002=$B$1))/('Journal'!$B$3:$B$2002&gt;=$B$2)/('Journal'!$B$3:$B$2002&lt;=$B$3),53),""))</f>
        <v/>
      </c>
    </row>
    <row r="59">
      <c r="A59" s="18">
        <f>IF($H59="","",INDEX('Journal'!$A$1:$A$2002,$H59))</f>
        <v/>
      </c>
      <c r="B59" s="21">
        <f>IF($H59="","",INDEX('Journal'!$B$1:$B$2002,$H59))</f>
        <v/>
      </c>
      <c r="C59" s="5">
        <f>IF($H59="","",INDEX('Journal'!$C$1:$C$2002,$H59)&amp;"")</f>
        <v/>
      </c>
      <c r="D59" s="5">
        <f>IF($H59="","",IF(INDEX('Journal'!$D$1:$D$2002,$H59)=$B$1,INDEX('Journal'!$E$1:$E$2002,$H59),INDEX('Journal'!$D$1:$D$2002,$H59))&amp;"")</f>
        <v/>
      </c>
      <c r="E59" s="20">
        <f>IF($H59="","",IF(INDEX('Journal'!$D$1:$D$2002,$H59)=$B$1,N(INDEX('Journal'!$G$1:$G$2002,$H59)),N(INDEX('Journal'!$F$1:$F$2002,$H59))))</f>
        <v/>
      </c>
      <c r="F59" s="20">
        <f>IF($H59="","",IF(INDEX('Journal'!$D$1:$D$2002,$H59)=$B$1,N(INDEX('Journal'!$F$1:$F$2002,$H59)),N(INDEX('Journal'!$G$1:$G$2002,$H59))))</f>
        <v/>
      </c>
      <c r="G59" s="20">
        <f>IF($H59="","",G58+E59-F59)</f>
        <v/>
      </c>
      <c r="H59" s="18">
        <f t="array" ref="H59">IF($B$1="","",IFERROR(_xlfn.AGGREGATE(15,6,ROW('Journal'!$A$3:$A$2002)/(('Journal'!$D$3:$D$2002=$B$1)+('Journal'!$E$3:$E$2002=$B$1))/('Journal'!$B$3:$B$2002&gt;=$B$2)/('Journal'!$B$3:$B$2002&lt;=$B$3),54),""))</f>
        <v/>
      </c>
    </row>
    <row r="60">
      <c r="A60" s="18">
        <f>IF($H60="","",INDEX('Journal'!$A$1:$A$2002,$H60))</f>
        <v/>
      </c>
      <c r="B60" s="21">
        <f>IF($H60="","",INDEX('Journal'!$B$1:$B$2002,$H60))</f>
        <v/>
      </c>
      <c r="C60" s="5">
        <f>IF($H60="","",INDEX('Journal'!$C$1:$C$2002,$H60)&amp;"")</f>
        <v/>
      </c>
      <c r="D60" s="5">
        <f>IF($H60="","",IF(INDEX('Journal'!$D$1:$D$2002,$H60)=$B$1,INDEX('Journal'!$E$1:$E$2002,$H60),INDEX('Journal'!$D$1:$D$2002,$H60))&amp;"")</f>
        <v/>
      </c>
      <c r="E60" s="20">
        <f>IF($H60="","",IF(INDEX('Journal'!$D$1:$D$2002,$H60)=$B$1,N(INDEX('Journal'!$G$1:$G$2002,$H60)),N(INDEX('Journal'!$F$1:$F$2002,$H60))))</f>
        <v/>
      </c>
      <c r="F60" s="20">
        <f>IF($H60="","",IF(INDEX('Journal'!$D$1:$D$2002,$H60)=$B$1,N(INDEX('Journal'!$F$1:$F$2002,$H60)),N(INDEX('Journal'!$G$1:$G$2002,$H60))))</f>
        <v/>
      </c>
      <c r="G60" s="20">
        <f>IF($H60="","",G59+E60-F60)</f>
        <v/>
      </c>
      <c r="H60" s="18">
        <f t="array" ref="H60">IF($B$1="","",IFERROR(_xlfn.AGGREGATE(15,6,ROW('Journal'!$A$3:$A$2002)/(('Journal'!$D$3:$D$2002=$B$1)+('Journal'!$E$3:$E$2002=$B$1))/('Journal'!$B$3:$B$2002&gt;=$B$2)/('Journal'!$B$3:$B$2002&lt;=$B$3),55),""))</f>
        <v/>
      </c>
    </row>
    <row r="61">
      <c r="A61" s="18">
        <f>IF($H61="","",INDEX('Journal'!$A$1:$A$2002,$H61))</f>
        <v/>
      </c>
      <c r="B61" s="21">
        <f>IF($H61="","",INDEX('Journal'!$B$1:$B$2002,$H61))</f>
        <v/>
      </c>
      <c r="C61" s="5">
        <f>IF($H61="","",INDEX('Journal'!$C$1:$C$2002,$H61)&amp;"")</f>
        <v/>
      </c>
      <c r="D61" s="5">
        <f>IF($H61="","",IF(INDEX('Journal'!$D$1:$D$2002,$H61)=$B$1,INDEX('Journal'!$E$1:$E$2002,$H61),INDEX('Journal'!$D$1:$D$2002,$H61))&amp;"")</f>
        <v/>
      </c>
      <c r="E61" s="20">
        <f>IF($H61="","",IF(INDEX('Journal'!$D$1:$D$2002,$H61)=$B$1,N(INDEX('Journal'!$G$1:$G$2002,$H61)),N(INDEX('Journal'!$F$1:$F$2002,$H61))))</f>
        <v/>
      </c>
      <c r="F61" s="20">
        <f>IF($H61="","",IF(INDEX('Journal'!$D$1:$D$2002,$H61)=$B$1,N(INDEX('Journal'!$F$1:$F$2002,$H61)),N(INDEX('Journal'!$G$1:$G$2002,$H61))))</f>
        <v/>
      </c>
      <c r="G61" s="20">
        <f>IF($H61="","",G60+E61-F61)</f>
        <v/>
      </c>
      <c r="H61" s="18">
        <f t="array" ref="H61">IF($B$1="","",IFERROR(_xlfn.AGGREGATE(15,6,ROW('Journal'!$A$3:$A$2002)/(('Journal'!$D$3:$D$2002=$B$1)+('Journal'!$E$3:$E$2002=$B$1))/('Journal'!$B$3:$B$2002&gt;=$B$2)/('Journal'!$B$3:$B$2002&lt;=$B$3),56),""))</f>
        <v/>
      </c>
    </row>
    <row r="62">
      <c r="A62" s="18">
        <f>IF($H62="","",INDEX('Journal'!$A$1:$A$2002,$H62))</f>
        <v/>
      </c>
      <c r="B62" s="21">
        <f>IF($H62="","",INDEX('Journal'!$B$1:$B$2002,$H62))</f>
        <v/>
      </c>
      <c r="C62" s="5">
        <f>IF($H62="","",INDEX('Journal'!$C$1:$C$2002,$H62)&amp;"")</f>
        <v/>
      </c>
      <c r="D62" s="5">
        <f>IF($H62="","",IF(INDEX('Journal'!$D$1:$D$2002,$H62)=$B$1,INDEX('Journal'!$E$1:$E$2002,$H62),INDEX('Journal'!$D$1:$D$2002,$H62))&amp;"")</f>
        <v/>
      </c>
      <c r="E62" s="20">
        <f>IF($H62="","",IF(INDEX('Journal'!$D$1:$D$2002,$H62)=$B$1,N(INDEX('Journal'!$G$1:$G$2002,$H62)),N(INDEX('Journal'!$F$1:$F$2002,$H62))))</f>
        <v/>
      </c>
      <c r="F62" s="20">
        <f>IF($H62="","",IF(INDEX('Journal'!$D$1:$D$2002,$H62)=$B$1,N(INDEX('Journal'!$F$1:$F$2002,$H62)),N(INDEX('Journal'!$G$1:$G$2002,$H62))))</f>
        <v/>
      </c>
      <c r="G62" s="20">
        <f>IF($H62="","",G61+E62-F62)</f>
        <v/>
      </c>
      <c r="H62" s="18">
        <f t="array" ref="H62">IF($B$1="","",IFERROR(_xlfn.AGGREGATE(15,6,ROW('Journal'!$A$3:$A$2002)/(('Journal'!$D$3:$D$2002=$B$1)+('Journal'!$E$3:$E$2002=$B$1))/('Journal'!$B$3:$B$2002&gt;=$B$2)/('Journal'!$B$3:$B$2002&lt;=$B$3),57),""))</f>
        <v/>
      </c>
    </row>
    <row r="63">
      <c r="A63" s="18">
        <f>IF($H63="","",INDEX('Journal'!$A$1:$A$2002,$H63))</f>
        <v/>
      </c>
      <c r="B63" s="21">
        <f>IF($H63="","",INDEX('Journal'!$B$1:$B$2002,$H63))</f>
        <v/>
      </c>
      <c r="C63" s="5">
        <f>IF($H63="","",INDEX('Journal'!$C$1:$C$2002,$H63)&amp;"")</f>
        <v/>
      </c>
      <c r="D63" s="5">
        <f>IF($H63="","",IF(INDEX('Journal'!$D$1:$D$2002,$H63)=$B$1,INDEX('Journal'!$E$1:$E$2002,$H63),INDEX('Journal'!$D$1:$D$2002,$H63))&amp;"")</f>
        <v/>
      </c>
      <c r="E63" s="20">
        <f>IF($H63="","",IF(INDEX('Journal'!$D$1:$D$2002,$H63)=$B$1,N(INDEX('Journal'!$G$1:$G$2002,$H63)),N(INDEX('Journal'!$F$1:$F$2002,$H63))))</f>
        <v/>
      </c>
      <c r="F63" s="20">
        <f>IF($H63="","",IF(INDEX('Journal'!$D$1:$D$2002,$H63)=$B$1,N(INDEX('Journal'!$F$1:$F$2002,$H63)),N(INDEX('Journal'!$G$1:$G$2002,$H63))))</f>
        <v/>
      </c>
      <c r="G63" s="20">
        <f>IF($H63="","",G62+E63-F63)</f>
        <v/>
      </c>
      <c r="H63" s="18">
        <f t="array" ref="H63">IF($B$1="","",IFERROR(_xlfn.AGGREGATE(15,6,ROW('Journal'!$A$3:$A$2002)/(('Journal'!$D$3:$D$2002=$B$1)+('Journal'!$E$3:$E$2002=$B$1))/('Journal'!$B$3:$B$2002&gt;=$B$2)/('Journal'!$B$3:$B$2002&lt;=$B$3),58),""))</f>
        <v/>
      </c>
    </row>
    <row r="64">
      <c r="A64" s="18">
        <f>IF($H64="","",INDEX('Journal'!$A$1:$A$2002,$H64))</f>
        <v/>
      </c>
      <c r="B64" s="21">
        <f>IF($H64="","",INDEX('Journal'!$B$1:$B$2002,$H64))</f>
        <v/>
      </c>
      <c r="C64" s="5">
        <f>IF($H64="","",INDEX('Journal'!$C$1:$C$2002,$H64)&amp;"")</f>
        <v/>
      </c>
      <c r="D64" s="5">
        <f>IF($H64="","",IF(INDEX('Journal'!$D$1:$D$2002,$H64)=$B$1,INDEX('Journal'!$E$1:$E$2002,$H64),INDEX('Journal'!$D$1:$D$2002,$H64))&amp;"")</f>
        <v/>
      </c>
      <c r="E64" s="20">
        <f>IF($H64="","",IF(INDEX('Journal'!$D$1:$D$2002,$H64)=$B$1,N(INDEX('Journal'!$G$1:$G$2002,$H64)),N(INDEX('Journal'!$F$1:$F$2002,$H64))))</f>
        <v/>
      </c>
      <c r="F64" s="20">
        <f>IF($H64="","",IF(INDEX('Journal'!$D$1:$D$2002,$H64)=$B$1,N(INDEX('Journal'!$F$1:$F$2002,$H64)),N(INDEX('Journal'!$G$1:$G$2002,$H64))))</f>
        <v/>
      </c>
      <c r="G64" s="20">
        <f>IF($H64="","",G63+E64-F64)</f>
        <v/>
      </c>
      <c r="H64" s="18">
        <f t="array" ref="H64">IF($B$1="","",IFERROR(_xlfn.AGGREGATE(15,6,ROW('Journal'!$A$3:$A$2002)/(('Journal'!$D$3:$D$2002=$B$1)+('Journal'!$E$3:$E$2002=$B$1))/('Journal'!$B$3:$B$2002&gt;=$B$2)/('Journal'!$B$3:$B$2002&lt;=$B$3),59),""))</f>
        <v/>
      </c>
    </row>
    <row r="65">
      <c r="A65" s="18">
        <f>IF($H65="","",INDEX('Journal'!$A$1:$A$2002,$H65))</f>
        <v/>
      </c>
      <c r="B65" s="21">
        <f>IF($H65="","",INDEX('Journal'!$B$1:$B$2002,$H65))</f>
        <v/>
      </c>
      <c r="C65" s="5">
        <f>IF($H65="","",INDEX('Journal'!$C$1:$C$2002,$H65)&amp;"")</f>
        <v/>
      </c>
      <c r="D65" s="5">
        <f>IF($H65="","",IF(INDEX('Journal'!$D$1:$D$2002,$H65)=$B$1,INDEX('Journal'!$E$1:$E$2002,$H65),INDEX('Journal'!$D$1:$D$2002,$H65))&amp;"")</f>
        <v/>
      </c>
      <c r="E65" s="20">
        <f>IF($H65="","",IF(INDEX('Journal'!$D$1:$D$2002,$H65)=$B$1,N(INDEX('Journal'!$G$1:$G$2002,$H65)),N(INDEX('Journal'!$F$1:$F$2002,$H65))))</f>
        <v/>
      </c>
      <c r="F65" s="20">
        <f>IF($H65="","",IF(INDEX('Journal'!$D$1:$D$2002,$H65)=$B$1,N(INDEX('Journal'!$F$1:$F$2002,$H65)),N(INDEX('Journal'!$G$1:$G$2002,$H65))))</f>
        <v/>
      </c>
      <c r="G65" s="20">
        <f>IF($H65="","",G64+E65-F65)</f>
        <v/>
      </c>
      <c r="H65" s="18">
        <f t="array" ref="H65">IF($B$1="","",IFERROR(_xlfn.AGGREGATE(15,6,ROW('Journal'!$A$3:$A$2002)/(('Journal'!$D$3:$D$2002=$B$1)+('Journal'!$E$3:$E$2002=$B$1))/('Journal'!$B$3:$B$2002&gt;=$B$2)/('Journal'!$B$3:$B$2002&lt;=$B$3),60),""))</f>
        <v/>
      </c>
    </row>
    <row r="66">
      <c r="A66" s="18">
        <f>IF($H66="","",INDEX('Journal'!$A$1:$A$2002,$H66))</f>
        <v/>
      </c>
      <c r="B66" s="21">
        <f>IF($H66="","",INDEX('Journal'!$B$1:$B$2002,$H66))</f>
        <v/>
      </c>
      <c r="C66" s="5">
        <f>IF($H66="","",INDEX('Journal'!$C$1:$C$2002,$H66)&amp;"")</f>
        <v/>
      </c>
      <c r="D66" s="5">
        <f>IF($H66="","",IF(INDEX('Journal'!$D$1:$D$2002,$H66)=$B$1,INDEX('Journal'!$E$1:$E$2002,$H66),INDEX('Journal'!$D$1:$D$2002,$H66))&amp;"")</f>
        <v/>
      </c>
      <c r="E66" s="20">
        <f>IF($H66="","",IF(INDEX('Journal'!$D$1:$D$2002,$H66)=$B$1,N(INDEX('Journal'!$G$1:$G$2002,$H66)),N(INDEX('Journal'!$F$1:$F$2002,$H66))))</f>
        <v/>
      </c>
      <c r="F66" s="20">
        <f>IF($H66="","",IF(INDEX('Journal'!$D$1:$D$2002,$H66)=$B$1,N(INDEX('Journal'!$F$1:$F$2002,$H66)),N(INDEX('Journal'!$G$1:$G$2002,$H66))))</f>
        <v/>
      </c>
      <c r="G66" s="20">
        <f>IF($H66="","",G65+E66-F66)</f>
        <v/>
      </c>
      <c r="H66" s="18">
        <f t="array" ref="H66">IF($B$1="","",IFERROR(_xlfn.AGGREGATE(15,6,ROW('Journal'!$A$3:$A$2002)/(('Journal'!$D$3:$D$2002=$B$1)+('Journal'!$E$3:$E$2002=$B$1))/('Journal'!$B$3:$B$2002&gt;=$B$2)/('Journal'!$B$3:$B$2002&lt;=$B$3),61),""))</f>
        <v/>
      </c>
    </row>
    <row r="67">
      <c r="A67" s="18">
        <f>IF($H67="","",INDEX('Journal'!$A$1:$A$2002,$H67))</f>
        <v/>
      </c>
      <c r="B67" s="21">
        <f>IF($H67="","",INDEX('Journal'!$B$1:$B$2002,$H67))</f>
        <v/>
      </c>
      <c r="C67" s="5">
        <f>IF($H67="","",INDEX('Journal'!$C$1:$C$2002,$H67)&amp;"")</f>
        <v/>
      </c>
      <c r="D67" s="5">
        <f>IF($H67="","",IF(INDEX('Journal'!$D$1:$D$2002,$H67)=$B$1,INDEX('Journal'!$E$1:$E$2002,$H67),INDEX('Journal'!$D$1:$D$2002,$H67))&amp;"")</f>
        <v/>
      </c>
      <c r="E67" s="20">
        <f>IF($H67="","",IF(INDEX('Journal'!$D$1:$D$2002,$H67)=$B$1,N(INDEX('Journal'!$G$1:$G$2002,$H67)),N(INDEX('Journal'!$F$1:$F$2002,$H67))))</f>
        <v/>
      </c>
      <c r="F67" s="20">
        <f>IF($H67="","",IF(INDEX('Journal'!$D$1:$D$2002,$H67)=$B$1,N(INDEX('Journal'!$F$1:$F$2002,$H67)),N(INDEX('Journal'!$G$1:$G$2002,$H67))))</f>
        <v/>
      </c>
      <c r="G67" s="20">
        <f>IF($H67="","",G66+E67-F67)</f>
        <v/>
      </c>
      <c r="H67" s="18">
        <f t="array" ref="H67">IF($B$1="","",IFERROR(_xlfn.AGGREGATE(15,6,ROW('Journal'!$A$3:$A$2002)/(('Journal'!$D$3:$D$2002=$B$1)+('Journal'!$E$3:$E$2002=$B$1))/('Journal'!$B$3:$B$2002&gt;=$B$2)/('Journal'!$B$3:$B$2002&lt;=$B$3),62),""))</f>
        <v/>
      </c>
    </row>
    <row r="68">
      <c r="A68" s="18">
        <f>IF($H68="","",INDEX('Journal'!$A$1:$A$2002,$H68))</f>
        <v/>
      </c>
      <c r="B68" s="21">
        <f>IF($H68="","",INDEX('Journal'!$B$1:$B$2002,$H68))</f>
        <v/>
      </c>
      <c r="C68" s="5">
        <f>IF($H68="","",INDEX('Journal'!$C$1:$C$2002,$H68)&amp;"")</f>
        <v/>
      </c>
      <c r="D68" s="5">
        <f>IF($H68="","",IF(INDEX('Journal'!$D$1:$D$2002,$H68)=$B$1,INDEX('Journal'!$E$1:$E$2002,$H68),INDEX('Journal'!$D$1:$D$2002,$H68))&amp;"")</f>
        <v/>
      </c>
      <c r="E68" s="20">
        <f>IF($H68="","",IF(INDEX('Journal'!$D$1:$D$2002,$H68)=$B$1,N(INDEX('Journal'!$G$1:$G$2002,$H68)),N(INDEX('Journal'!$F$1:$F$2002,$H68))))</f>
        <v/>
      </c>
      <c r="F68" s="20">
        <f>IF($H68="","",IF(INDEX('Journal'!$D$1:$D$2002,$H68)=$B$1,N(INDEX('Journal'!$F$1:$F$2002,$H68)),N(INDEX('Journal'!$G$1:$G$2002,$H68))))</f>
        <v/>
      </c>
      <c r="G68" s="20">
        <f>IF($H68="","",G67+E68-F68)</f>
        <v/>
      </c>
      <c r="H68" s="18">
        <f t="array" ref="H68">IF($B$1="","",IFERROR(_xlfn.AGGREGATE(15,6,ROW('Journal'!$A$3:$A$2002)/(('Journal'!$D$3:$D$2002=$B$1)+('Journal'!$E$3:$E$2002=$B$1))/('Journal'!$B$3:$B$2002&gt;=$B$2)/('Journal'!$B$3:$B$2002&lt;=$B$3),63),""))</f>
        <v/>
      </c>
    </row>
    <row r="69">
      <c r="A69" s="18">
        <f>IF($H69="","",INDEX('Journal'!$A$1:$A$2002,$H69))</f>
        <v/>
      </c>
      <c r="B69" s="21">
        <f>IF($H69="","",INDEX('Journal'!$B$1:$B$2002,$H69))</f>
        <v/>
      </c>
      <c r="C69" s="5">
        <f>IF($H69="","",INDEX('Journal'!$C$1:$C$2002,$H69)&amp;"")</f>
        <v/>
      </c>
      <c r="D69" s="5">
        <f>IF($H69="","",IF(INDEX('Journal'!$D$1:$D$2002,$H69)=$B$1,INDEX('Journal'!$E$1:$E$2002,$H69),INDEX('Journal'!$D$1:$D$2002,$H69))&amp;"")</f>
        <v/>
      </c>
      <c r="E69" s="20">
        <f>IF($H69="","",IF(INDEX('Journal'!$D$1:$D$2002,$H69)=$B$1,N(INDEX('Journal'!$G$1:$G$2002,$H69)),N(INDEX('Journal'!$F$1:$F$2002,$H69))))</f>
        <v/>
      </c>
      <c r="F69" s="20">
        <f>IF($H69="","",IF(INDEX('Journal'!$D$1:$D$2002,$H69)=$B$1,N(INDEX('Journal'!$F$1:$F$2002,$H69)),N(INDEX('Journal'!$G$1:$G$2002,$H69))))</f>
        <v/>
      </c>
      <c r="G69" s="20">
        <f>IF($H69="","",G68+E69-F69)</f>
        <v/>
      </c>
      <c r="H69" s="18">
        <f t="array" ref="H69">IF($B$1="","",IFERROR(_xlfn.AGGREGATE(15,6,ROW('Journal'!$A$3:$A$2002)/(('Journal'!$D$3:$D$2002=$B$1)+('Journal'!$E$3:$E$2002=$B$1))/('Journal'!$B$3:$B$2002&gt;=$B$2)/('Journal'!$B$3:$B$2002&lt;=$B$3),64),""))</f>
        <v/>
      </c>
    </row>
    <row r="70">
      <c r="A70" s="18">
        <f>IF($H70="","",INDEX('Journal'!$A$1:$A$2002,$H70))</f>
        <v/>
      </c>
      <c r="B70" s="21">
        <f>IF($H70="","",INDEX('Journal'!$B$1:$B$2002,$H70))</f>
        <v/>
      </c>
      <c r="C70" s="5">
        <f>IF($H70="","",INDEX('Journal'!$C$1:$C$2002,$H70)&amp;"")</f>
        <v/>
      </c>
      <c r="D70" s="5">
        <f>IF($H70="","",IF(INDEX('Journal'!$D$1:$D$2002,$H70)=$B$1,INDEX('Journal'!$E$1:$E$2002,$H70),INDEX('Journal'!$D$1:$D$2002,$H70))&amp;"")</f>
        <v/>
      </c>
      <c r="E70" s="20">
        <f>IF($H70="","",IF(INDEX('Journal'!$D$1:$D$2002,$H70)=$B$1,N(INDEX('Journal'!$G$1:$G$2002,$H70)),N(INDEX('Journal'!$F$1:$F$2002,$H70))))</f>
        <v/>
      </c>
      <c r="F70" s="20">
        <f>IF($H70="","",IF(INDEX('Journal'!$D$1:$D$2002,$H70)=$B$1,N(INDEX('Journal'!$F$1:$F$2002,$H70)),N(INDEX('Journal'!$G$1:$G$2002,$H70))))</f>
        <v/>
      </c>
      <c r="G70" s="20">
        <f>IF($H70="","",G69+E70-F70)</f>
        <v/>
      </c>
      <c r="H70" s="18">
        <f t="array" ref="H70">IF($B$1="","",IFERROR(_xlfn.AGGREGATE(15,6,ROW('Journal'!$A$3:$A$2002)/(('Journal'!$D$3:$D$2002=$B$1)+('Journal'!$E$3:$E$2002=$B$1))/('Journal'!$B$3:$B$2002&gt;=$B$2)/('Journal'!$B$3:$B$2002&lt;=$B$3),65),""))</f>
        <v/>
      </c>
    </row>
    <row r="71">
      <c r="A71" s="18">
        <f>IF($H71="","",INDEX('Journal'!$A$1:$A$2002,$H71))</f>
        <v/>
      </c>
      <c r="B71" s="21">
        <f>IF($H71="","",INDEX('Journal'!$B$1:$B$2002,$H71))</f>
        <v/>
      </c>
      <c r="C71" s="5">
        <f>IF($H71="","",INDEX('Journal'!$C$1:$C$2002,$H71)&amp;"")</f>
        <v/>
      </c>
      <c r="D71" s="5">
        <f>IF($H71="","",IF(INDEX('Journal'!$D$1:$D$2002,$H71)=$B$1,INDEX('Journal'!$E$1:$E$2002,$H71),INDEX('Journal'!$D$1:$D$2002,$H71))&amp;"")</f>
        <v/>
      </c>
      <c r="E71" s="20">
        <f>IF($H71="","",IF(INDEX('Journal'!$D$1:$D$2002,$H71)=$B$1,N(INDEX('Journal'!$G$1:$G$2002,$H71)),N(INDEX('Journal'!$F$1:$F$2002,$H71))))</f>
        <v/>
      </c>
      <c r="F71" s="20">
        <f>IF($H71="","",IF(INDEX('Journal'!$D$1:$D$2002,$H71)=$B$1,N(INDEX('Journal'!$F$1:$F$2002,$H71)),N(INDEX('Journal'!$G$1:$G$2002,$H71))))</f>
        <v/>
      </c>
      <c r="G71" s="20">
        <f>IF($H71="","",G70+E71-F71)</f>
        <v/>
      </c>
      <c r="H71" s="18">
        <f t="array" ref="H71">IF($B$1="","",IFERROR(_xlfn.AGGREGATE(15,6,ROW('Journal'!$A$3:$A$2002)/(('Journal'!$D$3:$D$2002=$B$1)+('Journal'!$E$3:$E$2002=$B$1))/('Journal'!$B$3:$B$2002&gt;=$B$2)/('Journal'!$B$3:$B$2002&lt;=$B$3),66),""))</f>
        <v/>
      </c>
    </row>
    <row r="72">
      <c r="A72" s="18">
        <f>IF($H72="","",INDEX('Journal'!$A$1:$A$2002,$H72))</f>
        <v/>
      </c>
      <c r="B72" s="21">
        <f>IF($H72="","",INDEX('Journal'!$B$1:$B$2002,$H72))</f>
        <v/>
      </c>
      <c r="C72" s="5">
        <f>IF($H72="","",INDEX('Journal'!$C$1:$C$2002,$H72)&amp;"")</f>
        <v/>
      </c>
      <c r="D72" s="5">
        <f>IF($H72="","",IF(INDEX('Journal'!$D$1:$D$2002,$H72)=$B$1,INDEX('Journal'!$E$1:$E$2002,$H72),INDEX('Journal'!$D$1:$D$2002,$H72))&amp;"")</f>
        <v/>
      </c>
      <c r="E72" s="20">
        <f>IF($H72="","",IF(INDEX('Journal'!$D$1:$D$2002,$H72)=$B$1,N(INDEX('Journal'!$G$1:$G$2002,$H72)),N(INDEX('Journal'!$F$1:$F$2002,$H72))))</f>
        <v/>
      </c>
      <c r="F72" s="20">
        <f>IF($H72="","",IF(INDEX('Journal'!$D$1:$D$2002,$H72)=$B$1,N(INDEX('Journal'!$F$1:$F$2002,$H72)),N(INDEX('Journal'!$G$1:$G$2002,$H72))))</f>
        <v/>
      </c>
      <c r="G72" s="20">
        <f>IF($H72="","",G71+E72-F72)</f>
        <v/>
      </c>
      <c r="H72" s="18">
        <f t="array" ref="H72">IF($B$1="","",IFERROR(_xlfn.AGGREGATE(15,6,ROW('Journal'!$A$3:$A$2002)/(('Journal'!$D$3:$D$2002=$B$1)+('Journal'!$E$3:$E$2002=$B$1))/('Journal'!$B$3:$B$2002&gt;=$B$2)/('Journal'!$B$3:$B$2002&lt;=$B$3),67),""))</f>
        <v/>
      </c>
    </row>
    <row r="73">
      <c r="A73" s="18">
        <f>IF($H73="","",INDEX('Journal'!$A$1:$A$2002,$H73))</f>
        <v/>
      </c>
      <c r="B73" s="21">
        <f>IF($H73="","",INDEX('Journal'!$B$1:$B$2002,$H73))</f>
        <v/>
      </c>
      <c r="C73" s="5">
        <f>IF($H73="","",INDEX('Journal'!$C$1:$C$2002,$H73)&amp;"")</f>
        <v/>
      </c>
      <c r="D73" s="5">
        <f>IF($H73="","",IF(INDEX('Journal'!$D$1:$D$2002,$H73)=$B$1,INDEX('Journal'!$E$1:$E$2002,$H73),INDEX('Journal'!$D$1:$D$2002,$H73))&amp;"")</f>
        <v/>
      </c>
      <c r="E73" s="20">
        <f>IF($H73="","",IF(INDEX('Journal'!$D$1:$D$2002,$H73)=$B$1,N(INDEX('Journal'!$G$1:$G$2002,$H73)),N(INDEX('Journal'!$F$1:$F$2002,$H73))))</f>
        <v/>
      </c>
      <c r="F73" s="20">
        <f>IF($H73="","",IF(INDEX('Journal'!$D$1:$D$2002,$H73)=$B$1,N(INDEX('Journal'!$F$1:$F$2002,$H73)),N(INDEX('Journal'!$G$1:$G$2002,$H73))))</f>
        <v/>
      </c>
      <c r="G73" s="20">
        <f>IF($H73="","",G72+E73-F73)</f>
        <v/>
      </c>
      <c r="H73" s="18">
        <f t="array" ref="H73">IF($B$1="","",IFERROR(_xlfn.AGGREGATE(15,6,ROW('Journal'!$A$3:$A$2002)/(('Journal'!$D$3:$D$2002=$B$1)+('Journal'!$E$3:$E$2002=$B$1))/('Journal'!$B$3:$B$2002&gt;=$B$2)/('Journal'!$B$3:$B$2002&lt;=$B$3),68),""))</f>
        <v/>
      </c>
    </row>
    <row r="74">
      <c r="A74" s="18">
        <f>IF($H74="","",INDEX('Journal'!$A$1:$A$2002,$H74))</f>
        <v/>
      </c>
      <c r="B74" s="21">
        <f>IF($H74="","",INDEX('Journal'!$B$1:$B$2002,$H74))</f>
        <v/>
      </c>
      <c r="C74" s="5">
        <f>IF($H74="","",INDEX('Journal'!$C$1:$C$2002,$H74)&amp;"")</f>
        <v/>
      </c>
      <c r="D74" s="5">
        <f>IF($H74="","",IF(INDEX('Journal'!$D$1:$D$2002,$H74)=$B$1,INDEX('Journal'!$E$1:$E$2002,$H74),INDEX('Journal'!$D$1:$D$2002,$H74))&amp;"")</f>
        <v/>
      </c>
      <c r="E74" s="20">
        <f>IF($H74="","",IF(INDEX('Journal'!$D$1:$D$2002,$H74)=$B$1,N(INDEX('Journal'!$G$1:$G$2002,$H74)),N(INDEX('Journal'!$F$1:$F$2002,$H74))))</f>
        <v/>
      </c>
      <c r="F74" s="20">
        <f>IF($H74="","",IF(INDEX('Journal'!$D$1:$D$2002,$H74)=$B$1,N(INDEX('Journal'!$F$1:$F$2002,$H74)),N(INDEX('Journal'!$G$1:$G$2002,$H74))))</f>
        <v/>
      </c>
      <c r="G74" s="20">
        <f>IF($H74="","",G73+E74-F74)</f>
        <v/>
      </c>
      <c r="H74" s="18">
        <f t="array" ref="H74">IF($B$1="","",IFERROR(_xlfn.AGGREGATE(15,6,ROW('Journal'!$A$3:$A$2002)/(('Journal'!$D$3:$D$2002=$B$1)+('Journal'!$E$3:$E$2002=$B$1))/('Journal'!$B$3:$B$2002&gt;=$B$2)/('Journal'!$B$3:$B$2002&lt;=$B$3),69),""))</f>
        <v/>
      </c>
    </row>
    <row r="75">
      <c r="A75" s="18">
        <f>IF($H75="","",INDEX('Journal'!$A$1:$A$2002,$H75))</f>
        <v/>
      </c>
      <c r="B75" s="21">
        <f>IF($H75="","",INDEX('Journal'!$B$1:$B$2002,$H75))</f>
        <v/>
      </c>
      <c r="C75" s="5">
        <f>IF($H75="","",INDEX('Journal'!$C$1:$C$2002,$H75)&amp;"")</f>
        <v/>
      </c>
      <c r="D75" s="5">
        <f>IF($H75="","",IF(INDEX('Journal'!$D$1:$D$2002,$H75)=$B$1,INDEX('Journal'!$E$1:$E$2002,$H75),INDEX('Journal'!$D$1:$D$2002,$H75))&amp;"")</f>
        <v/>
      </c>
      <c r="E75" s="20">
        <f>IF($H75="","",IF(INDEX('Journal'!$D$1:$D$2002,$H75)=$B$1,N(INDEX('Journal'!$G$1:$G$2002,$H75)),N(INDEX('Journal'!$F$1:$F$2002,$H75))))</f>
        <v/>
      </c>
      <c r="F75" s="20">
        <f>IF($H75="","",IF(INDEX('Journal'!$D$1:$D$2002,$H75)=$B$1,N(INDEX('Journal'!$F$1:$F$2002,$H75)),N(INDEX('Journal'!$G$1:$G$2002,$H75))))</f>
        <v/>
      </c>
      <c r="G75" s="20">
        <f>IF($H75="","",G74+E75-F75)</f>
        <v/>
      </c>
      <c r="H75" s="18">
        <f t="array" ref="H75">IF($B$1="","",IFERROR(_xlfn.AGGREGATE(15,6,ROW('Journal'!$A$3:$A$2002)/(('Journal'!$D$3:$D$2002=$B$1)+('Journal'!$E$3:$E$2002=$B$1))/('Journal'!$B$3:$B$2002&gt;=$B$2)/('Journal'!$B$3:$B$2002&lt;=$B$3),70),""))</f>
        <v/>
      </c>
    </row>
    <row r="76">
      <c r="A76" s="18">
        <f>IF($H76="","",INDEX('Journal'!$A$1:$A$2002,$H76))</f>
        <v/>
      </c>
      <c r="B76" s="21">
        <f>IF($H76="","",INDEX('Journal'!$B$1:$B$2002,$H76))</f>
        <v/>
      </c>
      <c r="C76" s="5">
        <f>IF($H76="","",INDEX('Journal'!$C$1:$C$2002,$H76)&amp;"")</f>
        <v/>
      </c>
      <c r="D76" s="5">
        <f>IF($H76="","",IF(INDEX('Journal'!$D$1:$D$2002,$H76)=$B$1,INDEX('Journal'!$E$1:$E$2002,$H76),INDEX('Journal'!$D$1:$D$2002,$H76))&amp;"")</f>
        <v/>
      </c>
      <c r="E76" s="20">
        <f>IF($H76="","",IF(INDEX('Journal'!$D$1:$D$2002,$H76)=$B$1,N(INDEX('Journal'!$G$1:$G$2002,$H76)),N(INDEX('Journal'!$F$1:$F$2002,$H76))))</f>
        <v/>
      </c>
      <c r="F76" s="20">
        <f>IF($H76="","",IF(INDEX('Journal'!$D$1:$D$2002,$H76)=$B$1,N(INDEX('Journal'!$F$1:$F$2002,$H76)),N(INDEX('Journal'!$G$1:$G$2002,$H76))))</f>
        <v/>
      </c>
      <c r="G76" s="20">
        <f>IF($H76="","",G75+E76-F76)</f>
        <v/>
      </c>
      <c r="H76" s="18">
        <f t="array" ref="H76">IF($B$1="","",IFERROR(_xlfn.AGGREGATE(15,6,ROW('Journal'!$A$3:$A$2002)/(('Journal'!$D$3:$D$2002=$B$1)+('Journal'!$E$3:$E$2002=$B$1))/('Journal'!$B$3:$B$2002&gt;=$B$2)/('Journal'!$B$3:$B$2002&lt;=$B$3),71),""))</f>
        <v/>
      </c>
    </row>
    <row r="77">
      <c r="A77" s="18">
        <f>IF($H77="","",INDEX('Journal'!$A$1:$A$2002,$H77))</f>
        <v/>
      </c>
      <c r="B77" s="21">
        <f>IF($H77="","",INDEX('Journal'!$B$1:$B$2002,$H77))</f>
        <v/>
      </c>
      <c r="C77" s="5">
        <f>IF($H77="","",INDEX('Journal'!$C$1:$C$2002,$H77)&amp;"")</f>
        <v/>
      </c>
      <c r="D77" s="5">
        <f>IF($H77="","",IF(INDEX('Journal'!$D$1:$D$2002,$H77)=$B$1,INDEX('Journal'!$E$1:$E$2002,$H77),INDEX('Journal'!$D$1:$D$2002,$H77))&amp;"")</f>
        <v/>
      </c>
      <c r="E77" s="20">
        <f>IF($H77="","",IF(INDEX('Journal'!$D$1:$D$2002,$H77)=$B$1,N(INDEX('Journal'!$G$1:$G$2002,$H77)),N(INDEX('Journal'!$F$1:$F$2002,$H77))))</f>
        <v/>
      </c>
      <c r="F77" s="20">
        <f>IF($H77="","",IF(INDEX('Journal'!$D$1:$D$2002,$H77)=$B$1,N(INDEX('Journal'!$F$1:$F$2002,$H77)),N(INDEX('Journal'!$G$1:$G$2002,$H77))))</f>
        <v/>
      </c>
      <c r="G77" s="20">
        <f>IF($H77="","",G76+E77-F77)</f>
        <v/>
      </c>
      <c r="H77" s="18">
        <f t="array" ref="H77">IF($B$1="","",IFERROR(_xlfn.AGGREGATE(15,6,ROW('Journal'!$A$3:$A$2002)/(('Journal'!$D$3:$D$2002=$B$1)+('Journal'!$E$3:$E$2002=$B$1))/('Journal'!$B$3:$B$2002&gt;=$B$2)/('Journal'!$B$3:$B$2002&lt;=$B$3),72),""))</f>
        <v/>
      </c>
    </row>
    <row r="78">
      <c r="A78" s="18">
        <f>IF($H78="","",INDEX('Journal'!$A$1:$A$2002,$H78))</f>
        <v/>
      </c>
      <c r="B78" s="21">
        <f>IF($H78="","",INDEX('Journal'!$B$1:$B$2002,$H78))</f>
        <v/>
      </c>
      <c r="C78" s="5">
        <f>IF($H78="","",INDEX('Journal'!$C$1:$C$2002,$H78)&amp;"")</f>
        <v/>
      </c>
      <c r="D78" s="5">
        <f>IF($H78="","",IF(INDEX('Journal'!$D$1:$D$2002,$H78)=$B$1,INDEX('Journal'!$E$1:$E$2002,$H78),INDEX('Journal'!$D$1:$D$2002,$H78))&amp;"")</f>
        <v/>
      </c>
      <c r="E78" s="20">
        <f>IF($H78="","",IF(INDEX('Journal'!$D$1:$D$2002,$H78)=$B$1,N(INDEX('Journal'!$G$1:$G$2002,$H78)),N(INDEX('Journal'!$F$1:$F$2002,$H78))))</f>
        <v/>
      </c>
      <c r="F78" s="20">
        <f>IF($H78="","",IF(INDEX('Journal'!$D$1:$D$2002,$H78)=$B$1,N(INDEX('Journal'!$F$1:$F$2002,$H78)),N(INDEX('Journal'!$G$1:$G$2002,$H78))))</f>
        <v/>
      </c>
      <c r="G78" s="20">
        <f>IF($H78="","",G77+E78-F78)</f>
        <v/>
      </c>
      <c r="H78" s="18">
        <f t="array" ref="H78">IF($B$1="","",IFERROR(_xlfn.AGGREGATE(15,6,ROW('Journal'!$A$3:$A$2002)/(('Journal'!$D$3:$D$2002=$B$1)+('Journal'!$E$3:$E$2002=$B$1))/('Journal'!$B$3:$B$2002&gt;=$B$2)/('Journal'!$B$3:$B$2002&lt;=$B$3),73),""))</f>
        <v/>
      </c>
    </row>
    <row r="79">
      <c r="A79" s="18">
        <f>IF($H79="","",INDEX('Journal'!$A$1:$A$2002,$H79))</f>
        <v/>
      </c>
      <c r="B79" s="21">
        <f>IF($H79="","",INDEX('Journal'!$B$1:$B$2002,$H79))</f>
        <v/>
      </c>
      <c r="C79" s="5">
        <f>IF($H79="","",INDEX('Journal'!$C$1:$C$2002,$H79)&amp;"")</f>
        <v/>
      </c>
      <c r="D79" s="5">
        <f>IF($H79="","",IF(INDEX('Journal'!$D$1:$D$2002,$H79)=$B$1,INDEX('Journal'!$E$1:$E$2002,$H79),INDEX('Journal'!$D$1:$D$2002,$H79))&amp;"")</f>
        <v/>
      </c>
      <c r="E79" s="20">
        <f>IF($H79="","",IF(INDEX('Journal'!$D$1:$D$2002,$H79)=$B$1,N(INDEX('Journal'!$G$1:$G$2002,$H79)),N(INDEX('Journal'!$F$1:$F$2002,$H79))))</f>
        <v/>
      </c>
      <c r="F79" s="20">
        <f>IF($H79="","",IF(INDEX('Journal'!$D$1:$D$2002,$H79)=$B$1,N(INDEX('Journal'!$F$1:$F$2002,$H79)),N(INDEX('Journal'!$G$1:$G$2002,$H79))))</f>
        <v/>
      </c>
      <c r="G79" s="20">
        <f>IF($H79="","",G78+E79-F79)</f>
        <v/>
      </c>
      <c r="H79" s="18">
        <f t="array" ref="H79">IF($B$1="","",IFERROR(_xlfn.AGGREGATE(15,6,ROW('Journal'!$A$3:$A$2002)/(('Journal'!$D$3:$D$2002=$B$1)+('Journal'!$E$3:$E$2002=$B$1))/('Journal'!$B$3:$B$2002&gt;=$B$2)/('Journal'!$B$3:$B$2002&lt;=$B$3),74),""))</f>
        <v/>
      </c>
    </row>
    <row r="80">
      <c r="A80" s="18">
        <f>IF($H80="","",INDEX('Journal'!$A$1:$A$2002,$H80))</f>
        <v/>
      </c>
      <c r="B80" s="21">
        <f>IF($H80="","",INDEX('Journal'!$B$1:$B$2002,$H80))</f>
        <v/>
      </c>
      <c r="C80" s="5">
        <f>IF($H80="","",INDEX('Journal'!$C$1:$C$2002,$H80)&amp;"")</f>
        <v/>
      </c>
      <c r="D80" s="5">
        <f>IF($H80="","",IF(INDEX('Journal'!$D$1:$D$2002,$H80)=$B$1,INDEX('Journal'!$E$1:$E$2002,$H80),INDEX('Journal'!$D$1:$D$2002,$H80))&amp;"")</f>
        <v/>
      </c>
      <c r="E80" s="20">
        <f>IF($H80="","",IF(INDEX('Journal'!$D$1:$D$2002,$H80)=$B$1,N(INDEX('Journal'!$G$1:$G$2002,$H80)),N(INDEX('Journal'!$F$1:$F$2002,$H80))))</f>
        <v/>
      </c>
      <c r="F80" s="20">
        <f>IF($H80="","",IF(INDEX('Journal'!$D$1:$D$2002,$H80)=$B$1,N(INDEX('Journal'!$F$1:$F$2002,$H80)),N(INDEX('Journal'!$G$1:$G$2002,$H80))))</f>
        <v/>
      </c>
      <c r="G80" s="20">
        <f>IF($H80="","",G79+E80-F80)</f>
        <v/>
      </c>
      <c r="H80" s="18">
        <f t="array" ref="H80">IF($B$1="","",IFERROR(_xlfn.AGGREGATE(15,6,ROW('Journal'!$A$3:$A$2002)/(('Journal'!$D$3:$D$2002=$B$1)+('Journal'!$E$3:$E$2002=$B$1))/('Journal'!$B$3:$B$2002&gt;=$B$2)/('Journal'!$B$3:$B$2002&lt;=$B$3),75),""))</f>
        <v/>
      </c>
    </row>
    <row r="81">
      <c r="A81" s="18">
        <f>IF($H81="","",INDEX('Journal'!$A$1:$A$2002,$H81))</f>
        <v/>
      </c>
      <c r="B81" s="21">
        <f>IF($H81="","",INDEX('Journal'!$B$1:$B$2002,$H81))</f>
        <v/>
      </c>
      <c r="C81" s="5">
        <f>IF($H81="","",INDEX('Journal'!$C$1:$C$2002,$H81)&amp;"")</f>
        <v/>
      </c>
      <c r="D81" s="5">
        <f>IF($H81="","",IF(INDEX('Journal'!$D$1:$D$2002,$H81)=$B$1,INDEX('Journal'!$E$1:$E$2002,$H81),INDEX('Journal'!$D$1:$D$2002,$H81))&amp;"")</f>
        <v/>
      </c>
      <c r="E81" s="20">
        <f>IF($H81="","",IF(INDEX('Journal'!$D$1:$D$2002,$H81)=$B$1,N(INDEX('Journal'!$G$1:$G$2002,$H81)),N(INDEX('Journal'!$F$1:$F$2002,$H81))))</f>
        <v/>
      </c>
      <c r="F81" s="20">
        <f>IF($H81="","",IF(INDEX('Journal'!$D$1:$D$2002,$H81)=$B$1,N(INDEX('Journal'!$F$1:$F$2002,$H81)),N(INDEX('Journal'!$G$1:$G$2002,$H81))))</f>
        <v/>
      </c>
      <c r="G81" s="20">
        <f>IF($H81="","",G80+E81-F81)</f>
        <v/>
      </c>
      <c r="H81" s="18">
        <f t="array" ref="H81">IF($B$1="","",IFERROR(_xlfn.AGGREGATE(15,6,ROW('Journal'!$A$3:$A$2002)/(('Journal'!$D$3:$D$2002=$B$1)+('Journal'!$E$3:$E$2002=$B$1))/('Journal'!$B$3:$B$2002&gt;=$B$2)/('Journal'!$B$3:$B$2002&lt;=$B$3),76),""))</f>
        <v/>
      </c>
    </row>
    <row r="82">
      <c r="A82" s="18">
        <f>IF($H82="","",INDEX('Journal'!$A$1:$A$2002,$H82))</f>
        <v/>
      </c>
      <c r="B82" s="21">
        <f>IF($H82="","",INDEX('Journal'!$B$1:$B$2002,$H82))</f>
        <v/>
      </c>
      <c r="C82" s="5">
        <f>IF($H82="","",INDEX('Journal'!$C$1:$C$2002,$H82)&amp;"")</f>
        <v/>
      </c>
      <c r="D82" s="5">
        <f>IF($H82="","",IF(INDEX('Journal'!$D$1:$D$2002,$H82)=$B$1,INDEX('Journal'!$E$1:$E$2002,$H82),INDEX('Journal'!$D$1:$D$2002,$H82))&amp;"")</f>
        <v/>
      </c>
      <c r="E82" s="20">
        <f>IF($H82="","",IF(INDEX('Journal'!$D$1:$D$2002,$H82)=$B$1,N(INDEX('Journal'!$G$1:$G$2002,$H82)),N(INDEX('Journal'!$F$1:$F$2002,$H82))))</f>
        <v/>
      </c>
      <c r="F82" s="20">
        <f>IF($H82="","",IF(INDEX('Journal'!$D$1:$D$2002,$H82)=$B$1,N(INDEX('Journal'!$F$1:$F$2002,$H82)),N(INDEX('Journal'!$G$1:$G$2002,$H82))))</f>
        <v/>
      </c>
      <c r="G82" s="20">
        <f>IF($H82="","",G81+E82-F82)</f>
        <v/>
      </c>
      <c r="H82" s="18">
        <f t="array" ref="H82">IF($B$1="","",IFERROR(_xlfn.AGGREGATE(15,6,ROW('Journal'!$A$3:$A$2002)/(('Journal'!$D$3:$D$2002=$B$1)+('Journal'!$E$3:$E$2002=$B$1))/('Journal'!$B$3:$B$2002&gt;=$B$2)/('Journal'!$B$3:$B$2002&lt;=$B$3),77),""))</f>
        <v/>
      </c>
    </row>
    <row r="83">
      <c r="A83" s="18">
        <f>IF($H83="","",INDEX('Journal'!$A$1:$A$2002,$H83))</f>
        <v/>
      </c>
      <c r="B83" s="21">
        <f>IF($H83="","",INDEX('Journal'!$B$1:$B$2002,$H83))</f>
        <v/>
      </c>
      <c r="C83" s="5">
        <f>IF($H83="","",INDEX('Journal'!$C$1:$C$2002,$H83)&amp;"")</f>
        <v/>
      </c>
      <c r="D83" s="5">
        <f>IF($H83="","",IF(INDEX('Journal'!$D$1:$D$2002,$H83)=$B$1,INDEX('Journal'!$E$1:$E$2002,$H83),INDEX('Journal'!$D$1:$D$2002,$H83))&amp;"")</f>
        <v/>
      </c>
      <c r="E83" s="20">
        <f>IF($H83="","",IF(INDEX('Journal'!$D$1:$D$2002,$H83)=$B$1,N(INDEX('Journal'!$G$1:$G$2002,$H83)),N(INDEX('Journal'!$F$1:$F$2002,$H83))))</f>
        <v/>
      </c>
      <c r="F83" s="20">
        <f>IF($H83="","",IF(INDEX('Journal'!$D$1:$D$2002,$H83)=$B$1,N(INDEX('Journal'!$F$1:$F$2002,$H83)),N(INDEX('Journal'!$G$1:$G$2002,$H83))))</f>
        <v/>
      </c>
      <c r="G83" s="20">
        <f>IF($H83="","",G82+E83-F83)</f>
        <v/>
      </c>
      <c r="H83" s="18">
        <f t="array" ref="H83">IF($B$1="","",IFERROR(_xlfn.AGGREGATE(15,6,ROW('Journal'!$A$3:$A$2002)/(('Journal'!$D$3:$D$2002=$B$1)+('Journal'!$E$3:$E$2002=$B$1))/('Journal'!$B$3:$B$2002&gt;=$B$2)/('Journal'!$B$3:$B$2002&lt;=$B$3),78),""))</f>
        <v/>
      </c>
    </row>
    <row r="84">
      <c r="A84" s="18">
        <f>IF($H84="","",INDEX('Journal'!$A$1:$A$2002,$H84))</f>
        <v/>
      </c>
      <c r="B84" s="21">
        <f>IF($H84="","",INDEX('Journal'!$B$1:$B$2002,$H84))</f>
        <v/>
      </c>
      <c r="C84" s="5">
        <f>IF($H84="","",INDEX('Journal'!$C$1:$C$2002,$H84)&amp;"")</f>
        <v/>
      </c>
      <c r="D84" s="5">
        <f>IF($H84="","",IF(INDEX('Journal'!$D$1:$D$2002,$H84)=$B$1,INDEX('Journal'!$E$1:$E$2002,$H84),INDEX('Journal'!$D$1:$D$2002,$H84))&amp;"")</f>
        <v/>
      </c>
      <c r="E84" s="20">
        <f>IF($H84="","",IF(INDEX('Journal'!$D$1:$D$2002,$H84)=$B$1,N(INDEX('Journal'!$G$1:$G$2002,$H84)),N(INDEX('Journal'!$F$1:$F$2002,$H84))))</f>
        <v/>
      </c>
      <c r="F84" s="20">
        <f>IF($H84="","",IF(INDEX('Journal'!$D$1:$D$2002,$H84)=$B$1,N(INDEX('Journal'!$F$1:$F$2002,$H84)),N(INDEX('Journal'!$G$1:$G$2002,$H84))))</f>
        <v/>
      </c>
      <c r="G84" s="20">
        <f>IF($H84="","",G83+E84-F84)</f>
        <v/>
      </c>
      <c r="H84" s="18">
        <f t="array" ref="H84">IF($B$1="","",IFERROR(_xlfn.AGGREGATE(15,6,ROW('Journal'!$A$3:$A$2002)/(('Journal'!$D$3:$D$2002=$B$1)+('Journal'!$E$3:$E$2002=$B$1))/('Journal'!$B$3:$B$2002&gt;=$B$2)/('Journal'!$B$3:$B$2002&lt;=$B$3),79),""))</f>
        <v/>
      </c>
    </row>
    <row r="85">
      <c r="A85" s="18">
        <f>IF($H85="","",INDEX('Journal'!$A$1:$A$2002,$H85))</f>
        <v/>
      </c>
      <c r="B85" s="21">
        <f>IF($H85="","",INDEX('Journal'!$B$1:$B$2002,$H85))</f>
        <v/>
      </c>
      <c r="C85" s="5">
        <f>IF($H85="","",INDEX('Journal'!$C$1:$C$2002,$H85)&amp;"")</f>
        <v/>
      </c>
      <c r="D85" s="5">
        <f>IF($H85="","",IF(INDEX('Journal'!$D$1:$D$2002,$H85)=$B$1,INDEX('Journal'!$E$1:$E$2002,$H85),INDEX('Journal'!$D$1:$D$2002,$H85))&amp;"")</f>
        <v/>
      </c>
      <c r="E85" s="20">
        <f>IF($H85="","",IF(INDEX('Journal'!$D$1:$D$2002,$H85)=$B$1,N(INDEX('Journal'!$G$1:$G$2002,$H85)),N(INDEX('Journal'!$F$1:$F$2002,$H85))))</f>
        <v/>
      </c>
      <c r="F85" s="20">
        <f>IF($H85="","",IF(INDEX('Journal'!$D$1:$D$2002,$H85)=$B$1,N(INDEX('Journal'!$F$1:$F$2002,$H85)),N(INDEX('Journal'!$G$1:$G$2002,$H85))))</f>
        <v/>
      </c>
      <c r="G85" s="20">
        <f>IF($H85="","",G84+E85-F85)</f>
        <v/>
      </c>
      <c r="H85" s="18">
        <f t="array" ref="H85">IF($B$1="","",IFERROR(_xlfn.AGGREGATE(15,6,ROW('Journal'!$A$3:$A$2002)/(('Journal'!$D$3:$D$2002=$B$1)+('Journal'!$E$3:$E$2002=$B$1))/('Journal'!$B$3:$B$2002&gt;=$B$2)/('Journal'!$B$3:$B$2002&lt;=$B$3),80),""))</f>
        <v/>
      </c>
    </row>
    <row r="86">
      <c r="A86" s="18">
        <f>IF($H86="","",INDEX('Journal'!$A$1:$A$2002,$H86))</f>
        <v/>
      </c>
      <c r="B86" s="21">
        <f>IF($H86="","",INDEX('Journal'!$B$1:$B$2002,$H86))</f>
        <v/>
      </c>
      <c r="C86" s="5">
        <f>IF($H86="","",INDEX('Journal'!$C$1:$C$2002,$H86)&amp;"")</f>
        <v/>
      </c>
      <c r="D86" s="5">
        <f>IF($H86="","",IF(INDEX('Journal'!$D$1:$D$2002,$H86)=$B$1,INDEX('Journal'!$E$1:$E$2002,$H86),INDEX('Journal'!$D$1:$D$2002,$H86))&amp;"")</f>
        <v/>
      </c>
      <c r="E86" s="20">
        <f>IF($H86="","",IF(INDEX('Journal'!$D$1:$D$2002,$H86)=$B$1,N(INDEX('Journal'!$G$1:$G$2002,$H86)),N(INDEX('Journal'!$F$1:$F$2002,$H86))))</f>
        <v/>
      </c>
      <c r="F86" s="20">
        <f>IF($H86="","",IF(INDEX('Journal'!$D$1:$D$2002,$H86)=$B$1,N(INDEX('Journal'!$F$1:$F$2002,$H86)),N(INDEX('Journal'!$G$1:$G$2002,$H86))))</f>
        <v/>
      </c>
      <c r="G86" s="20">
        <f>IF($H86="","",G85+E86-F86)</f>
        <v/>
      </c>
      <c r="H86" s="18">
        <f t="array" ref="H86">IF($B$1="","",IFERROR(_xlfn.AGGREGATE(15,6,ROW('Journal'!$A$3:$A$2002)/(('Journal'!$D$3:$D$2002=$B$1)+('Journal'!$E$3:$E$2002=$B$1))/('Journal'!$B$3:$B$2002&gt;=$B$2)/('Journal'!$B$3:$B$2002&lt;=$B$3),81),""))</f>
        <v/>
      </c>
    </row>
    <row r="87">
      <c r="A87" s="18">
        <f>IF($H87="","",INDEX('Journal'!$A$1:$A$2002,$H87))</f>
        <v/>
      </c>
      <c r="B87" s="21">
        <f>IF($H87="","",INDEX('Journal'!$B$1:$B$2002,$H87))</f>
        <v/>
      </c>
      <c r="C87" s="5">
        <f>IF($H87="","",INDEX('Journal'!$C$1:$C$2002,$H87)&amp;"")</f>
        <v/>
      </c>
      <c r="D87" s="5">
        <f>IF($H87="","",IF(INDEX('Journal'!$D$1:$D$2002,$H87)=$B$1,INDEX('Journal'!$E$1:$E$2002,$H87),INDEX('Journal'!$D$1:$D$2002,$H87))&amp;"")</f>
        <v/>
      </c>
      <c r="E87" s="20">
        <f>IF($H87="","",IF(INDEX('Journal'!$D$1:$D$2002,$H87)=$B$1,N(INDEX('Journal'!$G$1:$G$2002,$H87)),N(INDEX('Journal'!$F$1:$F$2002,$H87))))</f>
        <v/>
      </c>
      <c r="F87" s="20">
        <f>IF($H87="","",IF(INDEX('Journal'!$D$1:$D$2002,$H87)=$B$1,N(INDEX('Journal'!$F$1:$F$2002,$H87)),N(INDEX('Journal'!$G$1:$G$2002,$H87))))</f>
        <v/>
      </c>
      <c r="G87" s="20">
        <f>IF($H87="","",G86+E87-F87)</f>
        <v/>
      </c>
      <c r="H87" s="18">
        <f t="array" ref="H87">IF($B$1="","",IFERROR(_xlfn.AGGREGATE(15,6,ROW('Journal'!$A$3:$A$2002)/(('Journal'!$D$3:$D$2002=$B$1)+('Journal'!$E$3:$E$2002=$B$1))/('Journal'!$B$3:$B$2002&gt;=$B$2)/('Journal'!$B$3:$B$2002&lt;=$B$3),82),""))</f>
        <v/>
      </c>
    </row>
    <row r="88">
      <c r="A88" s="18">
        <f>IF($H88="","",INDEX('Journal'!$A$1:$A$2002,$H88))</f>
        <v/>
      </c>
      <c r="B88" s="21">
        <f>IF($H88="","",INDEX('Journal'!$B$1:$B$2002,$H88))</f>
        <v/>
      </c>
      <c r="C88" s="5">
        <f>IF($H88="","",INDEX('Journal'!$C$1:$C$2002,$H88)&amp;"")</f>
        <v/>
      </c>
      <c r="D88" s="5">
        <f>IF($H88="","",IF(INDEX('Journal'!$D$1:$D$2002,$H88)=$B$1,INDEX('Journal'!$E$1:$E$2002,$H88),INDEX('Journal'!$D$1:$D$2002,$H88))&amp;"")</f>
        <v/>
      </c>
      <c r="E88" s="20">
        <f>IF($H88="","",IF(INDEX('Journal'!$D$1:$D$2002,$H88)=$B$1,N(INDEX('Journal'!$G$1:$G$2002,$H88)),N(INDEX('Journal'!$F$1:$F$2002,$H88))))</f>
        <v/>
      </c>
      <c r="F88" s="20">
        <f>IF($H88="","",IF(INDEX('Journal'!$D$1:$D$2002,$H88)=$B$1,N(INDEX('Journal'!$F$1:$F$2002,$H88)),N(INDEX('Journal'!$G$1:$G$2002,$H88))))</f>
        <v/>
      </c>
      <c r="G88" s="20">
        <f>IF($H88="","",G87+E88-F88)</f>
        <v/>
      </c>
      <c r="H88" s="18">
        <f t="array" ref="H88">IF($B$1="","",IFERROR(_xlfn.AGGREGATE(15,6,ROW('Journal'!$A$3:$A$2002)/(('Journal'!$D$3:$D$2002=$B$1)+('Journal'!$E$3:$E$2002=$B$1))/('Journal'!$B$3:$B$2002&gt;=$B$2)/('Journal'!$B$3:$B$2002&lt;=$B$3),83),""))</f>
        <v/>
      </c>
    </row>
    <row r="89">
      <c r="A89" s="18">
        <f>IF($H89="","",INDEX('Journal'!$A$1:$A$2002,$H89))</f>
        <v/>
      </c>
      <c r="B89" s="21">
        <f>IF($H89="","",INDEX('Journal'!$B$1:$B$2002,$H89))</f>
        <v/>
      </c>
      <c r="C89" s="5">
        <f>IF($H89="","",INDEX('Journal'!$C$1:$C$2002,$H89)&amp;"")</f>
        <v/>
      </c>
      <c r="D89" s="5">
        <f>IF($H89="","",IF(INDEX('Journal'!$D$1:$D$2002,$H89)=$B$1,INDEX('Journal'!$E$1:$E$2002,$H89),INDEX('Journal'!$D$1:$D$2002,$H89))&amp;"")</f>
        <v/>
      </c>
      <c r="E89" s="20">
        <f>IF($H89="","",IF(INDEX('Journal'!$D$1:$D$2002,$H89)=$B$1,N(INDEX('Journal'!$G$1:$G$2002,$H89)),N(INDEX('Journal'!$F$1:$F$2002,$H89))))</f>
        <v/>
      </c>
      <c r="F89" s="20">
        <f>IF($H89="","",IF(INDEX('Journal'!$D$1:$D$2002,$H89)=$B$1,N(INDEX('Journal'!$F$1:$F$2002,$H89)),N(INDEX('Journal'!$G$1:$G$2002,$H89))))</f>
        <v/>
      </c>
      <c r="G89" s="20">
        <f>IF($H89="","",G88+E89-F89)</f>
        <v/>
      </c>
      <c r="H89" s="18">
        <f t="array" ref="H89">IF($B$1="","",IFERROR(_xlfn.AGGREGATE(15,6,ROW('Journal'!$A$3:$A$2002)/(('Journal'!$D$3:$D$2002=$B$1)+('Journal'!$E$3:$E$2002=$B$1))/('Journal'!$B$3:$B$2002&gt;=$B$2)/('Journal'!$B$3:$B$2002&lt;=$B$3),84),""))</f>
        <v/>
      </c>
    </row>
    <row r="90">
      <c r="A90" s="18">
        <f>IF($H90="","",INDEX('Journal'!$A$1:$A$2002,$H90))</f>
        <v/>
      </c>
      <c r="B90" s="21">
        <f>IF($H90="","",INDEX('Journal'!$B$1:$B$2002,$H90))</f>
        <v/>
      </c>
      <c r="C90" s="5">
        <f>IF($H90="","",INDEX('Journal'!$C$1:$C$2002,$H90)&amp;"")</f>
        <v/>
      </c>
      <c r="D90" s="5">
        <f>IF($H90="","",IF(INDEX('Journal'!$D$1:$D$2002,$H90)=$B$1,INDEX('Journal'!$E$1:$E$2002,$H90),INDEX('Journal'!$D$1:$D$2002,$H90))&amp;"")</f>
        <v/>
      </c>
      <c r="E90" s="20">
        <f>IF($H90="","",IF(INDEX('Journal'!$D$1:$D$2002,$H90)=$B$1,N(INDEX('Journal'!$G$1:$G$2002,$H90)),N(INDEX('Journal'!$F$1:$F$2002,$H90))))</f>
        <v/>
      </c>
      <c r="F90" s="20">
        <f>IF($H90="","",IF(INDEX('Journal'!$D$1:$D$2002,$H90)=$B$1,N(INDEX('Journal'!$F$1:$F$2002,$H90)),N(INDEX('Journal'!$G$1:$G$2002,$H90))))</f>
        <v/>
      </c>
      <c r="G90" s="20">
        <f>IF($H90="","",G89+E90-F90)</f>
        <v/>
      </c>
      <c r="H90" s="18">
        <f t="array" ref="H90">IF($B$1="","",IFERROR(_xlfn.AGGREGATE(15,6,ROW('Journal'!$A$3:$A$2002)/(('Journal'!$D$3:$D$2002=$B$1)+('Journal'!$E$3:$E$2002=$B$1))/('Journal'!$B$3:$B$2002&gt;=$B$2)/('Journal'!$B$3:$B$2002&lt;=$B$3),85),""))</f>
        <v/>
      </c>
    </row>
    <row r="91">
      <c r="A91" s="18">
        <f>IF($H91="","",INDEX('Journal'!$A$1:$A$2002,$H91))</f>
        <v/>
      </c>
      <c r="B91" s="21">
        <f>IF($H91="","",INDEX('Journal'!$B$1:$B$2002,$H91))</f>
        <v/>
      </c>
      <c r="C91" s="5">
        <f>IF($H91="","",INDEX('Journal'!$C$1:$C$2002,$H91)&amp;"")</f>
        <v/>
      </c>
      <c r="D91" s="5">
        <f>IF($H91="","",IF(INDEX('Journal'!$D$1:$D$2002,$H91)=$B$1,INDEX('Journal'!$E$1:$E$2002,$H91),INDEX('Journal'!$D$1:$D$2002,$H91))&amp;"")</f>
        <v/>
      </c>
      <c r="E91" s="20">
        <f>IF($H91="","",IF(INDEX('Journal'!$D$1:$D$2002,$H91)=$B$1,N(INDEX('Journal'!$G$1:$G$2002,$H91)),N(INDEX('Journal'!$F$1:$F$2002,$H91))))</f>
        <v/>
      </c>
      <c r="F91" s="20">
        <f>IF($H91="","",IF(INDEX('Journal'!$D$1:$D$2002,$H91)=$B$1,N(INDEX('Journal'!$F$1:$F$2002,$H91)),N(INDEX('Journal'!$G$1:$G$2002,$H91))))</f>
        <v/>
      </c>
      <c r="G91" s="20">
        <f>IF($H91="","",G90+E91-F91)</f>
        <v/>
      </c>
      <c r="H91" s="18">
        <f t="array" ref="H91">IF($B$1="","",IFERROR(_xlfn.AGGREGATE(15,6,ROW('Journal'!$A$3:$A$2002)/(('Journal'!$D$3:$D$2002=$B$1)+('Journal'!$E$3:$E$2002=$B$1))/('Journal'!$B$3:$B$2002&gt;=$B$2)/('Journal'!$B$3:$B$2002&lt;=$B$3),86),""))</f>
        <v/>
      </c>
    </row>
    <row r="92">
      <c r="A92" s="18">
        <f>IF($H92="","",INDEX('Journal'!$A$1:$A$2002,$H92))</f>
        <v/>
      </c>
      <c r="B92" s="21">
        <f>IF($H92="","",INDEX('Journal'!$B$1:$B$2002,$H92))</f>
        <v/>
      </c>
      <c r="C92" s="5">
        <f>IF($H92="","",INDEX('Journal'!$C$1:$C$2002,$H92)&amp;"")</f>
        <v/>
      </c>
      <c r="D92" s="5">
        <f>IF($H92="","",IF(INDEX('Journal'!$D$1:$D$2002,$H92)=$B$1,INDEX('Journal'!$E$1:$E$2002,$H92),INDEX('Journal'!$D$1:$D$2002,$H92))&amp;"")</f>
        <v/>
      </c>
      <c r="E92" s="20">
        <f>IF($H92="","",IF(INDEX('Journal'!$D$1:$D$2002,$H92)=$B$1,N(INDEX('Journal'!$G$1:$G$2002,$H92)),N(INDEX('Journal'!$F$1:$F$2002,$H92))))</f>
        <v/>
      </c>
      <c r="F92" s="20">
        <f>IF($H92="","",IF(INDEX('Journal'!$D$1:$D$2002,$H92)=$B$1,N(INDEX('Journal'!$F$1:$F$2002,$H92)),N(INDEX('Journal'!$G$1:$G$2002,$H92))))</f>
        <v/>
      </c>
      <c r="G92" s="20">
        <f>IF($H92="","",G91+E92-F92)</f>
        <v/>
      </c>
      <c r="H92" s="18">
        <f t="array" ref="H92">IF($B$1="","",IFERROR(_xlfn.AGGREGATE(15,6,ROW('Journal'!$A$3:$A$2002)/(('Journal'!$D$3:$D$2002=$B$1)+('Journal'!$E$3:$E$2002=$B$1))/('Journal'!$B$3:$B$2002&gt;=$B$2)/('Journal'!$B$3:$B$2002&lt;=$B$3),87),""))</f>
        <v/>
      </c>
    </row>
    <row r="93">
      <c r="A93" s="18">
        <f>IF($H93="","",INDEX('Journal'!$A$1:$A$2002,$H93))</f>
        <v/>
      </c>
      <c r="B93" s="21">
        <f>IF($H93="","",INDEX('Journal'!$B$1:$B$2002,$H93))</f>
        <v/>
      </c>
      <c r="C93" s="5">
        <f>IF($H93="","",INDEX('Journal'!$C$1:$C$2002,$H93)&amp;"")</f>
        <v/>
      </c>
      <c r="D93" s="5">
        <f>IF($H93="","",IF(INDEX('Journal'!$D$1:$D$2002,$H93)=$B$1,INDEX('Journal'!$E$1:$E$2002,$H93),INDEX('Journal'!$D$1:$D$2002,$H93))&amp;"")</f>
        <v/>
      </c>
      <c r="E93" s="20">
        <f>IF($H93="","",IF(INDEX('Journal'!$D$1:$D$2002,$H93)=$B$1,N(INDEX('Journal'!$G$1:$G$2002,$H93)),N(INDEX('Journal'!$F$1:$F$2002,$H93))))</f>
        <v/>
      </c>
      <c r="F93" s="20">
        <f>IF($H93="","",IF(INDEX('Journal'!$D$1:$D$2002,$H93)=$B$1,N(INDEX('Journal'!$F$1:$F$2002,$H93)),N(INDEX('Journal'!$G$1:$G$2002,$H93))))</f>
        <v/>
      </c>
      <c r="G93" s="20">
        <f>IF($H93="","",G92+E93-F93)</f>
        <v/>
      </c>
      <c r="H93" s="18">
        <f t="array" ref="H93">IF($B$1="","",IFERROR(_xlfn.AGGREGATE(15,6,ROW('Journal'!$A$3:$A$2002)/(('Journal'!$D$3:$D$2002=$B$1)+('Journal'!$E$3:$E$2002=$B$1))/('Journal'!$B$3:$B$2002&gt;=$B$2)/('Journal'!$B$3:$B$2002&lt;=$B$3),88),""))</f>
        <v/>
      </c>
    </row>
    <row r="94">
      <c r="A94" s="18">
        <f>IF($H94="","",INDEX('Journal'!$A$1:$A$2002,$H94))</f>
        <v/>
      </c>
      <c r="B94" s="21">
        <f>IF($H94="","",INDEX('Journal'!$B$1:$B$2002,$H94))</f>
        <v/>
      </c>
      <c r="C94" s="5">
        <f>IF($H94="","",INDEX('Journal'!$C$1:$C$2002,$H94)&amp;"")</f>
        <v/>
      </c>
      <c r="D94" s="5">
        <f>IF($H94="","",IF(INDEX('Journal'!$D$1:$D$2002,$H94)=$B$1,INDEX('Journal'!$E$1:$E$2002,$H94),INDEX('Journal'!$D$1:$D$2002,$H94))&amp;"")</f>
        <v/>
      </c>
      <c r="E94" s="20">
        <f>IF($H94="","",IF(INDEX('Journal'!$D$1:$D$2002,$H94)=$B$1,N(INDEX('Journal'!$G$1:$G$2002,$H94)),N(INDEX('Journal'!$F$1:$F$2002,$H94))))</f>
        <v/>
      </c>
      <c r="F94" s="20">
        <f>IF($H94="","",IF(INDEX('Journal'!$D$1:$D$2002,$H94)=$B$1,N(INDEX('Journal'!$F$1:$F$2002,$H94)),N(INDEX('Journal'!$G$1:$G$2002,$H94))))</f>
        <v/>
      </c>
      <c r="G94" s="20">
        <f>IF($H94="","",G93+E94-F94)</f>
        <v/>
      </c>
      <c r="H94" s="18">
        <f t="array" ref="H94">IF($B$1="","",IFERROR(_xlfn.AGGREGATE(15,6,ROW('Journal'!$A$3:$A$2002)/(('Journal'!$D$3:$D$2002=$B$1)+('Journal'!$E$3:$E$2002=$B$1))/('Journal'!$B$3:$B$2002&gt;=$B$2)/('Journal'!$B$3:$B$2002&lt;=$B$3),89),""))</f>
        <v/>
      </c>
    </row>
    <row r="95">
      <c r="A95" s="18">
        <f>IF($H95="","",INDEX('Journal'!$A$1:$A$2002,$H95))</f>
        <v/>
      </c>
      <c r="B95" s="21">
        <f>IF($H95="","",INDEX('Journal'!$B$1:$B$2002,$H95))</f>
        <v/>
      </c>
      <c r="C95" s="5">
        <f>IF($H95="","",INDEX('Journal'!$C$1:$C$2002,$H95)&amp;"")</f>
        <v/>
      </c>
      <c r="D95" s="5">
        <f>IF($H95="","",IF(INDEX('Journal'!$D$1:$D$2002,$H95)=$B$1,INDEX('Journal'!$E$1:$E$2002,$H95),INDEX('Journal'!$D$1:$D$2002,$H95))&amp;"")</f>
        <v/>
      </c>
      <c r="E95" s="20">
        <f>IF($H95="","",IF(INDEX('Journal'!$D$1:$D$2002,$H95)=$B$1,N(INDEX('Journal'!$G$1:$G$2002,$H95)),N(INDEX('Journal'!$F$1:$F$2002,$H95))))</f>
        <v/>
      </c>
      <c r="F95" s="20">
        <f>IF($H95="","",IF(INDEX('Journal'!$D$1:$D$2002,$H95)=$B$1,N(INDEX('Journal'!$F$1:$F$2002,$H95)),N(INDEX('Journal'!$G$1:$G$2002,$H95))))</f>
        <v/>
      </c>
      <c r="G95" s="20">
        <f>IF($H95="","",G94+E95-F95)</f>
        <v/>
      </c>
      <c r="H95" s="18">
        <f t="array" ref="H95">IF($B$1="","",IFERROR(_xlfn.AGGREGATE(15,6,ROW('Journal'!$A$3:$A$2002)/(('Journal'!$D$3:$D$2002=$B$1)+('Journal'!$E$3:$E$2002=$B$1))/('Journal'!$B$3:$B$2002&gt;=$B$2)/('Journal'!$B$3:$B$2002&lt;=$B$3),90),""))</f>
        <v/>
      </c>
    </row>
    <row r="96">
      <c r="A96" s="18">
        <f>IF($H96="","",INDEX('Journal'!$A$1:$A$2002,$H96))</f>
        <v/>
      </c>
      <c r="B96" s="21">
        <f>IF($H96="","",INDEX('Journal'!$B$1:$B$2002,$H96))</f>
        <v/>
      </c>
      <c r="C96" s="5">
        <f>IF($H96="","",INDEX('Journal'!$C$1:$C$2002,$H96)&amp;"")</f>
        <v/>
      </c>
      <c r="D96" s="5">
        <f>IF($H96="","",IF(INDEX('Journal'!$D$1:$D$2002,$H96)=$B$1,INDEX('Journal'!$E$1:$E$2002,$H96),INDEX('Journal'!$D$1:$D$2002,$H96))&amp;"")</f>
        <v/>
      </c>
      <c r="E96" s="20">
        <f>IF($H96="","",IF(INDEX('Journal'!$D$1:$D$2002,$H96)=$B$1,N(INDEX('Journal'!$G$1:$G$2002,$H96)),N(INDEX('Journal'!$F$1:$F$2002,$H96))))</f>
        <v/>
      </c>
      <c r="F96" s="20">
        <f>IF($H96="","",IF(INDEX('Journal'!$D$1:$D$2002,$H96)=$B$1,N(INDEX('Journal'!$F$1:$F$2002,$H96)),N(INDEX('Journal'!$G$1:$G$2002,$H96))))</f>
        <v/>
      </c>
      <c r="G96" s="20">
        <f>IF($H96="","",G95+E96-F96)</f>
        <v/>
      </c>
      <c r="H96" s="18">
        <f t="array" ref="H96">IF($B$1="","",IFERROR(_xlfn.AGGREGATE(15,6,ROW('Journal'!$A$3:$A$2002)/(('Journal'!$D$3:$D$2002=$B$1)+('Journal'!$E$3:$E$2002=$B$1))/('Journal'!$B$3:$B$2002&gt;=$B$2)/('Journal'!$B$3:$B$2002&lt;=$B$3),91),""))</f>
        <v/>
      </c>
    </row>
    <row r="97">
      <c r="A97" s="18">
        <f>IF($H97="","",INDEX('Journal'!$A$1:$A$2002,$H97))</f>
        <v/>
      </c>
      <c r="B97" s="21">
        <f>IF($H97="","",INDEX('Journal'!$B$1:$B$2002,$H97))</f>
        <v/>
      </c>
      <c r="C97" s="5">
        <f>IF($H97="","",INDEX('Journal'!$C$1:$C$2002,$H97)&amp;"")</f>
        <v/>
      </c>
      <c r="D97" s="5">
        <f>IF($H97="","",IF(INDEX('Journal'!$D$1:$D$2002,$H97)=$B$1,INDEX('Journal'!$E$1:$E$2002,$H97),INDEX('Journal'!$D$1:$D$2002,$H97))&amp;"")</f>
        <v/>
      </c>
      <c r="E97" s="20">
        <f>IF($H97="","",IF(INDEX('Journal'!$D$1:$D$2002,$H97)=$B$1,N(INDEX('Journal'!$G$1:$G$2002,$H97)),N(INDEX('Journal'!$F$1:$F$2002,$H97))))</f>
        <v/>
      </c>
      <c r="F97" s="20">
        <f>IF($H97="","",IF(INDEX('Journal'!$D$1:$D$2002,$H97)=$B$1,N(INDEX('Journal'!$F$1:$F$2002,$H97)),N(INDEX('Journal'!$G$1:$G$2002,$H97))))</f>
        <v/>
      </c>
      <c r="G97" s="20">
        <f>IF($H97="","",G96+E97-F97)</f>
        <v/>
      </c>
      <c r="H97" s="18">
        <f t="array" ref="H97">IF($B$1="","",IFERROR(_xlfn.AGGREGATE(15,6,ROW('Journal'!$A$3:$A$2002)/(('Journal'!$D$3:$D$2002=$B$1)+('Journal'!$E$3:$E$2002=$B$1))/('Journal'!$B$3:$B$2002&gt;=$B$2)/('Journal'!$B$3:$B$2002&lt;=$B$3),92),""))</f>
        <v/>
      </c>
    </row>
    <row r="98">
      <c r="A98" s="18">
        <f>IF($H98="","",INDEX('Journal'!$A$1:$A$2002,$H98))</f>
        <v/>
      </c>
      <c r="B98" s="21">
        <f>IF($H98="","",INDEX('Journal'!$B$1:$B$2002,$H98))</f>
        <v/>
      </c>
      <c r="C98" s="5">
        <f>IF($H98="","",INDEX('Journal'!$C$1:$C$2002,$H98)&amp;"")</f>
        <v/>
      </c>
      <c r="D98" s="5">
        <f>IF($H98="","",IF(INDEX('Journal'!$D$1:$D$2002,$H98)=$B$1,INDEX('Journal'!$E$1:$E$2002,$H98),INDEX('Journal'!$D$1:$D$2002,$H98))&amp;"")</f>
        <v/>
      </c>
      <c r="E98" s="20">
        <f>IF($H98="","",IF(INDEX('Journal'!$D$1:$D$2002,$H98)=$B$1,N(INDEX('Journal'!$G$1:$G$2002,$H98)),N(INDEX('Journal'!$F$1:$F$2002,$H98))))</f>
        <v/>
      </c>
      <c r="F98" s="20">
        <f>IF($H98="","",IF(INDEX('Journal'!$D$1:$D$2002,$H98)=$B$1,N(INDEX('Journal'!$F$1:$F$2002,$H98)),N(INDEX('Journal'!$G$1:$G$2002,$H98))))</f>
        <v/>
      </c>
      <c r="G98" s="20">
        <f>IF($H98="","",G97+E98-F98)</f>
        <v/>
      </c>
      <c r="H98" s="18">
        <f t="array" ref="H98">IF($B$1="","",IFERROR(_xlfn.AGGREGATE(15,6,ROW('Journal'!$A$3:$A$2002)/(('Journal'!$D$3:$D$2002=$B$1)+('Journal'!$E$3:$E$2002=$B$1))/('Journal'!$B$3:$B$2002&gt;=$B$2)/('Journal'!$B$3:$B$2002&lt;=$B$3),93),""))</f>
        <v/>
      </c>
    </row>
    <row r="99">
      <c r="A99" s="18">
        <f>IF($H99="","",INDEX('Journal'!$A$1:$A$2002,$H99))</f>
        <v/>
      </c>
      <c r="B99" s="21">
        <f>IF($H99="","",INDEX('Journal'!$B$1:$B$2002,$H99))</f>
        <v/>
      </c>
      <c r="C99" s="5">
        <f>IF($H99="","",INDEX('Journal'!$C$1:$C$2002,$H99)&amp;"")</f>
        <v/>
      </c>
      <c r="D99" s="5">
        <f>IF($H99="","",IF(INDEX('Journal'!$D$1:$D$2002,$H99)=$B$1,INDEX('Journal'!$E$1:$E$2002,$H99),INDEX('Journal'!$D$1:$D$2002,$H99))&amp;"")</f>
        <v/>
      </c>
      <c r="E99" s="20">
        <f>IF($H99="","",IF(INDEX('Journal'!$D$1:$D$2002,$H99)=$B$1,N(INDEX('Journal'!$G$1:$G$2002,$H99)),N(INDEX('Journal'!$F$1:$F$2002,$H99))))</f>
        <v/>
      </c>
      <c r="F99" s="20">
        <f>IF($H99="","",IF(INDEX('Journal'!$D$1:$D$2002,$H99)=$B$1,N(INDEX('Journal'!$F$1:$F$2002,$H99)),N(INDEX('Journal'!$G$1:$G$2002,$H99))))</f>
        <v/>
      </c>
      <c r="G99" s="20">
        <f>IF($H99="","",G98+E99-F99)</f>
        <v/>
      </c>
      <c r="H99" s="18">
        <f t="array" ref="H99">IF($B$1="","",IFERROR(_xlfn.AGGREGATE(15,6,ROW('Journal'!$A$3:$A$2002)/(('Journal'!$D$3:$D$2002=$B$1)+('Journal'!$E$3:$E$2002=$B$1))/('Journal'!$B$3:$B$2002&gt;=$B$2)/('Journal'!$B$3:$B$2002&lt;=$B$3),94),""))</f>
        <v/>
      </c>
    </row>
    <row r="100">
      <c r="A100" s="18">
        <f>IF($H100="","",INDEX('Journal'!$A$1:$A$2002,$H100))</f>
        <v/>
      </c>
      <c r="B100" s="21">
        <f>IF($H100="","",INDEX('Journal'!$B$1:$B$2002,$H100))</f>
        <v/>
      </c>
      <c r="C100" s="5">
        <f>IF($H100="","",INDEX('Journal'!$C$1:$C$2002,$H100)&amp;"")</f>
        <v/>
      </c>
      <c r="D100" s="5">
        <f>IF($H100="","",IF(INDEX('Journal'!$D$1:$D$2002,$H100)=$B$1,INDEX('Journal'!$E$1:$E$2002,$H100),INDEX('Journal'!$D$1:$D$2002,$H100))&amp;"")</f>
        <v/>
      </c>
      <c r="E100" s="20">
        <f>IF($H100="","",IF(INDEX('Journal'!$D$1:$D$2002,$H100)=$B$1,N(INDEX('Journal'!$G$1:$G$2002,$H100)),N(INDEX('Journal'!$F$1:$F$2002,$H100))))</f>
        <v/>
      </c>
      <c r="F100" s="20">
        <f>IF($H100="","",IF(INDEX('Journal'!$D$1:$D$2002,$H100)=$B$1,N(INDEX('Journal'!$F$1:$F$2002,$H100)),N(INDEX('Journal'!$G$1:$G$2002,$H100))))</f>
        <v/>
      </c>
      <c r="G100" s="20">
        <f>IF($H100="","",G99+E100-F100)</f>
        <v/>
      </c>
      <c r="H100" s="18">
        <f t="array" ref="H100">IF($B$1="","",IFERROR(_xlfn.AGGREGATE(15,6,ROW('Journal'!$A$3:$A$2002)/(('Journal'!$D$3:$D$2002=$B$1)+('Journal'!$E$3:$E$2002=$B$1))/('Journal'!$B$3:$B$2002&gt;=$B$2)/('Journal'!$B$3:$B$2002&lt;=$B$3),95),""))</f>
        <v/>
      </c>
    </row>
    <row r="101">
      <c r="A101" s="18">
        <f>IF($H101="","",INDEX('Journal'!$A$1:$A$2002,$H101))</f>
        <v/>
      </c>
      <c r="B101" s="21">
        <f>IF($H101="","",INDEX('Journal'!$B$1:$B$2002,$H101))</f>
        <v/>
      </c>
      <c r="C101" s="5">
        <f>IF($H101="","",INDEX('Journal'!$C$1:$C$2002,$H101)&amp;"")</f>
        <v/>
      </c>
      <c r="D101" s="5">
        <f>IF($H101="","",IF(INDEX('Journal'!$D$1:$D$2002,$H101)=$B$1,INDEX('Journal'!$E$1:$E$2002,$H101),INDEX('Journal'!$D$1:$D$2002,$H101))&amp;"")</f>
        <v/>
      </c>
      <c r="E101" s="20">
        <f>IF($H101="","",IF(INDEX('Journal'!$D$1:$D$2002,$H101)=$B$1,N(INDEX('Journal'!$G$1:$G$2002,$H101)),N(INDEX('Journal'!$F$1:$F$2002,$H101))))</f>
        <v/>
      </c>
      <c r="F101" s="20">
        <f>IF($H101="","",IF(INDEX('Journal'!$D$1:$D$2002,$H101)=$B$1,N(INDEX('Journal'!$F$1:$F$2002,$H101)),N(INDEX('Journal'!$G$1:$G$2002,$H101))))</f>
        <v/>
      </c>
      <c r="G101" s="20">
        <f>IF($H101="","",G100+E101-F101)</f>
        <v/>
      </c>
      <c r="H101" s="18">
        <f t="array" ref="H101">IF($B$1="","",IFERROR(_xlfn.AGGREGATE(15,6,ROW('Journal'!$A$3:$A$2002)/(('Journal'!$D$3:$D$2002=$B$1)+('Journal'!$E$3:$E$2002=$B$1))/('Journal'!$B$3:$B$2002&gt;=$B$2)/('Journal'!$B$3:$B$2002&lt;=$B$3),96),""))</f>
        <v/>
      </c>
    </row>
    <row r="102">
      <c r="A102" s="18">
        <f>IF($H102="","",INDEX('Journal'!$A$1:$A$2002,$H102))</f>
        <v/>
      </c>
      <c r="B102" s="21">
        <f>IF($H102="","",INDEX('Journal'!$B$1:$B$2002,$H102))</f>
        <v/>
      </c>
      <c r="C102" s="5">
        <f>IF($H102="","",INDEX('Journal'!$C$1:$C$2002,$H102)&amp;"")</f>
        <v/>
      </c>
      <c r="D102" s="5">
        <f>IF($H102="","",IF(INDEX('Journal'!$D$1:$D$2002,$H102)=$B$1,INDEX('Journal'!$E$1:$E$2002,$H102),INDEX('Journal'!$D$1:$D$2002,$H102))&amp;"")</f>
        <v/>
      </c>
      <c r="E102" s="20">
        <f>IF($H102="","",IF(INDEX('Journal'!$D$1:$D$2002,$H102)=$B$1,N(INDEX('Journal'!$G$1:$G$2002,$H102)),N(INDEX('Journal'!$F$1:$F$2002,$H102))))</f>
        <v/>
      </c>
      <c r="F102" s="20">
        <f>IF($H102="","",IF(INDEX('Journal'!$D$1:$D$2002,$H102)=$B$1,N(INDEX('Journal'!$F$1:$F$2002,$H102)),N(INDEX('Journal'!$G$1:$G$2002,$H102))))</f>
        <v/>
      </c>
      <c r="G102" s="20">
        <f>IF($H102="","",G101+E102-F102)</f>
        <v/>
      </c>
      <c r="H102" s="18">
        <f t="array" ref="H102">IF($B$1="","",IFERROR(_xlfn.AGGREGATE(15,6,ROW('Journal'!$A$3:$A$2002)/(('Journal'!$D$3:$D$2002=$B$1)+('Journal'!$E$3:$E$2002=$B$1))/('Journal'!$B$3:$B$2002&gt;=$B$2)/('Journal'!$B$3:$B$2002&lt;=$B$3),97),""))</f>
        <v/>
      </c>
    </row>
    <row r="103">
      <c r="A103" s="18">
        <f>IF($H103="","",INDEX('Journal'!$A$1:$A$2002,$H103))</f>
        <v/>
      </c>
      <c r="B103" s="21">
        <f>IF($H103="","",INDEX('Journal'!$B$1:$B$2002,$H103))</f>
        <v/>
      </c>
      <c r="C103" s="5">
        <f>IF($H103="","",INDEX('Journal'!$C$1:$C$2002,$H103)&amp;"")</f>
        <v/>
      </c>
      <c r="D103" s="5">
        <f>IF($H103="","",IF(INDEX('Journal'!$D$1:$D$2002,$H103)=$B$1,INDEX('Journal'!$E$1:$E$2002,$H103),INDEX('Journal'!$D$1:$D$2002,$H103))&amp;"")</f>
        <v/>
      </c>
      <c r="E103" s="20">
        <f>IF($H103="","",IF(INDEX('Journal'!$D$1:$D$2002,$H103)=$B$1,N(INDEX('Journal'!$G$1:$G$2002,$H103)),N(INDEX('Journal'!$F$1:$F$2002,$H103))))</f>
        <v/>
      </c>
      <c r="F103" s="20">
        <f>IF($H103="","",IF(INDEX('Journal'!$D$1:$D$2002,$H103)=$B$1,N(INDEX('Journal'!$F$1:$F$2002,$H103)),N(INDEX('Journal'!$G$1:$G$2002,$H103))))</f>
        <v/>
      </c>
      <c r="G103" s="20">
        <f>IF($H103="","",G102+E103-F103)</f>
        <v/>
      </c>
      <c r="H103" s="18">
        <f t="array" ref="H103">IF($B$1="","",IFERROR(_xlfn.AGGREGATE(15,6,ROW('Journal'!$A$3:$A$2002)/(('Journal'!$D$3:$D$2002=$B$1)+('Journal'!$E$3:$E$2002=$B$1))/('Journal'!$B$3:$B$2002&gt;=$B$2)/('Journal'!$B$3:$B$2002&lt;=$B$3),98),""))</f>
        <v/>
      </c>
    </row>
    <row r="104">
      <c r="A104" s="18">
        <f>IF($H104="","",INDEX('Journal'!$A$1:$A$2002,$H104))</f>
        <v/>
      </c>
      <c r="B104" s="21">
        <f>IF($H104="","",INDEX('Journal'!$B$1:$B$2002,$H104))</f>
        <v/>
      </c>
      <c r="C104" s="5">
        <f>IF($H104="","",INDEX('Journal'!$C$1:$C$2002,$H104)&amp;"")</f>
        <v/>
      </c>
      <c r="D104" s="5">
        <f>IF($H104="","",IF(INDEX('Journal'!$D$1:$D$2002,$H104)=$B$1,INDEX('Journal'!$E$1:$E$2002,$H104),INDEX('Journal'!$D$1:$D$2002,$H104))&amp;"")</f>
        <v/>
      </c>
      <c r="E104" s="20">
        <f>IF($H104="","",IF(INDEX('Journal'!$D$1:$D$2002,$H104)=$B$1,N(INDEX('Journal'!$G$1:$G$2002,$H104)),N(INDEX('Journal'!$F$1:$F$2002,$H104))))</f>
        <v/>
      </c>
      <c r="F104" s="20">
        <f>IF($H104="","",IF(INDEX('Journal'!$D$1:$D$2002,$H104)=$B$1,N(INDEX('Journal'!$F$1:$F$2002,$H104)),N(INDEX('Journal'!$G$1:$G$2002,$H104))))</f>
        <v/>
      </c>
      <c r="G104" s="20">
        <f>IF($H104="","",G103+E104-F104)</f>
        <v/>
      </c>
      <c r="H104" s="18">
        <f t="array" ref="H104">IF($B$1="","",IFERROR(_xlfn.AGGREGATE(15,6,ROW('Journal'!$A$3:$A$2002)/(('Journal'!$D$3:$D$2002=$B$1)+('Journal'!$E$3:$E$2002=$B$1))/('Journal'!$B$3:$B$2002&gt;=$B$2)/('Journal'!$B$3:$B$2002&lt;=$B$3),99),""))</f>
        <v/>
      </c>
    </row>
    <row r="105">
      <c r="A105" s="18">
        <f>IF($H105="","",INDEX('Journal'!$A$1:$A$2002,$H105))</f>
        <v/>
      </c>
      <c r="B105" s="21">
        <f>IF($H105="","",INDEX('Journal'!$B$1:$B$2002,$H105))</f>
        <v/>
      </c>
      <c r="C105" s="5">
        <f>IF($H105="","",INDEX('Journal'!$C$1:$C$2002,$H105)&amp;"")</f>
        <v/>
      </c>
      <c r="D105" s="5">
        <f>IF($H105="","",IF(INDEX('Journal'!$D$1:$D$2002,$H105)=$B$1,INDEX('Journal'!$E$1:$E$2002,$H105),INDEX('Journal'!$D$1:$D$2002,$H105))&amp;"")</f>
        <v/>
      </c>
      <c r="E105" s="20">
        <f>IF($H105="","",IF(INDEX('Journal'!$D$1:$D$2002,$H105)=$B$1,N(INDEX('Journal'!$G$1:$G$2002,$H105)),N(INDEX('Journal'!$F$1:$F$2002,$H105))))</f>
        <v/>
      </c>
      <c r="F105" s="20">
        <f>IF($H105="","",IF(INDEX('Journal'!$D$1:$D$2002,$H105)=$B$1,N(INDEX('Journal'!$F$1:$F$2002,$H105)),N(INDEX('Journal'!$G$1:$G$2002,$H105))))</f>
        <v/>
      </c>
      <c r="G105" s="20">
        <f>IF($H105="","",G104+E105-F105)</f>
        <v/>
      </c>
      <c r="H105" s="18">
        <f t="array" ref="H105">IF($B$1="","",IFERROR(_xlfn.AGGREGATE(15,6,ROW('Journal'!$A$3:$A$2002)/(('Journal'!$D$3:$D$2002=$B$1)+('Journal'!$E$3:$E$2002=$B$1))/('Journal'!$B$3:$B$2002&gt;=$B$2)/('Journal'!$B$3:$B$2002&lt;=$B$3),100),""))</f>
        <v/>
      </c>
    </row>
    <row r="106">
      <c r="A106" s="18">
        <f>IF($H106="","",INDEX('Journal'!$A$1:$A$2002,$H106))</f>
        <v/>
      </c>
      <c r="B106" s="21">
        <f>IF($H106="","",INDEX('Journal'!$B$1:$B$2002,$H106))</f>
        <v/>
      </c>
      <c r="C106" s="5">
        <f>IF($H106="","",INDEX('Journal'!$C$1:$C$2002,$H106)&amp;"")</f>
        <v/>
      </c>
      <c r="D106" s="5">
        <f>IF($H106="","",IF(INDEX('Journal'!$D$1:$D$2002,$H106)=$B$1,INDEX('Journal'!$E$1:$E$2002,$H106),INDEX('Journal'!$D$1:$D$2002,$H106))&amp;"")</f>
        <v/>
      </c>
      <c r="E106" s="20">
        <f>IF($H106="","",IF(INDEX('Journal'!$D$1:$D$2002,$H106)=$B$1,N(INDEX('Journal'!$G$1:$G$2002,$H106)),N(INDEX('Journal'!$F$1:$F$2002,$H106))))</f>
        <v/>
      </c>
      <c r="F106" s="20">
        <f>IF($H106="","",IF(INDEX('Journal'!$D$1:$D$2002,$H106)=$B$1,N(INDEX('Journal'!$F$1:$F$2002,$H106)),N(INDEX('Journal'!$G$1:$G$2002,$H106))))</f>
        <v/>
      </c>
      <c r="G106" s="20">
        <f>IF($H106="","",G105+E106-F106)</f>
        <v/>
      </c>
      <c r="H106" s="18">
        <f t="array" ref="H106">IF($B$1="","",IFERROR(_xlfn.AGGREGATE(15,6,ROW('Journal'!$A$3:$A$2002)/(('Journal'!$D$3:$D$2002=$B$1)+('Journal'!$E$3:$E$2002=$B$1))/('Journal'!$B$3:$B$2002&gt;=$B$2)/('Journal'!$B$3:$B$2002&lt;=$B$3),101),""))</f>
        <v/>
      </c>
    </row>
    <row r="107">
      <c r="A107" s="18">
        <f>IF($H107="","",INDEX('Journal'!$A$1:$A$2002,$H107))</f>
        <v/>
      </c>
      <c r="B107" s="21">
        <f>IF($H107="","",INDEX('Journal'!$B$1:$B$2002,$H107))</f>
        <v/>
      </c>
      <c r="C107" s="5">
        <f>IF($H107="","",INDEX('Journal'!$C$1:$C$2002,$H107)&amp;"")</f>
        <v/>
      </c>
      <c r="D107" s="5">
        <f>IF($H107="","",IF(INDEX('Journal'!$D$1:$D$2002,$H107)=$B$1,INDEX('Journal'!$E$1:$E$2002,$H107),INDEX('Journal'!$D$1:$D$2002,$H107))&amp;"")</f>
        <v/>
      </c>
      <c r="E107" s="20">
        <f>IF($H107="","",IF(INDEX('Journal'!$D$1:$D$2002,$H107)=$B$1,N(INDEX('Journal'!$G$1:$G$2002,$H107)),N(INDEX('Journal'!$F$1:$F$2002,$H107))))</f>
        <v/>
      </c>
      <c r="F107" s="20">
        <f>IF($H107="","",IF(INDEX('Journal'!$D$1:$D$2002,$H107)=$B$1,N(INDEX('Journal'!$F$1:$F$2002,$H107)),N(INDEX('Journal'!$G$1:$G$2002,$H107))))</f>
        <v/>
      </c>
      <c r="G107" s="20">
        <f>IF($H107="","",G106+E107-F107)</f>
        <v/>
      </c>
      <c r="H107" s="18">
        <f t="array" ref="H107">IF($B$1="","",IFERROR(_xlfn.AGGREGATE(15,6,ROW('Journal'!$A$3:$A$2002)/(('Journal'!$D$3:$D$2002=$B$1)+('Journal'!$E$3:$E$2002=$B$1))/('Journal'!$B$3:$B$2002&gt;=$B$2)/('Journal'!$B$3:$B$2002&lt;=$B$3),102),""))</f>
        <v/>
      </c>
    </row>
    <row r="108">
      <c r="A108" s="18">
        <f>IF($H108="","",INDEX('Journal'!$A$1:$A$2002,$H108))</f>
        <v/>
      </c>
      <c r="B108" s="21">
        <f>IF($H108="","",INDEX('Journal'!$B$1:$B$2002,$H108))</f>
        <v/>
      </c>
      <c r="C108" s="5">
        <f>IF($H108="","",INDEX('Journal'!$C$1:$C$2002,$H108)&amp;"")</f>
        <v/>
      </c>
      <c r="D108" s="5">
        <f>IF($H108="","",IF(INDEX('Journal'!$D$1:$D$2002,$H108)=$B$1,INDEX('Journal'!$E$1:$E$2002,$H108),INDEX('Journal'!$D$1:$D$2002,$H108))&amp;"")</f>
        <v/>
      </c>
      <c r="E108" s="20">
        <f>IF($H108="","",IF(INDEX('Journal'!$D$1:$D$2002,$H108)=$B$1,N(INDEX('Journal'!$G$1:$G$2002,$H108)),N(INDEX('Journal'!$F$1:$F$2002,$H108))))</f>
        <v/>
      </c>
      <c r="F108" s="20">
        <f>IF($H108="","",IF(INDEX('Journal'!$D$1:$D$2002,$H108)=$B$1,N(INDEX('Journal'!$F$1:$F$2002,$H108)),N(INDEX('Journal'!$G$1:$G$2002,$H108))))</f>
        <v/>
      </c>
      <c r="G108" s="20">
        <f>IF($H108="","",G107+E108-F108)</f>
        <v/>
      </c>
      <c r="H108" s="18">
        <f t="array" ref="H108">IF($B$1="","",IFERROR(_xlfn.AGGREGATE(15,6,ROW('Journal'!$A$3:$A$2002)/(('Journal'!$D$3:$D$2002=$B$1)+('Journal'!$E$3:$E$2002=$B$1))/('Journal'!$B$3:$B$2002&gt;=$B$2)/('Journal'!$B$3:$B$2002&lt;=$B$3),103),""))</f>
        <v/>
      </c>
    </row>
    <row r="109">
      <c r="A109" s="18">
        <f>IF($H109="","",INDEX('Journal'!$A$1:$A$2002,$H109))</f>
        <v/>
      </c>
      <c r="B109" s="21">
        <f>IF($H109="","",INDEX('Journal'!$B$1:$B$2002,$H109))</f>
        <v/>
      </c>
      <c r="C109" s="5">
        <f>IF($H109="","",INDEX('Journal'!$C$1:$C$2002,$H109)&amp;"")</f>
        <v/>
      </c>
      <c r="D109" s="5">
        <f>IF($H109="","",IF(INDEX('Journal'!$D$1:$D$2002,$H109)=$B$1,INDEX('Journal'!$E$1:$E$2002,$H109),INDEX('Journal'!$D$1:$D$2002,$H109))&amp;"")</f>
        <v/>
      </c>
      <c r="E109" s="20">
        <f>IF($H109="","",IF(INDEX('Journal'!$D$1:$D$2002,$H109)=$B$1,N(INDEX('Journal'!$G$1:$G$2002,$H109)),N(INDEX('Journal'!$F$1:$F$2002,$H109))))</f>
        <v/>
      </c>
      <c r="F109" s="20">
        <f>IF($H109="","",IF(INDEX('Journal'!$D$1:$D$2002,$H109)=$B$1,N(INDEX('Journal'!$F$1:$F$2002,$H109)),N(INDEX('Journal'!$G$1:$G$2002,$H109))))</f>
        <v/>
      </c>
      <c r="G109" s="20">
        <f>IF($H109="","",G108+E109-F109)</f>
        <v/>
      </c>
      <c r="H109" s="18">
        <f t="array" ref="H109">IF($B$1="","",IFERROR(_xlfn.AGGREGATE(15,6,ROW('Journal'!$A$3:$A$2002)/(('Journal'!$D$3:$D$2002=$B$1)+('Journal'!$E$3:$E$2002=$B$1))/('Journal'!$B$3:$B$2002&gt;=$B$2)/('Journal'!$B$3:$B$2002&lt;=$B$3),104),""))</f>
        <v/>
      </c>
    </row>
    <row r="110">
      <c r="A110" s="18">
        <f>IF($H110="","",INDEX('Journal'!$A$1:$A$2002,$H110))</f>
        <v/>
      </c>
      <c r="B110" s="21">
        <f>IF($H110="","",INDEX('Journal'!$B$1:$B$2002,$H110))</f>
        <v/>
      </c>
      <c r="C110" s="5">
        <f>IF($H110="","",INDEX('Journal'!$C$1:$C$2002,$H110)&amp;"")</f>
        <v/>
      </c>
      <c r="D110" s="5">
        <f>IF($H110="","",IF(INDEX('Journal'!$D$1:$D$2002,$H110)=$B$1,INDEX('Journal'!$E$1:$E$2002,$H110),INDEX('Journal'!$D$1:$D$2002,$H110))&amp;"")</f>
        <v/>
      </c>
      <c r="E110" s="20">
        <f>IF($H110="","",IF(INDEX('Journal'!$D$1:$D$2002,$H110)=$B$1,N(INDEX('Journal'!$G$1:$G$2002,$H110)),N(INDEX('Journal'!$F$1:$F$2002,$H110))))</f>
        <v/>
      </c>
      <c r="F110" s="20">
        <f>IF($H110="","",IF(INDEX('Journal'!$D$1:$D$2002,$H110)=$B$1,N(INDEX('Journal'!$F$1:$F$2002,$H110)),N(INDEX('Journal'!$G$1:$G$2002,$H110))))</f>
        <v/>
      </c>
      <c r="G110" s="20">
        <f>IF($H110="","",G109+E110-F110)</f>
        <v/>
      </c>
      <c r="H110" s="18">
        <f t="array" ref="H110">IF($B$1="","",IFERROR(_xlfn.AGGREGATE(15,6,ROW('Journal'!$A$3:$A$2002)/(('Journal'!$D$3:$D$2002=$B$1)+('Journal'!$E$3:$E$2002=$B$1))/('Journal'!$B$3:$B$2002&gt;=$B$2)/('Journal'!$B$3:$B$2002&lt;=$B$3),105),""))</f>
        <v/>
      </c>
    </row>
    <row r="111">
      <c r="A111" s="18">
        <f>IF($H111="","",INDEX('Journal'!$A$1:$A$2002,$H111))</f>
        <v/>
      </c>
      <c r="B111" s="21">
        <f>IF($H111="","",INDEX('Journal'!$B$1:$B$2002,$H111))</f>
        <v/>
      </c>
      <c r="C111" s="5">
        <f>IF($H111="","",INDEX('Journal'!$C$1:$C$2002,$H111)&amp;"")</f>
        <v/>
      </c>
      <c r="D111" s="5">
        <f>IF($H111="","",IF(INDEX('Journal'!$D$1:$D$2002,$H111)=$B$1,INDEX('Journal'!$E$1:$E$2002,$H111),INDEX('Journal'!$D$1:$D$2002,$H111))&amp;"")</f>
        <v/>
      </c>
      <c r="E111" s="20">
        <f>IF($H111="","",IF(INDEX('Journal'!$D$1:$D$2002,$H111)=$B$1,N(INDEX('Journal'!$G$1:$G$2002,$H111)),N(INDEX('Journal'!$F$1:$F$2002,$H111))))</f>
        <v/>
      </c>
      <c r="F111" s="20">
        <f>IF($H111="","",IF(INDEX('Journal'!$D$1:$D$2002,$H111)=$B$1,N(INDEX('Journal'!$F$1:$F$2002,$H111)),N(INDEX('Journal'!$G$1:$G$2002,$H111))))</f>
        <v/>
      </c>
      <c r="G111" s="20">
        <f>IF($H111="","",G110+E111-F111)</f>
        <v/>
      </c>
      <c r="H111" s="18">
        <f t="array" ref="H111">IF($B$1="","",IFERROR(_xlfn.AGGREGATE(15,6,ROW('Journal'!$A$3:$A$2002)/(('Journal'!$D$3:$D$2002=$B$1)+('Journal'!$E$3:$E$2002=$B$1))/('Journal'!$B$3:$B$2002&gt;=$B$2)/('Journal'!$B$3:$B$2002&lt;=$B$3),106),""))</f>
        <v/>
      </c>
    </row>
    <row r="112">
      <c r="A112" s="18">
        <f>IF($H112="","",INDEX('Journal'!$A$1:$A$2002,$H112))</f>
        <v/>
      </c>
      <c r="B112" s="21">
        <f>IF($H112="","",INDEX('Journal'!$B$1:$B$2002,$H112))</f>
        <v/>
      </c>
      <c r="C112" s="5">
        <f>IF($H112="","",INDEX('Journal'!$C$1:$C$2002,$H112)&amp;"")</f>
        <v/>
      </c>
      <c r="D112" s="5">
        <f>IF($H112="","",IF(INDEX('Journal'!$D$1:$D$2002,$H112)=$B$1,INDEX('Journal'!$E$1:$E$2002,$H112),INDEX('Journal'!$D$1:$D$2002,$H112))&amp;"")</f>
        <v/>
      </c>
      <c r="E112" s="20">
        <f>IF($H112="","",IF(INDEX('Journal'!$D$1:$D$2002,$H112)=$B$1,N(INDEX('Journal'!$G$1:$G$2002,$H112)),N(INDEX('Journal'!$F$1:$F$2002,$H112))))</f>
        <v/>
      </c>
      <c r="F112" s="20">
        <f>IF($H112="","",IF(INDEX('Journal'!$D$1:$D$2002,$H112)=$B$1,N(INDEX('Journal'!$F$1:$F$2002,$H112)),N(INDEX('Journal'!$G$1:$G$2002,$H112))))</f>
        <v/>
      </c>
      <c r="G112" s="20">
        <f>IF($H112="","",G111+E112-F112)</f>
        <v/>
      </c>
      <c r="H112" s="18">
        <f t="array" ref="H112">IF($B$1="","",IFERROR(_xlfn.AGGREGATE(15,6,ROW('Journal'!$A$3:$A$2002)/(('Journal'!$D$3:$D$2002=$B$1)+('Journal'!$E$3:$E$2002=$B$1))/('Journal'!$B$3:$B$2002&gt;=$B$2)/('Journal'!$B$3:$B$2002&lt;=$B$3),107),""))</f>
        <v/>
      </c>
    </row>
    <row r="113">
      <c r="A113" s="18">
        <f>IF($H113="","",INDEX('Journal'!$A$1:$A$2002,$H113))</f>
        <v/>
      </c>
      <c r="B113" s="21">
        <f>IF($H113="","",INDEX('Journal'!$B$1:$B$2002,$H113))</f>
        <v/>
      </c>
      <c r="C113" s="5">
        <f>IF($H113="","",INDEX('Journal'!$C$1:$C$2002,$H113)&amp;"")</f>
        <v/>
      </c>
      <c r="D113" s="5">
        <f>IF($H113="","",IF(INDEX('Journal'!$D$1:$D$2002,$H113)=$B$1,INDEX('Journal'!$E$1:$E$2002,$H113),INDEX('Journal'!$D$1:$D$2002,$H113))&amp;"")</f>
        <v/>
      </c>
      <c r="E113" s="20">
        <f>IF($H113="","",IF(INDEX('Journal'!$D$1:$D$2002,$H113)=$B$1,N(INDEX('Journal'!$G$1:$G$2002,$H113)),N(INDEX('Journal'!$F$1:$F$2002,$H113))))</f>
        <v/>
      </c>
      <c r="F113" s="20">
        <f>IF($H113="","",IF(INDEX('Journal'!$D$1:$D$2002,$H113)=$B$1,N(INDEX('Journal'!$F$1:$F$2002,$H113)),N(INDEX('Journal'!$G$1:$G$2002,$H113))))</f>
        <v/>
      </c>
      <c r="G113" s="20">
        <f>IF($H113="","",G112+E113-F113)</f>
        <v/>
      </c>
      <c r="H113" s="18">
        <f t="array" ref="H113">IF($B$1="","",IFERROR(_xlfn.AGGREGATE(15,6,ROW('Journal'!$A$3:$A$2002)/(('Journal'!$D$3:$D$2002=$B$1)+('Journal'!$E$3:$E$2002=$B$1))/('Journal'!$B$3:$B$2002&gt;=$B$2)/('Journal'!$B$3:$B$2002&lt;=$B$3),108),""))</f>
        <v/>
      </c>
    </row>
    <row r="114">
      <c r="A114" s="18">
        <f>IF($H114="","",INDEX('Journal'!$A$1:$A$2002,$H114))</f>
        <v/>
      </c>
      <c r="B114" s="21">
        <f>IF($H114="","",INDEX('Journal'!$B$1:$B$2002,$H114))</f>
        <v/>
      </c>
      <c r="C114" s="5">
        <f>IF($H114="","",INDEX('Journal'!$C$1:$C$2002,$H114)&amp;"")</f>
        <v/>
      </c>
      <c r="D114" s="5">
        <f>IF($H114="","",IF(INDEX('Journal'!$D$1:$D$2002,$H114)=$B$1,INDEX('Journal'!$E$1:$E$2002,$H114),INDEX('Journal'!$D$1:$D$2002,$H114))&amp;"")</f>
        <v/>
      </c>
      <c r="E114" s="20">
        <f>IF($H114="","",IF(INDEX('Journal'!$D$1:$D$2002,$H114)=$B$1,N(INDEX('Journal'!$G$1:$G$2002,$H114)),N(INDEX('Journal'!$F$1:$F$2002,$H114))))</f>
        <v/>
      </c>
      <c r="F114" s="20">
        <f>IF($H114="","",IF(INDEX('Journal'!$D$1:$D$2002,$H114)=$B$1,N(INDEX('Journal'!$F$1:$F$2002,$H114)),N(INDEX('Journal'!$G$1:$G$2002,$H114))))</f>
        <v/>
      </c>
      <c r="G114" s="20">
        <f>IF($H114="","",G113+E114-F114)</f>
        <v/>
      </c>
      <c r="H114" s="18">
        <f t="array" ref="H114">IF($B$1="","",IFERROR(_xlfn.AGGREGATE(15,6,ROW('Journal'!$A$3:$A$2002)/(('Journal'!$D$3:$D$2002=$B$1)+('Journal'!$E$3:$E$2002=$B$1))/('Journal'!$B$3:$B$2002&gt;=$B$2)/('Journal'!$B$3:$B$2002&lt;=$B$3),109),""))</f>
        <v/>
      </c>
    </row>
    <row r="115">
      <c r="A115" s="18">
        <f>IF($H115="","",INDEX('Journal'!$A$1:$A$2002,$H115))</f>
        <v/>
      </c>
      <c r="B115" s="21">
        <f>IF($H115="","",INDEX('Journal'!$B$1:$B$2002,$H115))</f>
        <v/>
      </c>
      <c r="C115" s="5">
        <f>IF($H115="","",INDEX('Journal'!$C$1:$C$2002,$H115)&amp;"")</f>
        <v/>
      </c>
      <c r="D115" s="5">
        <f>IF($H115="","",IF(INDEX('Journal'!$D$1:$D$2002,$H115)=$B$1,INDEX('Journal'!$E$1:$E$2002,$H115),INDEX('Journal'!$D$1:$D$2002,$H115))&amp;"")</f>
        <v/>
      </c>
      <c r="E115" s="20">
        <f>IF($H115="","",IF(INDEX('Journal'!$D$1:$D$2002,$H115)=$B$1,N(INDEX('Journal'!$G$1:$G$2002,$H115)),N(INDEX('Journal'!$F$1:$F$2002,$H115))))</f>
        <v/>
      </c>
      <c r="F115" s="20">
        <f>IF($H115="","",IF(INDEX('Journal'!$D$1:$D$2002,$H115)=$B$1,N(INDEX('Journal'!$F$1:$F$2002,$H115)),N(INDEX('Journal'!$G$1:$G$2002,$H115))))</f>
        <v/>
      </c>
      <c r="G115" s="20">
        <f>IF($H115="","",G114+E115-F115)</f>
        <v/>
      </c>
      <c r="H115" s="18">
        <f t="array" ref="H115">IF($B$1="","",IFERROR(_xlfn.AGGREGATE(15,6,ROW('Journal'!$A$3:$A$2002)/(('Journal'!$D$3:$D$2002=$B$1)+('Journal'!$E$3:$E$2002=$B$1))/('Journal'!$B$3:$B$2002&gt;=$B$2)/('Journal'!$B$3:$B$2002&lt;=$B$3),110),""))</f>
        <v/>
      </c>
    </row>
    <row r="116">
      <c r="A116" s="18">
        <f>IF($H116="","",INDEX('Journal'!$A$1:$A$2002,$H116))</f>
        <v/>
      </c>
      <c r="B116" s="21">
        <f>IF($H116="","",INDEX('Journal'!$B$1:$B$2002,$H116))</f>
        <v/>
      </c>
      <c r="C116" s="5">
        <f>IF($H116="","",INDEX('Journal'!$C$1:$C$2002,$H116)&amp;"")</f>
        <v/>
      </c>
      <c r="D116" s="5">
        <f>IF($H116="","",IF(INDEX('Journal'!$D$1:$D$2002,$H116)=$B$1,INDEX('Journal'!$E$1:$E$2002,$H116),INDEX('Journal'!$D$1:$D$2002,$H116))&amp;"")</f>
        <v/>
      </c>
      <c r="E116" s="20">
        <f>IF($H116="","",IF(INDEX('Journal'!$D$1:$D$2002,$H116)=$B$1,N(INDEX('Journal'!$G$1:$G$2002,$H116)),N(INDEX('Journal'!$F$1:$F$2002,$H116))))</f>
        <v/>
      </c>
      <c r="F116" s="20">
        <f>IF($H116="","",IF(INDEX('Journal'!$D$1:$D$2002,$H116)=$B$1,N(INDEX('Journal'!$F$1:$F$2002,$H116)),N(INDEX('Journal'!$G$1:$G$2002,$H116))))</f>
        <v/>
      </c>
      <c r="G116" s="20">
        <f>IF($H116="","",G115+E116-F116)</f>
        <v/>
      </c>
      <c r="H116" s="18">
        <f t="array" ref="H116">IF($B$1="","",IFERROR(_xlfn.AGGREGATE(15,6,ROW('Journal'!$A$3:$A$2002)/(('Journal'!$D$3:$D$2002=$B$1)+('Journal'!$E$3:$E$2002=$B$1))/('Journal'!$B$3:$B$2002&gt;=$B$2)/('Journal'!$B$3:$B$2002&lt;=$B$3),111),""))</f>
        <v/>
      </c>
    </row>
    <row r="117">
      <c r="A117" s="18">
        <f>IF($H117="","",INDEX('Journal'!$A$1:$A$2002,$H117))</f>
        <v/>
      </c>
      <c r="B117" s="21">
        <f>IF($H117="","",INDEX('Journal'!$B$1:$B$2002,$H117))</f>
        <v/>
      </c>
      <c r="C117" s="5">
        <f>IF($H117="","",INDEX('Journal'!$C$1:$C$2002,$H117)&amp;"")</f>
        <v/>
      </c>
      <c r="D117" s="5">
        <f>IF($H117="","",IF(INDEX('Journal'!$D$1:$D$2002,$H117)=$B$1,INDEX('Journal'!$E$1:$E$2002,$H117),INDEX('Journal'!$D$1:$D$2002,$H117))&amp;"")</f>
        <v/>
      </c>
      <c r="E117" s="20">
        <f>IF($H117="","",IF(INDEX('Journal'!$D$1:$D$2002,$H117)=$B$1,N(INDEX('Journal'!$G$1:$G$2002,$H117)),N(INDEX('Journal'!$F$1:$F$2002,$H117))))</f>
        <v/>
      </c>
      <c r="F117" s="20">
        <f>IF($H117="","",IF(INDEX('Journal'!$D$1:$D$2002,$H117)=$B$1,N(INDEX('Journal'!$F$1:$F$2002,$H117)),N(INDEX('Journal'!$G$1:$G$2002,$H117))))</f>
        <v/>
      </c>
      <c r="G117" s="20">
        <f>IF($H117="","",G116+E117-F117)</f>
        <v/>
      </c>
      <c r="H117" s="18">
        <f t="array" ref="H117">IF($B$1="","",IFERROR(_xlfn.AGGREGATE(15,6,ROW('Journal'!$A$3:$A$2002)/(('Journal'!$D$3:$D$2002=$B$1)+('Journal'!$E$3:$E$2002=$B$1))/('Journal'!$B$3:$B$2002&gt;=$B$2)/('Journal'!$B$3:$B$2002&lt;=$B$3),112),""))</f>
        <v/>
      </c>
    </row>
    <row r="118">
      <c r="A118" s="18">
        <f>IF($H118="","",INDEX('Journal'!$A$1:$A$2002,$H118))</f>
        <v/>
      </c>
      <c r="B118" s="21">
        <f>IF($H118="","",INDEX('Journal'!$B$1:$B$2002,$H118))</f>
        <v/>
      </c>
      <c r="C118" s="5">
        <f>IF($H118="","",INDEX('Journal'!$C$1:$C$2002,$H118)&amp;"")</f>
        <v/>
      </c>
      <c r="D118" s="5">
        <f>IF($H118="","",IF(INDEX('Journal'!$D$1:$D$2002,$H118)=$B$1,INDEX('Journal'!$E$1:$E$2002,$H118),INDEX('Journal'!$D$1:$D$2002,$H118))&amp;"")</f>
        <v/>
      </c>
      <c r="E118" s="20">
        <f>IF($H118="","",IF(INDEX('Journal'!$D$1:$D$2002,$H118)=$B$1,N(INDEX('Journal'!$G$1:$G$2002,$H118)),N(INDEX('Journal'!$F$1:$F$2002,$H118))))</f>
        <v/>
      </c>
      <c r="F118" s="20">
        <f>IF($H118="","",IF(INDEX('Journal'!$D$1:$D$2002,$H118)=$B$1,N(INDEX('Journal'!$F$1:$F$2002,$H118)),N(INDEX('Journal'!$G$1:$G$2002,$H118))))</f>
        <v/>
      </c>
      <c r="G118" s="20">
        <f>IF($H118="","",G117+E118-F118)</f>
        <v/>
      </c>
      <c r="H118" s="18">
        <f t="array" ref="H118">IF($B$1="","",IFERROR(_xlfn.AGGREGATE(15,6,ROW('Journal'!$A$3:$A$2002)/(('Journal'!$D$3:$D$2002=$B$1)+('Journal'!$E$3:$E$2002=$B$1))/('Journal'!$B$3:$B$2002&gt;=$B$2)/('Journal'!$B$3:$B$2002&lt;=$B$3),113),""))</f>
        <v/>
      </c>
    </row>
    <row r="119">
      <c r="A119" s="18">
        <f>IF($H119="","",INDEX('Journal'!$A$1:$A$2002,$H119))</f>
        <v/>
      </c>
      <c r="B119" s="21">
        <f>IF($H119="","",INDEX('Journal'!$B$1:$B$2002,$H119))</f>
        <v/>
      </c>
      <c r="C119" s="5">
        <f>IF($H119="","",INDEX('Journal'!$C$1:$C$2002,$H119)&amp;"")</f>
        <v/>
      </c>
      <c r="D119" s="5">
        <f>IF($H119="","",IF(INDEX('Journal'!$D$1:$D$2002,$H119)=$B$1,INDEX('Journal'!$E$1:$E$2002,$H119),INDEX('Journal'!$D$1:$D$2002,$H119))&amp;"")</f>
        <v/>
      </c>
      <c r="E119" s="20">
        <f>IF($H119="","",IF(INDEX('Journal'!$D$1:$D$2002,$H119)=$B$1,N(INDEX('Journal'!$G$1:$G$2002,$H119)),N(INDEX('Journal'!$F$1:$F$2002,$H119))))</f>
        <v/>
      </c>
      <c r="F119" s="20">
        <f>IF($H119="","",IF(INDEX('Journal'!$D$1:$D$2002,$H119)=$B$1,N(INDEX('Journal'!$F$1:$F$2002,$H119)),N(INDEX('Journal'!$G$1:$G$2002,$H119))))</f>
        <v/>
      </c>
      <c r="G119" s="20">
        <f>IF($H119="","",G118+E119-F119)</f>
        <v/>
      </c>
      <c r="H119" s="18">
        <f t="array" ref="H119">IF($B$1="","",IFERROR(_xlfn.AGGREGATE(15,6,ROW('Journal'!$A$3:$A$2002)/(('Journal'!$D$3:$D$2002=$B$1)+('Journal'!$E$3:$E$2002=$B$1))/('Journal'!$B$3:$B$2002&gt;=$B$2)/('Journal'!$B$3:$B$2002&lt;=$B$3),114),""))</f>
        <v/>
      </c>
    </row>
    <row r="120">
      <c r="A120" s="18">
        <f>IF($H120="","",INDEX('Journal'!$A$1:$A$2002,$H120))</f>
        <v/>
      </c>
      <c r="B120" s="21">
        <f>IF($H120="","",INDEX('Journal'!$B$1:$B$2002,$H120))</f>
        <v/>
      </c>
      <c r="C120" s="5">
        <f>IF($H120="","",INDEX('Journal'!$C$1:$C$2002,$H120)&amp;"")</f>
        <v/>
      </c>
      <c r="D120" s="5">
        <f>IF($H120="","",IF(INDEX('Journal'!$D$1:$D$2002,$H120)=$B$1,INDEX('Journal'!$E$1:$E$2002,$H120),INDEX('Journal'!$D$1:$D$2002,$H120))&amp;"")</f>
        <v/>
      </c>
      <c r="E120" s="20">
        <f>IF($H120="","",IF(INDEX('Journal'!$D$1:$D$2002,$H120)=$B$1,N(INDEX('Journal'!$G$1:$G$2002,$H120)),N(INDEX('Journal'!$F$1:$F$2002,$H120))))</f>
        <v/>
      </c>
      <c r="F120" s="20">
        <f>IF($H120="","",IF(INDEX('Journal'!$D$1:$D$2002,$H120)=$B$1,N(INDEX('Journal'!$F$1:$F$2002,$H120)),N(INDEX('Journal'!$G$1:$G$2002,$H120))))</f>
        <v/>
      </c>
      <c r="G120" s="20">
        <f>IF($H120="","",G119+E120-F120)</f>
        <v/>
      </c>
      <c r="H120" s="18">
        <f t="array" ref="H120">IF($B$1="","",IFERROR(_xlfn.AGGREGATE(15,6,ROW('Journal'!$A$3:$A$2002)/(('Journal'!$D$3:$D$2002=$B$1)+('Journal'!$E$3:$E$2002=$B$1))/('Journal'!$B$3:$B$2002&gt;=$B$2)/('Journal'!$B$3:$B$2002&lt;=$B$3),115),""))</f>
        <v/>
      </c>
    </row>
    <row r="121">
      <c r="A121" s="18">
        <f>IF($H121="","",INDEX('Journal'!$A$1:$A$2002,$H121))</f>
        <v/>
      </c>
      <c r="B121" s="21">
        <f>IF($H121="","",INDEX('Journal'!$B$1:$B$2002,$H121))</f>
        <v/>
      </c>
      <c r="C121" s="5">
        <f>IF($H121="","",INDEX('Journal'!$C$1:$C$2002,$H121)&amp;"")</f>
        <v/>
      </c>
      <c r="D121" s="5">
        <f>IF($H121="","",IF(INDEX('Journal'!$D$1:$D$2002,$H121)=$B$1,INDEX('Journal'!$E$1:$E$2002,$H121),INDEX('Journal'!$D$1:$D$2002,$H121))&amp;"")</f>
        <v/>
      </c>
      <c r="E121" s="20">
        <f>IF($H121="","",IF(INDEX('Journal'!$D$1:$D$2002,$H121)=$B$1,N(INDEX('Journal'!$G$1:$G$2002,$H121)),N(INDEX('Journal'!$F$1:$F$2002,$H121))))</f>
        <v/>
      </c>
      <c r="F121" s="20">
        <f>IF($H121="","",IF(INDEX('Journal'!$D$1:$D$2002,$H121)=$B$1,N(INDEX('Journal'!$F$1:$F$2002,$H121)),N(INDEX('Journal'!$G$1:$G$2002,$H121))))</f>
        <v/>
      </c>
      <c r="G121" s="20">
        <f>IF($H121="","",G120+E121-F121)</f>
        <v/>
      </c>
      <c r="H121" s="18">
        <f t="array" ref="H121">IF($B$1="","",IFERROR(_xlfn.AGGREGATE(15,6,ROW('Journal'!$A$3:$A$2002)/(('Journal'!$D$3:$D$2002=$B$1)+('Journal'!$E$3:$E$2002=$B$1))/('Journal'!$B$3:$B$2002&gt;=$B$2)/('Journal'!$B$3:$B$2002&lt;=$B$3),116),""))</f>
        <v/>
      </c>
    </row>
    <row r="122">
      <c r="A122" s="18">
        <f>IF($H122="","",INDEX('Journal'!$A$1:$A$2002,$H122))</f>
        <v/>
      </c>
      <c r="B122" s="21">
        <f>IF($H122="","",INDEX('Journal'!$B$1:$B$2002,$H122))</f>
        <v/>
      </c>
      <c r="C122" s="5">
        <f>IF($H122="","",INDEX('Journal'!$C$1:$C$2002,$H122)&amp;"")</f>
        <v/>
      </c>
      <c r="D122" s="5">
        <f>IF($H122="","",IF(INDEX('Journal'!$D$1:$D$2002,$H122)=$B$1,INDEX('Journal'!$E$1:$E$2002,$H122),INDEX('Journal'!$D$1:$D$2002,$H122))&amp;"")</f>
        <v/>
      </c>
      <c r="E122" s="20">
        <f>IF($H122="","",IF(INDEX('Journal'!$D$1:$D$2002,$H122)=$B$1,N(INDEX('Journal'!$G$1:$G$2002,$H122)),N(INDEX('Journal'!$F$1:$F$2002,$H122))))</f>
        <v/>
      </c>
      <c r="F122" s="20">
        <f>IF($H122="","",IF(INDEX('Journal'!$D$1:$D$2002,$H122)=$B$1,N(INDEX('Journal'!$F$1:$F$2002,$H122)),N(INDEX('Journal'!$G$1:$G$2002,$H122))))</f>
        <v/>
      </c>
      <c r="G122" s="20">
        <f>IF($H122="","",G121+E122-F122)</f>
        <v/>
      </c>
      <c r="H122" s="18">
        <f t="array" ref="H122">IF($B$1="","",IFERROR(_xlfn.AGGREGATE(15,6,ROW('Journal'!$A$3:$A$2002)/(('Journal'!$D$3:$D$2002=$B$1)+('Journal'!$E$3:$E$2002=$B$1))/('Journal'!$B$3:$B$2002&gt;=$B$2)/('Journal'!$B$3:$B$2002&lt;=$B$3),117),""))</f>
        <v/>
      </c>
    </row>
    <row r="123">
      <c r="A123" s="18">
        <f>IF($H123="","",INDEX('Journal'!$A$1:$A$2002,$H123))</f>
        <v/>
      </c>
      <c r="B123" s="21">
        <f>IF($H123="","",INDEX('Journal'!$B$1:$B$2002,$H123))</f>
        <v/>
      </c>
      <c r="C123" s="5">
        <f>IF($H123="","",INDEX('Journal'!$C$1:$C$2002,$H123)&amp;"")</f>
        <v/>
      </c>
      <c r="D123" s="5">
        <f>IF($H123="","",IF(INDEX('Journal'!$D$1:$D$2002,$H123)=$B$1,INDEX('Journal'!$E$1:$E$2002,$H123),INDEX('Journal'!$D$1:$D$2002,$H123))&amp;"")</f>
        <v/>
      </c>
      <c r="E123" s="20">
        <f>IF($H123="","",IF(INDEX('Journal'!$D$1:$D$2002,$H123)=$B$1,N(INDEX('Journal'!$G$1:$G$2002,$H123)),N(INDEX('Journal'!$F$1:$F$2002,$H123))))</f>
        <v/>
      </c>
      <c r="F123" s="20">
        <f>IF($H123="","",IF(INDEX('Journal'!$D$1:$D$2002,$H123)=$B$1,N(INDEX('Journal'!$F$1:$F$2002,$H123)),N(INDEX('Journal'!$G$1:$G$2002,$H123))))</f>
        <v/>
      </c>
      <c r="G123" s="20">
        <f>IF($H123="","",G122+E123-F123)</f>
        <v/>
      </c>
      <c r="H123" s="18">
        <f t="array" ref="H123">IF($B$1="","",IFERROR(_xlfn.AGGREGATE(15,6,ROW('Journal'!$A$3:$A$2002)/(('Journal'!$D$3:$D$2002=$B$1)+('Journal'!$E$3:$E$2002=$B$1))/('Journal'!$B$3:$B$2002&gt;=$B$2)/('Journal'!$B$3:$B$2002&lt;=$B$3),118),""))</f>
        <v/>
      </c>
    </row>
    <row r="124">
      <c r="A124" s="18">
        <f>IF($H124="","",INDEX('Journal'!$A$1:$A$2002,$H124))</f>
        <v/>
      </c>
      <c r="B124" s="21">
        <f>IF($H124="","",INDEX('Journal'!$B$1:$B$2002,$H124))</f>
        <v/>
      </c>
      <c r="C124" s="5">
        <f>IF($H124="","",INDEX('Journal'!$C$1:$C$2002,$H124)&amp;"")</f>
        <v/>
      </c>
      <c r="D124" s="5">
        <f>IF($H124="","",IF(INDEX('Journal'!$D$1:$D$2002,$H124)=$B$1,INDEX('Journal'!$E$1:$E$2002,$H124),INDEX('Journal'!$D$1:$D$2002,$H124))&amp;"")</f>
        <v/>
      </c>
      <c r="E124" s="20">
        <f>IF($H124="","",IF(INDEX('Journal'!$D$1:$D$2002,$H124)=$B$1,N(INDEX('Journal'!$G$1:$G$2002,$H124)),N(INDEX('Journal'!$F$1:$F$2002,$H124))))</f>
        <v/>
      </c>
      <c r="F124" s="20">
        <f>IF($H124="","",IF(INDEX('Journal'!$D$1:$D$2002,$H124)=$B$1,N(INDEX('Journal'!$F$1:$F$2002,$H124)),N(INDEX('Journal'!$G$1:$G$2002,$H124))))</f>
        <v/>
      </c>
      <c r="G124" s="20">
        <f>IF($H124="","",G123+E124-F124)</f>
        <v/>
      </c>
      <c r="H124" s="18">
        <f t="array" ref="H124">IF($B$1="","",IFERROR(_xlfn.AGGREGATE(15,6,ROW('Journal'!$A$3:$A$2002)/(('Journal'!$D$3:$D$2002=$B$1)+('Journal'!$E$3:$E$2002=$B$1))/('Journal'!$B$3:$B$2002&gt;=$B$2)/('Journal'!$B$3:$B$2002&lt;=$B$3),119),""))</f>
        <v/>
      </c>
    </row>
    <row r="125">
      <c r="A125" s="18">
        <f>IF($H125="","",INDEX('Journal'!$A$1:$A$2002,$H125))</f>
        <v/>
      </c>
      <c r="B125" s="21">
        <f>IF($H125="","",INDEX('Journal'!$B$1:$B$2002,$H125))</f>
        <v/>
      </c>
      <c r="C125" s="5">
        <f>IF($H125="","",INDEX('Journal'!$C$1:$C$2002,$H125)&amp;"")</f>
        <v/>
      </c>
      <c r="D125" s="5">
        <f>IF($H125="","",IF(INDEX('Journal'!$D$1:$D$2002,$H125)=$B$1,INDEX('Journal'!$E$1:$E$2002,$H125),INDEX('Journal'!$D$1:$D$2002,$H125))&amp;"")</f>
        <v/>
      </c>
      <c r="E125" s="20">
        <f>IF($H125="","",IF(INDEX('Journal'!$D$1:$D$2002,$H125)=$B$1,N(INDEX('Journal'!$G$1:$G$2002,$H125)),N(INDEX('Journal'!$F$1:$F$2002,$H125))))</f>
        <v/>
      </c>
      <c r="F125" s="20">
        <f>IF($H125="","",IF(INDEX('Journal'!$D$1:$D$2002,$H125)=$B$1,N(INDEX('Journal'!$F$1:$F$2002,$H125)),N(INDEX('Journal'!$G$1:$G$2002,$H125))))</f>
        <v/>
      </c>
      <c r="G125" s="20">
        <f>IF($H125="","",G124+E125-F125)</f>
        <v/>
      </c>
      <c r="H125" s="18">
        <f t="array" ref="H125">IF($B$1="","",IFERROR(_xlfn.AGGREGATE(15,6,ROW('Journal'!$A$3:$A$2002)/(('Journal'!$D$3:$D$2002=$B$1)+('Journal'!$E$3:$E$2002=$B$1))/('Journal'!$B$3:$B$2002&gt;=$B$2)/('Journal'!$B$3:$B$2002&lt;=$B$3),120),""))</f>
        <v/>
      </c>
    </row>
    <row r="126">
      <c r="A126" s="18">
        <f>IF($H126="","",INDEX('Journal'!$A$1:$A$2002,$H126))</f>
        <v/>
      </c>
      <c r="B126" s="21">
        <f>IF($H126="","",INDEX('Journal'!$B$1:$B$2002,$H126))</f>
        <v/>
      </c>
      <c r="C126" s="5">
        <f>IF($H126="","",INDEX('Journal'!$C$1:$C$2002,$H126)&amp;"")</f>
        <v/>
      </c>
      <c r="D126" s="5">
        <f>IF($H126="","",IF(INDEX('Journal'!$D$1:$D$2002,$H126)=$B$1,INDEX('Journal'!$E$1:$E$2002,$H126),INDEX('Journal'!$D$1:$D$2002,$H126))&amp;"")</f>
        <v/>
      </c>
      <c r="E126" s="20">
        <f>IF($H126="","",IF(INDEX('Journal'!$D$1:$D$2002,$H126)=$B$1,N(INDEX('Journal'!$G$1:$G$2002,$H126)),N(INDEX('Journal'!$F$1:$F$2002,$H126))))</f>
        <v/>
      </c>
      <c r="F126" s="20">
        <f>IF($H126="","",IF(INDEX('Journal'!$D$1:$D$2002,$H126)=$B$1,N(INDEX('Journal'!$F$1:$F$2002,$H126)),N(INDEX('Journal'!$G$1:$G$2002,$H126))))</f>
        <v/>
      </c>
      <c r="G126" s="20">
        <f>IF($H126="","",G125+E126-F126)</f>
        <v/>
      </c>
      <c r="H126" s="18">
        <f t="array" ref="H126">IF($B$1="","",IFERROR(_xlfn.AGGREGATE(15,6,ROW('Journal'!$A$3:$A$2002)/(('Journal'!$D$3:$D$2002=$B$1)+('Journal'!$E$3:$E$2002=$B$1))/('Journal'!$B$3:$B$2002&gt;=$B$2)/('Journal'!$B$3:$B$2002&lt;=$B$3),121),""))</f>
        <v/>
      </c>
    </row>
    <row r="127">
      <c r="A127" s="18">
        <f>IF($H127="","",INDEX('Journal'!$A$1:$A$2002,$H127))</f>
        <v/>
      </c>
      <c r="B127" s="21">
        <f>IF($H127="","",INDEX('Journal'!$B$1:$B$2002,$H127))</f>
        <v/>
      </c>
      <c r="C127" s="5">
        <f>IF($H127="","",INDEX('Journal'!$C$1:$C$2002,$H127)&amp;"")</f>
        <v/>
      </c>
      <c r="D127" s="5">
        <f>IF($H127="","",IF(INDEX('Journal'!$D$1:$D$2002,$H127)=$B$1,INDEX('Journal'!$E$1:$E$2002,$H127),INDEX('Journal'!$D$1:$D$2002,$H127))&amp;"")</f>
        <v/>
      </c>
      <c r="E127" s="20">
        <f>IF($H127="","",IF(INDEX('Journal'!$D$1:$D$2002,$H127)=$B$1,N(INDEX('Journal'!$G$1:$G$2002,$H127)),N(INDEX('Journal'!$F$1:$F$2002,$H127))))</f>
        <v/>
      </c>
      <c r="F127" s="20">
        <f>IF($H127="","",IF(INDEX('Journal'!$D$1:$D$2002,$H127)=$B$1,N(INDEX('Journal'!$F$1:$F$2002,$H127)),N(INDEX('Journal'!$G$1:$G$2002,$H127))))</f>
        <v/>
      </c>
      <c r="G127" s="20">
        <f>IF($H127="","",G126+E127-F127)</f>
        <v/>
      </c>
      <c r="H127" s="18">
        <f t="array" ref="H127">IF($B$1="","",IFERROR(_xlfn.AGGREGATE(15,6,ROW('Journal'!$A$3:$A$2002)/(('Journal'!$D$3:$D$2002=$B$1)+('Journal'!$E$3:$E$2002=$B$1))/('Journal'!$B$3:$B$2002&gt;=$B$2)/('Journal'!$B$3:$B$2002&lt;=$B$3),122),""))</f>
        <v/>
      </c>
    </row>
    <row r="128">
      <c r="A128" s="18">
        <f>IF($H128="","",INDEX('Journal'!$A$1:$A$2002,$H128))</f>
        <v/>
      </c>
      <c r="B128" s="21">
        <f>IF($H128="","",INDEX('Journal'!$B$1:$B$2002,$H128))</f>
        <v/>
      </c>
      <c r="C128" s="5">
        <f>IF($H128="","",INDEX('Journal'!$C$1:$C$2002,$H128)&amp;"")</f>
        <v/>
      </c>
      <c r="D128" s="5">
        <f>IF($H128="","",IF(INDEX('Journal'!$D$1:$D$2002,$H128)=$B$1,INDEX('Journal'!$E$1:$E$2002,$H128),INDEX('Journal'!$D$1:$D$2002,$H128))&amp;"")</f>
        <v/>
      </c>
      <c r="E128" s="20">
        <f>IF($H128="","",IF(INDEX('Journal'!$D$1:$D$2002,$H128)=$B$1,N(INDEX('Journal'!$G$1:$G$2002,$H128)),N(INDEX('Journal'!$F$1:$F$2002,$H128))))</f>
        <v/>
      </c>
      <c r="F128" s="20">
        <f>IF($H128="","",IF(INDEX('Journal'!$D$1:$D$2002,$H128)=$B$1,N(INDEX('Journal'!$F$1:$F$2002,$H128)),N(INDEX('Journal'!$G$1:$G$2002,$H128))))</f>
        <v/>
      </c>
      <c r="G128" s="20">
        <f>IF($H128="","",G127+E128-F128)</f>
        <v/>
      </c>
      <c r="H128" s="18">
        <f t="array" ref="H128">IF($B$1="","",IFERROR(_xlfn.AGGREGATE(15,6,ROW('Journal'!$A$3:$A$2002)/(('Journal'!$D$3:$D$2002=$B$1)+('Journal'!$E$3:$E$2002=$B$1))/('Journal'!$B$3:$B$2002&gt;=$B$2)/('Journal'!$B$3:$B$2002&lt;=$B$3),123),""))</f>
        <v/>
      </c>
    </row>
    <row r="129">
      <c r="A129" s="18">
        <f>IF($H129="","",INDEX('Journal'!$A$1:$A$2002,$H129))</f>
        <v/>
      </c>
      <c r="B129" s="21">
        <f>IF($H129="","",INDEX('Journal'!$B$1:$B$2002,$H129))</f>
        <v/>
      </c>
      <c r="C129" s="5">
        <f>IF($H129="","",INDEX('Journal'!$C$1:$C$2002,$H129)&amp;"")</f>
        <v/>
      </c>
      <c r="D129" s="5">
        <f>IF($H129="","",IF(INDEX('Journal'!$D$1:$D$2002,$H129)=$B$1,INDEX('Journal'!$E$1:$E$2002,$H129),INDEX('Journal'!$D$1:$D$2002,$H129))&amp;"")</f>
        <v/>
      </c>
      <c r="E129" s="20">
        <f>IF($H129="","",IF(INDEX('Journal'!$D$1:$D$2002,$H129)=$B$1,N(INDEX('Journal'!$G$1:$G$2002,$H129)),N(INDEX('Journal'!$F$1:$F$2002,$H129))))</f>
        <v/>
      </c>
      <c r="F129" s="20">
        <f>IF($H129="","",IF(INDEX('Journal'!$D$1:$D$2002,$H129)=$B$1,N(INDEX('Journal'!$F$1:$F$2002,$H129)),N(INDEX('Journal'!$G$1:$G$2002,$H129))))</f>
        <v/>
      </c>
      <c r="G129" s="20">
        <f>IF($H129="","",G128+E129-F129)</f>
        <v/>
      </c>
      <c r="H129" s="18">
        <f t="array" ref="H129">IF($B$1="","",IFERROR(_xlfn.AGGREGATE(15,6,ROW('Journal'!$A$3:$A$2002)/(('Journal'!$D$3:$D$2002=$B$1)+('Journal'!$E$3:$E$2002=$B$1))/('Journal'!$B$3:$B$2002&gt;=$B$2)/('Journal'!$B$3:$B$2002&lt;=$B$3),124),""))</f>
        <v/>
      </c>
    </row>
    <row r="130">
      <c r="A130" s="18">
        <f>IF($H130="","",INDEX('Journal'!$A$1:$A$2002,$H130))</f>
        <v/>
      </c>
      <c r="B130" s="21">
        <f>IF($H130="","",INDEX('Journal'!$B$1:$B$2002,$H130))</f>
        <v/>
      </c>
      <c r="C130" s="5">
        <f>IF($H130="","",INDEX('Journal'!$C$1:$C$2002,$H130)&amp;"")</f>
        <v/>
      </c>
      <c r="D130" s="5">
        <f>IF($H130="","",IF(INDEX('Journal'!$D$1:$D$2002,$H130)=$B$1,INDEX('Journal'!$E$1:$E$2002,$H130),INDEX('Journal'!$D$1:$D$2002,$H130))&amp;"")</f>
        <v/>
      </c>
      <c r="E130" s="20">
        <f>IF($H130="","",IF(INDEX('Journal'!$D$1:$D$2002,$H130)=$B$1,N(INDEX('Journal'!$G$1:$G$2002,$H130)),N(INDEX('Journal'!$F$1:$F$2002,$H130))))</f>
        <v/>
      </c>
      <c r="F130" s="20">
        <f>IF($H130="","",IF(INDEX('Journal'!$D$1:$D$2002,$H130)=$B$1,N(INDEX('Journal'!$F$1:$F$2002,$H130)),N(INDEX('Journal'!$G$1:$G$2002,$H130))))</f>
        <v/>
      </c>
      <c r="G130" s="20">
        <f>IF($H130="","",G129+E130-F130)</f>
        <v/>
      </c>
      <c r="H130" s="18">
        <f t="array" ref="H130">IF($B$1="","",IFERROR(_xlfn.AGGREGATE(15,6,ROW('Journal'!$A$3:$A$2002)/(('Journal'!$D$3:$D$2002=$B$1)+('Journal'!$E$3:$E$2002=$B$1))/('Journal'!$B$3:$B$2002&gt;=$B$2)/('Journal'!$B$3:$B$2002&lt;=$B$3),125),""))</f>
        <v/>
      </c>
    </row>
    <row r="131">
      <c r="A131" s="18">
        <f>IF($H131="","",INDEX('Journal'!$A$1:$A$2002,$H131))</f>
        <v/>
      </c>
      <c r="B131" s="21">
        <f>IF($H131="","",INDEX('Journal'!$B$1:$B$2002,$H131))</f>
        <v/>
      </c>
      <c r="C131" s="5">
        <f>IF($H131="","",INDEX('Journal'!$C$1:$C$2002,$H131)&amp;"")</f>
        <v/>
      </c>
      <c r="D131" s="5">
        <f>IF($H131="","",IF(INDEX('Journal'!$D$1:$D$2002,$H131)=$B$1,INDEX('Journal'!$E$1:$E$2002,$H131),INDEX('Journal'!$D$1:$D$2002,$H131))&amp;"")</f>
        <v/>
      </c>
      <c r="E131" s="20">
        <f>IF($H131="","",IF(INDEX('Journal'!$D$1:$D$2002,$H131)=$B$1,N(INDEX('Journal'!$G$1:$G$2002,$H131)),N(INDEX('Journal'!$F$1:$F$2002,$H131))))</f>
        <v/>
      </c>
      <c r="F131" s="20">
        <f>IF($H131="","",IF(INDEX('Journal'!$D$1:$D$2002,$H131)=$B$1,N(INDEX('Journal'!$F$1:$F$2002,$H131)),N(INDEX('Journal'!$G$1:$G$2002,$H131))))</f>
        <v/>
      </c>
      <c r="G131" s="20">
        <f>IF($H131="","",G130+E131-F131)</f>
        <v/>
      </c>
      <c r="H131" s="18">
        <f t="array" ref="H131">IF($B$1="","",IFERROR(_xlfn.AGGREGATE(15,6,ROW('Journal'!$A$3:$A$2002)/(('Journal'!$D$3:$D$2002=$B$1)+('Journal'!$E$3:$E$2002=$B$1))/('Journal'!$B$3:$B$2002&gt;=$B$2)/('Journal'!$B$3:$B$2002&lt;=$B$3),126),""))</f>
        <v/>
      </c>
    </row>
    <row r="132">
      <c r="A132" s="18">
        <f>IF($H132="","",INDEX('Journal'!$A$1:$A$2002,$H132))</f>
        <v/>
      </c>
      <c r="B132" s="21">
        <f>IF($H132="","",INDEX('Journal'!$B$1:$B$2002,$H132))</f>
        <v/>
      </c>
      <c r="C132" s="5">
        <f>IF($H132="","",INDEX('Journal'!$C$1:$C$2002,$H132)&amp;"")</f>
        <v/>
      </c>
      <c r="D132" s="5">
        <f>IF($H132="","",IF(INDEX('Journal'!$D$1:$D$2002,$H132)=$B$1,INDEX('Journal'!$E$1:$E$2002,$H132),INDEX('Journal'!$D$1:$D$2002,$H132))&amp;"")</f>
        <v/>
      </c>
      <c r="E132" s="20">
        <f>IF($H132="","",IF(INDEX('Journal'!$D$1:$D$2002,$H132)=$B$1,N(INDEX('Journal'!$G$1:$G$2002,$H132)),N(INDEX('Journal'!$F$1:$F$2002,$H132))))</f>
        <v/>
      </c>
      <c r="F132" s="20">
        <f>IF($H132="","",IF(INDEX('Journal'!$D$1:$D$2002,$H132)=$B$1,N(INDEX('Journal'!$F$1:$F$2002,$H132)),N(INDEX('Journal'!$G$1:$G$2002,$H132))))</f>
        <v/>
      </c>
      <c r="G132" s="20">
        <f>IF($H132="","",G131+E132-F132)</f>
        <v/>
      </c>
      <c r="H132" s="18">
        <f t="array" ref="H132">IF($B$1="","",IFERROR(_xlfn.AGGREGATE(15,6,ROW('Journal'!$A$3:$A$2002)/(('Journal'!$D$3:$D$2002=$B$1)+('Journal'!$E$3:$E$2002=$B$1))/('Journal'!$B$3:$B$2002&gt;=$B$2)/('Journal'!$B$3:$B$2002&lt;=$B$3),127),""))</f>
        <v/>
      </c>
    </row>
    <row r="133">
      <c r="A133" s="18">
        <f>IF($H133="","",INDEX('Journal'!$A$1:$A$2002,$H133))</f>
        <v/>
      </c>
      <c r="B133" s="21">
        <f>IF($H133="","",INDEX('Journal'!$B$1:$B$2002,$H133))</f>
        <v/>
      </c>
      <c r="C133" s="5">
        <f>IF($H133="","",INDEX('Journal'!$C$1:$C$2002,$H133)&amp;"")</f>
        <v/>
      </c>
      <c r="D133" s="5">
        <f>IF($H133="","",IF(INDEX('Journal'!$D$1:$D$2002,$H133)=$B$1,INDEX('Journal'!$E$1:$E$2002,$H133),INDEX('Journal'!$D$1:$D$2002,$H133))&amp;"")</f>
        <v/>
      </c>
      <c r="E133" s="20">
        <f>IF($H133="","",IF(INDEX('Journal'!$D$1:$D$2002,$H133)=$B$1,N(INDEX('Journal'!$G$1:$G$2002,$H133)),N(INDEX('Journal'!$F$1:$F$2002,$H133))))</f>
        <v/>
      </c>
      <c r="F133" s="20">
        <f>IF($H133="","",IF(INDEX('Journal'!$D$1:$D$2002,$H133)=$B$1,N(INDEX('Journal'!$F$1:$F$2002,$H133)),N(INDEX('Journal'!$G$1:$G$2002,$H133))))</f>
        <v/>
      </c>
      <c r="G133" s="20">
        <f>IF($H133="","",G132+E133-F133)</f>
        <v/>
      </c>
      <c r="H133" s="18">
        <f t="array" ref="H133">IF($B$1="","",IFERROR(_xlfn.AGGREGATE(15,6,ROW('Journal'!$A$3:$A$2002)/(('Journal'!$D$3:$D$2002=$B$1)+('Journal'!$E$3:$E$2002=$B$1))/('Journal'!$B$3:$B$2002&gt;=$B$2)/('Journal'!$B$3:$B$2002&lt;=$B$3),128),""))</f>
        <v/>
      </c>
    </row>
    <row r="134">
      <c r="A134" s="18">
        <f>IF($H134="","",INDEX('Journal'!$A$1:$A$2002,$H134))</f>
        <v/>
      </c>
      <c r="B134" s="21">
        <f>IF($H134="","",INDEX('Journal'!$B$1:$B$2002,$H134))</f>
        <v/>
      </c>
      <c r="C134" s="5">
        <f>IF($H134="","",INDEX('Journal'!$C$1:$C$2002,$H134)&amp;"")</f>
        <v/>
      </c>
      <c r="D134" s="5">
        <f>IF($H134="","",IF(INDEX('Journal'!$D$1:$D$2002,$H134)=$B$1,INDEX('Journal'!$E$1:$E$2002,$H134),INDEX('Journal'!$D$1:$D$2002,$H134))&amp;"")</f>
        <v/>
      </c>
      <c r="E134" s="20">
        <f>IF($H134="","",IF(INDEX('Journal'!$D$1:$D$2002,$H134)=$B$1,N(INDEX('Journal'!$G$1:$G$2002,$H134)),N(INDEX('Journal'!$F$1:$F$2002,$H134))))</f>
        <v/>
      </c>
      <c r="F134" s="20">
        <f>IF($H134="","",IF(INDEX('Journal'!$D$1:$D$2002,$H134)=$B$1,N(INDEX('Journal'!$F$1:$F$2002,$H134)),N(INDEX('Journal'!$G$1:$G$2002,$H134))))</f>
        <v/>
      </c>
      <c r="G134" s="20">
        <f>IF($H134="","",G133+E134-F134)</f>
        <v/>
      </c>
      <c r="H134" s="18">
        <f t="array" ref="H134">IF($B$1="","",IFERROR(_xlfn.AGGREGATE(15,6,ROW('Journal'!$A$3:$A$2002)/(('Journal'!$D$3:$D$2002=$B$1)+('Journal'!$E$3:$E$2002=$B$1))/('Journal'!$B$3:$B$2002&gt;=$B$2)/('Journal'!$B$3:$B$2002&lt;=$B$3),129),""))</f>
        <v/>
      </c>
    </row>
    <row r="135">
      <c r="A135" s="18">
        <f>IF($H135="","",INDEX('Journal'!$A$1:$A$2002,$H135))</f>
        <v/>
      </c>
      <c r="B135" s="21">
        <f>IF($H135="","",INDEX('Journal'!$B$1:$B$2002,$H135))</f>
        <v/>
      </c>
      <c r="C135" s="5">
        <f>IF($H135="","",INDEX('Journal'!$C$1:$C$2002,$H135)&amp;"")</f>
        <v/>
      </c>
      <c r="D135" s="5">
        <f>IF($H135="","",IF(INDEX('Journal'!$D$1:$D$2002,$H135)=$B$1,INDEX('Journal'!$E$1:$E$2002,$H135),INDEX('Journal'!$D$1:$D$2002,$H135))&amp;"")</f>
        <v/>
      </c>
      <c r="E135" s="20">
        <f>IF($H135="","",IF(INDEX('Journal'!$D$1:$D$2002,$H135)=$B$1,N(INDEX('Journal'!$G$1:$G$2002,$H135)),N(INDEX('Journal'!$F$1:$F$2002,$H135))))</f>
        <v/>
      </c>
      <c r="F135" s="20">
        <f>IF($H135="","",IF(INDEX('Journal'!$D$1:$D$2002,$H135)=$B$1,N(INDEX('Journal'!$F$1:$F$2002,$H135)),N(INDEX('Journal'!$G$1:$G$2002,$H135))))</f>
        <v/>
      </c>
      <c r="G135" s="20">
        <f>IF($H135="","",G134+E135-F135)</f>
        <v/>
      </c>
      <c r="H135" s="18">
        <f t="array" ref="H135">IF($B$1="","",IFERROR(_xlfn.AGGREGATE(15,6,ROW('Journal'!$A$3:$A$2002)/(('Journal'!$D$3:$D$2002=$B$1)+('Journal'!$E$3:$E$2002=$B$1))/('Journal'!$B$3:$B$2002&gt;=$B$2)/('Journal'!$B$3:$B$2002&lt;=$B$3),130),""))</f>
        <v/>
      </c>
    </row>
    <row r="136">
      <c r="A136" s="18">
        <f>IF($H136="","",INDEX('Journal'!$A$1:$A$2002,$H136))</f>
        <v/>
      </c>
      <c r="B136" s="21">
        <f>IF($H136="","",INDEX('Journal'!$B$1:$B$2002,$H136))</f>
        <v/>
      </c>
      <c r="C136" s="5">
        <f>IF($H136="","",INDEX('Journal'!$C$1:$C$2002,$H136)&amp;"")</f>
        <v/>
      </c>
      <c r="D136" s="5">
        <f>IF($H136="","",IF(INDEX('Journal'!$D$1:$D$2002,$H136)=$B$1,INDEX('Journal'!$E$1:$E$2002,$H136),INDEX('Journal'!$D$1:$D$2002,$H136))&amp;"")</f>
        <v/>
      </c>
      <c r="E136" s="20">
        <f>IF($H136="","",IF(INDEX('Journal'!$D$1:$D$2002,$H136)=$B$1,N(INDEX('Journal'!$G$1:$G$2002,$H136)),N(INDEX('Journal'!$F$1:$F$2002,$H136))))</f>
        <v/>
      </c>
      <c r="F136" s="20">
        <f>IF($H136="","",IF(INDEX('Journal'!$D$1:$D$2002,$H136)=$B$1,N(INDEX('Journal'!$F$1:$F$2002,$H136)),N(INDEX('Journal'!$G$1:$G$2002,$H136))))</f>
        <v/>
      </c>
      <c r="G136" s="20">
        <f>IF($H136="","",G135+E136-F136)</f>
        <v/>
      </c>
      <c r="H136" s="18">
        <f t="array" ref="H136">IF($B$1="","",IFERROR(_xlfn.AGGREGATE(15,6,ROW('Journal'!$A$3:$A$2002)/(('Journal'!$D$3:$D$2002=$B$1)+('Journal'!$E$3:$E$2002=$B$1))/('Journal'!$B$3:$B$2002&gt;=$B$2)/('Journal'!$B$3:$B$2002&lt;=$B$3),131),""))</f>
        <v/>
      </c>
    </row>
    <row r="137">
      <c r="A137" s="18">
        <f>IF($H137="","",INDEX('Journal'!$A$1:$A$2002,$H137))</f>
        <v/>
      </c>
      <c r="B137" s="21">
        <f>IF($H137="","",INDEX('Journal'!$B$1:$B$2002,$H137))</f>
        <v/>
      </c>
      <c r="C137" s="5">
        <f>IF($H137="","",INDEX('Journal'!$C$1:$C$2002,$H137)&amp;"")</f>
        <v/>
      </c>
      <c r="D137" s="5">
        <f>IF($H137="","",IF(INDEX('Journal'!$D$1:$D$2002,$H137)=$B$1,INDEX('Journal'!$E$1:$E$2002,$H137),INDEX('Journal'!$D$1:$D$2002,$H137))&amp;"")</f>
        <v/>
      </c>
      <c r="E137" s="20">
        <f>IF($H137="","",IF(INDEX('Journal'!$D$1:$D$2002,$H137)=$B$1,N(INDEX('Journal'!$G$1:$G$2002,$H137)),N(INDEX('Journal'!$F$1:$F$2002,$H137))))</f>
        <v/>
      </c>
      <c r="F137" s="20">
        <f>IF($H137="","",IF(INDEX('Journal'!$D$1:$D$2002,$H137)=$B$1,N(INDEX('Journal'!$F$1:$F$2002,$H137)),N(INDEX('Journal'!$G$1:$G$2002,$H137))))</f>
        <v/>
      </c>
      <c r="G137" s="20">
        <f>IF($H137="","",G136+E137-F137)</f>
        <v/>
      </c>
      <c r="H137" s="18">
        <f t="array" ref="H137">IF($B$1="","",IFERROR(_xlfn.AGGREGATE(15,6,ROW('Journal'!$A$3:$A$2002)/(('Journal'!$D$3:$D$2002=$B$1)+('Journal'!$E$3:$E$2002=$B$1))/('Journal'!$B$3:$B$2002&gt;=$B$2)/('Journal'!$B$3:$B$2002&lt;=$B$3),132),""))</f>
        <v/>
      </c>
    </row>
    <row r="138">
      <c r="A138" s="18">
        <f>IF($H138="","",INDEX('Journal'!$A$1:$A$2002,$H138))</f>
        <v/>
      </c>
      <c r="B138" s="21">
        <f>IF($H138="","",INDEX('Journal'!$B$1:$B$2002,$H138))</f>
        <v/>
      </c>
      <c r="C138" s="5">
        <f>IF($H138="","",INDEX('Journal'!$C$1:$C$2002,$H138)&amp;"")</f>
        <v/>
      </c>
      <c r="D138" s="5">
        <f>IF($H138="","",IF(INDEX('Journal'!$D$1:$D$2002,$H138)=$B$1,INDEX('Journal'!$E$1:$E$2002,$H138),INDEX('Journal'!$D$1:$D$2002,$H138))&amp;"")</f>
        <v/>
      </c>
      <c r="E138" s="20">
        <f>IF($H138="","",IF(INDEX('Journal'!$D$1:$D$2002,$H138)=$B$1,N(INDEX('Journal'!$G$1:$G$2002,$H138)),N(INDEX('Journal'!$F$1:$F$2002,$H138))))</f>
        <v/>
      </c>
      <c r="F138" s="20">
        <f>IF($H138="","",IF(INDEX('Journal'!$D$1:$D$2002,$H138)=$B$1,N(INDEX('Journal'!$F$1:$F$2002,$H138)),N(INDEX('Journal'!$G$1:$G$2002,$H138))))</f>
        <v/>
      </c>
      <c r="G138" s="20">
        <f>IF($H138="","",G137+E138-F138)</f>
        <v/>
      </c>
      <c r="H138" s="18">
        <f t="array" ref="H138">IF($B$1="","",IFERROR(_xlfn.AGGREGATE(15,6,ROW('Journal'!$A$3:$A$2002)/(('Journal'!$D$3:$D$2002=$B$1)+('Journal'!$E$3:$E$2002=$B$1))/('Journal'!$B$3:$B$2002&gt;=$B$2)/('Journal'!$B$3:$B$2002&lt;=$B$3),133),""))</f>
        <v/>
      </c>
    </row>
    <row r="139">
      <c r="A139" s="18">
        <f>IF($H139="","",INDEX('Journal'!$A$1:$A$2002,$H139))</f>
        <v/>
      </c>
      <c r="B139" s="21">
        <f>IF($H139="","",INDEX('Journal'!$B$1:$B$2002,$H139))</f>
        <v/>
      </c>
      <c r="C139" s="5">
        <f>IF($H139="","",INDEX('Journal'!$C$1:$C$2002,$H139)&amp;"")</f>
        <v/>
      </c>
      <c r="D139" s="5">
        <f>IF($H139="","",IF(INDEX('Journal'!$D$1:$D$2002,$H139)=$B$1,INDEX('Journal'!$E$1:$E$2002,$H139),INDEX('Journal'!$D$1:$D$2002,$H139))&amp;"")</f>
        <v/>
      </c>
      <c r="E139" s="20">
        <f>IF($H139="","",IF(INDEX('Journal'!$D$1:$D$2002,$H139)=$B$1,N(INDEX('Journal'!$G$1:$G$2002,$H139)),N(INDEX('Journal'!$F$1:$F$2002,$H139))))</f>
        <v/>
      </c>
      <c r="F139" s="20">
        <f>IF($H139="","",IF(INDEX('Journal'!$D$1:$D$2002,$H139)=$B$1,N(INDEX('Journal'!$F$1:$F$2002,$H139)),N(INDEX('Journal'!$G$1:$G$2002,$H139))))</f>
        <v/>
      </c>
      <c r="G139" s="20">
        <f>IF($H139="","",G138+E139-F139)</f>
        <v/>
      </c>
      <c r="H139" s="18">
        <f t="array" ref="H139">IF($B$1="","",IFERROR(_xlfn.AGGREGATE(15,6,ROW('Journal'!$A$3:$A$2002)/(('Journal'!$D$3:$D$2002=$B$1)+('Journal'!$E$3:$E$2002=$B$1))/('Journal'!$B$3:$B$2002&gt;=$B$2)/('Journal'!$B$3:$B$2002&lt;=$B$3),134),""))</f>
        <v/>
      </c>
    </row>
    <row r="140">
      <c r="A140" s="18">
        <f>IF($H140="","",INDEX('Journal'!$A$1:$A$2002,$H140))</f>
        <v/>
      </c>
      <c r="B140" s="21">
        <f>IF($H140="","",INDEX('Journal'!$B$1:$B$2002,$H140))</f>
        <v/>
      </c>
      <c r="C140" s="5">
        <f>IF($H140="","",INDEX('Journal'!$C$1:$C$2002,$H140)&amp;"")</f>
        <v/>
      </c>
      <c r="D140" s="5">
        <f>IF($H140="","",IF(INDEX('Journal'!$D$1:$D$2002,$H140)=$B$1,INDEX('Journal'!$E$1:$E$2002,$H140),INDEX('Journal'!$D$1:$D$2002,$H140))&amp;"")</f>
        <v/>
      </c>
      <c r="E140" s="20">
        <f>IF($H140="","",IF(INDEX('Journal'!$D$1:$D$2002,$H140)=$B$1,N(INDEX('Journal'!$G$1:$G$2002,$H140)),N(INDEX('Journal'!$F$1:$F$2002,$H140))))</f>
        <v/>
      </c>
      <c r="F140" s="20">
        <f>IF($H140="","",IF(INDEX('Journal'!$D$1:$D$2002,$H140)=$B$1,N(INDEX('Journal'!$F$1:$F$2002,$H140)),N(INDEX('Journal'!$G$1:$G$2002,$H140))))</f>
        <v/>
      </c>
      <c r="G140" s="20">
        <f>IF($H140="","",G139+E140-F140)</f>
        <v/>
      </c>
      <c r="H140" s="18">
        <f t="array" ref="H140">IF($B$1="","",IFERROR(_xlfn.AGGREGATE(15,6,ROW('Journal'!$A$3:$A$2002)/(('Journal'!$D$3:$D$2002=$B$1)+('Journal'!$E$3:$E$2002=$B$1))/('Journal'!$B$3:$B$2002&gt;=$B$2)/('Journal'!$B$3:$B$2002&lt;=$B$3),135),""))</f>
        <v/>
      </c>
    </row>
    <row r="141">
      <c r="A141" s="18">
        <f>IF($H141="","",INDEX('Journal'!$A$1:$A$2002,$H141))</f>
        <v/>
      </c>
      <c r="B141" s="21">
        <f>IF($H141="","",INDEX('Journal'!$B$1:$B$2002,$H141))</f>
        <v/>
      </c>
      <c r="C141" s="5">
        <f>IF($H141="","",INDEX('Journal'!$C$1:$C$2002,$H141)&amp;"")</f>
        <v/>
      </c>
      <c r="D141" s="5">
        <f>IF($H141="","",IF(INDEX('Journal'!$D$1:$D$2002,$H141)=$B$1,INDEX('Journal'!$E$1:$E$2002,$H141),INDEX('Journal'!$D$1:$D$2002,$H141))&amp;"")</f>
        <v/>
      </c>
      <c r="E141" s="20">
        <f>IF($H141="","",IF(INDEX('Journal'!$D$1:$D$2002,$H141)=$B$1,N(INDEX('Journal'!$G$1:$G$2002,$H141)),N(INDEX('Journal'!$F$1:$F$2002,$H141))))</f>
        <v/>
      </c>
      <c r="F141" s="20">
        <f>IF($H141="","",IF(INDEX('Journal'!$D$1:$D$2002,$H141)=$B$1,N(INDEX('Journal'!$F$1:$F$2002,$H141)),N(INDEX('Journal'!$G$1:$G$2002,$H141))))</f>
        <v/>
      </c>
      <c r="G141" s="20">
        <f>IF($H141="","",G140+E141-F141)</f>
        <v/>
      </c>
      <c r="H141" s="18">
        <f t="array" ref="H141">IF($B$1="","",IFERROR(_xlfn.AGGREGATE(15,6,ROW('Journal'!$A$3:$A$2002)/(('Journal'!$D$3:$D$2002=$B$1)+('Journal'!$E$3:$E$2002=$B$1))/('Journal'!$B$3:$B$2002&gt;=$B$2)/('Journal'!$B$3:$B$2002&lt;=$B$3),136),""))</f>
        <v/>
      </c>
    </row>
    <row r="142">
      <c r="A142" s="18">
        <f>IF($H142="","",INDEX('Journal'!$A$1:$A$2002,$H142))</f>
        <v/>
      </c>
      <c r="B142" s="21">
        <f>IF($H142="","",INDEX('Journal'!$B$1:$B$2002,$H142))</f>
        <v/>
      </c>
      <c r="C142" s="5">
        <f>IF($H142="","",INDEX('Journal'!$C$1:$C$2002,$H142)&amp;"")</f>
        <v/>
      </c>
      <c r="D142" s="5">
        <f>IF($H142="","",IF(INDEX('Journal'!$D$1:$D$2002,$H142)=$B$1,INDEX('Journal'!$E$1:$E$2002,$H142),INDEX('Journal'!$D$1:$D$2002,$H142))&amp;"")</f>
        <v/>
      </c>
      <c r="E142" s="20">
        <f>IF($H142="","",IF(INDEX('Journal'!$D$1:$D$2002,$H142)=$B$1,N(INDEX('Journal'!$G$1:$G$2002,$H142)),N(INDEX('Journal'!$F$1:$F$2002,$H142))))</f>
        <v/>
      </c>
      <c r="F142" s="20">
        <f>IF($H142="","",IF(INDEX('Journal'!$D$1:$D$2002,$H142)=$B$1,N(INDEX('Journal'!$F$1:$F$2002,$H142)),N(INDEX('Journal'!$G$1:$G$2002,$H142))))</f>
        <v/>
      </c>
      <c r="G142" s="20">
        <f>IF($H142="","",G141+E142-F142)</f>
        <v/>
      </c>
      <c r="H142" s="18">
        <f t="array" ref="H142">IF($B$1="","",IFERROR(_xlfn.AGGREGATE(15,6,ROW('Journal'!$A$3:$A$2002)/(('Journal'!$D$3:$D$2002=$B$1)+('Journal'!$E$3:$E$2002=$B$1))/('Journal'!$B$3:$B$2002&gt;=$B$2)/('Journal'!$B$3:$B$2002&lt;=$B$3),137),""))</f>
        <v/>
      </c>
    </row>
    <row r="143">
      <c r="A143" s="18">
        <f>IF($H143="","",INDEX('Journal'!$A$1:$A$2002,$H143))</f>
        <v/>
      </c>
      <c r="B143" s="21">
        <f>IF($H143="","",INDEX('Journal'!$B$1:$B$2002,$H143))</f>
        <v/>
      </c>
      <c r="C143" s="5">
        <f>IF($H143="","",INDEX('Journal'!$C$1:$C$2002,$H143)&amp;"")</f>
        <v/>
      </c>
      <c r="D143" s="5">
        <f>IF($H143="","",IF(INDEX('Journal'!$D$1:$D$2002,$H143)=$B$1,INDEX('Journal'!$E$1:$E$2002,$H143),INDEX('Journal'!$D$1:$D$2002,$H143))&amp;"")</f>
        <v/>
      </c>
      <c r="E143" s="20">
        <f>IF($H143="","",IF(INDEX('Journal'!$D$1:$D$2002,$H143)=$B$1,N(INDEX('Journal'!$G$1:$G$2002,$H143)),N(INDEX('Journal'!$F$1:$F$2002,$H143))))</f>
        <v/>
      </c>
      <c r="F143" s="20">
        <f>IF($H143="","",IF(INDEX('Journal'!$D$1:$D$2002,$H143)=$B$1,N(INDEX('Journal'!$F$1:$F$2002,$H143)),N(INDEX('Journal'!$G$1:$G$2002,$H143))))</f>
        <v/>
      </c>
      <c r="G143" s="20">
        <f>IF($H143="","",G142+E143-F143)</f>
        <v/>
      </c>
      <c r="H143" s="18">
        <f t="array" ref="H143">IF($B$1="","",IFERROR(_xlfn.AGGREGATE(15,6,ROW('Journal'!$A$3:$A$2002)/(('Journal'!$D$3:$D$2002=$B$1)+('Journal'!$E$3:$E$2002=$B$1))/('Journal'!$B$3:$B$2002&gt;=$B$2)/('Journal'!$B$3:$B$2002&lt;=$B$3),138),""))</f>
        <v/>
      </c>
    </row>
    <row r="144">
      <c r="A144" s="18">
        <f>IF($H144="","",INDEX('Journal'!$A$1:$A$2002,$H144))</f>
        <v/>
      </c>
      <c r="B144" s="21">
        <f>IF($H144="","",INDEX('Journal'!$B$1:$B$2002,$H144))</f>
        <v/>
      </c>
      <c r="C144" s="5">
        <f>IF($H144="","",INDEX('Journal'!$C$1:$C$2002,$H144)&amp;"")</f>
        <v/>
      </c>
      <c r="D144" s="5">
        <f>IF($H144="","",IF(INDEX('Journal'!$D$1:$D$2002,$H144)=$B$1,INDEX('Journal'!$E$1:$E$2002,$H144),INDEX('Journal'!$D$1:$D$2002,$H144))&amp;"")</f>
        <v/>
      </c>
      <c r="E144" s="20">
        <f>IF($H144="","",IF(INDEX('Journal'!$D$1:$D$2002,$H144)=$B$1,N(INDEX('Journal'!$G$1:$G$2002,$H144)),N(INDEX('Journal'!$F$1:$F$2002,$H144))))</f>
        <v/>
      </c>
      <c r="F144" s="20">
        <f>IF($H144="","",IF(INDEX('Journal'!$D$1:$D$2002,$H144)=$B$1,N(INDEX('Journal'!$F$1:$F$2002,$H144)),N(INDEX('Journal'!$G$1:$G$2002,$H144))))</f>
        <v/>
      </c>
      <c r="G144" s="20">
        <f>IF($H144="","",G143+E144-F144)</f>
        <v/>
      </c>
      <c r="H144" s="18">
        <f t="array" ref="H144">IF($B$1="","",IFERROR(_xlfn.AGGREGATE(15,6,ROW('Journal'!$A$3:$A$2002)/(('Journal'!$D$3:$D$2002=$B$1)+('Journal'!$E$3:$E$2002=$B$1))/('Journal'!$B$3:$B$2002&gt;=$B$2)/('Journal'!$B$3:$B$2002&lt;=$B$3),139),""))</f>
        <v/>
      </c>
    </row>
    <row r="145">
      <c r="A145" s="18">
        <f>IF($H145="","",INDEX('Journal'!$A$1:$A$2002,$H145))</f>
        <v/>
      </c>
      <c r="B145" s="21">
        <f>IF($H145="","",INDEX('Journal'!$B$1:$B$2002,$H145))</f>
        <v/>
      </c>
      <c r="C145" s="5">
        <f>IF($H145="","",INDEX('Journal'!$C$1:$C$2002,$H145)&amp;"")</f>
        <v/>
      </c>
      <c r="D145" s="5">
        <f>IF($H145="","",IF(INDEX('Journal'!$D$1:$D$2002,$H145)=$B$1,INDEX('Journal'!$E$1:$E$2002,$H145),INDEX('Journal'!$D$1:$D$2002,$H145))&amp;"")</f>
        <v/>
      </c>
      <c r="E145" s="20">
        <f>IF($H145="","",IF(INDEX('Journal'!$D$1:$D$2002,$H145)=$B$1,N(INDEX('Journal'!$G$1:$G$2002,$H145)),N(INDEX('Journal'!$F$1:$F$2002,$H145))))</f>
        <v/>
      </c>
      <c r="F145" s="20">
        <f>IF($H145="","",IF(INDEX('Journal'!$D$1:$D$2002,$H145)=$B$1,N(INDEX('Journal'!$F$1:$F$2002,$H145)),N(INDEX('Journal'!$G$1:$G$2002,$H145))))</f>
        <v/>
      </c>
      <c r="G145" s="20">
        <f>IF($H145="","",G144+E145-F145)</f>
        <v/>
      </c>
      <c r="H145" s="18">
        <f t="array" ref="H145">IF($B$1="","",IFERROR(_xlfn.AGGREGATE(15,6,ROW('Journal'!$A$3:$A$2002)/(('Journal'!$D$3:$D$2002=$B$1)+('Journal'!$E$3:$E$2002=$B$1))/('Journal'!$B$3:$B$2002&gt;=$B$2)/('Journal'!$B$3:$B$2002&lt;=$B$3),140),""))</f>
        <v/>
      </c>
    </row>
    <row r="146">
      <c r="A146" s="18">
        <f>IF($H146="","",INDEX('Journal'!$A$1:$A$2002,$H146))</f>
        <v/>
      </c>
      <c r="B146" s="21">
        <f>IF($H146="","",INDEX('Journal'!$B$1:$B$2002,$H146))</f>
        <v/>
      </c>
      <c r="C146" s="5">
        <f>IF($H146="","",INDEX('Journal'!$C$1:$C$2002,$H146)&amp;"")</f>
        <v/>
      </c>
      <c r="D146" s="5">
        <f>IF($H146="","",IF(INDEX('Journal'!$D$1:$D$2002,$H146)=$B$1,INDEX('Journal'!$E$1:$E$2002,$H146),INDEX('Journal'!$D$1:$D$2002,$H146))&amp;"")</f>
        <v/>
      </c>
      <c r="E146" s="20">
        <f>IF($H146="","",IF(INDEX('Journal'!$D$1:$D$2002,$H146)=$B$1,N(INDEX('Journal'!$G$1:$G$2002,$H146)),N(INDEX('Journal'!$F$1:$F$2002,$H146))))</f>
        <v/>
      </c>
      <c r="F146" s="20">
        <f>IF($H146="","",IF(INDEX('Journal'!$D$1:$D$2002,$H146)=$B$1,N(INDEX('Journal'!$F$1:$F$2002,$H146)),N(INDEX('Journal'!$G$1:$G$2002,$H146))))</f>
        <v/>
      </c>
      <c r="G146" s="20">
        <f>IF($H146="","",G145+E146-F146)</f>
        <v/>
      </c>
      <c r="H146" s="18">
        <f t="array" ref="H146">IF($B$1="","",IFERROR(_xlfn.AGGREGATE(15,6,ROW('Journal'!$A$3:$A$2002)/(('Journal'!$D$3:$D$2002=$B$1)+('Journal'!$E$3:$E$2002=$B$1))/('Journal'!$B$3:$B$2002&gt;=$B$2)/('Journal'!$B$3:$B$2002&lt;=$B$3),141),""))</f>
        <v/>
      </c>
    </row>
    <row r="147">
      <c r="A147" s="18">
        <f>IF($H147="","",INDEX('Journal'!$A$1:$A$2002,$H147))</f>
        <v/>
      </c>
      <c r="B147" s="21">
        <f>IF($H147="","",INDEX('Journal'!$B$1:$B$2002,$H147))</f>
        <v/>
      </c>
      <c r="C147" s="5">
        <f>IF($H147="","",INDEX('Journal'!$C$1:$C$2002,$H147)&amp;"")</f>
        <v/>
      </c>
      <c r="D147" s="5">
        <f>IF($H147="","",IF(INDEX('Journal'!$D$1:$D$2002,$H147)=$B$1,INDEX('Journal'!$E$1:$E$2002,$H147),INDEX('Journal'!$D$1:$D$2002,$H147))&amp;"")</f>
        <v/>
      </c>
      <c r="E147" s="20">
        <f>IF($H147="","",IF(INDEX('Journal'!$D$1:$D$2002,$H147)=$B$1,N(INDEX('Journal'!$G$1:$G$2002,$H147)),N(INDEX('Journal'!$F$1:$F$2002,$H147))))</f>
        <v/>
      </c>
      <c r="F147" s="20">
        <f>IF($H147="","",IF(INDEX('Journal'!$D$1:$D$2002,$H147)=$B$1,N(INDEX('Journal'!$F$1:$F$2002,$H147)),N(INDEX('Journal'!$G$1:$G$2002,$H147))))</f>
        <v/>
      </c>
      <c r="G147" s="20">
        <f>IF($H147="","",G146+E147-F147)</f>
        <v/>
      </c>
      <c r="H147" s="18">
        <f t="array" ref="H147">IF($B$1="","",IFERROR(_xlfn.AGGREGATE(15,6,ROW('Journal'!$A$3:$A$2002)/(('Journal'!$D$3:$D$2002=$B$1)+('Journal'!$E$3:$E$2002=$B$1))/('Journal'!$B$3:$B$2002&gt;=$B$2)/('Journal'!$B$3:$B$2002&lt;=$B$3),142),""))</f>
        <v/>
      </c>
    </row>
    <row r="148">
      <c r="A148" s="18">
        <f>IF($H148="","",INDEX('Journal'!$A$1:$A$2002,$H148))</f>
        <v/>
      </c>
      <c r="B148" s="21">
        <f>IF($H148="","",INDEX('Journal'!$B$1:$B$2002,$H148))</f>
        <v/>
      </c>
      <c r="C148" s="5">
        <f>IF($H148="","",INDEX('Journal'!$C$1:$C$2002,$H148)&amp;"")</f>
        <v/>
      </c>
      <c r="D148" s="5">
        <f>IF($H148="","",IF(INDEX('Journal'!$D$1:$D$2002,$H148)=$B$1,INDEX('Journal'!$E$1:$E$2002,$H148),INDEX('Journal'!$D$1:$D$2002,$H148))&amp;"")</f>
        <v/>
      </c>
      <c r="E148" s="20">
        <f>IF($H148="","",IF(INDEX('Journal'!$D$1:$D$2002,$H148)=$B$1,N(INDEX('Journal'!$G$1:$G$2002,$H148)),N(INDEX('Journal'!$F$1:$F$2002,$H148))))</f>
        <v/>
      </c>
      <c r="F148" s="20">
        <f>IF($H148="","",IF(INDEX('Journal'!$D$1:$D$2002,$H148)=$B$1,N(INDEX('Journal'!$F$1:$F$2002,$H148)),N(INDEX('Journal'!$G$1:$G$2002,$H148))))</f>
        <v/>
      </c>
      <c r="G148" s="20">
        <f>IF($H148="","",G147+E148-F148)</f>
        <v/>
      </c>
      <c r="H148" s="18">
        <f t="array" ref="H148">IF($B$1="","",IFERROR(_xlfn.AGGREGATE(15,6,ROW('Journal'!$A$3:$A$2002)/(('Journal'!$D$3:$D$2002=$B$1)+('Journal'!$E$3:$E$2002=$B$1))/('Journal'!$B$3:$B$2002&gt;=$B$2)/('Journal'!$B$3:$B$2002&lt;=$B$3),143),""))</f>
        <v/>
      </c>
    </row>
    <row r="149">
      <c r="A149" s="18">
        <f>IF($H149="","",INDEX('Journal'!$A$1:$A$2002,$H149))</f>
        <v/>
      </c>
      <c r="B149" s="21">
        <f>IF($H149="","",INDEX('Journal'!$B$1:$B$2002,$H149))</f>
        <v/>
      </c>
      <c r="C149" s="5">
        <f>IF($H149="","",INDEX('Journal'!$C$1:$C$2002,$H149)&amp;"")</f>
        <v/>
      </c>
      <c r="D149" s="5">
        <f>IF($H149="","",IF(INDEX('Journal'!$D$1:$D$2002,$H149)=$B$1,INDEX('Journal'!$E$1:$E$2002,$H149),INDEX('Journal'!$D$1:$D$2002,$H149))&amp;"")</f>
        <v/>
      </c>
      <c r="E149" s="20">
        <f>IF($H149="","",IF(INDEX('Journal'!$D$1:$D$2002,$H149)=$B$1,N(INDEX('Journal'!$G$1:$G$2002,$H149)),N(INDEX('Journal'!$F$1:$F$2002,$H149))))</f>
        <v/>
      </c>
      <c r="F149" s="20">
        <f>IF($H149="","",IF(INDEX('Journal'!$D$1:$D$2002,$H149)=$B$1,N(INDEX('Journal'!$F$1:$F$2002,$H149)),N(INDEX('Journal'!$G$1:$G$2002,$H149))))</f>
        <v/>
      </c>
      <c r="G149" s="20">
        <f>IF($H149="","",G148+E149-F149)</f>
        <v/>
      </c>
      <c r="H149" s="18">
        <f t="array" ref="H149">IF($B$1="","",IFERROR(_xlfn.AGGREGATE(15,6,ROW('Journal'!$A$3:$A$2002)/(('Journal'!$D$3:$D$2002=$B$1)+('Journal'!$E$3:$E$2002=$B$1))/('Journal'!$B$3:$B$2002&gt;=$B$2)/('Journal'!$B$3:$B$2002&lt;=$B$3),144),""))</f>
        <v/>
      </c>
    </row>
    <row r="150">
      <c r="A150" s="18">
        <f>IF($H150="","",INDEX('Journal'!$A$1:$A$2002,$H150))</f>
        <v/>
      </c>
      <c r="B150" s="21">
        <f>IF($H150="","",INDEX('Journal'!$B$1:$B$2002,$H150))</f>
        <v/>
      </c>
      <c r="C150" s="5">
        <f>IF($H150="","",INDEX('Journal'!$C$1:$C$2002,$H150)&amp;"")</f>
        <v/>
      </c>
      <c r="D150" s="5">
        <f>IF($H150="","",IF(INDEX('Journal'!$D$1:$D$2002,$H150)=$B$1,INDEX('Journal'!$E$1:$E$2002,$H150),INDEX('Journal'!$D$1:$D$2002,$H150))&amp;"")</f>
        <v/>
      </c>
      <c r="E150" s="20">
        <f>IF($H150="","",IF(INDEX('Journal'!$D$1:$D$2002,$H150)=$B$1,N(INDEX('Journal'!$G$1:$G$2002,$H150)),N(INDEX('Journal'!$F$1:$F$2002,$H150))))</f>
        <v/>
      </c>
      <c r="F150" s="20">
        <f>IF($H150="","",IF(INDEX('Journal'!$D$1:$D$2002,$H150)=$B$1,N(INDEX('Journal'!$F$1:$F$2002,$H150)),N(INDEX('Journal'!$G$1:$G$2002,$H150))))</f>
        <v/>
      </c>
      <c r="G150" s="20">
        <f>IF($H150="","",G149+E150-F150)</f>
        <v/>
      </c>
      <c r="H150" s="18">
        <f t="array" ref="H150">IF($B$1="","",IFERROR(_xlfn.AGGREGATE(15,6,ROW('Journal'!$A$3:$A$2002)/(('Journal'!$D$3:$D$2002=$B$1)+('Journal'!$E$3:$E$2002=$B$1))/('Journal'!$B$3:$B$2002&gt;=$B$2)/('Journal'!$B$3:$B$2002&lt;=$B$3),145),""))</f>
        <v/>
      </c>
    </row>
    <row r="151">
      <c r="A151" s="18">
        <f>IF($H151="","",INDEX('Journal'!$A$1:$A$2002,$H151))</f>
        <v/>
      </c>
      <c r="B151" s="21">
        <f>IF($H151="","",INDEX('Journal'!$B$1:$B$2002,$H151))</f>
        <v/>
      </c>
      <c r="C151" s="5">
        <f>IF($H151="","",INDEX('Journal'!$C$1:$C$2002,$H151)&amp;"")</f>
        <v/>
      </c>
      <c r="D151" s="5">
        <f>IF($H151="","",IF(INDEX('Journal'!$D$1:$D$2002,$H151)=$B$1,INDEX('Journal'!$E$1:$E$2002,$H151),INDEX('Journal'!$D$1:$D$2002,$H151))&amp;"")</f>
        <v/>
      </c>
      <c r="E151" s="20">
        <f>IF($H151="","",IF(INDEX('Journal'!$D$1:$D$2002,$H151)=$B$1,N(INDEX('Journal'!$G$1:$G$2002,$H151)),N(INDEX('Journal'!$F$1:$F$2002,$H151))))</f>
        <v/>
      </c>
      <c r="F151" s="20">
        <f>IF($H151="","",IF(INDEX('Journal'!$D$1:$D$2002,$H151)=$B$1,N(INDEX('Journal'!$F$1:$F$2002,$H151)),N(INDEX('Journal'!$G$1:$G$2002,$H151))))</f>
        <v/>
      </c>
      <c r="G151" s="20">
        <f>IF($H151="","",G150+E151-F151)</f>
        <v/>
      </c>
      <c r="H151" s="18">
        <f t="array" ref="H151">IF($B$1="","",IFERROR(_xlfn.AGGREGATE(15,6,ROW('Journal'!$A$3:$A$2002)/(('Journal'!$D$3:$D$2002=$B$1)+('Journal'!$E$3:$E$2002=$B$1))/('Journal'!$B$3:$B$2002&gt;=$B$2)/('Journal'!$B$3:$B$2002&lt;=$B$3),146),""))</f>
        <v/>
      </c>
    </row>
    <row r="152">
      <c r="A152" s="18">
        <f>IF($H152="","",INDEX('Journal'!$A$1:$A$2002,$H152))</f>
        <v/>
      </c>
      <c r="B152" s="21">
        <f>IF($H152="","",INDEX('Journal'!$B$1:$B$2002,$H152))</f>
        <v/>
      </c>
      <c r="C152" s="5">
        <f>IF($H152="","",INDEX('Journal'!$C$1:$C$2002,$H152)&amp;"")</f>
        <v/>
      </c>
      <c r="D152" s="5">
        <f>IF($H152="","",IF(INDEX('Journal'!$D$1:$D$2002,$H152)=$B$1,INDEX('Journal'!$E$1:$E$2002,$H152),INDEX('Journal'!$D$1:$D$2002,$H152))&amp;"")</f>
        <v/>
      </c>
      <c r="E152" s="20">
        <f>IF($H152="","",IF(INDEX('Journal'!$D$1:$D$2002,$H152)=$B$1,N(INDEX('Journal'!$G$1:$G$2002,$H152)),N(INDEX('Journal'!$F$1:$F$2002,$H152))))</f>
        <v/>
      </c>
      <c r="F152" s="20">
        <f>IF($H152="","",IF(INDEX('Journal'!$D$1:$D$2002,$H152)=$B$1,N(INDEX('Journal'!$F$1:$F$2002,$H152)),N(INDEX('Journal'!$G$1:$G$2002,$H152))))</f>
        <v/>
      </c>
      <c r="G152" s="20">
        <f>IF($H152="","",G151+E152-F152)</f>
        <v/>
      </c>
      <c r="H152" s="18">
        <f t="array" ref="H152">IF($B$1="","",IFERROR(_xlfn.AGGREGATE(15,6,ROW('Journal'!$A$3:$A$2002)/(('Journal'!$D$3:$D$2002=$B$1)+('Journal'!$E$3:$E$2002=$B$1))/('Journal'!$B$3:$B$2002&gt;=$B$2)/('Journal'!$B$3:$B$2002&lt;=$B$3),147),""))</f>
        <v/>
      </c>
    </row>
    <row r="153">
      <c r="A153" s="18">
        <f>IF($H153="","",INDEX('Journal'!$A$1:$A$2002,$H153))</f>
        <v/>
      </c>
      <c r="B153" s="21">
        <f>IF($H153="","",INDEX('Journal'!$B$1:$B$2002,$H153))</f>
        <v/>
      </c>
      <c r="C153" s="5">
        <f>IF($H153="","",INDEX('Journal'!$C$1:$C$2002,$H153)&amp;"")</f>
        <v/>
      </c>
      <c r="D153" s="5">
        <f>IF($H153="","",IF(INDEX('Journal'!$D$1:$D$2002,$H153)=$B$1,INDEX('Journal'!$E$1:$E$2002,$H153),INDEX('Journal'!$D$1:$D$2002,$H153))&amp;"")</f>
        <v/>
      </c>
      <c r="E153" s="20">
        <f>IF($H153="","",IF(INDEX('Journal'!$D$1:$D$2002,$H153)=$B$1,N(INDEX('Journal'!$G$1:$G$2002,$H153)),N(INDEX('Journal'!$F$1:$F$2002,$H153))))</f>
        <v/>
      </c>
      <c r="F153" s="20">
        <f>IF($H153="","",IF(INDEX('Journal'!$D$1:$D$2002,$H153)=$B$1,N(INDEX('Journal'!$F$1:$F$2002,$H153)),N(INDEX('Journal'!$G$1:$G$2002,$H153))))</f>
        <v/>
      </c>
      <c r="G153" s="20">
        <f>IF($H153="","",G152+E153-F153)</f>
        <v/>
      </c>
      <c r="H153" s="18">
        <f t="array" ref="H153">IF($B$1="","",IFERROR(_xlfn.AGGREGATE(15,6,ROW('Journal'!$A$3:$A$2002)/(('Journal'!$D$3:$D$2002=$B$1)+('Journal'!$E$3:$E$2002=$B$1))/('Journal'!$B$3:$B$2002&gt;=$B$2)/('Journal'!$B$3:$B$2002&lt;=$B$3),148),""))</f>
        <v/>
      </c>
    </row>
    <row r="154">
      <c r="A154" s="18">
        <f>IF($H154="","",INDEX('Journal'!$A$1:$A$2002,$H154))</f>
        <v/>
      </c>
      <c r="B154" s="21">
        <f>IF($H154="","",INDEX('Journal'!$B$1:$B$2002,$H154))</f>
        <v/>
      </c>
      <c r="C154" s="5">
        <f>IF($H154="","",INDEX('Journal'!$C$1:$C$2002,$H154)&amp;"")</f>
        <v/>
      </c>
      <c r="D154" s="5">
        <f>IF($H154="","",IF(INDEX('Journal'!$D$1:$D$2002,$H154)=$B$1,INDEX('Journal'!$E$1:$E$2002,$H154),INDEX('Journal'!$D$1:$D$2002,$H154))&amp;"")</f>
        <v/>
      </c>
      <c r="E154" s="20">
        <f>IF($H154="","",IF(INDEX('Journal'!$D$1:$D$2002,$H154)=$B$1,N(INDEX('Journal'!$G$1:$G$2002,$H154)),N(INDEX('Journal'!$F$1:$F$2002,$H154))))</f>
        <v/>
      </c>
      <c r="F154" s="20">
        <f>IF($H154="","",IF(INDEX('Journal'!$D$1:$D$2002,$H154)=$B$1,N(INDEX('Journal'!$F$1:$F$2002,$H154)),N(INDEX('Journal'!$G$1:$G$2002,$H154))))</f>
        <v/>
      </c>
      <c r="G154" s="20">
        <f>IF($H154="","",G153+E154-F154)</f>
        <v/>
      </c>
      <c r="H154" s="18">
        <f t="array" ref="H154">IF($B$1="","",IFERROR(_xlfn.AGGREGATE(15,6,ROW('Journal'!$A$3:$A$2002)/(('Journal'!$D$3:$D$2002=$B$1)+('Journal'!$E$3:$E$2002=$B$1))/('Journal'!$B$3:$B$2002&gt;=$B$2)/('Journal'!$B$3:$B$2002&lt;=$B$3),149),""))</f>
        <v/>
      </c>
    </row>
    <row r="155">
      <c r="A155" s="18">
        <f>IF($H155="","",INDEX('Journal'!$A$1:$A$2002,$H155))</f>
        <v/>
      </c>
      <c r="B155" s="21">
        <f>IF($H155="","",INDEX('Journal'!$B$1:$B$2002,$H155))</f>
        <v/>
      </c>
      <c r="C155" s="5">
        <f>IF($H155="","",INDEX('Journal'!$C$1:$C$2002,$H155)&amp;"")</f>
        <v/>
      </c>
      <c r="D155" s="5">
        <f>IF($H155="","",IF(INDEX('Journal'!$D$1:$D$2002,$H155)=$B$1,INDEX('Journal'!$E$1:$E$2002,$H155),INDEX('Journal'!$D$1:$D$2002,$H155))&amp;"")</f>
        <v/>
      </c>
      <c r="E155" s="20">
        <f>IF($H155="","",IF(INDEX('Journal'!$D$1:$D$2002,$H155)=$B$1,N(INDEX('Journal'!$G$1:$G$2002,$H155)),N(INDEX('Journal'!$F$1:$F$2002,$H155))))</f>
        <v/>
      </c>
      <c r="F155" s="20">
        <f>IF($H155="","",IF(INDEX('Journal'!$D$1:$D$2002,$H155)=$B$1,N(INDEX('Journal'!$F$1:$F$2002,$H155)),N(INDEX('Journal'!$G$1:$G$2002,$H155))))</f>
        <v/>
      </c>
      <c r="G155" s="20">
        <f>IF($H155="","",G154+E155-F155)</f>
        <v/>
      </c>
      <c r="H155" s="18">
        <f t="array" ref="H155">IF($B$1="","",IFERROR(_xlfn.AGGREGATE(15,6,ROW('Journal'!$A$3:$A$2002)/(('Journal'!$D$3:$D$2002=$B$1)+('Journal'!$E$3:$E$2002=$B$1))/('Journal'!$B$3:$B$2002&gt;=$B$2)/('Journal'!$B$3:$B$2002&lt;=$B$3),150),""))</f>
        <v/>
      </c>
    </row>
    <row r="156">
      <c r="A156" s="18">
        <f>IF($H156="","",INDEX('Journal'!$A$1:$A$2002,$H156))</f>
        <v/>
      </c>
      <c r="B156" s="21">
        <f>IF($H156="","",INDEX('Journal'!$B$1:$B$2002,$H156))</f>
        <v/>
      </c>
      <c r="C156" s="5">
        <f>IF($H156="","",INDEX('Journal'!$C$1:$C$2002,$H156)&amp;"")</f>
        <v/>
      </c>
      <c r="D156" s="5">
        <f>IF($H156="","",IF(INDEX('Journal'!$D$1:$D$2002,$H156)=$B$1,INDEX('Journal'!$E$1:$E$2002,$H156),INDEX('Journal'!$D$1:$D$2002,$H156))&amp;"")</f>
        <v/>
      </c>
      <c r="E156" s="20">
        <f>IF($H156="","",IF(INDEX('Journal'!$D$1:$D$2002,$H156)=$B$1,N(INDEX('Journal'!$G$1:$G$2002,$H156)),N(INDEX('Journal'!$F$1:$F$2002,$H156))))</f>
        <v/>
      </c>
      <c r="F156" s="20">
        <f>IF($H156="","",IF(INDEX('Journal'!$D$1:$D$2002,$H156)=$B$1,N(INDEX('Journal'!$F$1:$F$2002,$H156)),N(INDEX('Journal'!$G$1:$G$2002,$H156))))</f>
        <v/>
      </c>
      <c r="G156" s="20">
        <f>IF($H156="","",G155+E156-F156)</f>
        <v/>
      </c>
      <c r="H156" s="18">
        <f t="array" ref="H156">IF($B$1="","",IFERROR(_xlfn.AGGREGATE(15,6,ROW('Journal'!$A$3:$A$2002)/(('Journal'!$D$3:$D$2002=$B$1)+('Journal'!$E$3:$E$2002=$B$1))/('Journal'!$B$3:$B$2002&gt;=$B$2)/('Journal'!$B$3:$B$2002&lt;=$B$3),151),""))</f>
        <v/>
      </c>
    </row>
    <row r="157">
      <c r="A157" s="18">
        <f>IF($H157="","",INDEX('Journal'!$A$1:$A$2002,$H157))</f>
        <v/>
      </c>
      <c r="B157" s="21">
        <f>IF($H157="","",INDEX('Journal'!$B$1:$B$2002,$H157))</f>
        <v/>
      </c>
      <c r="C157" s="5">
        <f>IF($H157="","",INDEX('Journal'!$C$1:$C$2002,$H157)&amp;"")</f>
        <v/>
      </c>
      <c r="D157" s="5">
        <f>IF($H157="","",IF(INDEX('Journal'!$D$1:$D$2002,$H157)=$B$1,INDEX('Journal'!$E$1:$E$2002,$H157),INDEX('Journal'!$D$1:$D$2002,$H157))&amp;"")</f>
        <v/>
      </c>
      <c r="E157" s="20">
        <f>IF($H157="","",IF(INDEX('Journal'!$D$1:$D$2002,$H157)=$B$1,N(INDEX('Journal'!$G$1:$G$2002,$H157)),N(INDEX('Journal'!$F$1:$F$2002,$H157))))</f>
        <v/>
      </c>
      <c r="F157" s="20">
        <f>IF($H157="","",IF(INDEX('Journal'!$D$1:$D$2002,$H157)=$B$1,N(INDEX('Journal'!$F$1:$F$2002,$H157)),N(INDEX('Journal'!$G$1:$G$2002,$H157))))</f>
        <v/>
      </c>
      <c r="G157" s="20">
        <f>IF($H157="","",G156+E157-F157)</f>
        <v/>
      </c>
      <c r="H157" s="18">
        <f t="array" ref="H157">IF($B$1="","",IFERROR(_xlfn.AGGREGATE(15,6,ROW('Journal'!$A$3:$A$2002)/(('Journal'!$D$3:$D$2002=$B$1)+('Journal'!$E$3:$E$2002=$B$1))/('Journal'!$B$3:$B$2002&gt;=$B$2)/('Journal'!$B$3:$B$2002&lt;=$B$3),152),""))</f>
        <v/>
      </c>
    </row>
    <row r="158">
      <c r="A158" s="18">
        <f>IF($H158="","",INDEX('Journal'!$A$1:$A$2002,$H158))</f>
        <v/>
      </c>
      <c r="B158" s="21">
        <f>IF($H158="","",INDEX('Journal'!$B$1:$B$2002,$H158))</f>
        <v/>
      </c>
      <c r="C158" s="5">
        <f>IF($H158="","",INDEX('Journal'!$C$1:$C$2002,$H158)&amp;"")</f>
        <v/>
      </c>
      <c r="D158" s="5">
        <f>IF($H158="","",IF(INDEX('Journal'!$D$1:$D$2002,$H158)=$B$1,INDEX('Journal'!$E$1:$E$2002,$H158),INDEX('Journal'!$D$1:$D$2002,$H158))&amp;"")</f>
        <v/>
      </c>
      <c r="E158" s="20">
        <f>IF($H158="","",IF(INDEX('Journal'!$D$1:$D$2002,$H158)=$B$1,N(INDEX('Journal'!$G$1:$G$2002,$H158)),N(INDEX('Journal'!$F$1:$F$2002,$H158))))</f>
        <v/>
      </c>
      <c r="F158" s="20">
        <f>IF($H158="","",IF(INDEX('Journal'!$D$1:$D$2002,$H158)=$B$1,N(INDEX('Journal'!$F$1:$F$2002,$H158)),N(INDEX('Journal'!$G$1:$G$2002,$H158))))</f>
        <v/>
      </c>
      <c r="G158" s="20">
        <f>IF($H158="","",G157+E158-F158)</f>
        <v/>
      </c>
      <c r="H158" s="18">
        <f t="array" ref="H158">IF($B$1="","",IFERROR(_xlfn.AGGREGATE(15,6,ROW('Journal'!$A$3:$A$2002)/(('Journal'!$D$3:$D$2002=$B$1)+('Journal'!$E$3:$E$2002=$B$1))/('Journal'!$B$3:$B$2002&gt;=$B$2)/('Journal'!$B$3:$B$2002&lt;=$B$3),153),""))</f>
        <v/>
      </c>
    </row>
    <row r="159">
      <c r="A159" s="18">
        <f>IF($H159="","",INDEX('Journal'!$A$1:$A$2002,$H159))</f>
        <v/>
      </c>
      <c r="B159" s="21">
        <f>IF($H159="","",INDEX('Journal'!$B$1:$B$2002,$H159))</f>
        <v/>
      </c>
      <c r="C159" s="5">
        <f>IF($H159="","",INDEX('Journal'!$C$1:$C$2002,$H159)&amp;"")</f>
        <v/>
      </c>
      <c r="D159" s="5">
        <f>IF($H159="","",IF(INDEX('Journal'!$D$1:$D$2002,$H159)=$B$1,INDEX('Journal'!$E$1:$E$2002,$H159),INDEX('Journal'!$D$1:$D$2002,$H159))&amp;"")</f>
        <v/>
      </c>
      <c r="E159" s="20">
        <f>IF($H159="","",IF(INDEX('Journal'!$D$1:$D$2002,$H159)=$B$1,N(INDEX('Journal'!$G$1:$G$2002,$H159)),N(INDEX('Journal'!$F$1:$F$2002,$H159))))</f>
        <v/>
      </c>
      <c r="F159" s="20">
        <f>IF($H159="","",IF(INDEX('Journal'!$D$1:$D$2002,$H159)=$B$1,N(INDEX('Journal'!$F$1:$F$2002,$H159)),N(INDEX('Journal'!$G$1:$G$2002,$H159))))</f>
        <v/>
      </c>
      <c r="G159" s="20">
        <f>IF($H159="","",G158+E159-F159)</f>
        <v/>
      </c>
      <c r="H159" s="18">
        <f t="array" ref="H159">IF($B$1="","",IFERROR(_xlfn.AGGREGATE(15,6,ROW('Journal'!$A$3:$A$2002)/(('Journal'!$D$3:$D$2002=$B$1)+('Journal'!$E$3:$E$2002=$B$1))/('Journal'!$B$3:$B$2002&gt;=$B$2)/('Journal'!$B$3:$B$2002&lt;=$B$3),154),""))</f>
        <v/>
      </c>
    </row>
    <row r="160">
      <c r="A160" s="18">
        <f>IF($H160="","",INDEX('Journal'!$A$1:$A$2002,$H160))</f>
        <v/>
      </c>
      <c r="B160" s="21">
        <f>IF($H160="","",INDEX('Journal'!$B$1:$B$2002,$H160))</f>
        <v/>
      </c>
      <c r="C160" s="5">
        <f>IF($H160="","",INDEX('Journal'!$C$1:$C$2002,$H160)&amp;"")</f>
        <v/>
      </c>
      <c r="D160" s="5">
        <f>IF($H160="","",IF(INDEX('Journal'!$D$1:$D$2002,$H160)=$B$1,INDEX('Journal'!$E$1:$E$2002,$H160),INDEX('Journal'!$D$1:$D$2002,$H160))&amp;"")</f>
        <v/>
      </c>
      <c r="E160" s="20">
        <f>IF($H160="","",IF(INDEX('Journal'!$D$1:$D$2002,$H160)=$B$1,N(INDEX('Journal'!$G$1:$G$2002,$H160)),N(INDEX('Journal'!$F$1:$F$2002,$H160))))</f>
        <v/>
      </c>
      <c r="F160" s="20">
        <f>IF($H160="","",IF(INDEX('Journal'!$D$1:$D$2002,$H160)=$B$1,N(INDEX('Journal'!$F$1:$F$2002,$H160)),N(INDEX('Journal'!$G$1:$G$2002,$H160))))</f>
        <v/>
      </c>
      <c r="G160" s="20">
        <f>IF($H160="","",G159+E160-F160)</f>
        <v/>
      </c>
      <c r="H160" s="18">
        <f t="array" ref="H160">IF($B$1="","",IFERROR(_xlfn.AGGREGATE(15,6,ROW('Journal'!$A$3:$A$2002)/(('Journal'!$D$3:$D$2002=$B$1)+('Journal'!$E$3:$E$2002=$B$1))/('Journal'!$B$3:$B$2002&gt;=$B$2)/('Journal'!$B$3:$B$2002&lt;=$B$3),155),""))</f>
        <v/>
      </c>
    </row>
    <row r="161">
      <c r="A161" s="18">
        <f>IF($H161="","",INDEX('Journal'!$A$1:$A$2002,$H161))</f>
        <v/>
      </c>
      <c r="B161" s="21">
        <f>IF($H161="","",INDEX('Journal'!$B$1:$B$2002,$H161))</f>
        <v/>
      </c>
      <c r="C161" s="5">
        <f>IF($H161="","",INDEX('Journal'!$C$1:$C$2002,$H161)&amp;"")</f>
        <v/>
      </c>
      <c r="D161" s="5">
        <f>IF($H161="","",IF(INDEX('Journal'!$D$1:$D$2002,$H161)=$B$1,INDEX('Journal'!$E$1:$E$2002,$H161),INDEX('Journal'!$D$1:$D$2002,$H161))&amp;"")</f>
        <v/>
      </c>
      <c r="E161" s="20">
        <f>IF($H161="","",IF(INDEX('Journal'!$D$1:$D$2002,$H161)=$B$1,N(INDEX('Journal'!$G$1:$G$2002,$H161)),N(INDEX('Journal'!$F$1:$F$2002,$H161))))</f>
        <v/>
      </c>
      <c r="F161" s="20">
        <f>IF($H161="","",IF(INDEX('Journal'!$D$1:$D$2002,$H161)=$B$1,N(INDEX('Journal'!$F$1:$F$2002,$H161)),N(INDEX('Journal'!$G$1:$G$2002,$H161))))</f>
        <v/>
      </c>
      <c r="G161" s="20">
        <f>IF($H161="","",G160+E161-F161)</f>
        <v/>
      </c>
      <c r="H161" s="18">
        <f t="array" ref="H161">IF($B$1="","",IFERROR(_xlfn.AGGREGATE(15,6,ROW('Journal'!$A$3:$A$2002)/(('Journal'!$D$3:$D$2002=$B$1)+('Journal'!$E$3:$E$2002=$B$1))/('Journal'!$B$3:$B$2002&gt;=$B$2)/('Journal'!$B$3:$B$2002&lt;=$B$3),156),""))</f>
        <v/>
      </c>
    </row>
    <row r="162">
      <c r="A162" s="18">
        <f>IF($H162="","",INDEX('Journal'!$A$1:$A$2002,$H162))</f>
        <v/>
      </c>
      <c r="B162" s="21">
        <f>IF($H162="","",INDEX('Journal'!$B$1:$B$2002,$H162))</f>
        <v/>
      </c>
      <c r="C162" s="5">
        <f>IF($H162="","",INDEX('Journal'!$C$1:$C$2002,$H162)&amp;"")</f>
        <v/>
      </c>
      <c r="D162" s="5">
        <f>IF($H162="","",IF(INDEX('Journal'!$D$1:$D$2002,$H162)=$B$1,INDEX('Journal'!$E$1:$E$2002,$H162),INDEX('Journal'!$D$1:$D$2002,$H162))&amp;"")</f>
        <v/>
      </c>
      <c r="E162" s="20">
        <f>IF($H162="","",IF(INDEX('Journal'!$D$1:$D$2002,$H162)=$B$1,N(INDEX('Journal'!$G$1:$G$2002,$H162)),N(INDEX('Journal'!$F$1:$F$2002,$H162))))</f>
        <v/>
      </c>
      <c r="F162" s="20">
        <f>IF($H162="","",IF(INDEX('Journal'!$D$1:$D$2002,$H162)=$B$1,N(INDEX('Journal'!$F$1:$F$2002,$H162)),N(INDEX('Journal'!$G$1:$G$2002,$H162))))</f>
        <v/>
      </c>
      <c r="G162" s="20">
        <f>IF($H162="","",G161+E162-F162)</f>
        <v/>
      </c>
      <c r="H162" s="18">
        <f t="array" ref="H162">IF($B$1="","",IFERROR(_xlfn.AGGREGATE(15,6,ROW('Journal'!$A$3:$A$2002)/(('Journal'!$D$3:$D$2002=$B$1)+('Journal'!$E$3:$E$2002=$B$1))/('Journal'!$B$3:$B$2002&gt;=$B$2)/('Journal'!$B$3:$B$2002&lt;=$B$3),157),""))</f>
        <v/>
      </c>
    </row>
    <row r="163">
      <c r="A163" s="18">
        <f>IF($H163="","",INDEX('Journal'!$A$1:$A$2002,$H163))</f>
        <v/>
      </c>
      <c r="B163" s="21">
        <f>IF($H163="","",INDEX('Journal'!$B$1:$B$2002,$H163))</f>
        <v/>
      </c>
      <c r="C163" s="5">
        <f>IF($H163="","",INDEX('Journal'!$C$1:$C$2002,$H163)&amp;"")</f>
        <v/>
      </c>
      <c r="D163" s="5">
        <f>IF($H163="","",IF(INDEX('Journal'!$D$1:$D$2002,$H163)=$B$1,INDEX('Journal'!$E$1:$E$2002,$H163),INDEX('Journal'!$D$1:$D$2002,$H163))&amp;"")</f>
        <v/>
      </c>
      <c r="E163" s="20">
        <f>IF($H163="","",IF(INDEX('Journal'!$D$1:$D$2002,$H163)=$B$1,N(INDEX('Journal'!$G$1:$G$2002,$H163)),N(INDEX('Journal'!$F$1:$F$2002,$H163))))</f>
        <v/>
      </c>
      <c r="F163" s="20">
        <f>IF($H163="","",IF(INDEX('Journal'!$D$1:$D$2002,$H163)=$B$1,N(INDEX('Journal'!$F$1:$F$2002,$H163)),N(INDEX('Journal'!$G$1:$G$2002,$H163))))</f>
        <v/>
      </c>
      <c r="G163" s="20">
        <f>IF($H163="","",G162+E163-F163)</f>
        <v/>
      </c>
      <c r="H163" s="18">
        <f t="array" ref="H163">IF($B$1="","",IFERROR(_xlfn.AGGREGATE(15,6,ROW('Journal'!$A$3:$A$2002)/(('Journal'!$D$3:$D$2002=$B$1)+('Journal'!$E$3:$E$2002=$B$1))/('Journal'!$B$3:$B$2002&gt;=$B$2)/('Journal'!$B$3:$B$2002&lt;=$B$3),158),""))</f>
        <v/>
      </c>
    </row>
    <row r="164">
      <c r="A164" s="18">
        <f>IF($H164="","",INDEX('Journal'!$A$1:$A$2002,$H164))</f>
        <v/>
      </c>
      <c r="B164" s="21">
        <f>IF($H164="","",INDEX('Journal'!$B$1:$B$2002,$H164))</f>
        <v/>
      </c>
      <c r="C164" s="5">
        <f>IF($H164="","",INDEX('Journal'!$C$1:$C$2002,$H164)&amp;"")</f>
        <v/>
      </c>
      <c r="D164" s="5">
        <f>IF($H164="","",IF(INDEX('Journal'!$D$1:$D$2002,$H164)=$B$1,INDEX('Journal'!$E$1:$E$2002,$H164),INDEX('Journal'!$D$1:$D$2002,$H164))&amp;"")</f>
        <v/>
      </c>
      <c r="E164" s="20">
        <f>IF($H164="","",IF(INDEX('Journal'!$D$1:$D$2002,$H164)=$B$1,N(INDEX('Journal'!$G$1:$G$2002,$H164)),N(INDEX('Journal'!$F$1:$F$2002,$H164))))</f>
        <v/>
      </c>
      <c r="F164" s="20">
        <f>IF($H164="","",IF(INDEX('Journal'!$D$1:$D$2002,$H164)=$B$1,N(INDEX('Journal'!$F$1:$F$2002,$H164)),N(INDEX('Journal'!$G$1:$G$2002,$H164))))</f>
        <v/>
      </c>
      <c r="G164" s="20">
        <f>IF($H164="","",G163+E164-F164)</f>
        <v/>
      </c>
      <c r="H164" s="18">
        <f t="array" ref="H164">IF($B$1="","",IFERROR(_xlfn.AGGREGATE(15,6,ROW('Journal'!$A$3:$A$2002)/(('Journal'!$D$3:$D$2002=$B$1)+('Journal'!$E$3:$E$2002=$B$1))/('Journal'!$B$3:$B$2002&gt;=$B$2)/('Journal'!$B$3:$B$2002&lt;=$B$3),159),""))</f>
        <v/>
      </c>
    </row>
    <row r="165">
      <c r="A165" s="18">
        <f>IF($H165="","",INDEX('Journal'!$A$1:$A$2002,$H165))</f>
        <v/>
      </c>
      <c r="B165" s="21">
        <f>IF($H165="","",INDEX('Journal'!$B$1:$B$2002,$H165))</f>
        <v/>
      </c>
      <c r="C165" s="5">
        <f>IF($H165="","",INDEX('Journal'!$C$1:$C$2002,$H165)&amp;"")</f>
        <v/>
      </c>
      <c r="D165" s="5">
        <f>IF($H165="","",IF(INDEX('Journal'!$D$1:$D$2002,$H165)=$B$1,INDEX('Journal'!$E$1:$E$2002,$H165),INDEX('Journal'!$D$1:$D$2002,$H165))&amp;"")</f>
        <v/>
      </c>
      <c r="E165" s="20">
        <f>IF($H165="","",IF(INDEX('Journal'!$D$1:$D$2002,$H165)=$B$1,N(INDEX('Journal'!$G$1:$G$2002,$H165)),N(INDEX('Journal'!$F$1:$F$2002,$H165))))</f>
        <v/>
      </c>
      <c r="F165" s="20">
        <f>IF($H165="","",IF(INDEX('Journal'!$D$1:$D$2002,$H165)=$B$1,N(INDEX('Journal'!$F$1:$F$2002,$H165)),N(INDEX('Journal'!$G$1:$G$2002,$H165))))</f>
        <v/>
      </c>
      <c r="G165" s="20">
        <f>IF($H165="","",G164+E165-F165)</f>
        <v/>
      </c>
      <c r="H165" s="18">
        <f t="array" ref="H165">IF($B$1="","",IFERROR(_xlfn.AGGREGATE(15,6,ROW('Journal'!$A$3:$A$2002)/(('Journal'!$D$3:$D$2002=$B$1)+('Journal'!$E$3:$E$2002=$B$1))/('Journal'!$B$3:$B$2002&gt;=$B$2)/('Journal'!$B$3:$B$2002&lt;=$B$3),160),""))</f>
        <v/>
      </c>
    </row>
    <row r="166">
      <c r="A166" s="18">
        <f>IF($H166="","",INDEX('Journal'!$A$1:$A$2002,$H166))</f>
        <v/>
      </c>
      <c r="B166" s="21">
        <f>IF($H166="","",INDEX('Journal'!$B$1:$B$2002,$H166))</f>
        <v/>
      </c>
      <c r="C166" s="5">
        <f>IF($H166="","",INDEX('Journal'!$C$1:$C$2002,$H166)&amp;"")</f>
        <v/>
      </c>
      <c r="D166" s="5">
        <f>IF($H166="","",IF(INDEX('Journal'!$D$1:$D$2002,$H166)=$B$1,INDEX('Journal'!$E$1:$E$2002,$H166),INDEX('Journal'!$D$1:$D$2002,$H166))&amp;"")</f>
        <v/>
      </c>
      <c r="E166" s="20">
        <f>IF($H166="","",IF(INDEX('Journal'!$D$1:$D$2002,$H166)=$B$1,N(INDEX('Journal'!$G$1:$G$2002,$H166)),N(INDEX('Journal'!$F$1:$F$2002,$H166))))</f>
        <v/>
      </c>
      <c r="F166" s="20">
        <f>IF($H166="","",IF(INDEX('Journal'!$D$1:$D$2002,$H166)=$B$1,N(INDEX('Journal'!$F$1:$F$2002,$H166)),N(INDEX('Journal'!$G$1:$G$2002,$H166))))</f>
        <v/>
      </c>
      <c r="G166" s="20">
        <f>IF($H166="","",G165+E166-F166)</f>
        <v/>
      </c>
      <c r="H166" s="18">
        <f t="array" ref="H166">IF($B$1="","",IFERROR(_xlfn.AGGREGATE(15,6,ROW('Journal'!$A$3:$A$2002)/(('Journal'!$D$3:$D$2002=$B$1)+('Journal'!$E$3:$E$2002=$B$1))/('Journal'!$B$3:$B$2002&gt;=$B$2)/('Journal'!$B$3:$B$2002&lt;=$B$3),161),""))</f>
        <v/>
      </c>
    </row>
    <row r="167">
      <c r="A167" s="18">
        <f>IF($H167="","",INDEX('Journal'!$A$1:$A$2002,$H167))</f>
        <v/>
      </c>
      <c r="B167" s="21">
        <f>IF($H167="","",INDEX('Journal'!$B$1:$B$2002,$H167))</f>
        <v/>
      </c>
      <c r="C167" s="5">
        <f>IF($H167="","",INDEX('Journal'!$C$1:$C$2002,$H167)&amp;"")</f>
        <v/>
      </c>
      <c r="D167" s="5">
        <f>IF($H167="","",IF(INDEX('Journal'!$D$1:$D$2002,$H167)=$B$1,INDEX('Journal'!$E$1:$E$2002,$H167),INDEX('Journal'!$D$1:$D$2002,$H167))&amp;"")</f>
        <v/>
      </c>
      <c r="E167" s="20">
        <f>IF($H167="","",IF(INDEX('Journal'!$D$1:$D$2002,$H167)=$B$1,N(INDEX('Journal'!$G$1:$G$2002,$H167)),N(INDEX('Journal'!$F$1:$F$2002,$H167))))</f>
        <v/>
      </c>
      <c r="F167" s="20">
        <f>IF($H167="","",IF(INDEX('Journal'!$D$1:$D$2002,$H167)=$B$1,N(INDEX('Journal'!$F$1:$F$2002,$H167)),N(INDEX('Journal'!$G$1:$G$2002,$H167))))</f>
        <v/>
      </c>
      <c r="G167" s="20">
        <f>IF($H167="","",G166+E167-F167)</f>
        <v/>
      </c>
      <c r="H167" s="18">
        <f t="array" ref="H167">IF($B$1="","",IFERROR(_xlfn.AGGREGATE(15,6,ROW('Journal'!$A$3:$A$2002)/(('Journal'!$D$3:$D$2002=$B$1)+('Journal'!$E$3:$E$2002=$B$1))/('Journal'!$B$3:$B$2002&gt;=$B$2)/('Journal'!$B$3:$B$2002&lt;=$B$3),162),""))</f>
        <v/>
      </c>
    </row>
    <row r="168">
      <c r="A168" s="18">
        <f>IF($H168="","",INDEX('Journal'!$A$1:$A$2002,$H168))</f>
        <v/>
      </c>
      <c r="B168" s="21">
        <f>IF($H168="","",INDEX('Journal'!$B$1:$B$2002,$H168))</f>
        <v/>
      </c>
      <c r="C168" s="5">
        <f>IF($H168="","",INDEX('Journal'!$C$1:$C$2002,$H168)&amp;"")</f>
        <v/>
      </c>
      <c r="D168" s="5">
        <f>IF($H168="","",IF(INDEX('Journal'!$D$1:$D$2002,$H168)=$B$1,INDEX('Journal'!$E$1:$E$2002,$H168),INDEX('Journal'!$D$1:$D$2002,$H168))&amp;"")</f>
        <v/>
      </c>
      <c r="E168" s="20">
        <f>IF($H168="","",IF(INDEX('Journal'!$D$1:$D$2002,$H168)=$B$1,N(INDEX('Journal'!$G$1:$G$2002,$H168)),N(INDEX('Journal'!$F$1:$F$2002,$H168))))</f>
        <v/>
      </c>
      <c r="F168" s="20">
        <f>IF($H168="","",IF(INDEX('Journal'!$D$1:$D$2002,$H168)=$B$1,N(INDEX('Journal'!$F$1:$F$2002,$H168)),N(INDEX('Journal'!$G$1:$G$2002,$H168))))</f>
        <v/>
      </c>
      <c r="G168" s="20">
        <f>IF($H168="","",G167+E168-F168)</f>
        <v/>
      </c>
      <c r="H168" s="18">
        <f t="array" ref="H168">IF($B$1="","",IFERROR(_xlfn.AGGREGATE(15,6,ROW('Journal'!$A$3:$A$2002)/(('Journal'!$D$3:$D$2002=$B$1)+('Journal'!$E$3:$E$2002=$B$1))/('Journal'!$B$3:$B$2002&gt;=$B$2)/('Journal'!$B$3:$B$2002&lt;=$B$3),163),""))</f>
        <v/>
      </c>
    </row>
    <row r="169">
      <c r="A169" s="18">
        <f>IF($H169="","",INDEX('Journal'!$A$1:$A$2002,$H169))</f>
        <v/>
      </c>
      <c r="B169" s="21">
        <f>IF($H169="","",INDEX('Journal'!$B$1:$B$2002,$H169))</f>
        <v/>
      </c>
      <c r="C169" s="5">
        <f>IF($H169="","",INDEX('Journal'!$C$1:$C$2002,$H169)&amp;"")</f>
        <v/>
      </c>
      <c r="D169" s="5">
        <f>IF($H169="","",IF(INDEX('Journal'!$D$1:$D$2002,$H169)=$B$1,INDEX('Journal'!$E$1:$E$2002,$H169),INDEX('Journal'!$D$1:$D$2002,$H169))&amp;"")</f>
        <v/>
      </c>
      <c r="E169" s="20">
        <f>IF($H169="","",IF(INDEX('Journal'!$D$1:$D$2002,$H169)=$B$1,N(INDEX('Journal'!$G$1:$G$2002,$H169)),N(INDEX('Journal'!$F$1:$F$2002,$H169))))</f>
        <v/>
      </c>
      <c r="F169" s="20">
        <f>IF($H169="","",IF(INDEX('Journal'!$D$1:$D$2002,$H169)=$B$1,N(INDEX('Journal'!$F$1:$F$2002,$H169)),N(INDEX('Journal'!$G$1:$G$2002,$H169))))</f>
        <v/>
      </c>
      <c r="G169" s="20">
        <f>IF($H169="","",G168+E169-F169)</f>
        <v/>
      </c>
      <c r="H169" s="18">
        <f t="array" ref="H169">IF($B$1="","",IFERROR(_xlfn.AGGREGATE(15,6,ROW('Journal'!$A$3:$A$2002)/(('Journal'!$D$3:$D$2002=$B$1)+('Journal'!$E$3:$E$2002=$B$1))/('Journal'!$B$3:$B$2002&gt;=$B$2)/('Journal'!$B$3:$B$2002&lt;=$B$3),164),""))</f>
        <v/>
      </c>
    </row>
    <row r="170">
      <c r="A170" s="18">
        <f>IF($H170="","",INDEX('Journal'!$A$1:$A$2002,$H170))</f>
        <v/>
      </c>
      <c r="B170" s="21">
        <f>IF($H170="","",INDEX('Journal'!$B$1:$B$2002,$H170))</f>
        <v/>
      </c>
      <c r="C170" s="5">
        <f>IF($H170="","",INDEX('Journal'!$C$1:$C$2002,$H170)&amp;"")</f>
        <v/>
      </c>
      <c r="D170" s="5">
        <f>IF($H170="","",IF(INDEX('Journal'!$D$1:$D$2002,$H170)=$B$1,INDEX('Journal'!$E$1:$E$2002,$H170),INDEX('Journal'!$D$1:$D$2002,$H170))&amp;"")</f>
        <v/>
      </c>
      <c r="E170" s="20">
        <f>IF($H170="","",IF(INDEX('Journal'!$D$1:$D$2002,$H170)=$B$1,N(INDEX('Journal'!$G$1:$G$2002,$H170)),N(INDEX('Journal'!$F$1:$F$2002,$H170))))</f>
        <v/>
      </c>
      <c r="F170" s="20">
        <f>IF($H170="","",IF(INDEX('Journal'!$D$1:$D$2002,$H170)=$B$1,N(INDEX('Journal'!$F$1:$F$2002,$H170)),N(INDEX('Journal'!$G$1:$G$2002,$H170))))</f>
        <v/>
      </c>
      <c r="G170" s="20">
        <f>IF($H170="","",G169+E170-F170)</f>
        <v/>
      </c>
      <c r="H170" s="18">
        <f t="array" ref="H170">IF($B$1="","",IFERROR(_xlfn.AGGREGATE(15,6,ROW('Journal'!$A$3:$A$2002)/(('Journal'!$D$3:$D$2002=$B$1)+('Journal'!$E$3:$E$2002=$B$1))/('Journal'!$B$3:$B$2002&gt;=$B$2)/('Journal'!$B$3:$B$2002&lt;=$B$3),165),""))</f>
        <v/>
      </c>
    </row>
    <row r="171">
      <c r="A171" s="18">
        <f>IF($H171="","",INDEX('Journal'!$A$1:$A$2002,$H171))</f>
        <v/>
      </c>
      <c r="B171" s="21">
        <f>IF($H171="","",INDEX('Journal'!$B$1:$B$2002,$H171))</f>
        <v/>
      </c>
      <c r="C171" s="5">
        <f>IF($H171="","",INDEX('Journal'!$C$1:$C$2002,$H171)&amp;"")</f>
        <v/>
      </c>
      <c r="D171" s="5">
        <f>IF($H171="","",IF(INDEX('Journal'!$D$1:$D$2002,$H171)=$B$1,INDEX('Journal'!$E$1:$E$2002,$H171),INDEX('Journal'!$D$1:$D$2002,$H171))&amp;"")</f>
        <v/>
      </c>
      <c r="E171" s="20">
        <f>IF($H171="","",IF(INDEX('Journal'!$D$1:$D$2002,$H171)=$B$1,N(INDEX('Journal'!$G$1:$G$2002,$H171)),N(INDEX('Journal'!$F$1:$F$2002,$H171))))</f>
        <v/>
      </c>
      <c r="F171" s="20">
        <f>IF($H171="","",IF(INDEX('Journal'!$D$1:$D$2002,$H171)=$B$1,N(INDEX('Journal'!$F$1:$F$2002,$H171)),N(INDEX('Journal'!$G$1:$G$2002,$H171))))</f>
        <v/>
      </c>
      <c r="G171" s="20">
        <f>IF($H171="","",G170+E171-F171)</f>
        <v/>
      </c>
      <c r="H171" s="18">
        <f t="array" ref="H171">IF($B$1="","",IFERROR(_xlfn.AGGREGATE(15,6,ROW('Journal'!$A$3:$A$2002)/(('Journal'!$D$3:$D$2002=$B$1)+('Journal'!$E$3:$E$2002=$B$1))/('Journal'!$B$3:$B$2002&gt;=$B$2)/('Journal'!$B$3:$B$2002&lt;=$B$3),166),""))</f>
        <v/>
      </c>
    </row>
    <row r="172">
      <c r="A172" s="18">
        <f>IF($H172="","",INDEX('Journal'!$A$1:$A$2002,$H172))</f>
        <v/>
      </c>
      <c r="B172" s="21">
        <f>IF($H172="","",INDEX('Journal'!$B$1:$B$2002,$H172))</f>
        <v/>
      </c>
      <c r="C172" s="5">
        <f>IF($H172="","",INDEX('Journal'!$C$1:$C$2002,$H172)&amp;"")</f>
        <v/>
      </c>
      <c r="D172" s="5">
        <f>IF($H172="","",IF(INDEX('Journal'!$D$1:$D$2002,$H172)=$B$1,INDEX('Journal'!$E$1:$E$2002,$H172),INDEX('Journal'!$D$1:$D$2002,$H172))&amp;"")</f>
        <v/>
      </c>
      <c r="E172" s="20">
        <f>IF($H172="","",IF(INDEX('Journal'!$D$1:$D$2002,$H172)=$B$1,N(INDEX('Journal'!$G$1:$G$2002,$H172)),N(INDEX('Journal'!$F$1:$F$2002,$H172))))</f>
        <v/>
      </c>
      <c r="F172" s="20">
        <f>IF($H172="","",IF(INDEX('Journal'!$D$1:$D$2002,$H172)=$B$1,N(INDEX('Journal'!$F$1:$F$2002,$H172)),N(INDEX('Journal'!$G$1:$G$2002,$H172))))</f>
        <v/>
      </c>
      <c r="G172" s="20">
        <f>IF($H172="","",G171+E172-F172)</f>
        <v/>
      </c>
      <c r="H172" s="18">
        <f t="array" ref="H172">IF($B$1="","",IFERROR(_xlfn.AGGREGATE(15,6,ROW('Journal'!$A$3:$A$2002)/(('Journal'!$D$3:$D$2002=$B$1)+('Journal'!$E$3:$E$2002=$B$1))/('Journal'!$B$3:$B$2002&gt;=$B$2)/('Journal'!$B$3:$B$2002&lt;=$B$3),167),""))</f>
        <v/>
      </c>
    </row>
    <row r="173">
      <c r="A173" s="18">
        <f>IF($H173="","",INDEX('Journal'!$A$1:$A$2002,$H173))</f>
        <v/>
      </c>
      <c r="B173" s="21">
        <f>IF($H173="","",INDEX('Journal'!$B$1:$B$2002,$H173))</f>
        <v/>
      </c>
      <c r="C173" s="5">
        <f>IF($H173="","",INDEX('Journal'!$C$1:$C$2002,$H173)&amp;"")</f>
        <v/>
      </c>
      <c r="D173" s="5">
        <f>IF($H173="","",IF(INDEX('Journal'!$D$1:$D$2002,$H173)=$B$1,INDEX('Journal'!$E$1:$E$2002,$H173),INDEX('Journal'!$D$1:$D$2002,$H173))&amp;"")</f>
        <v/>
      </c>
      <c r="E173" s="20">
        <f>IF($H173="","",IF(INDEX('Journal'!$D$1:$D$2002,$H173)=$B$1,N(INDEX('Journal'!$G$1:$G$2002,$H173)),N(INDEX('Journal'!$F$1:$F$2002,$H173))))</f>
        <v/>
      </c>
      <c r="F173" s="20">
        <f>IF($H173="","",IF(INDEX('Journal'!$D$1:$D$2002,$H173)=$B$1,N(INDEX('Journal'!$F$1:$F$2002,$H173)),N(INDEX('Journal'!$G$1:$G$2002,$H173))))</f>
        <v/>
      </c>
      <c r="G173" s="20">
        <f>IF($H173="","",G172+E173-F173)</f>
        <v/>
      </c>
      <c r="H173" s="18">
        <f t="array" ref="H173">IF($B$1="","",IFERROR(_xlfn.AGGREGATE(15,6,ROW('Journal'!$A$3:$A$2002)/(('Journal'!$D$3:$D$2002=$B$1)+('Journal'!$E$3:$E$2002=$B$1))/('Journal'!$B$3:$B$2002&gt;=$B$2)/('Journal'!$B$3:$B$2002&lt;=$B$3),168),""))</f>
        <v/>
      </c>
    </row>
    <row r="174">
      <c r="A174" s="18">
        <f>IF($H174="","",INDEX('Journal'!$A$1:$A$2002,$H174))</f>
        <v/>
      </c>
      <c r="B174" s="21">
        <f>IF($H174="","",INDEX('Journal'!$B$1:$B$2002,$H174))</f>
        <v/>
      </c>
      <c r="C174" s="5">
        <f>IF($H174="","",INDEX('Journal'!$C$1:$C$2002,$H174)&amp;"")</f>
        <v/>
      </c>
      <c r="D174" s="5">
        <f>IF($H174="","",IF(INDEX('Journal'!$D$1:$D$2002,$H174)=$B$1,INDEX('Journal'!$E$1:$E$2002,$H174),INDEX('Journal'!$D$1:$D$2002,$H174))&amp;"")</f>
        <v/>
      </c>
      <c r="E174" s="20">
        <f>IF($H174="","",IF(INDEX('Journal'!$D$1:$D$2002,$H174)=$B$1,N(INDEX('Journal'!$G$1:$G$2002,$H174)),N(INDEX('Journal'!$F$1:$F$2002,$H174))))</f>
        <v/>
      </c>
      <c r="F174" s="20">
        <f>IF($H174="","",IF(INDEX('Journal'!$D$1:$D$2002,$H174)=$B$1,N(INDEX('Journal'!$F$1:$F$2002,$H174)),N(INDEX('Journal'!$G$1:$G$2002,$H174))))</f>
        <v/>
      </c>
      <c r="G174" s="20">
        <f>IF($H174="","",G173+E174-F174)</f>
        <v/>
      </c>
      <c r="H174" s="18">
        <f t="array" ref="H174">IF($B$1="","",IFERROR(_xlfn.AGGREGATE(15,6,ROW('Journal'!$A$3:$A$2002)/(('Journal'!$D$3:$D$2002=$B$1)+('Journal'!$E$3:$E$2002=$B$1))/('Journal'!$B$3:$B$2002&gt;=$B$2)/('Journal'!$B$3:$B$2002&lt;=$B$3),169),""))</f>
        <v/>
      </c>
    </row>
    <row r="175">
      <c r="A175" s="18">
        <f>IF($H175="","",INDEX('Journal'!$A$1:$A$2002,$H175))</f>
        <v/>
      </c>
      <c r="B175" s="21">
        <f>IF($H175="","",INDEX('Journal'!$B$1:$B$2002,$H175))</f>
        <v/>
      </c>
      <c r="C175" s="5">
        <f>IF($H175="","",INDEX('Journal'!$C$1:$C$2002,$H175)&amp;"")</f>
        <v/>
      </c>
      <c r="D175" s="5">
        <f>IF($H175="","",IF(INDEX('Journal'!$D$1:$D$2002,$H175)=$B$1,INDEX('Journal'!$E$1:$E$2002,$H175),INDEX('Journal'!$D$1:$D$2002,$H175))&amp;"")</f>
        <v/>
      </c>
      <c r="E175" s="20">
        <f>IF($H175="","",IF(INDEX('Journal'!$D$1:$D$2002,$H175)=$B$1,N(INDEX('Journal'!$G$1:$G$2002,$H175)),N(INDEX('Journal'!$F$1:$F$2002,$H175))))</f>
        <v/>
      </c>
      <c r="F175" s="20">
        <f>IF($H175="","",IF(INDEX('Journal'!$D$1:$D$2002,$H175)=$B$1,N(INDEX('Journal'!$F$1:$F$2002,$H175)),N(INDEX('Journal'!$G$1:$G$2002,$H175))))</f>
        <v/>
      </c>
      <c r="G175" s="20">
        <f>IF($H175="","",G174+E175-F175)</f>
        <v/>
      </c>
      <c r="H175" s="18">
        <f t="array" ref="H175">IF($B$1="","",IFERROR(_xlfn.AGGREGATE(15,6,ROW('Journal'!$A$3:$A$2002)/(('Journal'!$D$3:$D$2002=$B$1)+('Journal'!$E$3:$E$2002=$B$1))/('Journal'!$B$3:$B$2002&gt;=$B$2)/('Journal'!$B$3:$B$2002&lt;=$B$3),170),""))</f>
        <v/>
      </c>
    </row>
    <row r="176">
      <c r="A176" s="18">
        <f>IF($H176="","",INDEX('Journal'!$A$1:$A$2002,$H176))</f>
        <v/>
      </c>
      <c r="B176" s="21">
        <f>IF($H176="","",INDEX('Journal'!$B$1:$B$2002,$H176))</f>
        <v/>
      </c>
      <c r="C176" s="5">
        <f>IF($H176="","",INDEX('Journal'!$C$1:$C$2002,$H176)&amp;"")</f>
        <v/>
      </c>
      <c r="D176" s="5">
        <f>IF($H176="","",IF(INDEX('Journal'!$D$1:$D$2002,$H176)=$B$1,INDEX('Journal'!$E$1:$E$2002,$H176),INDEX('Journal'!$D$1:$D$2002,$H176))&amp;"")</f>
        <v/>
      </c>
      <c r="E176" s="20">
        <f>IF($H176="","",IF(INDEX('Journal'!$D$1:$D$2002,$H176)=$B$1,N(INDEX('Journal'!$G$1:$G$2002,$H176)),N(INDEX('Journal'!$F$1:$F$2002,$H176))))</f>
        <v/>
      </c>
      <c r="F176" s="20">
        <f>IF($H176="","",IF(INDEX('Journal'!$D$1:$D$2002,$H176)=$B$1,N(INDEX('Journal'!$F$1:$F$2002,$H176)),N(INDEX('Journal'!$G$1:$G$2002,$H176))))</f>
        <v/>
      </c>
      <c r="G176" s="20">
        <f>IF($H176="","",G175+E176-F176)</f>
        <v/>
      </c>
      <c r="H176" s="18">
        <f t="array" ref="H176">IF($B$1="","",IFERROR(_xlfn.AGGREGATE(15,6,ROW('Journal'!$A$3:$A$2002)/(('Journal'!$D$3:$D$2002=$B$1)+('Journal'!$E$3:$E$2002=$B$1))/('Journal'!$B$3:$B$2002&gt;=$B$2)/('Journal'!$B$3:$B$2002&lt;=$B$3),171),""))</f>
        <v/>
      </c>
    </row>
    <row r="177">
      <c r="A177" s="18">
        <f>IF($H177="","",INDEX('Journal'!$A$1:$A$2002,$H177))</f>
        <v/>
      </c>
      <c r="B177" s="21">
        <f>IF($H177="","",INDEX('Journal'!$B$1:$B$2002,$H177))</f>
        <v/>
      </c>
      <c r="C177" s="5">
        <f>IF($H177="","",INDEX('Journal'!$C$1:$C$2002,$H177)&amp;"")</f>
        <v/>
      </c>
      <c r="D177" s="5">
        <f>IF($H177="","",IF(INDEX('Journal'!$D$1:$D$2002,$H177)=$B$1,INDEX('Journal'!$E$1:$E$2002,$H177),INDEX('Journal'!$D$1:$D$2002,$H177))&amp;"")</f>
        <v/>
      </c>
      <c r="E177" s="20">
        <f>IF($H177="","",IF(INDEX('Journal'!$D$1:$D$2002,$H177)=$B$1,N(INDEX('Journal'!$G$1:$G$2002,$H177)),N(INDEX('Journal'!$F$1:$F$2002,$H177))))</f>
        <v/>
      </c>
      <c r="F177" s="20">
        <f>IF($H177="","",IF(INDEX('Journal'!$D$1:$D$2002,$H177)=$B$1,N(INDEX('Journal'!$F$1:$F$2002,$H177)),N(INDEX('Journal'!$G$1:$G$2002,$H177))))</f>
        <v/>
      </c>
      <c r="G177" s="20">
        <f>IF($H177="","",G176+E177-F177)</f>
        <v/>
      </c>
      <c r="H177" s="18">
        <f t="array" ref="H177">IF($B$1="","",IFERROR(_xlfn.AGGREGATE(15,6,ROW('Journal'!$A$3:$A$2002)/(('Journal'!$D$3:$D$2002=$B$1)+('Journal'!$E$3:$E$2002=$B$1))/('Journal'!$B$3:$B$2002&gt;=$B$2)/('Journal'!$B$3:$B$2002&lt;=$B$3),172),""))</f>
        <v/>
      </c>
    </row>
    <row r="178">
      <c r="A178" s="18">
        <f>IF($H178="","",INDEX('Journal'!$A$1:$A$2002,$H178))</f>
        <v/>
      </c>
      <c r="B178" s="21">
        <f>IF($H178="","",INDEX('Journal'!$B$1:$B$2002,$H178))</f>
        <v/>
      </c>
      <c r="C178" s="5">
        <f>IF($H178="","",INDEX('Journal'!$C$1:$C$2002,$H178)&amp;"")</f>
        <v/>
      </c>
      <c r="D178" s="5">
        <f>IF($H178="","",IF(INDEX('Journal'!$D$1:$D$2002,$H178)=$B$1,INDEX('Journal'!$E$1:$E$2002,$H178),INDEX('Journal'!$D$1:$D$2002,$H178))&amp;"")</f>
        <v/>
      </c>
      <c r="E178" s="20">
        <f>IF($H178="","",IF(INDEX('Journal'!$D$1:$D$2002,$H178)=$B$1,N(INDEX('Journal'!$G$1:$G$2002,$H178)),N(INDEX('Journal'!$F$1:$F$2002,$H178))))</f>
        <v/>
      </c>
      <c r="F178" s="20">
        <f>IF($H178="","",IF(INDEX('Journal'!$D$1:$D$2002,$H178)=$B$1,N(INDEX('Journal'!$F$1:$F$2002,$H178)),N(INDEX('Journal'!$G$1:$G$2002,$H178))))</f>
        <v/>
      </c>
      <c r="G178" s="20">
        <f>IF($H178="","",G177+E178-F178)</f>
        <v/>
      </c>
      <c r="H178" s="18">
        <f t="array" ref="H178">IF($B$1="","",IFERROR(_xlfn.AGGREGATE(15,6,ROW('Journal'!$A$3:$A$2002)/(('Journal'!$D$3:$D$2002=$B$1)+('Journal'!$E$3:$E$2002=$B$1))/('Journal'!$B$3:$B$2002&gt;=$B$2)/('Journal'!$B$3:$B$2002&lt;=$B$3),173),""))</f>
        <v/>
      </c>
    </row>
    <row r="179">
      <c r="A179" s="18">
        <f>IF($H179="","",INDEX('Journal'!$A$1:$A$2002,$H179))</f>
        <v/>
      </c>
      <c r="B179" s="21">
        <f>IF($H179="","",INDEX('Journal'!$B$1:$B$2002,$H179))</f>
        <v/>
      </c>
      <c r="C179" s="5">
        <f>IF($H179="","",INDEX('Journal'!$C$1:$C$2002,$H179)&amp;"")</f>
        <v/>
      </c>
      <c r="D179" s="5">
        <f>IF($H179="","",IF(INDEX('Journal'!$D$1:$D$2002,$H179)=$B$1,INDEX('Journal'!$E$1:$E$2002,$H179),INDEX('Journal'!$D$1:$D$2002,$H179))&amp;"")</f>
        <v/>
      </c>
      <c r="E179" s="20">
        <f>IF($H179="","",IF(INDEX('Journal'!$D$1:$D$2002,$H179)=$B$1,N(INDEX('Journal'!$G$1:$G$2002,$H179)),N(INDEX('Journal'!$F$1:$F$2002,$H179))))</f>
        <v/>
      </c>
      <c r="F179" s="20">
        <f>IF($H179="","",IF(INDEX('Journal'!$D$1:$D$2002,$H179)=$B$1,N(INDEX('Journal'!$F$1:$F$2002,$H179)),N(INDEX('Journal'!$G$1:$G$2002,$H179))))</f>
        <v/>
      </c>
      <c r="G179" s="20">
        <f>IF($H179="","",G178+E179-F179)</f>
        <v/>
      </c>
      <c r="H179" s="18">
        <f t="array" ref="H179">IF($B$1="","",IFERROR(_xlfn.AGGREGATE(15,6,ROW('Journal'!$A$3:$A$2002)/(('Journal'!$D$3:$D$2002=$B$1)+('Journal'!$E$3:$E$2002=$B$1))/('Journal'!$B$3:$B$2002&gt;=$B$2)/('Journal'!$B$3:$B$2002&lt;=$B$3),174),""))</f>
        <v/>
      </c>
    </row>
    <row r="180">
      <c r="A180" s="18">
        <f>IF($H180="","",INDEX('Journal'!$A$1:$A$2002,$H180))</f>
        <v/>
      </c>
      <c r="B180" s="21">
        <f>IF($H180="","",INDEX('Journal'!$B$1:$B$2002,$H180))</f>
        <v/>
      </c>
      <c r="C180" s="5">
        <f>IF($H180="","",INDEX('Journal'!$C$1:$C$2002,$H180)&amp;"")</f>
        <v/>
      </c>
      <c r="D180" s="5">
        <f>IF($H180="","",IF(INDEX('Journal'!$D$1:$D$2002,$H180)=$B$1,INDEX('Journal'!$E$1:$E$2002,$H180),INDEX('Journal'!$D$1:$D$2002,$H180))&amp;"")</f>
        <v/>
      </c>
      <c r="E180" s="20">
        <f>IF($H180="","",IF(INDEX('Journal'!$D$1:$D$2002,$H180)=$B$1,N(INDEX('Journal'!$G$1:$G$2002,$H180)),N(INDEX('Journal'!$F$1:$F$2002,$H180))))</f>
        <v/>
      </c>
      <c r="F180" s="20">
        <f>IF($H180="","",IF(INDEX('Journal'!$D$1:$D$2002,$H180)=$B$1,N(INDEX('Journal'!$F$1:$F$2002,$H180)),N(INDEX('Journal'!$G$1:$G$2002,$H180))))</f>
        <v/>
      </c>
      <c r="G180" s="20">
        <f>IF($H180="","",G179+E180-F180)</f>
        <v/>
      </c>
      <c r="H180" s="18">
        <f t="array" ref="H180">IF($B$1="","",IFERROR(_xlfn.AGGREGATE(15,6,ROW('Journal'!$A$3:$A$2002)/(('Journal'!$D$3:$D$2002=$B$1)+('Journal'!$E$3:$E$2002=$B$1))/('Journal'!$B$3:$B$2002&gt;=$B$2)/('Journal'!$B$3:$B$2002&lt;=$B$3),175),""))</f>
        <v/>
      </c>
    </row>
    <row r="181">
      <c r="A181" s="18">
        <f>IF($H181="","",INDEX('Journal'!$A$1:$A$2002,$H181))</f>
        <v/>
      </c>
      <c r="B181" s="21">
        <f>IF($H181="","",INDEX('Journal'!$B$1:$B$2002,$H181))</f>
        <v/>
      </c>
      <c r="C181" s="5">
        <f>IF($H181="","",INDEX('Journal'!$C$1:$C$2002,$H181)&amp;"")</f>
        <v/>
      </c>
      <c r="D181" s="5">
        <f>IF($H181="","",IF(INDEX('Journal'!$D$1:$D$2002,$H181)=$B$1,INDEX('Journal'!$E$1:$E$2002,$H181),INDEX('Journal'!$D$1:$D$2002,$H181))&amp;"")</f>
        <v/>
      </c>
      <c r="E181" s="20">
        <f>IF($H181="","",IF(INDEX('Journal'!$D$1:$D$2002,$H181)=$B$1,N(INDEX('Journal'!$G$1:$G$2002,$H181)),N(INDEX('Journal'!$F$1:$F$2002,$H181))))</f>
        <v/>
      </c>
      <c r="F181" s="20">
        <f>IF($H181="","",IF(INDEX('Journal'!$D$1:$D$2002,$H181)=$B$1,N(INDEX('Journal'!$F$1:$F$2002,$H181)),N(INDEX('Journal'!$G$1:$G$2002,$H181))))</f>
        <v/>
      </c>
      <c r="G181" s="20">
        <f>IF($H181="","",G180+E181-F181)</f>
        <v/>
      </c>
      <c r="H181" s="18">
        <f t="array" ref="H181">IF($B$1="","",IFERROR(_xlfn.AGGREGATE(15,6,ROW('Journal'!$A$3:$A$2002)/(('Journal'!$D$3:$D$2002=$B$1)+('Journal'!$E$3:$E$2002=$B$1))/('Journal'!$B$3:$B$2002&gt;=$B$2)/('Journal'!$B$3:$B$2002&lt;=$B$3),176),""))</f>
        <v/>
      </c>
    </row>
    <row r="182">
      <c r="A182" s="18">
        <f>IF($H182="","",INDEX('Journal'!$A$1:$A$2002,$H182))</f>
        <v/>
      </c>
      <c r="B182" s="21">
        <f>IF($H182="","",INDEX('Journal'!$B$1:$B$2002,$H182))</f>
        <v/>
      </c>
      <c r="C182" s="5">
        <f>IF($H182="","",INDEX('Journal'!$C$1:$C$2002,$H182)&amp;"")</f>
        <v/>
      </c>
      <c r="D182" s="5">
        <f>IF($H182="","",IF(INDEX('Journal'!$D$1:$D$2002,$H182)=$B$1,INDEX('Journal'!$E$1:$E$2002,$H182),INDEX('Journal'!$D$1:$D$2002,$H182))&amp;"")</f>
        <v/>
      </c>
      <c r="E182" s="20">
        <f>IF($H182="","",IF(INDEX('Journal'!$D$1:$D$2002,$H182)=$B$1,N(INDEX('Journal'!$G$1:$G$2002,$H182)),N(INDEX('Journal'!$F$1:$F$2002,$H182))))</f>
        <v/>
      </c>
      <c r="F182" s="20">
        <f>IF($H182="","",IF(INDEX('Journal'!$D$1:$D$2002,$H182)=$B$1,N(INDEX('Journal'!$F$1:$F$2002,$H182)),N(INDEX('Journal'!$G$1:$G$2002,$H182))))</f>
        <v/>
      </c>
      <c r="G182" s="20">
        <f>IF($H182="","",G181+E182-F182)</f>
        <v/>
      </c>
      <c r="H182" s="18">
        <f t="array" ref="H182">IF($B$1="","",IFERROR(_xlfn.AGGREGATE(15,6,ROW('Journal'!$A$3:$A$2002)/(('Journal'!$D$3:$D$2002=$B$1)+('Journal'!$E$3:$E$2002=$B$1))/('Journal'!$B$3:$B$2002&gt;=$B$2)/('Journal'!$B$3:$B$2002&lt;=$B$3),177),""))</f>
        <v/>
      </c>
    </row>
    <row r="183">
      <c r="A183" s="18">
        <f>IF($H183="","",INDEX('Journal'!$A$1:$A$2002,$H183))</f>
        <v/>
      </c>
      <c r="B183" s="21">
        <f>IF($H183="","",INDEX('Journal'!$B$1:$B$2002,$H183))</f>
        <v/>
      </c>
      <c r="C183" s="5">
        <f>IF($H183="","",INDEX('Journal'!$C$1:$C$2002,$H183)&amp;"")</f>
        <v/>
      </c>
      <c r="D183" s="5">
        <f>IF($H183="","",IF(INDEX('Journal'!$D$1:$D$2002,$H183)=$B$1,INDEX('Journal'!$E$1:$E$2002,$H183),INDEX('Journal'!$D$1:$D$2002,$H183))&amp;"")</f>
        <v/>
      </c>
      <c r="E183" s="20">
        <f>IF($H183="","",IF(INDEX('Journal'!$D$1:$D$2002,$H183)=$B$1,N(INDEX('Journal'!$G$1:$G$2002,$H183)),N(INDEX('Journal'!$F$1:$F$2002,$H183))))</f>
        <v/>
      </c>
      <c r="F183" s="20">
        <f>IF($H183="","",IF(INDEX('Journal'!$D$1:$D$2002,$H183)=$B$1,N(INDEX('Journal'!$F$1:$F$2002,$H183)),N(INDEX('Journal'!$G$1:$G$2002,$H183))))</f>
        <v/>
      </c>
      <c r="G183" s="20">
        <f>IF($H183="","",G182+E183-F183)</f>
        <v/>
      </c>
      <c r="H183" s="18">
        <f t="array" ref="H183">IF($B$1="","",IFERROR(_xlfn.AGGREGATE(15,6,ROW('Journal'!$A$3:$A$2002)/(('Journal'!$D$3:$D$2002=$B$1)+('Journal'!$E$3:$E$2002=$B$1))/('Journal'!$B$3:$B$2002&gt;=$B$2)/('Journal'!$B$3:$B$2002&lt;=$B$3),178),""))</f>
        <v/>
      </c>
    </row>
    <row r="184">
      <c r="A184" s="18">
        <f>IF($H184="","",INDEX('Journal'!$A$1:$A$2002,$H184))</f>
        <v/>
      </c>
      <c r="B184" s="21">
        <f>IF($H184="","",INDEX('Journal'!$B$1:$B$2002,$H184))</f>
        <v/>
      </c>
      <c r="C184" s="5">
        <f>IF($H184="","",INDEX('Journal'!$C$1:$C$2002,$H184)&amp;"")</f>
        <v/>
      </c>
      <c r="D184" s="5">
        <f>IF($H184="","",IF(INDEX('Journal'!$D$1:$D$2002,$H184)=$B$1,INDEX('Journal'!$E$1:$E$2002,$H184),INDEX('Journal'!$D$1:$D$2002,$H184))&amp;"")</f>
        <v/>
      </c>
      <c r="E184" s="20">
        <f>IF($H184="","",IF(INDEX('Journal'!$D$1:$D$2002,$H184)=$B$1,N(INDEX('Journal'!$G$1:$G$2002,$H184)),N(INDEX('Journal'!$F$1:$F$2002,$H184))))</f>
        <v/>
      </c>
      <c r="F184" s="20">
        <f>IF($H184="","",IF(INDEX('Journal'!$D$1:$D$2002,$H184)=$B$1,N(INDEX('Journal'!$F$1:$F$2002,$H184)),N(INDEX('Journal'!$G$1:$G$2002,$H184))))</f>
        <v/>
      </c>
      <c r="G184" s="20">
        <f>IF($H184="","",G183+E184-F184)</f>
        <v/>
      </c>
      <c r="H184" s="18">
        <f t="array" ref="H184">IF($B$1="","",IFERROR(_xlfn.AGGREGATE(15,6,ROW('Journal'!$A$3:$A$2002)/(('Journal'!$D$3:$D$2002=$B$1)+('Journal'!$E$3:$E$2002=$B$1))/('Journal'!$B$3:$B$2002&gt;=$B$2)/('Journal'!$B$3:$B$2002&lt;=$B$3),179),""))</f>
        <v/>
      </c>
    </row>
    <row r="185">
      <c r="A185" s="18">
        <f>IF($H185="","",INDEX('Journal'!$A$1:$A$2002,$H185))</f>
        <v/>
      </c>
      <c r="B185" s="21">
        <f>IF($H185="","",INDEX('Journal'!$B$1:$B$2002,$H185))</f>
        <v/>
      </c>
      <c r="C185" s="5">
        <f>IF($H185="","",INDEX('Journal'!$C$1:$C$2002,$H185)&amp;"")</f>
        <v/>
      </c>
      <c r="D185" s="5">
        <f>IF($H185="","",IF(INDEX('Journal'!$D$1:$D$2002,$H185)=$B$1,INDEX('Journal'!$E$1:$E$2002,$H185),INDEX('Journal'!$D$1:$D$2002,$H185))&amp;"")</f>
        <v/>
      </c>
      <c r="E185" s="20">
        <f>IF($H185="","",IF(INDEX('Journal'!$D$1:$D$2002,$H185)=$B$1,N(INDEX('Journal'!$G$1:$G$2002,$H185)),N(INDEX('Journal'!$F$1:$F$2002,$H185))))</f>
        <v/>
      </c>
      <c r="F185" s="20">
        <f>IF($H185="","",IF(INDEX('Journal'!$D$1:$D$2002,$H185)=$B$1,N(INDEX('Journal'!$F$1:$F$2002,$H185)),N(INDEX('Journal'!$G$1:$G$2002,$H185))))</f>
        <v/>
      </c>
      <c r="G185" s="20">
        <f>IF($H185="","",G184+E185-F185)</f>
        <v/>
      </c>
      <c r="H185" s="18">
        <f t="array" ref="H185">IF($B$1="","",IFERROR(_xlfn.AGGREGATE(15,6,ROW('Journal'!$A$3:$A$2002)/(('Journal'!$D$3:$D$2002=$B$1)+('Journal'!$E$3:$E$2002=$B$1))/('Journal'!$B$3:$B$2002&gt;=$B$2)/('Journal'!$B$3:$B$2002&lt;=$B$3),180),""))</f>
        <v/>
      </c>
    </row>
    <row r="186">
      <c r="A186" s="18">
        <f>IF($H186="","",INDEX('Journal'!$A$1:$A$2002,$H186))</f>
        <v/>
      </c>
      <c r="B186" s="21">
        <f>IF($H186="","",INDEX('Journal'!$B$1:$B$2002,$H186))</f>
        <v/>
      </c>
      <c r="C186" s="5">
        <f>IF($H186="","",INDEX('Journal'!$C$1:$C$2002,$H186)&amp;"")</f>
        <v/>
      </c>
      <c r="D186" s="5">
        <f>IF($H186="","",IF(INDEX('Journal'!$D$1:$D$2002,$H186)=$B$1,INDEX('Journal'!$E$1:$E$2002,$H186),INDEX('Journal'!$D$1:$D$2002,$H186))&amp;"")</f>
        <v/>
      </c>
      <c r="E186" s="20">
        <f>IF($H186="","",IF(INDEX('Journal'!$D$1:$D$2002,$H186)=$B$1,N(INDEX('Journal'!$G$1:$G$2002,$H186)),N(INDEX('Journal'!$F$1:$F$2002,$H186))))</f>
        <v/>
      </c>
      <c r="F186" s="20">
        <f>IF($H186="","",IF(INDEX('Journal'!$D$1:$D$2002,$H186)=$B$1,N(INDEX('Journal'!$F$1:$F$2002,$H186)),N(INDEX('Journal'!$G$1:$G$2002,$H186))))</f>
        <v/>
      </c>
      <c r="G186" s="20">
        <f>IF($H186="","",G185+E186-F186)</f>
        <v/>
      </c>
      <c r="H186" s="18">
        <f t="array" ref="H186">IF($B$1="","",IFERROR(_xlfn.AGGREGATE(15,6,ROW('Journal'!$A$3:$A$2002)/(('Journal'!$D$3:$D$2002=$B$1)+('Journal'!$E$3:$E$2002=$B$1))/('Journal'!$B$3:$B$2002&gt;=$B$2)/('Journal'!$B$3:$B$2002&lt;=$B$3),181),""))</f>
        <v/>
      </c>
    </row>
    <row r="187">
      <c r="A187" s="18">
        <f>IF($H187="","",INDEX('Journal'!$A$1:$A$2002,$H187))</f>
        <v/>
      </c>
      <c r="B187" s="21">
        <f>IF($H187="","",INDEX('Journal'!$B$1:$B$2002,$H187))</f>
        <v/>
      </c>
      <c r="C187" s="5">
        <f>IF($H187="","",INDEX('Journal'!$C$1:$C$2002,$H187)&amp;"")</f>
        <v/>
      </c>
      <c r="D187" s="5">
        <f>IF($H187="","",IF(INDEX('Journal'!$D$1:$D$2002,$H187)=$B$1,INDEX('Journal'!$E$1:$E$2002,$H187),INDEX('Journal'!$D$1:$D$2002,$H187))&amp;"")</f>
        <v/>
      </c>
      <c r="E187" s="20">
        <f>IF($H187="","",IF(INDEX('Journal'!$D$1:$D$2002,$H187)=$B$1,N(INDEX('Journal'!$G$1:$G$2002,$H187)),N(INDEX('Journal'!$F$1:$F$2002,$H187))))</f>
        <v/>
      </c>
      <c r="F187" s="20">
        <f>IF($H187="","",IF(INDEX('Journal'!$D$1:$D$2002,$H187)=$B$1,N(INDEX('Journal'!$F$1:$F$2002,$H187)),N(INDEX('Journal'!$G$1:$G$2002,$H187))))</f>
        <v/>
      </c>
      <c r="G187" s="20">
        <f>IF($H187="","",G186+E187-F187)</f>
        <v/>
      </c>
      <c r="H187" s="18">
        <f t="array" ref="H187">IF($B$1="","",IFERROR(_xlfn.AGGREGATE(15,6,ROW('Journal'!$A$3:$A$2002)/(('Journal'!$D$3:$D$2002=$B$1)+('Journal'!$E$3:$E$2002=$B$1))/('Journal'!$B$3:$B$2002&gt;=$B$2)/('Journal'!$B$3:$B$2002&lt;=$B$3),182),""))</f>
        <v/>
      </c>
    </row>
    <row r="188">
      <c r="A188" s="18">
        <f>IF($H188="","",INDEX('Journal'!$A$1:$A$2002,$H188))</f>
        <v/>
      </c>
      <c r="B188" s="21">
        <f>IF($H188="","",INDEX('Journal'!$B$1:$B$2002,$H188))</f>
        <v/>
      </c>
      <c r="C188" s="5">
        <f>IF($H188="","",INDEX('Journal'!$C$1:$C$2002,$H188)&amp;"")</f>
        <v/>
      </c>
      <c r="D188" s="5">
        <f>IF($H188="","",IF(INDEX('Journal'!$D$1:$D$2002,$H188)=$B$1,INDEX('Journal'!$E$1:$E$2002,$H188),INDEX('Journal'!$D$1:$D$2002,$H188))&amp;"")</f>
        <v/>
      </c>
      <c r="E188" s="20">
        <f>IF($H188="","",IF(INDEX('Journal'!$D$1:$D$2002,$H188)=$B$1,N(INDEX('Journal'!$G$1:$G$2002,$H188)),N(INDEX('Journal'!$F$1:$F$2002,$H188))))</f>
        <v/>
      </c>
      <c r="F188" s="20">
        <f>IF($H188="","",IF(INDEX('Journal'!$D$1:$D$2002,$H188)=$B$1,N(INDEX('Journal'!$F$1:$F$2002,$H188)),N(INDEX('Journal'!$G$1:$G$2002,$H188))))</f>
        <v/>
      </c>
      <c r="G188" s="20">
        <f>IF($H188="","",G187+E188-F188)</f>
        <v/>
      </c>
      <c r="H188" s="18">
        <f t="array" ref="H188">IF($B$1="","",IFERROR(_xlfn.AGGREGATE(15,6,ROW('Journal'!$A$3:$A$2002)/(('Journal'!$D$3:$D$2002=$B$1)+('Journal'!$E$3:$E$2002=$B$1))/('Journal'!$B$3:$B$2002&gt;=$B$2)/('Journal'!$B$3:$B$2002&lt;=$B$3),183),""))</f>
        <v/>
      </c>
    </row>
    <row r="189">
      <c r="A189" s="18">
        <f>IF($H189="","",INDEX('Journal'!$A$1:$A$2002,$H189))</f>
        <v/>
      </c>
      <c r="B189" s="21">
        <f>IF($H189="","",INDEX('Journal'!$B$1:$B$2002,$H189))</f>
        <v/>
      </c>
      <c r="C189" s="5">
        <f>IF($H189="","",INDEX('Journal'!$C$1:$C$2002,$H189)&amp;"")</f>
        <v/>
      </c>
      <c r="D189" s="5">
        <f>IF($H189="","",IF(INDEX('Journal'!$D$1:$D$2002,$H189)=$B$1,INDEX('Journal'!$E$1:$E$2002,$H189),INDEX('Journal'!$D$1:$D$2002,$H189))&amp;"")</f>
        <v/>
      </c>
      <c r="E189" s="20">
        <f>IF($H189="","",IF(INDEX('Journal'!$D$1:$D$2002,$H189)=$B$1,N(INDEX('Journal'!$G$1:$G$2002,$H189)),N(INDEX('Journal'!$F$1:$F$2002,$H189))))</f>
        <v/>
      </c>
      <c r="F189" s="20">
        <f>IF($H189="","",IF(INDEX('Journal'!$D$1:$D$2002,$H189)=$B$1,N(INDEX('Journal'!$F$1:$F$2002,$H189)),N(INDEX('Journal'!$G$1:$G$2002,$H189))))</f>
        <v/>
      </c>
      <c r="G189" s="20">
        <f>IF($H189="","",G188+E189-F189)</f>
        <v/>
      </c>
      <c r="H189" s="18">
        <f t="array" ref="H189">IF($B$1="","",IFERROR(_xlfn.AGGREGATE(15,6,ROW('Journal'!$A$3:$A$2002)/(('Journal'!$D$3:$D$2002=$B$1)+('Journal'!$E$3:$E$2002=$B$1))/('Journal'!$B$3:$B$2002&gt;=$B$2)/('Journal'!$B$3:$B$2002&lt;=$B$3),184),""))</f>
        <v/>
      </c>
    </row>
    <row r="190">
      <c r="A190" s="18">
        <f>IF($H190="","",INDEX('Journal'!$A$1:$A$2002,$H190))</f>
        <v/>
      </c>
      <c r="B190" s="21">
        <f>IF($H190="","",INDEX('Journal'!$B$1:$B$2002,$H190))</f>
        <v/>
      </c>
      <c r="C190" s="5">
        <f>IF($H190="","",INDEX('Journal'!$C$1:$C$2002,$H190)&amp;"")</f>
        <v/>
      </c>
      <c r="D190" s="5">
        <f>IF($H190="","",IF(INDEX('Journal'!$D$1:$D$2002,$H190)=$B$1,INDEX('Journal'!$E$1:$E$2002,$H190),INDEX('Journal'!$D$1:$D$2002,$H190))&amp;"")</f>
        <v/>
      </c>
      <c r="E190" s="20">
        <f>IF($H190="","",IF(INDEX('Journal'!$D$1:$D$2002,$H190)=$B$1,N(INDEX('Journal'!$G$1:$G$2002,$H190)),N(INDEX('Journal'!$F$1:$F$2002,$H190))))</f>
        <v/>
      </c>
      <c r="F190" s="20">
        <f>IF($H190="","",IF(INDEX('Journal'!$D$1:$D$2002,$H190)=$B$1,N(INDEX('Journal'!$F$1:$F$2002,$H190)),N(INDEX('Journal'!$G$1:$G$2002,$H190))))</f>
        <v/>
      </c>
      <c r="G190" s="20">
        <f>IF($H190="","",G189+E190-F190)</f>
        <v/>
      </c>
      <c r="H190" s="18">
        <f t="array" ref="H190">IF($B$1="","",IFERROR(_xlfn.AGGREGATE(15,6,ROW('Journal'!$A$3:$A$2002)/(('Journal'!$D$3:$D$2002=$B$1)+('Journal'!$E$3:$E$2002=$B$1))/('Journal'!$B$3:$B$2002&gt;=$B$2)/('Journal'!$B$3:$B$2002&lt;=$B$3),185),""))</f>
        <v/>
      </c>
    </row>
    <row r="191">
      <c r="A191" s="18">
        <f>IF($H191="","",INDEX('Journal'!$A$1:$A$2002,$H191))</f>
        <v/>
      </c>
      <c r="B191" s="21">
        <f>IF($H191="","",INDEX('Journal'!$B$1:$B$2002,$H191))</f>
        <v/>
      </c>
      <c r="C191" s="5">
        <f>IF($H191="","",INDEX('Journal'!$C$1:$C$2002,$H191)&amp;"")</f>
        <v/>
      </c>
      <c r="D191" s="5">
        <f>IF($H191="","",IF(INDEX('Journal'!$D$1:$D$2002,$H191)=$B$1,INDEX('Journal'!$E$1:$E$2002,$H191),INDEX('Journal'!$D$1:$D$2002,$H191))&amp;"")</f>
        <v/>
      </c>
      <c r="E191" s="20">
        <f>IF($H191="","",IF(INDEX('Journal'!$D$1:$D$2002,$H191)=$B$1,N(INDEX('Journal'!$G$1:$G$2002,$H191)),N(INDEX('Journal'!$F$1:$F$2002,$H191))))</f>
        <v/>
      </c>
      <c r="F191" s="20">
        <f>IF($H191="","",IF(INDEX('Journal'!$D$1:$D$2002,$H191)=$B$1,N(INDEX('Journal'!$F$1:$F$2002,$H191)),N(INDEX('Journal'!$G$1:$G$2002,$H191))))</f>
        <v/>
      </c>
      <c r="G191" s="20">
        <f>IF($H191="","",G190+E191-F191)</f>
        <v/>
      </c>
      <c r="H191" s="18">
        <f t="array" ref="H191">IF($B$1="","",IFERROR(_xlfn.AGGREGATE(15,6,ROW('Journal'!$A$3:$A$2002)/(('Journal'!$D$3:$D$2002=$B$1)+('Journal'!$E$3:$E$2002=$B$1))/('Journal'!$B$3:$B$2002&gt;=$B$2)/('Journal'!$B$3:$B$2002&lt;=$B$3),186),""))</f>
        <v/>
      </c>
    </row>
    <row r="192">
      <c r="A192" s="18">
        <f>IF($H192="","",INDEX('Journal'!$A$1:$A$2002,$H192))</f>
        <v/>
      </c>
      <c r="B192" s="21">
        <f>IF($H192="","",INDEX('Journal'!$B$1:$B$2002,$H192))</f>
        <v/>
      </c>
      <c r="C192" s="5">
        <f>IF($H192="","",INDEX('Journal'!$C$1:$C$2002,$H192)&amp;"")</f>
        <v/>
      </c>
      <c r="D192" s="5">
        <f>IF($H192="","",IF(INDEX('Journal'!$D$1:$D$2002,$H192)=$B$1,INDEX('Journal'!$E$1:$E$2002,$H192),INDEX('Journal'!$D$1:$D$2002,$H192))&amp;"")</f>
        <v/>
      </c>
      <c r="E192" s="20">
        <f>IF($H192="","",IF(INDEX('Journal'!$D$1:$D$2002,$H192)=$B$1,N(INDEX('Journal'!$G$1:$G$2002,$H192)),N(INDEX('Journal'!$F$1:$F$2002,$H192))))</f>
        <v/>
      </c>
      <c r="F192" s="20">
        <f>IF($H192="","",IF(INDEX('Journal'!$D$1:$D$2002,$H192)=$B$1,N(INDEX('Journal'!$F$1:$F$2002,$H192)),N(INDEX('Journal'!$G$1:$G$2002,$H192))))</f>
        <v/>
      </c>
      <c r="G192" s="20">
        <f>IF($H192="","",G191+E192-F192)</f>
        <v/>
      </c>
      <c r="H192" s="18">
        <f t="array" ref="H192">IF($B$1="","",IFERROR(_xlfn.AGGREGATE(15,6,ROW('Journal'!$A$3:$A$2002)/(('Journal'!$D$3:$D$2002=$B$1)+('Journal'!$E$3:$E$2002=$B$1))/('Journal'!$B$3:$B$2002&gt;=$B$2)/('Journal'!$B$3:$B$2002&lt;=$B$3),187),""))</f>
        <v/>
      </c>
    </row>
    <row r="193">
      <c r="A193" s="18">
        <f>IF($H193="","",INDEX('Journal'!$A$1:$A$2002,$H193))</f>
        <v/>
      </c>
      <c r="B193" s="21">
        <f>IF($H193="","",INDEX('Journal'!$B$1:$B$2002,$H193))</f>
        <v/>
      </c>
      <c r="C193" s="5">
        <f>IF($H193="","",INDEX('Journal'!$C$1:$C$2002,$H193)&amp;"")</f>
        <v/>
      </c>
      <c r="D193" s="5">
        <f>IF($H193="","",IF(INDEX('Journal'!$D$1:$D$2002,$H193)=$B$1,INDEX('Journal'!$E$1:$E$2002,$H193),INDEX('Journal'!$D$1:$D$2002,$H193))&amp;"")</f>
        <v/>
      </c>
      <c r="E193" s="20">
        <f>IF($H193="","",IF(INDEX('Journal'!$D$1:$D$2002,$H193)=$B$1,N(INDEX('Journal'!$G$1:$G$2002,$H193)),N(INDEX('Journal'!$F$1:$F$2002,$H193))))</f>
        <v/>
      </c>
      <c r="F193" s="20">
        <f>IF($H193="","",IF(INDEX('Journal'!$D$1:$D$2002,$H193)=$B$1,N(INDEX('Journal'!$F$1:$F$2002,$H193)),N(INDEX('Journal'!$G$1:$G$2002,$H193))))</f>
        <v/>
      </c>
      <c r="G193" s="20">
        <f>IF($H193="","",G192+E193-F193)</f>
        <v/>
      </c>
      <c r="H193" s="18">
        <f t="array" ref="H193">IF($B$1="","",IFERROR(_xlfn.AGGREGATE(15,6,ROW('Journal'!$A$3:$A$2002)/(('Journal'!$D$3:$D$2002=$B$1)+('Journal'!$E$3:$E$2002=$B$1))/('Journal'!$B$3:$B$2002&gt;=$B$2)/('Journal'!$B$3:$B$2002&lt;=$B$3),188),""))</f>
        <v/>
      </c>
    </row>
    <row r="194">
      <c r="A194" s="18">
        <f>IF($H194="","",INDEX('Journal'!$A$1:$A$2002,$H194))</f>
        <v/>
      </c>
      <c r="B194" s="21">
        <f>IF($H194="","",INDEX('Journal'!$B$1:$B$2002,$H194))</f>
        <v/>
      </c>
      <c r="C194" s="5">
        <f>IF($H194="","",INDEX('Journal'!$C$1:$C$2002,$H194)&amp;"")</f>
        <v/>
      </c>
      <c r="D194" s="5">
        <f>IF($H194="","",IF(INDEX('Journal'!$D$1:$D$2002,$H194)=$B$1,INDEX('Journal'!$E$1:$E$2002,$H194),INDEX('Journal'!$D$1:$D$2002,$H194))&amp;"")</f>
        <v/>
      </c>
      <c r="E194" s="20">
        <f>IF($H194="","",IF(INDEX('Journal'!$D$1:$D$2002,$H194)=$B$1,N(INDEX('Journal'!$G$1:$G$2002,$H194)),N(INDEX('Journal'!$F$1:$F$2002,$H194))))</f>
        <v/>
      </c>
      <c r="F194" s="20">
        <f>IF($H194="","",IF(INDEX('Journal'!$D$1:$D$2002,$H194)=$B$1,N(INDEX('Journal'!$F$1:$F$2002,$H194)),N(INDEX('Journal'!$G$1:$G$2002,$H194))))</f>
        <v/>
      </c>
      <c r="G194" s="20">
        <f>IF($H194="","",G193+E194-F194)</f>
        <v/>
      </c>
      <c r="H194" s="18">
        <f t="array" ref="H194">IF($B$1="","",IFERROR(_xlfn.AGGREGATE(15,6,ROW('Journal'!$A$3:$A$2002)/(('Journal'!$D$3:$D$2002=$B$1)+('Journal'!$E$3:$E$2002=$B$1))/('Journal'!$B$3:$B$2002&gt;=$B$2)/('Journal'!$B$3:$B$2002&lt;=$B$3),189),""))</f>
        <v/>
      </c>
    </row>
    <row r="195">
      <c r="A195" s="18">
        <f>IF($H195="","",INDEX('Journal'!$A$1:$A$2002,$H195))</f>
        <v/>
      </c>
      <c r="B195" s="21">
        <f>IF($H195="","",INDEX('Journal'!$B$1:$B$2002,$H195))</f>
        <v/>
      </c>
      <c r="C195" s="5">
        <f>IF($H195="","",INDEX('Journal'!$C$1:$C$2002,$H195)&amp;"")</f>
        <v/>
      </c>
      <c r="D195" s="5">
        <f>IF($H195="","",IF(INDEX('Journal'!$D$1:$D$2002,$H195)=$B$1,INDEX('Journal'!$E$1:$E$2002,$H195),INDEX('Journal'!$D$1:$D$2002,$H195))&amp;"")</f>
        <v/>
      </c>
      <c r="E195" s="20">
        <f>IF($H195="","",IF(INDEX('Journal'!$D$1:$D$2002,$H195)=$B$1,N(INDEX('Journal'!$G$1:$G$2002,$H195)),N(INDEX('Journal'!$F$1:$F$2002,$H195))))</f>
        <v/>
      </c>
      <c r="F195" s="20">
        <f>IF($H195="","",IF(INDEX('Journal'!$D$1:$D$2002,$H195)=$B$1,N(INDEX('Journal'!$F$1:$F$2002,$H195)),N(INDEX('Journal'!$G$1:$G$2002,$H195))))</f>
        <v/>
      </c>
      <c r="G195" s="20">
        <f>IF($H195="","",G194+E195-F195)</f>
        <v/>
      </c>
      <c r="H195" s="18">
        <f t="array" ref="H195">IF($B$1="","",IFERROR(_xlfn.AGGREGATE(15,6,ROW('Journal'!$A$3:$A$2002)/(('Journal'!$D$3:$D$2002=$B$1)+('Journal'!$E$3:$E$2002=$B$1))/('Journal'!$B$3:$B$2002&gt;=$B$2)/('Journal'!$B$3:$B$2002&lt;=$B$3),190),""))</f>
        <v/>
      </c>
    </row>
    <row r="196">
      <c r="A196" s="18">
        <f>IF($H196="","",INDEX('Journal'!$A$1:$A$2002,$H196))</f>
        <v/>
      </c>
      <c r="B196" s="21">
        <f>IF($H196="","",INDEX('Journal'!$B$1:$B$2002,$H196))</f>
        <v/>
      </c>
      <c r="C196" s="5">
        <f>IF($H196="","",INDEX('Journal'!$C$1:$C$2002,$H196)&amp;"")</f>
        <v/>
      </c>
      <c r="D196" s="5">
        <f>IF($H196="","",IF(INDEX('Journal'!$D$1:$D$2002,$H196)=$B$1,INDEX('Journal'!$E$1:$E$2002,$H196),INDEX('Journal'!$D$1:$D$2002,$H196))&amp;"")</f>
        <v/>
      </c>
      <c r="E196" s="20">
        <f>IF($H196="","",IF(INDEX('Journal'!$D$1:$D$2002,$H196)=$B$1,N(INDEX('Journal'!$G$1:$G$2002,$H196)),N(INDEX('Journal'!$F$1:$F$2002,$H196))))</f>
        <v/>
      </c>
      <c r="F196" s="20">
        <f>IF($H196="","",IF(INDEX('Journal'!$D$1:$D$2002,$H196)=$B$1,N(INDEX('Journal'!$F$1:$F$2002,$H196)),N(INDEX('Journal'!$G$1:$G$2002,$H196))))</f>
        <v/>
      </c>
      <c r="G196" s="20">
        <f>IF($H196="","",G195+E196-F196)</f>
        <v/>
      </c>
      <c r="H196" s="18">
        <f t="array" ref="H196">IF($B$1="","",IFERROR(_xlfn.AGGREGATE(15,6,ROW('Journal'!$A$3:$A$2002)/(('Journal'!$D$3:$D$2002=$B$1)+('Journal'!$E$3:$E$2002=$B$1))/('Journal'!$B$3:$B$2002&gt;=$B$2)/('Journal'!$B$3:$B$2002&lt;=$B$3),191),""))</f>
        <v/>
      </c>
    </row>
    <row r="197">
      <c r="A197" s="18">
        <f>IF($H197="","",INDEX('Journal'!$A$1:$A$2002,$H197))</f>
        <v/>
      </c>
      <c r="B197" s="21">
        <f>IF($H197="","",INDEX('Journal'!$B$1:$B$2002,$H197))</f>
        <v/>
      </c>
      <c r="C197" s="5">
        <f>IF($H197="","",INDEX('Journal'!$C$1:$C$2002,$H197)&amp;"")</f>
        <v/>
      </c>
      <c r="D197" s="5">
        <f>IF($H197="","",IF(INDEX('Journal'!$D$1:$D$2002,$H197)=$B$1,INDEX('Journal'!$E$1:$E$2002,$H197),INDEX('Journal'!$D$1:$D$2002,$H197))&amp;"")</f>
        <v/>
      </c>
      <c r="E197" s="20">
        <f>IF($H197="","",IF(INDEX('Journal'!$D$1:$D$2002,$H197)=$B$1,N(INDEX('Journal'!$G$1:$G$2002,$H197)),N(INDEX('Journal'!$F$1:$F$2002,$H197))))</f>
        <v/>
      </c>
      <c r="F197" s="20">
        <f>IF($H197="","",IF(INDEX('Journal'!$D$1:$D$2002,$H197)=$B$1,N(INDEX('Journal'!$F$1:$F$2002,$H197)),N(INDEX('Journal'!$G$1:$G$2002,$H197))))</f>
        <v/>
      </c>
      <c r="G197" s="20">
        <f>IF($H197="","",G196+E197-F197)</f>
        <v/>
      </c>
      <c r="H197" s="18">
        <f t="array" ref="H197">IF($B$1="","",IFERROR(_xlfn.AGGREGATE(15,6,ROW('Journal'!$A$3:$A$2002)/(('Journal'!$D$3:$D$2002=$B$1)+('Journal'!$E$3:$E$2002=$B$1))/('Journal'!$B$3:$B$2002&gt;=$B$2)/('Journal'!$B$3:$B$2002&lt;=$B$3),192),""))</f>
        <v/>
      </c>
    </row>
    <row r="198">
      <c r="A198" s="18">
        <f>IF($H198="","",INDEX('Journal'!$A$1:$A$2002,$H198))</f>
        <v/>
      </c>
      <c r="B198" s="21">
        <f>IF($H198="","",INDEX('Journal'!$B$1:$B$2002,$H198))</f>
        <v/>
      </c>
      <c r="C198" s="5">
        <f>IF($H198="","",INDEX('Journal'!$C$1:$C$2002,$H198)&amp;"")</f>
        <v/>
      </c>
      <c r="D198" s="5">
        <f>IF($H198="","",IF(INDEX('Journal'!$D$1:$D$2002,$H198)=$B$1,INDEX('Journal'!$E$1:$E$2002,$H198),INDEX('Journal'!$D$1:$D$2002,$H198))&amp;"")</f>
        <v/>
      </c>
      <c r="E198" s="20">
        <f>IF($H198="","",IF(INDEX('Journal'!$D$1:$D$2002,$H198)=$B$1,N(INDEX('Journal'!$G$1:$G$2002,$H198)),N(INDEX('Journal'!$F$1:$F$2002,$H198))))</f>
        <v/>
      </c>
      <c r="F198" s="20">
        <f>IF($H198="","",IF(INDEX('Journal'!$D$1:$D$2002,$H198)=$B$1,N(INDEX('Journal'!$F$1:$F$2002,$H198)),N(INDEX('Journal'!$G$1:$G$2002,$H198))))</f>
        <v/>
      </c>
      <c r="G198" s="20">
        <f>IF($H198="","",G197+E198-F198)</f>
        <v/>
      </c>
      <c r="H198" s="18">
        <f t="array" ref="H198">IF($B$1="","",IFERROR(_xlfn.AGGREGATE(15,6,ROW('Journal'!$A$3:$A$2002)/(('Journal'!$D$3:$D$2002=$B$1)+('Journal'!$E$3:$E$2002=$B$1))/('Journal'!$B$3:$B$2002&gt;=$B$2)/('Journal'!$B$3:$B$2002&lt;=$B$3),193),""))</f>
        <v/>
      </c>
    </row>
    <row r="199">
      <c r="A199" s="18">
        <f>IF($H199="","",INDEX('Journal'!$A$1:$A$2002,$H199))</f>
        <v/>
      </c>
      <c r="B199" s="21">
        <f>IF($H199="","",INDEX('Journal'!$B$1:$B$2002,$H199))</f>
        <v/>
      </c>
      <c r="C199" s="5">
        <f>IF($H199="","",INDEX('Journal'!$C$1:$C$2002,$H199)&amp;"")</f>
        <v/>
      </c>
      <c r="D199" s="5">
        <f>IF($H199="","",IF(INDEX('Journal'!$D$1:$D$2002,$H199)=$B$1,INDEX('Journal'!$E$1:$E$2002,$H199),INDEX('Journal'!$D$1:$D$2002,$H199))&amp;"")</f>
        <v/>
      </c>
      <c r="E199" s="20">
        <f>IF($H199="","",IF(INDEX('Journal'!$D$1:$D$2002,$H199)=$B$1,N(INDEX('Journal'!$G$1:$G$2002,$H199)),N(INDEX('Journal'!$F$1:$F$2002,$H199))))</f>
        <v/>
      </c>
      <c r="F199" s="20">
        <f>IF($H199="","",IF(INDEX('Journal'!$D$1:$D$2002,$H199)=$B$1,N(INDEX('Journal'!$F$1:$F$2002,$H199)),N(INDEX('Journal'!$G$1:$G$2002,$H199))))</f>
        <v/>
      </c>
      <c r="G199" s="20">
        <f>IF($H199="","",G198+E199-F199)</f>
        <v/>
      </c>
      <c r="H199" s="18">
        <f t="array" ref="H199">IF($B$1="","",IFERROR(_xlfn.AGGREGATE(15,6,ROW('Journal'!$A$3:$A$2002)/(('Journal'!$D$3:$D$2002=$B$1)+('Journal'!$E$3:$E$2002=$B$1))/('Journal'!$B$3:$B$2002&gt;=$B$2)/('Journal'!$B$3:$B$2002&lt;=$B$3),194),""))</f>
        <v/>
      </c>
    </row>
    <row r="200">
      <c r="A200" s="18">
        <f>IF($H200="","",INDEX('Journal'!$A$1:$A$2002,$H200))</f>
        <v/>
      </c>
      <c r="B200" s="21">
        <f>IF($H200="","",INDEX('Journal'!$B$1:$B$2002,$H200))</f>
        <v/>
      </c>
      <c r="C200" s="5">
        <f>IF($H200="","",INDEX('Journal'!$C$1:$C$2002,$H200)&amp;"")</f>
        <v/>
      </c>
      <c r="D200" s="5">
        <f>IF($H200="","",IF(INDEX('Journal'!$D$1:$D$2002,$H200)=$B$1,INDEX('Journal'!$E$1:$E$2002,$H200),INDEX('Journal'!$D$1:$D$2002,$H200))&amp;"")</f>
        <v/>
      </c>
      <c r="E200" s="20">
        <f>IF($H200="","",IF(INDEX('Journal'!$D$1:$D$2002,$H200)=$B$1,N(INDEX('Journal'!$G$1:$G$2002,$H200)),N(INDEX('Journal'!$F$1:$F$2002,$H200))))</f>
        <v/>
      </c>
      <c r="F200" s="20">
        <f>IF($H200="","",IF(INDEX('Journal'!$D$1:$D$2002,$H200)=$B$1,N(INDEX('Journal'!$F$1:$F$2002,$H200)),N(INDEX('Journal'!$G$1:$G$2002,$H200))))</f>
        <v/>
      </c>
      <c r="G200" s="20">
        <f>IF($H200="","",G199+E200-F200)</f>
        <v/>
      </c>
      <c r="H200" s="18">
        <f t="array" ref="H200">IF($B$1="","",IFERROR(_xlfn.AGGREGATE(15,6,ROW('Journal'!$A$3:$A$2002)/(('Journal'!$D$3:$D$2002=$B$1)+('Journal'!$E$3:$E$2002=$B$1))/('Journal'!$B$3:$B$2002&gt;=$B$2)/('Journal'!$B$3:$B$2002&lt;=$B$3),195),""))</f>
        <v/>
      </c>
    </row>
    <row r="201">
      <c r="A201" s="18">
        <f>IF($H201="","",INDEX('Journal'!$A$1:$A$2002,$H201))</f>
        <v/>
      </c>
      <c r="B201" s="21">
        <f>IF($H201="","",INDEX('Journal'!$B$1:$B$2002,$H201))</f>
        <v/>
      </c>
      <c r="C201" s="5">
        <f>IF($H201="","",INDEX('Journal'!$C$1:$C$2002,$H201)&amp;"")</f>
        <v/>
      </c>
      <c r="D201" s="5">
        <f>IF($H201="","",IF(INDEX('Journal'!$D$1:$D$2002,$H201)=$B$1,INDEX('Journal'!$E$1:$E$2002,$H201),INDEX('Journal'!$D$1:$D$2002,$H201))&amp;"")</f>
        <v/>
      </c>
      <c r="E201" s="20">
        <f>IF($H201="","",IF(INDEX('Journal'!$D$1:$D$2002,$H201)=$B$1,N(INDEX('Journal'!$G$1:$G$2002,$H201)),N(INDEX('Journal'!$F$1:$F$2002,$H201))))</f>
        <v/>
      </c>
      <c r="F201" s="20">
        <f>IF($H201="","",IF(INDEX('Journal'!$D$1:$D$2002,$H201)=$B$1,N(INDEX('Journal'!$F$1:$F$2002,$H201)),N(INDEX('Journal'!$G$1:$G$2002,$H201))))</f>
        <v/>
      </c>
      <c r="G201" s="20">
        <f>IF($H201="","",G200+E201-F201)</f>
        <v/>
      </c>
      <c r="H201" s="18">
        <f t="array" ref="H201">IF($B$1="","",IFERROR(_xlfn.AGGREGATE(15,6,ROW('Journal'!$A$3:$A$2002)/(('Journal'!$D$3:$D$2002=$B$1)+('Journal'!$E$3:$E$2002=$B$1))/('Journal'!$B$3:$B$2002&gt;=$B$2)/('Journal'!$B$3:$B$2002&lt;=$B$3),196),""))</f>
        <v/>
      </c>
    </row>
    <row r="202">
      <c r="A202" s="18">
        <f>IF($H202="","",INDEX('Journal'!$A$1:$A$2002,$H202))</f>
        <v/>
      </c>
      <c r="B202" s="21">
        <f>IF($H202="","",INDEX('Journal'!$B$1:$B$2002,$H202))</f>
        <v/>
      </c>
      <c r="C202" s="5">
        <f>IF($H202="","",INDEX('Journal'!$C$1:$C$2002,$H202)&amp;"")</f>
        <v/>
      </c>
      <c r="D202" s="5">
        <f>IF($H202="","",IF(INDEX('Journal'!$D$1:$D$2002,$H202)=$B$1,INDEX('Journal'!$E$1:$E$2002,$H202),INDEX('Journal'!$D$1:$D$2002,$H202))&amp;"")</f>
        <v/>
      </c>
      <c r="E202" s="20">
        <f>IF($H202="","",IF(INDEX('Journal'!$D$1:$D$2002,$H202)=$B$1,N(INDEX('Journal'!$G$1:$G$2002,$H202)),N(INDEX('Journal'!$F$1:$F$2002,$H202))))</f>
        <v/>
      </c>
      <c r="F202" s="20">
        <f>IF($H202="","",IF(INDEX('Journal'!$D$1:$D$2002,$H202)=$B$1,N(INDEX('Journal'!$F$1:$F$2002,$H202)),N(INDEX('Journal'!$G$1:$G$2002,$H202))))</f>
        <v/>
      </c>
      <c r="G202" s="20">
        <f>IF($H202="","",G201+E202-F202)</f>
        <v/>
      </c>
      <c r="H202" s="18">
        <f t="array" ref="H202">IF($B$1="","",IFERROR(_xlfn.AGGREGATE(15,6,ROW('Journal'!$A$3:$A$2002)/(('Journal'!$D$3:$D$2002=$B$1)+('Journal'!$E$3:$E$2002=$B$1))/('Journal'!$B$3:$B$2002&gt;=$B$2)/('Journal'!$B$3:$B$2002&lt;=$B$3),197),""))</f>
        <v/>
      </c>
    </row>
    <row r="203">
      <c r="A203" s="18">
        <f>IF($H203="","",INDEX('Journal'!$A$1:$A$2002,$H203))</f>
        <v/>
      </c>
      <c r="B203" s="21">
        <f>IF($H203="","",INDEX('Journal'!$B$1:$B$2002,$H203))</f>
        <v/>
      </c>
      <c r="C203" s="5">
        <f>IF($H203="","",INDEX('Journal'!$C$1:$C$2002,$H203)&amp;"")</f>
        <v/>
      </c>
      <c r="D203" s="5">
        <f>IF($H203="","",IF(INDEX('Journal'!$D$1:$D$2002,$H203)=$B$1,INDEX('Journal'!$E$1:$E$2002,$H203),INDEX('Journal'!$D$1:$D$2002,$H203))&amp;"")</f>
        <v/>
      </c>
      <c r="E203" s="20">
        <f>IF($H203="","",IF(INDEX('Journal'!$D$1:$D$2002,$H203)=$B$1,N(INDEX('Journal'!$G$1:$G$2002,$H203)),N(INDEX('Journal'!$F$1:$F$2002,$H203))))</f>
        <v/>
      </c>
      <c r="F203" s="20">
        <f>IF($H203="","",IF(INDEX('Journal'!$D$1:$D$2002,$H203)=$B$1,N(INDEX('Journal'!$F$1:$F$2002,$H203)),N(INDEX('Journal'!$G$1:$G$2002,$H203))))</f>
        <v/>
      </c>
      <c r="G203" s="20">
        <f>IF($H203="","",G202+E203-F203)</f>
        <v/>
      </c>
      <c r="H203" s="18">
        <f t="array" ref="H203">IF($B$1="","",IFERROR(_xlfn.AGGREGATE(15,6,ROW('Journal'!$A$3:$A$2002)/(('Journal'!$D$3:$D$2002=$B$1)+('Journal'!$E$3:$E$2002=$B$1))/('Journal'!$B$3:$B$2002&gt;=$B$2)/('Journal'!$B$3:$B$2002&lt;=$B$3),198),""))</f>
        <v/>
      </c>
    </row>
    <row r="204">
      <c r="A204" s="18">
        <f>IF($H204="","",INDEX('Journal'!$A$1:$A$2002,$H204))</f>
        <v/>
      </c>
      <c r="B204" s="21">
        <f>IF($H204="","",INDEX('Journal'!$B$1:$B$2002,$H204))</f>
        <v/>
      </c>
      <c r="C204" s="5">
        <f>IF($H204="","",INDEX('Journal'!$C$1:$C$2002,$H204)&amp;"")</f>
        <v/>
      </c>
      <c r="D204" s="5">
        <f>IF($H204="","",IF(INDEX('Journal'!$D$1:$D$2002,$H204)=$B$1,INDEX('Journal'!$E$1:$E$2002,$H204),INDEX('Journal'!$D$1:$D$2002,$H204))&amp;"")</f>
        <v/>
      </c>
      <c r="E204" s="20">
        <f>IF($H204="","",IF(INDEX('Journal'!$D$1:$D$2002,$H204)=$B$1,N(INDEX('Journal'!$G$1:$G$2002,$H204)),N(INDEX('Journal'!$F$1:$F$2002,$H204))))</f>
        <v/>
      </c>
      <c r="F204" s="20">
        <f>IF($H204="","",IF(INDEX('Journal'!$D$1:$D$2002,$H204)=$B$1,N(INDEX('Journal'!$F$1:$F$2002,$H204)),N(INDEX('Journal'!$G$1:$G$2002,$H204))))</f>
        <v/>
      </c>
      <c r="G204" s="20">
        <f>IF($H204="","",G203+E204-F204)</f>
        <v/>
      </c>
      <c r="H204" s="18">
        <f t="array" ref="H204">IF($B$1="","",IFERROR(_xlfn.AGGREGATE(15,6,ROW('Journal'!$A$3:$A$2002)/(('Journal'!$D$3:$D$2002=$B$1)+('Journal'!$E$3:$E$2002=$B$1))/('Journal'!$B$3:$B$2002&gt;=$B$2)/('Journal'!$B$3:$B$2002&lt;=$B$3),199),""))</f>
        <v/>
      </c>
    </row>
    <row r="205">
      <c r="A205" s="18">
        <f>IF($H205="","",INDEX('Journal'!$A$1:$A$2002,$H205))</f>
        <v/>
      </c>
      <c r="B205" s="21">
        <f>IF($H205="","",INDEX('Journal'!$B$1:$B$2002,$H205))</f>
        <v/>
      </c>
      <c r="C205" s="5">
        <f>IF($H205="","",INDEX('Journal'!$C$1:$C$2002,$H205)&amp;"")</f>
        <v/>
      </c>
      <c r="D205" s="5">
        <f>IF($H205="","",IF(INDEX('Journal'!$D$1:$D$2002,$H205)=$B$1,INDEX('Journal'!$E$1:$E$2002,$H205),INDEX('Journal'!$D$1:$D$2002,$H205))&amp;"")</f>
        <v/>
      </c>
      <c r="E205" s="20">
        <f>IF($H205="","",IF(INDEX('Journal'!$D$1:$D$2002,$H205)=$B$1,N(INDEX('Journal'!$G$1:$G$2002,$H205)),N(INDEX('Journal'!$F$1:$F$2002,$H205))))</f>
        <v/>
      </c>
      <c r="F205" s="20">
        <f>IF($H205="","",IF(INDEX('Journal'!$D$1:$D$2002,$H205)=$B$1,N(INDEX('Journal'!$F$1:$F$2002,$H205)),N(INDEX('Journal'!$G$1:$G$2002,$H205))))</f>
        <v/>
      </c>
      <c r="G205" s="20">
        <f>IF($H205="","",G204+E205-F205)</f>
        <v/>
      </c>
      <c r="H205" s="18">
        <f t="array" ref="H205">IF($B$1="","",IFERROR(_xlfn.AGGREGATE(15,6,ROW('Journal'!$A$3:$A$2002)/(('Journal'!$D$3:$D$2002=$B$1)+('Journal'!$E$3:$E$2002=$B$1))/('Journal'!$B$3:$B$2002&gt;=$B$2)/('Journal'!$B$3:$B$2002&lt;=$B$3),200),""))</f>
        <v/>
      </c>
    </row>
    <row r="206">
      <c r="A206" s="18">
        <f>IF($H206="","",INDEX('Journal'!$A$1:$A$2002,$H206))</f>
        <v/>
      </c>
      <c r="B206" s="21">
        <f>IF($H206="","",INDEX('Journal'!$B$1:$B$2002,$H206))</f>
        <v/>
      </c>
      <c r="C206" s="5">
        <f>IF($H206="","",INDEX('Journal'!$C$1:$C$2002,$H206)&amp;"")</f>
        <v/>
      </c>
      <c r="D206" s="5">
        <f>IF($H206="","",IF(INDEX('Journal'!$D$1:$D$2002,$H206)=$B$1,INDEX('Journal'!$E$1:$E$2002,$H206),INDEX('Journal'!$D$1:$D$2002,$H206))&amp;"")</f>
        <v/>
      </c>
      <c r="E206" s="20">
        <f>IF($H206="","",IF(INDEX('Journal'!$D$1:$D$2002,$H206)=$B$1,N(INDEX('Journal'!$G$1:$G$2002,$H206)),N(INDEX('Journal'!$F$1:$F$2002,$H206))))</f>
        <v/>
      </c>
      <c r="F206" s="20">
        <f>IF($H206="","",IF(INDEX('Journal'!$D$1:$D$2002,$H206)=$B$1,N(INDEX('Journal'!$F$1:$F$2002,$H206)),N(INDEX('Journal'!$G$1:$G$2002,$H206))))</f>
        <v/>
      </c>
      <c r="G206" s="20">
        <f>IF($H206="","",G205+E206-F206)</f>
        <v/>
      </c>
      <c r="H206" s="18">
        <f t="array" ref="H206">IF($B$1="","",IFERROR(_xlfn.AGGREGATE(15,6,ROW('Journal'!$A$3:$A$2002)/(('Journal'!$D$3:$D$2002=$B$1)+('Journal'!$E$3:$E$2002=$B$1))/('Journal'!$B$3:$B$2002&gt;=$B$2)/('Journal'!$B$3:$B$2002&lt;=$B$3),201),""))</f>
        <v/>
      </c>
    </row>
    <row r="207">
      <c r="A207" s="18">
        <f>IF($H207="","",INDEX('Journal'!$A$1:$A$2002,$H207))</f>
        <v/>
      </c>
      <c r="B207" s="21">
        <f>IF($H207="","",INDEX('Journal'!$B$1:$B$2002,$H207))</f>
        <v/>
      </c>
      <c r="C207" s="5">
        <f>IF($H207="","",INDEX('Journal'!$C$1:$C$2002,$H207)&amp;"")</f>
        <v/>
      </c>
      <c r="D207" s="5">
        <f>IF($H207="","",IF(INDEX('Journal'!$D$1:$D$2002,$H207)=$B$1,INDEX('Journal'!$E$1:$E$2002,$H207),INDEX('Journal'!$D$1:$D$2002,$H207))&amp;"")</f>
        <v/>
      </c>
      <c r="E207" s="20">
        <f>IF($H207="","",IF(INDEX('Journal'!$D$1:$D$2002,$H207)=$B$1,N(INDEX('Journal'!$G$1:$G$2002,$H207)),N(INDEX('Journal'!$F$1:$F$2002,$H207))))</f>
        <v/>
      </c>
      <c r="F207" s="20">
        <f>IF($H207="","",IF(INDEX('Journal'!$D$1:$D$2002,$H207)=$B$1,N(INDEX('Journal'!$F$1:$F$2002,$H207)),N(INDEX('Journal'!$G$1:$G$2002,$H207))))</f>
        <v/>
      </c>
      <c r="G207" s="20">
        <f>IF($H207="","",G206+E207-F207)</f>
        <v/>
      </c>
      <c r="H207" s="18">
        <f t="array" ref="H207">IF($B$1="","",IFERROR(_xlfn.AGGREGATE(15,6,ROW('Journal'!$A$3:$A$2002)/(('Journal'!$D$3:$D$2002=$B$1)+('Journal'!$E$3:$E$2002=$B$1))/('Journal'!$B$3:$B$2002&gt;=$B$2)/('Journal'!$B$3:$B$2002&lt;=$B$3),202),""))</f>
        <v/>
      </c>
    </row>
    <row r="208">
      <c r="A208" s="18">
        <f>IF($H208="","",INDEX('Journal'!$A$1:$A$2002,$H208))</f>
        <v/>
      </c>
      <c r="B208" s="21">
        <f>IF($H208="","",INDEX('Journal'!$B$1:$B$2002,$H208))</f>
        <v/>
      </c>
      <c r="C208" s="5">
        <f>IF($H208="","",INDEX('Journal'!$C$1:$C$2002,$H208)&amp;"")</f>
        <v/>
      </c>
      <c r="D208" s="5">
        <f>IF($H208="","",IF(INDEX('Journal'!$D$1:$D$2002,$H208)=$B$1,INDEX('Journal'!$E$1:$E$2002,$H208),INDEX('Journal'!$D$1:$D$2002,$H208))&amp;"")</f>
        <v/>
      </c>
      <c r="E208" s="20">
        <f>IF($H208="","",IF(INDEX('Journal'!$D$1:$D$2002,$H208)=$B$1,N(INDEX('Journal'!$G$1:$G$2002,$H208)),N(INDEX('Journal'!$F$1:$F$2002,$H208))))</f>
        <v/>
      </c>
      <c r="F208" s="20">
        <f>IF($H208="","",IF(INDEX('Journal'!$D$1:$D$2002,$H208)=$B$1,N(INDEX('Journal'!$F$1:$F$2002,$H208)),N(INDEX('Journal'!$G$1:$G$2002,$H208))))</f>
        <v/>
      </c>
      <c r="G208" s="20">
        <f>IF($H208="","",G207+E208-F208)</f>
        <v/>
      </c>
      <c r="H208" s="18">
        <f t="array" ref="H208">IF($B$1="","",IFERROR(_xlfn.AGGREGATE(15,6,ROW('Journal'!$A$3:$A$2002)/(('Journal'!$D$3:$D$2002=$B$1)+('Journal'!$E$3:$E$2002=$B$1))/('Journal'!$B$3:$B$2002&gt;=$B$2)/('Journal'!$B$3:$B$2002&lt;=$B$3),203),""))</f>
        <v/>
      </c>
    </row>
    <row r="209">
      <c r="A209" s="18">
        <f>IF($H209="","",INDEX('Journal'!$A$1:$A$2002,$H209))</f>
        <v/>
      </c>
      <c r="B209" s="21">
        <f>IF($H209="","",INDEX('Journal'!$B$1:$B$2002,$H209))</f>
        <v/>
      </c>
      <c r="C209" s="5">
        <f>IF($H209="","",INDEX('Journal'!$C$1:$C$2002,$H209)&amp;"")</f>
        <v/>
      </c>
      <c r="D209" s="5">
        <f>IF($H209="","",IF(INDEX('Journal'!$D$1:$D$2002,$H209)=$B$1,INDEX('Journal'!$E$1:$E$2002,$H209),INDEX('Journal'!$D$1:$D$2002,$H209))&amp;"")</f>
        <v/>
      </c>
      <c r="E209" s="20">
        <f>IF($H209="","",IF(INDEX('Journal'!$D$1:$D$2002,$H209)=$B$1,N(INDEX('Journal'!$G$1:$G$2002,$H209)),N(INDEX('Journal'!$F$1:$F$2002,$H209))))</f>
        <v/>
      </c>
      <c r="F209" s="20">
        <f>IF($H209="","",IF(INDEX('Journal'!$D$1:$D$2002,$H209)=$B$1,N(INDEX('Journal'!$F$1:$F$2002,$H209)),N(INDEX('Journal'!$G$1:$G$2002,$H209))))</f>
        <v/>
      </c>
      <c r="G209" s="20">
        <f>IF($H209="","",G208+E209-F209)</f>
        <v/>
      </c>
      <c r="H209" s="18">
        <f t="array" ref="H209">IF($B$1="","",IFERROR(_xlfn.AGGREGATE(15,6,ROW('Journal'!$A$3:$A$2002)/(('Journal'!$D$3:$D$2002=$B$1)+('Journal'!$E$3:$E$2002=$B$1))/('Journal'!$B$3:$B$2002&gt;=$B$2)/('Journal'!$B$3:$B$2002&lt;=$B$3),204),""))</f>
        <v/>
      </c>
    </row>
    <row r="210">
      <c r="A210" s="18">
        <f>IF($H210="","",INDEX('Journal'!$A$1:$A$2002,$H210))</f>
        <v/>
      </c>
      <c r="B210" s="21">
        <f>IF($H210="","",INDEX('Journal'!$B$1:$B$2002,$H210))</f>
        <v/>
      </c>
      <c r="C210" s="5">
        <f>IF($H210="","",INDEX('Journal'!$C$1:$C$2002,$H210)&amp;"")</f>
        <v/>
      </c>
      <c r="D210" s="5">
        <f>IF($H210="","",IF(INDEX('Journal'!$D$1:$D$2002,$H210)=$B$1,INDEX('Journal'!$E$1:$E$2002,$H210),INDEX('Journal'!$D$1:$D$2002,$H210))&amp;"")</f>
        <v/>
      </c>
      <c r="E210" s="20">
        <f>IF($H210="","",IF(INDEX('Journal'!$D$1:$D$2002,$H210)=$B$1,N(INDEX('Journal'!$G$1:$G$2002,$H210)),N(INDEX('Journal'!$F$1:$F$2002,$H210))))</f>
        <v/>
      </c>
      <c r="F210" s="20">
        <f>IF($H210="","",IF(INDEX('Journal'!$D$1:$D$2002,$H210)=$B$1,N(INDEX('Journal'!$F$1:$F$2002,$H210)),N(INDEX('Journal'!$G$1:$G$2002,$H210))))</f>
        <v/>
      </c>
      <c r="G210" s="20">
        <f>IF($H210="","",G209+E210-F210)</f>
        <v/>
      </c>
      <c r="H210" s="18">
        <f t="array" ref="H210">IF($B$1="","",IFERROR(_xlfn.AGGREGATE(15,6,ROW('Journal'!$A$3:$A$2002)/(('Journal'!$D$3:$D$2002=$B$1)+('Journal'!$E$3:$E$2002=$B$1))/('Journal'!$B$3:$B$2002&gt;=$B$2)/('Journal'!$B$3:$B$2002&lt;=$B$3),205),""))</f>
        <v/>
      </c>
    </row>
    <row r="211">
      <c r="A211" s="18">
        <f>IF($H211="","",INDEX('Journal'!$A$1:$A$2002,$H211))</f>
        <v/>
      </c>
      <c r="B211" s="21">
        <f>IF($H211="","",INDEX('Journal'!$B$1:$B$2002,$H211))</f>
        <v/>
      </c>
      <c r="C211" s="5">
        <f>IF($H211="","",INDEX('Journal'!$C$1:$C$2002,$H211)&amp;"")</f>
        <v/>
      </c>
      <c r="D211" s="5">
        <f>IF($H211="","",IF(INDEX('Journal'!$D$1:$D$2002,$H211)=$B$1,INDEX('Journal'!$E$1:$E$2002,$H211),INDEX('Journal'!$D$1:$D$2002,$H211))&amp;"")</f>
        <v/>
      </c>
      <c r="E211" s="20">
        <f>IF($H211="","",IF(INDEX('Journal'!$D$1:$D$2002,$H211)=$B$1,N(INDEX('Journal'!$G$1:$G$2002,$H211)),N(INDEX('Journal'!$F$1:$F$2002,$H211))))</f>
        <v/>
      </c>
      <c r="F211" s="20">
        <f>IF($H211="","",IF(INDEX('Journal'!$D$1:$D$2002,$H211)=$B$1,N(INDEX('Journal'!$F$1:$F$2002,$H211)),N(INDEX('Journal'!$G$1:$G$2002,$H211))))</f>
        <v/>
      </c>
      <c r="G211" s="20">
        <f>IF($H211="","",G210+E211-F211)</f>
        <v/>
      </c>
      <c r="H211" s="18">
        <f t="array" ref="H211">IF($B$1="","",IFERROR(_xlfn.AGGREGATE(15,6,ROW('Journal'!$A$3:$A$2002)/(('Journal'!$D$3:$D$2002=$B$1)+('Journal'!$E$3:$E$2002=$B$1))/('Journal'!$B$3:$B$2002&gt;=$B$2)/('Journal'!$B$3:$B$2002&lt;=$B$3),206),""))</f>
        <v/>
      </c>
    </row>
    <row r="212">
      <c r="A212" s="18">
        <f>IF($H212="","",INDEX('Journal'!$A$1:$A$2002,$H212))</f>
        <v/>
      </c>
      <c r="B212" s="21">
        <f>IF($H212="","",INDEX('Journal'!$B$1:$B$2002,$H212))</f>
        <v/>
      </c>
      <c r="C212" s="5">
        <f>IF($H212="","",INDEX('Journal'!$C$1:$C$2002,$H212)&amp;"")</f>
        <v/>
      </c>
      <c r="D212" s="5">
        <f>IF($H212="","",IF(INDEX('Journal'!$D$1:$D$2002,$H212)=$B$1,INDEX('Journal'!$E$1:$E$2002,$H212),INDEX('Journal'!$D$1:$D$2002,$H212))&amp;"")</f>
        <v/>
      </c>
      <c r="E212" s="20">
        <f>IF($H212="","",IF(INDEX('Journal'!$D$1:$D$2002,$H212)=$B$1,N(INDEX('Journal'!$G$1:$G$2002,$H212)),N(INDEX('Journal'!$F$1:$F$2002,$H212))))</f>
        <v/>
      </c>
      <c r="F212" s="20">
        <f>IF($H212="","",IF(INDEX('Journal'!$D$1:$D$2002,$H212)=$B$1,N(INDEX('Journal'!$F$1:$F$2002,$H212)),N(INDEX('Journal'!$G$1:$G$2002,$H212))))</f>
        <v/>
      </c>
      <c r="G212" s="20">
        <f>IF($H212="","",G211+E212-F212)</f>
        <v/>
      </c>
      <c r="H212" s="18">
        <f t="array" ref="H212">IF($B$1="","",IFERROR(_xlfn.AGGREGATE(15,6,ROW('Journal'!$A$3:$A$2002)/(('Journal'!$D$3:$D$2002=$B$1)+('Journal'!$E$3:$E$2002=$B$1))/('Journal'!$B$3:$B$2002&gt;=$B$2)/('Journal'!$B$3:$B$2002&lt;=$B$3),207),""))</f>
        <v/>
      </c>
    </row>
    <row r="213">
      <c r="A213" s="18">
        <f>IF($H213="","",INDEX('Journal'!$A$1:$A$2002,$H213))</f>
        <v/>
      </c>
      <c r="B213" s="21">
        <f>IF($H213="","",INDEX('Journal'!$B$1:$B$2002,$H213))</f>
        <v/>
      </c>
      <c r="C213" s="5">
        <f>IF($H213="","",INDEX('Journal'!$C$1:$C$2002,$H213)&amp;"")</f>
        <v/>
      </c>
      <c r="D213" s="5">
        <f>IF($H213="","",IF(INDEX('Journal'!$D$1:$D$2002,$H213)=$B$1,INDEX('Journal'!$E$1:$E$2002,$H213),INDEX('Journal'!$D$1:$D$2002,$H213))&amp;"")</f>
        <v/>
      </c>
      <c r="E213" s="20">
        <f>IF($H213="","",IF(INDEX('Journal'!$D$1:$D$2002,$H213)=$B$1,N(INDEX('Journal'!$G$1:$G$2002,$H213)),N(INDEX('Journal'!$F$1:$F$2002,$H213))))</f>
        <v/>
      </c>
      <c r="F213" s="20">
        <f>IF($H213="","",IF(INDEX('Journal'!$D$1:$D$2002,$H213)=$B$1,N(INDEX('Journal'!$F$1:$F$2002,$H213)),N(INDEX('Journal'!$G$1:$G$2002,$H213))))</f>
        <v/>
      </c>
      <c r="G213" s="20">
        <f>IF($H213="","",G212+E213-F213)</f>
        <v/>
      </c>
      <c r="H213" s="18">
        <f t="array" ref="H213">IF($B$1="","",IFERROR(_xlfn.AGGREGATE(15,6,ROW('Journal'!$A$3:$A$2002)/(('Journal'!$D$3:$D$2002=$B$1)+('Journal'!$E$3:$E$2002=$B$1))/('Journal'!$B$3:$B$2002&gt;=$B$2)/('Journal'!$B$3:$B$2002&lt;=$B$3),208),""))</f>
        <v/>
      </c>
    </row>
    <row r="214">
      <c r="A214" s="18">
        <f>IF($H214="","",INDEX('Journal'!$A$1:$A$2002,$H214))</f>
        <v/>
      </c>
      <c r="B214" s="21">
        <f>IF($H214="","",INDEX('Journal'!$B$1:$B$2002,$H214))</f>
        <v/>
      </c>
      <c r="C214" s="5">
        <f>IF($H214="","",INDEX('Journal'!$C$1:$C$2002,$H214)&amp;"")</f>
        <v/>
      </c>
      <c r="D214" s="5">
        <f>IF($H214="","",IF(INDEX('Journal'!$D$1:$D$2002,$H214)=$B$1,INDEX('Journal'!$E$1:$E$2002,$H214),INDEX('Journal'!$D$1:$D$2002,$H214))&amp;"")</f>
        <v/>
      </c>
      <c r="E214" s="20">
        <f>IF($H214="","",IF(INDEX('Journal'!$D$1:$D$2002,$H214)=$B$1,N(INDEX('Journal'!$G$1:$G$2002,$H214)),N(INDEX('Journal'!$F$1:$F$2002,$H214))))</f>
        <v/>
      </c>
      <c r="F214" s="20">
        <f>IF($H214="","",IF(INDEX('Journal'!$D$1:$D$2002,$H214)=$B$1,N(INDEX('Journal'!$F$1:$F$2002,$H214)),N(INDEX('Journal'!$G$1:$G$2002,$H214))))</f>
        <v/>
      </c>
      <c r="G214" s="20">
        <f>IF($H214="","",G213+E214-F214)</f>
        <v/>
      </c>
      <c r="H214" s="18">
        <f t="array" ref="H214">IF($B$1="","",IFERROR(_xlfn.AGGREGATE(15,6,ROW('Journal'!$A$3:$A$2002)/(('Journal'!$D$3:$D$2002=$B$1)+('Journal'!$E$3:$E$2002=$B$1))/('Journal'!$B$3:$B$2002&gt;=$B$2)/('Journal'!$B$3:$B$2002&lt;=$B$3),209),""))</f>
        <v/>
      </c>
    </row>
    <row r="215">
      <c r="A215" s="18">
        <f>IF($H215="","",INDEX('Journal'!$A$1:$A$2002,$H215))</f>
        <v/>
      </c>
      <c r="B215" s="21">
        <f>IF($H215="","",INDEX('Journal'!$B$1:$B$2002,$H215))</f>
        <v/>
      </c>
      <c r="C215" s="5">
        <f>IF($H215="","",INDEX('Journal'!$C$1:$C$2002,$H215)&amp;"")</f>
        <v/>
      </c>
      <c r="D215" s="5">
        <f>IF($H215="","",IF(INDEX('Journal'!$D$1:$D$2002,$H215)=$B$1,INDEX('Journal'!$E$1:$E$2002,$H215),INDEX('Journal'!$D$1:$D$2002,$H215))&amp;"")</f>
        <v/>
      </c>
      <c r="E215" s="20">
        <f>IF($H215="","",IF(INDEX('Journal'!$D$1:$D$2002,$H215)=$B$1,N(INDEX('Journal'!$G$1:$G$2002,$H215)),N(INDEX('Journal'!$F$1:$F$2002,$H215))))</f>
        <v/>
      </c>
      <c r="F215" s="20">
        <f>IF($H215="","",IF(INDEX('Journal'!$D$1:$D$2002,$H215)=$B$1,N(INDEX('Journal'!$F$1:$F$2002,$H215)),N(INDEX('Journal'!$G$1:$G$2002,$H215))))</f>
        <v/>
      </c>
      <c r="G215" s="20">
        <f>IF($H215="","",G214+E215-F215)</f>
        <v/>
      </c>
      <c r="H215" s="18">
        <f t="array" ref="H215">IF($B$1="","",IFERROR(_xlfn.AGGREGATE(15,6,ROW('Journal'!$A$3:$A$2002)/(('Journal'!$D$3:$D$2002=$B$1)+('Journal'!$E$3:$E$2002=$B$1))/('Journal'!$B$3:$B$2002&gt;=$B$2)/('Journal'!$B$3:$B$2002&lt;=$B$3),210),""))</f>
        <v/>
      </c>
    </row>
    <row r="216">
      <c r="A216" s="18">
        <f>IF($H216="","",INDEX('Journal'!$A$1:$A$2002,$H216))</f>
        <v/>
      </c>
      <c r="B216" s="21">
        <f>IF($H216="","",INDEX('Journal'!$B$1:$B$2002,$H216))</f>
        <v/>
      </c>
      <c r="C216" s="5">
        <f>IF($H216="","",INDEX('Journal'!$C$1:$C$2002,$H216)&amp;"")</f>
        <v/>
      </c>
      <c r="D216" s="5">
        <f>IF($H216="","",IF(INDEX('Journal'!$D$1:$D$2002,$H216)=$B$1,INDEX('Journal'!$E$1:$E$2002,$H216),INDEX('Journal'!$D$1:$D$2002,$H216))&amp;"")</f>
        <v/>
      </c>
      <c r="E216" s="20">
        <f>IF($H216="","",IF(INDEX('Journal'!$D$1:$D$2002,$H216)=$B$1,N(INDEX('Journal'!$G$1:$G$2002,$H216)),N(INDEX('Journal'!$F$1:$F$2002,$H216))))</f>
        <v/>
      </c>
      <c r="F216" s="20">
        <f>IF($H216="","",IF(INDEX('Journal'!$D$1:$D$2002,$H216)=$B$1,N(INDEX('Journal'!$F$1:$F$2002,$H216)),N(INDEX('Journal'!$G$1:$G$2002,$H216))))</f>
        <v/>
      </c>
      <c r="G216" s="20">
        <f>IF($H216="","",G215+E216-F216)</f>
        <v/>
      </c>
      <c r="H216" s="18">
        <f t="array" ref="H216">IF($B$1="","",IFERROR(_xlfn.AGGREGATE(15,6,ROW('Journal'!$A$3:$A$2002)/(('Journal'!$D$3:$D$2002=$B$1)+('Journal'!$E$3:$E$2002=$B$1))/('Journal'!$B$3:$B$2002&gt;=$B$2)/('Journal'!$B$3:$B$2002&lt;=$B$3),211),""))</f>
        <v/>
      </c>
    </row>
    <row r="217">
      <c r="A217" s="18">
        <f>IF($H217="","",INDEX('Journal'!$A$1:$A$2002,$H217))</f>
        <v/>
      </c>
      <c r="B217" s="21">
        <f>IF($H217="","",INDEX('Journal'!$B$1:$B$2002,$H217))</f>
        <v/>
      </c>
      <c r="C217" s="5">
        <f>IF($H217="","",INDEX('Journal'!$C$1:$C$2002,$H217)&amp;"")</f>
        <v/>
      </c>
      <c r="D217" s="5">
        <f>IF($H217="","",IF(INDEX('Journal'!$D$1:$D$2002,$H217)=$B$1,INDEX('Journal'!$E$1:$E$2002,$H217),INDEX('Journal'!$D$1:$D$2002,$H217))&amp;"")</f>
        <v/>
      </c>
      <c r="E217" s="20">
        <f>IF($H217="","",IF(INDEX('Journal'!$D$1:$D$2002,$H217)=$B$1,N(INDEX('Journal'!$G$1:$G$2002,$H217)),N(INDEX('Journal'!$F$1:$F$2002,$H217))))</f>
        <v/>
      </c>
      <c r="F217" s="20">
        <f>IF($H217="","",IF(INDEX('Journal'!$D$1:$D$2002,$H217)=$B$1,N(INDEX('Journal'!$F$1:$F$2002,$H217)),N(INDEX('Journal'!$G$1:$G$2002,$H217))))</f>
        <v/>
      </c>
      <c r="G217" s="20">
        <f>IF($H217="","",G216+E217-F217)</f>
        <v/>
      </c>
      <c r="H217" s="18">
        <f t="array" ref="H217">IF($B$1="","",IFERROR(_xlfn.AGGREGATE(15,6,ROW('Journal'!$A$3:$A$2002)/(('Journal'!$D$3:$D$2002=$B$1)+('Journal'!$E$3:$E$2002=$B$1))/('Journal'!$B$3:$B$2002&gt;=$B$2)/('Journal'!$B$3:$B$2002&lt;=$B$3),212),""))</f>
        <v/>
      </c>
    </row>
    <row r="218">
      <c r="A218" s="18">
        <f>IF($H218="","",INDEX('Journal'!$A$1:$A$2002,$H218))</f>
        <v/>
      </c>
      <c r="B218" s="21">
        <f>IF($H218="","",INDEX('Journal'!$B$1:$B$2002,$H218))</f>
        <v/>
      </c>
      <c r="C218" s="5">
        <f>IF($H218="","",INDEX('Journal'!$C$1:$C$2002,$H218)&amp;"")</f>
        <v/>
      </c>
      <c r="D218" s="5">
        <f>IF($H218="","",IF(INDEX('Journal'!$D$1:$D$2002,$H218)=$B$1,INDEX('Journal'!$E$1:$E$2002,$H218),INDEX('Journal'!$D$1:$D$2002,$H218))&amp;"")</f>
        <v/>
      </c>
      <c r="E218" s="20">
        <f>IF($H218="","",IF(INDEX('Journal'!$D$1:$D$2002,$H218)=$B$1,N(INDEX('Journal'!$G$1:$G$2002,$H218)),N(INDEX('Journal'!$F$1:$F$2002,$H218))))</f>
        <v/>
      </c>
      <c r="F218" s="20">
        <f>IF($H218="","",IF(INDEX('Journal'!$D$1:$D$2002,$H218)=$B$1,N(INDEX('Journal'!$F$1:$F$2002,$H218)),N(INDEX('Journal'!$G$1:$G$2002,$H218))))</f>
        <v/>
      </c>
      <c r="G218" s="20">
        <f>IF($H218="","",G217+E218-F218)</f>
        <v/>
      </c>
      <c r="H218" s="18">
        <f t="array" ref="H218">IF($B$1="","",IFERROR(_xlfn.AGGREGATE(15,6,ROW('Journal'!$A$3:$A$2002)/(('Journal'!$D$3:$D$2002=$B$1)+('Journal'!$E$3:$E$2002=$B$1))/('Journal'!$B$3:$B$2002&gt;=$B$2)/('Journal'!$B$3:$B$2002&lt;=$B$3),213),""))</f>
        <v/>
      </c>
    </row>
    <row r="219">
      <c r="A219" s="18">
        <f>IF($H219="","",INDEX('Journal'!$A$1:$A$2002,$H219))</f>
        <v/>
      </c>
      <c r="B219" s="21">
        <f>IF($H219="","",INDEX('Journal'!$B$1:$B$2002,$H219))</f>
        <v/>
      </c>
      <c r="C219" s="5">
        <f>IF($H219="","",INDEX('Journal'!$C$1:$C$2002,$H219)&amp;"")</f>
        <v/>
      </c>
      <c r="D219" s="5">
        <f>IF($H219="","",IF(INDEX('Journal'!$D$1:$D$2002,$H219)=$B$1,INDEX('Journal'!$E$1:$E$2002,$H219),INDEX('Journal'!$D$1:$D$2002,$H219))&amp;"")</f>
        <v/>
      </c>
      <c r="E219" s="20">
        <f>IF($H219="","",IF(INDEX('Journal'!$D$1:$D$2002,$H219)=$B$1,N(INDEX('Journal'!$G$1:$G$2002,$H219)),N(INDEX('Journal'!$F$1:$F$2002,$H219))))</f>
        <v/>
      </c>
      <c r="F219" s="20">
        <f>IF($H219="","",IF(INDEX('Journal'!$D$1:$D$2002,$H219)=$B$1,N(INDEX('Journal'!$F$1:$F$2002,$H219)),N(INDEX('Journal'!$G$1:$G$2002,$H219))))</f>
        <v/>
      </c>
      <c r="G219" s="20">
        <f>IF($H219="","",G218+E219-F219)</f>
        <v/>
      </c>
      <c r="H219" s="18">
        <f t="array" ref="H219">IF($B$1="","",IFERROR(_xlfn.AGGREGATE(15,6,ROW('Journal'!$A$3:$A$2002)/(('Journal'!$D$3:$D$2002=$B$1)+('Journal'!$E$3:$E$2002=$B$1))/('Journal'!$B$3:$B$2002&gt;=$B$2)/('Journal'!$B$3:$B$2002&lt;=$B$3),214),""))</f>
        <v/>
      </c>
    </row>
    <row r="220">
      <c r="A220" s="18">
        <f>IF($H220="","",INDEX('Journal'!$A$1:$A$2002,$H220))</f>
        <v/>
      </c>
      <c r="B220" s="21">
        <f>IF($H220="","",INDEX('Journal'!$B$1:$B$2002,$H220))</f>
        <v/>
      </c>
      <c r="C220" s="5">
        <f>IF($H220="","",INDEX('Journal'!$C$1:$C$2002,$H220)&amp;"")</f>
        <v/>
      </c>
      <c r="D220" s="5">
        <f>IF($H220="","",IF(INDEX('Journal'!$D$1:$D$2002,$H220)=$B$1,INDEX('Journal'!$E$1:$E$2002,$H220),INDEX('Journal'!$D$1:$D$2002,$H220))&amp;"")</f>
        <v/>
      </c>
      <c r="E220" s="20">
        <f>IF($H220="","",IF(INDEX('Journal'!$D$1:$D$2002,$H220)=$B$1,N(INDEX('Journal'!$G$1:$G$2002,$H220)),N(INDEX('Journal'!$F$1:$F$2002,$H220))))</f>
        <v/>
      </c>
      <c r="F220" s="20">
        <f>IF($H220="","",IF(INDEX('Journal'!$D$1:$D$2002,$H220)=$B$1,N(INDEX('Journal'!$F$1:$F$2002,$H220)),N(INDEX('Journal'!$G$1:$G$2002,$H220))))</f>
        <v/>
      </c>
      <c r="G220" s="20">
        <f>IF($H220="","",G219+E220-F220)</f>
        <v/>
      </c>
      <c r="H220" s="18">
        <f t="array" ref="H220">IF($B$1="","",IFERROR(_xlfn.AGGREGATE(15,6,ROW('Journal'!$A$3:$A$2002)/(('Journal'!$D$3:$D$2002=$B$1)+('Journal'!$E$3:$E$2002=$B$1))/('Journal'!$B$3:$B$2002&gt;=$B$2)/('Journal'!$B$3:$B$2002&lt;=$B$3),215),""))</f>
        <v/>
      </c>
    </row>
    <row r="221">
      <c r="A221" s="18">
        <f>IF($H221="","",INDEX('Journal'!$A$1:$A$2002,$H221))</f>
        <v/>
      </c>
      <c r="B221" s="21">
        <f>IF($H221="","",INDEX('Journal'!$B$1:$B$2002,$H221))</f>
        <v/>
      </c>
      <c r="C221" s="5">
        <f>IF($H221="","",INDEX('Journal'!$C$1:$C$2002,$H221)&amp;"")</f>
        <v/>
      </c>
      <c r="D221" s="5">
        <f>IF($H221="","",IF(INDEX('Journal'!$D$1:$D$2002,$H221)=$B$1,INDEX('Journal'!$E$1:$E$2002,$H221),INDEX('Journal'!$D$1:$D$2002,$H221))&amp;"")</f>
        <v/>
      </c>
      <c r="E221" s="20">
        <f>IF($H221="","",IF(INDEX('Journal'!$D$1:$D$2002,$H221)=$B$1,N(INDEX('Journal'!$G$1:$G$2002,$H221)),N(INDEX('Journal'!$F$1:$F$2002,$H221))))</f>
        <v/>
      </c>
      <c r="F221" s="20">
        <f>IF($H221="","",IF(INDEX('Journal'!$D$1:$D$2002,$H221)=$B$1,N(INDEX('Journal'!$F$1:$F$2002,$H221)),N(INDEX('Journal'!$G$1:$G$2002,$H221))))</f>
        <v/>
      </c>
      <c r="G221" s="20">
        <f>IF($H221="","",G220+E221-F221)</f>
        <v/>
      </c>
      <c r="H221" s="18">
        <f t="array" ref="H221">IF($B$1="","",IFERROR(_xlfn.AGGREGATE(15,6,ROW('Journal'!$A$3:$A$2002)/(('Journal'!$D$3:$D$2002=$B$1)+('Journal'!$E$3:$E$2002=$B$1))/('Journal'!$B$3:$B$2002&gt;=$B$2)/('Journal'!$B$3:$B$2002&lt;=$B$3),216),""))</f>
        <v/>
      </c>
    </row>
    <row r="222">
      <c r="A222" s="18">
        <f>IF($H222="","",INDEX('Journal'!$A$1:$A$2002,$H222))</f>
        <v/>
      </c>
      <c r="B222" s="21">
        <f>IF($H222="","",INDEX('Journal'!$B$1:$B$2002,$H222))</f>
        <v/>
      </c>
      <c r="C222" s="5">
        <f>IF($H222="","",INDEX('Journal'!$C$1:$C$2002,$H222)&amp;"")</f>
        <v/>
      </c>
      <c r="D222" s="5">
        <f>IF($H222="","",IF(INDEX('Journal'!$D$1:$D$2002,$H222)=$B$1,INDEX('Journal'!$E$1:$E$2002,$H222),INDEX('Journal'!$D$1:$D$2002,$H222))&amp;"")</f>
        <v/>
      </c>
      <c r="E222" s="20">
        <f>IF($H222="","",IF(INDEX('Journal'!$D$1:$D$2002,$H222)=$B$1,N(INDEX('Journal'!$G$1:$G$2002,$H222)),N(INDEX('Journal'!$F$1:$F$2002,$H222))))</f>
        <v/>
      </c>
      <c r="F222" s="20">
        <f>IF($H222="","",IF(INDEX('Journal'!$D$1:$D$2002,$H222)=$B$1,N(INDEX('Journal'!$F$1:$F$2002,$H222)),N(INDEX('Journal'!$G$1:$G$2002,$H222))))</f>
        <v/>
      </c>
      <c r="G222" s="20">
        <f>IF($H222="","",G221+E222-F222)</f>
        <v/>
      </c>
      <c r="H222" s="18">
        <f t="array" ref="H222">IF($B$1="","",IFERROR(_xlfn.AGGREGATE(15,6,ROW('Journal'!$A$3:$A$2002)/(('Journal'!$D$3:$D$2002=$B$1)+('Journal'!$E$3:$E$2002=$B$1))/('Journal'!$B$3:$B$2002&gt;=$B$2)/('Journal'!$B$3:$B$2002&lt;=$B$3),217),""))</f>
        <v/>
      </c>
    </row>
    <row r="223">
      <c r="A223" s="18">
        <f>IF($H223="","",INDEX('Journal'!$A$1:$A$2002,$H223))</f>
        <v/>
      </c>
      <c r="B223" s="21">
        <f>IF($H223="","",INDEX('Journal'!$B$1:$B$2002,$H223))</f>
        <v/>
      </c>
      <c r="C223" s="5">
        <f>IF($H223="","",INDEX('Journal'!$C$1:$C$2002,$H223)&amp;"")</f>
        <v/>
      </c>
      <c r="D223" s="5">
        <f>IF($H223="","",IF(INDEX('Journal'!$D$1:$D$2002,$H223)=$B$1,INDEX('Journal'!$E$1:$E$2002,$H223),INDEX('Journal'!$D$1:$D$2002,$H223))&amp;"")</f>
        <v/>
      </c>
      <c r="E223" s="20">
        <f>IF($H223="","",IF(INDEX('Journal'!$D$1:$D$2002,$H223)=$B$1,N(INDEX('Journal'!$G$1:$G$2002,$H223)),N(INDEX('Journal'!$F$1:$F$2002,$H223))))</f>
        <v/>
      </c>
      <c r="F223" s="20">
        <f>IF($H223="","",IF(INDEX('Journal'!$D$1:$D$2002,$H223)=$B$1,N(INDEX('Journal'!$F$1:$F$2002,$H223)),N(INDEX('Journal'!$G$1:$G$2002,$H223))))</f>
        <v/>
      </c>
      <c r="G223" s="20">
        <f>IF($H223="","",G222+E223-F223)</f>
        <v/>
      </c>
      <c r="H223" s="18">
        <f t="array" ref="H223">IF($B$1="","",IFERROR(_xlfn.AGGREGATE(15,6,ROW('Journal'!$A$3:$A$2002)/(('Journal'!$D$3:$D$2002=$B$1)+('Journal'!$E$3:$E$2002=$B$1))/('Journal'!$B$3:$B$2002&gt;=$B$2)/('Journal'!$B$3:$B$2002&lt;=$B$3),218),""))</f>
        <v/>
      </c>
    </row>
    <row r="224">
      <c r="A224" s="18">
        <f>IF($H224="","",INDEX('Journal'!$A$1:$A$2002,$H224))</f>
        <v/>
      </c>
      <c r="B224" s="21">
        <f>IF($H224="","",INDEX('Journal'!$B$1:$B$2002,$H224))</f>
        <v/>
      </c>
      <c r="C224" s="5">
        <f>IF($H224="","",INDEX('Journal'!$C$1:$C$2002,$H224)&amp;"")</f>
        <v/>
      </c>
      <c r="D224" s="5">
        <f>IF($H224="","",IF(INDEX('Journal'!$D$1:$D$2002,$H224)=$B$1,INDEX('Journal'!$E$1:$E$2002,$H224),INDEX('Journal'!$D$1:$D$2002,$H224))&amp;"")</f>
        <v/>
      </c>
      <c r="E224" s="20">
        <f>IF($H224="","",IF(INDEX('Journal'!$D$1:$D$2002,$H224)=$B$1,N(INDEX('Journal'!$G$1:$G$2002,$H224)),N(INDEX('Journal'!$F$1:$F$2002,$H224))))</f>
        <v/>
      </c>
      <c r="F224" s="20">
        <f>IF($H224="","",IF(INDEX('Journal'!$D$1:$D$2002,$H224)=$B$1,N(INDEX('Journal'!$F$1:$F$2002,$H224)),N(INDEX('Journal'!$G$1:$G$2002,$H224))))</f>
        <v/>
      </c>
      <c r="G224" s="20">
        <f>IF($H224="","",G223+E224-F224)</f>
        <v/>
      </c>
      <c r="H224" s="18">
        <f t="array" ref="H224">IF($B$1="","",IFERROR(_xlfn.AGGREGATE(15,6,ROW('Journal'!$A$3:$A$2002)/(('Journal'!$D$3:$D$2002=$B$1)+('Journal'!$E$3:$E$2002=$B$1))/('Journal'!$B$3:$B$2002&gt;=$B$2)/('Journal'!$B$3:$B$2002&lt;=$B$3),219),""))</f>
        <v/>
      </c>
    </row>
    <row r="225">
      <c r="A225" s="18">
        <f>IF($H225="","",INDEX('Journal'!$A$1:$A$2002,$H225))</f>
        <v/>
      </c>
      <c r="B225" s="21">
        <f>IF($H225="","",INDEX('Journal'!$B$1:$B$2002,$H225))</f>
        <v/>
      </c>
      <c r="C225" s="5">
        <f>IF($H225="","",INDEX('Journal'!$C$1:$C$2002,$H225)&amp;"")</f>
        <v/>
      </c>
      <c r="D225" s="5">
        <f>IF($H225="","",IF(INDEX('Journal'!$D$1:$D$2002,$H225)=$B$1,INDEX('Journal'!$E$1:$E$2002,$H225),INDEX('Journal'!$D$1:$D$2002,$H225))&amp;"")</f>
        <v/>
      </c>
      <c r="E225" s="20">
        <f>IF($H225="","",IF(INDEX('Journal'!$D$1:$D$2002,$H225)=$B$1,N(INDEX('Journal'!$G$1:$G$2002,$H225)),N(INDEX('Journal'!$F$1:$F$2002,$H225))))</f>
        <v/>
      </c>
      <c r="F225" s="20">
        <f>IF($H225="","",IF(INDEX('Journal'!$D$1:$D$2002,$H225)=$B$1,N(INDEX('Journal'!$F$1:$F$2002,$H225)),N(INDEX('Journal'!$G$1:$G$2002,$H225))))</f>
        <v/>
      </c>
      <c r="G225" s="20">
        <f>IF($H225="","",G224+E225-F225)</f>
        <v/>
      </c>
      <c r="H225" s="18">
        <f t="array" ref="H225">IF($B$1="","",IFERROR(_xlfn.AGGREGATE(15,6,ROW('Journal'!$A$3:$A$2002)/(('Journal'!$D$3:$D$2002=$B$1)+('Journal'!$E$3:$E$2002=$B$1))/('Journal'!$B$3:$B$2002&gt;=$B$2)/('Journal'!$B$3:$B$2002&lt;=$B$3),220),""))</f>
        <v/>
      </c>
    </row>
    <row r="226">
      <c r="A226" s="18">
        <f>IF($H226="","",INDEX('Journal'!$A$1:$A$2002,$H226))</f>
        <v/>
      </c>
      <c r="B226" s="21">
        <f>IF($H226="","",INDEX('Journal'!$B$1:$B$2002,$H226))</f>
        <v/>
      </c>
      <c r="C226" s="5">
        <f>IF($H226="","",INDEX('Journal'!$C$1:$C$2002,$H226)&amp;"")</f>
        <v/>
      </c>
      <c r="D226" s="5">
        <f>IF($H226="","",IF(INDEX('Journal'!$D$1:$D$2002,$H226)=$B$1,INDEX('Journal'!$E$1:$E$2002,$H226),INDEX('Journal'!$D$1:$D$2002,$H226))&amp;"")</f>
        <v/>
      </c>
      <c r="E226" s="20">
        <f>IF($H226="","",IF(INDEX('Journal'!$D$1:$D$2002,$H226)=$B$1,N(INDEX('Journal'!$G$1:$G$2002,$H226)),N(INDEX('Journal'!$F$1:$F$2002,$H226))))</f>
        <v/>
      </c>
      <c r="F226" s="20">
        <f>IF($H226="","",IF(INDEX('Journal'!$D$1:$D$2002,$H226)=$B$1,N(INDEX('Journal'!$F$1:$F$2002,$H226)),N(INDEX('Journal'!$G$1:$G$2002,$H226))))</f>
        <v/>
      </c>
      <c r="G226" s="20">
        <f>IF($H226="","",G225+E226-F226)</f>
        <v/>
      </c>
      <c r="H226" s="18">
        <f t="array" ref="H226">IF($B$1="","",IFERROR(_xlfn.AGGREGATE(15,6,ROW('Journal'!$A$3:$A$2002)/(('Journal'!$D$3:$D$2002=$B$1)+('Journal'!$E$3:$E$2002=$B$1))/('Journal'!$B$3:$B$2002&gt;=$B$2)/('Journal'!$B$3:$B$2002&lt;=$B$3),221),""))</f>
        <v/>
      </c>
    </row>
    <row r="227">
      <c r="A227" s="18">
        <f>IF($H227="","",INDEX('Journal'!$A$1:$A$2002,$H227))</f>
        <v/>
      </c>
      <c r="B227" s="21">
        <f>IF($H227="","",INDEX('Journal'!$B$1:$B$2002,$H227))</f>
        <v/>
      </c>
      <c r="C227" s="5">
        <f>IF($H227="","",INDEX('Journal'!$C$1:$C$2002,$H227)&amp;"")</f>
        <v/>
      </c>
      <c r="D227" s="5">
        <f>IF($H227="","",IF(INDEX('Journal'!$D$1:$D$2002,$H227)=$B$1,INDEX('Journal'!$E$1:$E$2002,$H227),INDEX('Journal'!$D$1:$D$2002,$H227))&amp;"")</f>
        <v/>
      </c>
      <c r="E227" s="20">
        <f>IF($H227="","",IF(INDEX('Journal'!$D$1:$D$2002,$H227)=$B$1,N(INDEX('Journal'!$G$1:$G$2002,$H227)),N(INDEX('Journal'!$F$1:$F$2002,$H227))))</f>
        <v/>
      </c>
      <c r="F227" s="20">
        <f>IF($H227="","",IF(INDEX('Journal'!$D$1:$D$2002,$H227)=$B$1,N(INDEX('Journal'!$F$1:$F$2002,$H227)),N(INDEX('Journal'!$G$1:$G$2002,$H227))))</f>
        <v/>
      </c>
      <c r="G227" s="20">
        <f>IF($H227="","",G226+E227-F227)</f>
        <v/>
      </c>
      <c r="H227" s="18">
        <f t="array" ref="H227">IF($B$1="","",IFERROR(_xlfn.AGGREGATE(15,6,ROW('Journal'!$A$3:$A$2002)/(('Journal'!$D$3:$D$2002=$B$1)+('Journal'!$E$3:$E$2002=$B$1))/('Journal'!$B$3:$B$2002&gt;=$B$2)/('Journal'!$B$3:$B$2002&lt;=$B$3),222),""))</f>
        <v/>
      </c>
    </row>
    <row r="228">
      <c r="A228" s="18">
        <f>IF($H228="","",INDEX('Journal'!$A$1:$A$2002,$H228))</f>
        <v/>
      </c>
      <c r="B228" s="21">
        <f>IF($H228="","",INDEX('Journal'!$B$1:$B$2002,$H228))</f>
        <v/>
      </c>
      <c r="C228" s="5">
        <f>IF($H228="","",INDEX('Journal'!$C$1:$C$2002,$H228)&amp;"")</f>
        <v/>
      </c>
      <c r="D228" s="5">
        <f>IF($H228="","",IF(INDEX('Journal'!$D$1:$D$2002,$H228)=$B$1,INDEX('Journal'!$E$1:$E$2002,$H228),INDEX('Journal'!$D$1:$D$2002,$H228))&amp;"")</f>
        <v/>
      </c>
      <c r="E228" s="20">
        <f>IF($H228="","",IF(INDEX('Journal'!$D$1:$D$2002,$H228)=$B$1,N(INDEX('Journal'!$G$1:$G$2002,$H228)),N(INDEX('Journal'!$F$1:$F$2002,$H228))))</f>
        <v/>
      </c>
      <c r="F228" s="20">
        <f>IF($H228="","",IF(INDEX('Journal'!$D$1:$D$2002,$H228)=$B$1,N(INDEX('Journal'!$F$1:$F$2002,$H228)),N(INDEX('Journal'!$G$1:$G$2002,$H228))))</f>
        <v/>
      </c>
      <c r="G228" s="20">
        <f>IF($H228="","",G227+E228-F228)</f>
        <v/>
      </c>
      <c r="H228" s="18">
        <f t="array" ref="H228">IF($B$1="","",IFERROR(_xlfn.AGGREGATE(15,6,ROW('Journal'!$A$3:$A$2002)/(('Journal'!$D$3:$D$2002=$B$1)+('Journal'!$E$3:$E$2002=$B$1))/('Journal'!$B$3:$B$2002&gt;=$B$2)/('Journal'!$B$3:$B$2002&lt;=$B$3),223),""))</f>
        <v/>
      </c>
    </row>
    <row r="229">
      <c r="A229" s="18">
        <f>IF($H229="","",INDEX('Journal'!$A$1:$A$2002,$H229))</f>
        <v/>
      </c>
      <c r="B229" s="21">
        <f>IF($H229="","",INDEX('Journal'!$B$1:$B$2002,$H229))</f>
        <v/>
      </c>
      <c r="C229" s="5">
        <f>IF($H229="","",INDEX('Journal'!$C$1:$C$2002,$H229)&amp;"")</f>
        <v/>
      </c>
      <c r="D229" s="5">
        <f>IF($H229="","",IF(INDEX('Journal'!$D$1:$D$2002,$H229)=$B$1,INDEX('Journal'!$E$1:$E$2002,$H229),INDEX('Journal'!$D$1:$D$2002,$H229))&amp;"")</f>
        <v/>
      </c>
      <c r="E229" s="20">
        <f>IF($H229="","",IF(INDEX('Journal'!$D$1:$D$2002,$H229)=$B$1,N(INDEX('Journal'!$G$1:$G$2002,$H229)),N(INDEX('Journal'!$F$1:$F$2002,$H229))))</f>
        <v/>
      </c>
      <c r="F229" s="20">
        <f>IF($H229="","",IF(INDEX('Journal'!$D$1:$D$2002,$H229)=$B$1,N(INDEX('Journal'!$F$1:$F$2002,$H229)),N(INDEX('Journal'!$G$1:$G$2002,$H229))))</f>
        <v/>
      </c>
      <c r="G229" s="20">
        <f>IF($H229="","",G228+E229-F229)</f>
        <v/>
      </c>
      <c r="H229" s="18">
        <f t="array" ref="H229">IF($B$1="","",IFERROR(_xlfn.AGGREGATE(15,6,ROW('Journal'!$A$3:$A$2002)/(('Journal'!$D$3:$D$2002=$B$1)+('Journal'!$E$3:$E$2002=$B$1))/('Journal'!$B$3:$B$2002&gt;=$B$2)/('Journal'!$B$3:$B$2002&lt;=$B$3),224),""))</f>
        <v/>
      </c>
    </row>
    <row r="230">
      <c r="A230" s="18">
        <f>IF($H230="","",INDEX('Journal'!$A$1:$A$2002,$H230))</f>
        <v/>
      </c>
      <c r="B230" s="21">
        <f>IF($H230="","",INDEX('Journal'!$B$1:$B$2002,$H230))</f>
        <v/>
      </c>
      <c r="C230" s="5">
        <f>IF($H230="","",INDEX('Journal'!$C$1:$C$2002,$H230)&amp;"")</f>
        <v/>
      </c>
      <c r="D230" s="5">
        <f>IF($H230="","",IF(INDEX('Journal'!$D$1:$D$2002,$H230)=$B$1,INDEX('Journal'!$E$1:$E$2002,$H230),INDEX('Journal'!$D$1:$D$2002,$H230))&amp;"")</f>
        <v/>
      </c>
      <c r="E230" s="20">
        <f>IF($H230="","",IF(INDEX('Journal'!$D$1:$D$2002,$H230)=$B$1,N(INDEX('Journal'!$G$1:$G$2002,$H230)),N(INDEX('Journal'!$F$1:$F$2002,$H230))))</f>
        <v/>
      </c>
      <c r="F230" s="20">
        <f>IF($H230="","",IF(INDEX('Journal'!$D$1:$D$2002,$H230)=$B$1,N(INDEX('Journal'!$F$1:$F$2002,$H230)),N(INDEX('Journal'!$G$1:$G$2002,$H230))))</f>
        <v/>
      </c>
      <c r="G230" s="20">
        <f>IF($H230="","",G229+E230-F230)</f>
        <v/>
      </c>
      <c r="H230" s="18">
        <f t="array" ref="H230">IF($B$1="","",IFERROR(_xlfn.AGGREGATE(15,6,ROW('Journal'!$A$3:$A$2002)/(('Journal'!$D$3:$D$2002=$B$1)+('Journal'!$E$3:$E$2002=$B$1))/('Journal'!$B$3:$B$2002&gt;=$B$2)/('Journal'!$B$3:$B$2002&lt;=$B$3),225),""))</f>
        <v/>
      </c>
    </row>
    <row r="231">
      <c r="A231" s="18">
        <f>IF($H231="","",INDEX('Journal'!$A$1:$A$2002,$H231))</f>
        <v/>
      </c>
      <c r="B231" s="21">
        <f>IF($H231="","",INDEX('Journal'!$B$1:$B$2002,$H231))</f>
        <v/>
      </c>
      <c r="C231" s="5">
        <f>IF($H231="","",INDEX('Journal'!$C$1:$C$2002,$H231)&amp;"")</f>
        <v/>
      </c>
      <c r="D231" s="5">
        <f>IF($H231="","",IF(INDEX('Journal'!$D$1:$D$2002,$H231)=$B$1,INDEX('Journal'!$E$1:$E$2002,$H231),INDEX('Journal'!$D$1:$D$2002,$H231))&amp;"")</f>
        <v/>
      </c>
      <c r="E231" s="20">
        <f>IF($H231="","",IF(INDEX('Journal'!$D$1:$D$2002,$H231)=$B$1,N(INDEX('Journal'!$G$1:$G$2002,$H231)),N(INDEX('Journal'!$F$1:$F$2002,$H231))))</f>
        <v/>
      </c>
      <c r="F231" s="20">
        <f>IF($H231="","",IF(INDEX('Journal'!$D$1:$D$2002,$H231)=$B$1,N(INDEX('Journal'!$F$1:$F$2002,$H231)),N(INDEX('Journal'!$G$1:$G$2002,$H231))))</f>
        <v/>
      </c>
      <c r="G231" s="20">
        <f>IF($H231="","",G230+E231-F231)</f>
        <v/>
      </c>
      <c r="H231" s="18">
        <f t="array" ref="H231">IF($B$1="","",IFERROR(_xlfn.AGGREGATE(15,6,ROW('Journal'!$A$3:$A$2002)/(('Journal'!$D$3:$D$2002=$B$1)+('Journal'!$E$3:$E$2002=$B$1))/('Journal'!$B$3:$B$2002&gt;=$B$2)/('Journal'!$B$3:$B$2002&lt;=$B$3),226),""))</f>
        <v/>
      </c>
    </row>
    <row r="232">
      <c r="A232" s="18">
        <f>IF($H232="","",INDEX('Journal'!$A$1:$A$2002,$H232))</f>
        <v/>
      </c>
      <c r="B232" s="21">
        <f>IF($H232="","",INDEX('Journal'!$B$1:$B$2002,$H232))</f>
        <v/>
      </c>
      <c r="C232" s="5">
        <f>IF($H232="","",INDEX('Journal'!$C$1:$C$2002,$H232)&amp;"")</f>
        <v/>
      </c>
      <c r="D232" s="5">
        <f>IF($H232="","",IF(INDEX('Journal'!$D$1:$D$2002,$H232)=$B$1,INDEX('Journal'!$E$1:$E$2002,$H232),INDEX('Journal'!$D$1:$D$2002,$H232))&amp;"")</f>
        <v/>
      </c>
      <c r="E232" s="20">
        <f>IF($H232="","",IF(INDEX('Journal'!$D$1:$D$2002,$H232)=$B$1,N(INDEX('Journal'!$G$1:$G$2002,$H232)),N(INDEX('Journal'!$F$1:$F$2002,$H232))))</f>
        <v/>
      </c>
      <c r="F232" s="20">
        <f>IF($H232="","",IF(INDEX('Journal'!$D$1:$D$2002,$H232)=$B$1,N(INDEX('Journal'!$F$1:$F$2002,$H232)),N(INDEX('Journal'!$G$1:$G$2002,$H232))))</f>
        <v/>
      </c>
      <c r="G232" s="20">
        <f>IF($H232="","",G231+E232-F232)</f>
        <v/>
      </c>
      <c r="H232" s="18">
        <f t="array" ref="H232">IF($B$1="","",IFERROR(_xlfn.AGGREGATE(15,6,ROW('Journal'!$A$3:$A$2002)/(('Journal'!$D$3:$D$2002=$B$1)+('Journal'!$E$3:$E$2002=$B$1))/('Journal'!$B$3:$B$2002&gt;=$B$2)/('Journal'!$B$3:$B$2002&lt;=$B$3),227),""))</f>
        <v/>
      </c>
    </row>
    <row r="233">
      <c r="A233" s="18">
        <f>IF($H233="","",INDEX('Journal'!$A$1:$A$2002,$H233))</f>
        <v/>
      </c>
      <c r="B233" s="21">
        <f>IF($H233="","",INDEX('Journal'!$B$1:$B$2002,$H233))</f>
        <v/>
      </c>
      <c r="C233" s="5">
        <f>IF($H233="","",INDEX('Journal'!$C$1:$C$2002,$H233)&amp;"")</f>
        <v/>
      </c>
      <c r="D233" s="5">
        <f>IF($H233="","",IF(INDEX('Journal'!$D$1:$D$2002,$H233)=$B$1,INDEX('Journal'!$E$1:$E$2002,$H233),INDEX('Journal'!$D$1:$D$2002,$H233))&amp;"")</f>
        <v/>
      </c>
      <c r="E233" s="20">
        <f>IF($H233="","",IF(INDEX('Journal'!$D$1:$D$2002,$H233)=$B$1,N(INDEX('Journal'!$G$1:$G$2002,$H233)),N(INDEX('Journal'!$F$1:$F$2002,$H233))))</f>
        <v/>
      </c>
      <c r="F233" s="20">
        <f>IF($H233="","",IF(INDEX('Journal'!$D$1:$D$2002,$H233)=$B$1,N(INDEX('Journal'!$F$1:$F$2002,$H233)),N(INDEX('Journal'!$G$1:$G$2002,$H233))))</f>
        <v/>
      </c>
      <c r="G233" s="20">
        <f>IF($H233="","",G232+E233-F233)</f>
        <v/>
      </c>
      <c r="H233" s="18">
        <f t="array" ref="H233">IF($B$1="","",IFERROR(_xlfn.AGGREGATE(15,6,ROW('Journal'!$A$3:$A$2002)/(('Journal'!$D$3:$D$2002=$B$1)+('Journal'!$E$3:$E$2002=$B$1))/('Journal'!$B$3:$B$2002&gt;=$B$2)/('Journal'!$B$3:$B$2002&lt;=$B$3),228),""))</f>
        <v/>
      </c>
    </row>
    <row r="234">
      <c r="A234" s="18">
        <f>IF($H234="","",INDEX('Journal'!$A$1:$A$2002,$H234))</f>
        <v/>
      </c>
      <c r="B234" s="21">
        <f>IF($H234="","",INDEX('Journal'!$B$1:$B$2002,$H234))</f>
        <v/>
      </c>
      <c r="C234" s="5">
        <f>IF($H234="","",INDEX('Journal'!$C$1:$C$2002,$H234)&amp;"")</f>
        <v/>
      </c>
      <c r="D234" s="5">
        <f>IF($H234="","",IF(INDEX('Journal'!$D$1:$D$2002,$H234)=$B$1,INDEX('Journal'!$E$1:$E$2002,$H234),INDEX('Journal'!$D$1:$D$2002,$H234))&amp;"")</f>
        <v/>
      </c>
      <c r="E234" s="20">
        <f>IF($H234="","",IF(INDEX('Journal'!$D$1:$D$2002,$H234)=$B$1,N(INDEX('Journal'!$G$1:$G$2002,$H234)),N(INDEX('Journal'!$F$1:$F$2002,$H234))))</f>
        <v/>
      </c>
      <c r="F234" s="20">
        <f>IF($H234="","",IF(INDEX('Journal'!$D$1:$D$2002,$H234)=$B$1,N(INDEX('Journal'!$F$1:$F$2002,$H234)),N(INDEX('Journal'!$G$1:$G$2002,$H234))))</f>
        <v/>
      </c>
      <c r="G234" s="20">
        <f>IF($H234="","",G233+E234-F234)</f>
        <v/>
      </c>
      <c r="H234" s="18">
        <f t="array" ref="H234">IF($B$1="","",IFERROR(_xlfn.AGGREGATE(15,6,ROW('Journal'!$A$3:$A$2002)/(('Journal'!$D$3:$D$2002=$B$1)+('Journal'!$E$3:$E$2002=$B$1))/('Journal'!$B$3:$B$2002&gt;=$B$2)/('Journal'!$B$3:$B$2002&lt;=$B$3),229),""))</f>
        <v/>
      </c>
    </row>
    <row r="235">
      <c r="A235" s="18">
        <f>IF($H235="","",INDEX('Journal'!$A$1:$A$2002,$H235))</f>
        <v/>
      </c>
      <c r="B235" s="21">
        <f>IF($H235="","",INDEX('Journal'!$B$1:$B$2002,$H235))</f>
        <v/>
      </c>
      <c r="C235" s="5">
        <f>IF($H235="","",INDEX('Journal'!$C$1:$C$2002,$H235)&amp;"")</f>
        <v/>
      </c>
      <c r="D235" s="5">
        <f>IF($H235="","",IF(INDEX('Journal'!$D$1:$D$2002,$H235)=$B$1,INDEX('Journal'!$E$1:$E$2002,$H235),INDEX('Journal'!$D$1:$D$2002,$H235))&amp;"")</f>
        <v/>
      </c>
      <c r="E235" s="20">
        <f>IF($H235="","",IF(INDEX('Journal'!$D$1:$D$2002,$H235)=$B$1,N(INDEX('Journal'!$G$1:$G$2002,$H235)),N(INDEX('Journal'!$F$1:$F$2002,$H235))))</f>
        <v/>
      </c>
      <c r="F235" s="20">
        <f>IF($H235="","",IF(INDEX('Journal'!$D$1:$D$2002,$H235)=$B$1,N(INDEX('Journal'!$F$1:$F$2002,$H235)),N(INDEX('Journal'!$G$1:$G$2002,$H235))))</f>
        <v/>
      </c>
      <c r="G235" s="20">
        <f>IF($H235="","",G234+E235-F235)</f>
        <v/>
      </c>
      <c r="H235" s="18">
        <f t="array" ref="H235">IF($B$1="","",IFERROR(_xlfn.AGGREGATE(15,6,ROW('Journal'!$A$3:$A$2002)/(('Journal'!$D$3:$D$2002=$B$1)+('Journal'!$E$3:$E$2002=$B$1))/('Journal'!$B$3:$B$2002&gt;=$B$2)/('Journal'!$B$3:$B$2002&lt;=$B$3),230),""))</f>
        <v/>
      </c>
    </row>
    <row r="236">
      <c r="A236" s="18">
        <f>IF($H236="","",INDEX('Journal'!$A$1:$A$2002,$H236))</f>
        <v/>
      </c>
      <c r="B236" s="21">
        <f>IF($H236="","",INDEX('Journal'!$B$1:$B$2002,$H236))</f>
        <v/>
      </c>
      <c r="C236" s="5">
        <f>IF($H236="","",INDEX('Journal'!$C$1:$C$2002,$H236)&amp;"")</f>
        <v/>
      </c>
      <c r="D236" s="5">
        <f>IF($H236="","",IF(INDEX('Journal'!$D$1:$D$2002,$H236)=$B$1,INDEX('Journal'!$E$1:$E$2002,$H236),INDEX('Journal'!$D$1:$D$2002,$H236))&amp;"")</f>
        <v/>
      </c>
      <c r="E236" s="20">
        <f>IF($H236="","",IF(INDEX('Journal'!$D$1:$D$2002,$H236)=$B$1,N(INDEX('Journal'!$G$1:$G$2002,$H236)),N(INDEX('Journal'!$F$1:$F$2002,$H236))))</f>
        <v/>
      </c>
      <c r="F236" s="20">
        <f>IF($H236="","",IF(INDEX('Journal'!$D$1:$D$2002,$H236)=$B$1,N(INDEX('Journal'!$F$1:$F$2002,$H236)),N(INDEX('Journal'!$G$1:$G$2002,$H236))))</f>
        <v/>
      </c>
      <c r="G236" s="20">
        <f>IF($H236="","",G235+E236-F236)</f>
        <v/>
      </c>
      <c r="H236" s="18">
        <f t="array" ref="H236">IF($B$1="","",IFERROR(_xlfn.AGGREGATE(15,6,ROW('Journal'!$A$3:$A$2002)/(('Journal'!$D$3:$D$2002=$B$1)+('Journal'!$E$3:$E$2002=$B$1))/('Journal'!$B$3:$B$2002&gt;=$B$2)/('Journal'!$B$3:$B$2002&lt;=$B$3),231),""))</f>
        <v/>
      </c>
    </row>
    <row r="237">
      <c r="A237" s="18">
        <f>IF($H237="","",INDEX('Journal'!$A$1:$A$2002,$H237))</f>
        <v/>
      </c>
      <c r="B237" s="21">
        <f>IF($H237="","",INDEX('Journal'!$B$1:$B$2002,$H237))</f>
        <v/>
      </c>
      <c r="C237" s="5">
        <f>IF($H237="","",INDEX('Journal'!$C$1:$C$2002,$H237)&amp;"")</f>
        <v/>
      </c>
      <c r="D237" s="5">
        <f>IF($H237="","",IF(INDEX('Journal'!$D$1:$D$2002,$H237)=$B$1,INDEX('Journal'!$E$1:$E$2002,$H237),INDEX('Journal'!$D$1:$D$2002,$H237))&amp;"")</f>
        <v/>
      </c>
      <c r="E237" s="20">
        <f>IF($H237="","",IF(INDEX('Journal'!$D$1:$D$2002,$H237)=$B$1,N(INDEX('Journal'!$G$1:$G$2002,$H237)),N(INDEX('Journal'!$F$1:$F$2002,$H237))))</f>
        <v/>
      </c>
      <c r="F237" s="20">
        <f>IF($H237="","",IF(INDEX('Journal'!$D$1:$D$2002,$H237)=$B$1,N(INDEX('Journal'!$F$1:$F$2002,$H237)),N(INDEX('Journal'!$G$1:$G$2002,$H237))))</f>
        <v/>
      </c>
      <c r="G237" s="20">
        <f>IF($H237="","",G236+E237-F237)</f>
        <v/>
      </c>
      <c r="H237" s="18">
        <f t="array" ref="H237">IF($B$1="","",IFERROR(_xlfn.AGGREGATE(15,6,ROW('Journal'!$A$3:$A$2002)/(('Journal'!$D$3:$D$2002=$B$1)+('Journal'!$E$3:$E$2002=$B$1))/('Journal'!$B$3:$B$2002&gt;=$B$2)/('Journal'!$B$3:$B$2002&lt;=$B$3),232),""))</f>
        <v/>
      </c>
    </row>
    <row r="238">
      <c r="A238" s="18">
        <f>IF($H238="","",INDEX('Journal'!$A$1:$A$2002,$H238))</f>
        <v/>
      </c>
      <c r="B238" s="21">
        <f>IF($H238="","",INDEX('Journal'!$B$1:$B$2002,$H238))</f>
        <v/>
      </c>
      <c r="C238" s="5">
        <f>IF($H238="","",INDEX('Journal'!$C$1:$C$2002,$H238)&amp;"")</f>
        <v/>
      </c>
      <c r="D238" s="5">
        <f>IF($H238="","",IF(INDEX('Journal'!$D$1:$D$2002,$H238)=$B$1,INDEX('Journal'!$E$1:$E$2002,$H238),INDEX('Journal'!$D$1:$D$2002,$H238))&amp;"")</f>
        <v/>
      </c>
      <c r="E238" s="20">
        <f>IF($H238="","",IF(INDEX('Journal'!$D$1:$D$2002,$H238)=$B$1,N(INDEX('Journal'!$G$1:$G$2002,$H238)),N(INDEX('Journal'!$F$1:$F$2002,$H238))))</f>
        <v/>
      </c>
      <c r="F238" s="20">
        <f>IF($H238="","",IF(INDEX('Journal'!$D$1:$D$2002,$H238)=$B$1,N(INDEX('Journal'!$F$1:$F$2002,$H238)),N(INDEX('Journal'!$G$1:$G$2002,$H238))))</f>
        <v/>
      </c>
      <c r="G238" s="20">
        <f>IF($H238="","",G237+E238-F238)</f>
        <v/>
      </c>
      <c r="H238" s="18">
        <f t="array" ref="H238">IF($B$1="","",IFERROR(_xlfn.AGGREGATE(15,6,ROW('Journal'!$A$3:$A$2002)/(('Journal'!$D$3:$D$2002=$B$1)+('Journal'!$E$3:$E$2002=$B$1))/('Journal'!$B$3:$B$2002&gt;=$B$2)/('Journal'!$B$3:$B$2002&lt;=$B$3),233),""))</f>
        <v/>
      </c>
    </row>
    <row r="239">
      <c r="A239" s="18">
        <f>IF($H239="","",INDEX('Journal'!$A$1:$A$2002,$H239))</f>
        <v/>
      </c>
      <c r="B239" s="21">
        <f>IF($H239="","",INDEX('Journal'!$B$1:$B$2002,$H239))</f>
        <v/>
      </c>
      <c r="C239" s="5">
        <f>IF($H239="","",INDEX('Journal'!$C$1:$C$2002,$H239)&amp;"")</f>
        <v/>
      </c>
      <c r="D239" s="5">
        <f>IF($H239="","",IF(INDEX('Journal'!$D$1:$D$2002,$H239)=$B$1,INDEX('Journal'!$E$1:$E$2002,$H239),INDEX('Journal'!$D$1:$D$2002,$H239))&amp;"")</f>
        <v/>
      </c>
      <c r="E239" s="20">
        <f>IF($H239="","",IF(INDEX('Journal'!$D$1:$D$2002,$H239)=$B$1,N(INDEX('Journal'!$G$1:$G$2002,$H239)),N(INDEX('Journal'!$F$1:$F$2002,$H239))))</f>
        <v/>
      </c>
      <c r="F239" s="20">
        <f>IF($H239="","",IF(INDEX('Journal'!$D$1:$D$2002,$H239)=$B$1,N(INDEX('Journal'!$F$1:$F$2002,$H239)),N(INDEX('Journal'!$G$1:$G$2002,$H239))))</f>
        <v/>
      </c>
      <c r="G239" s="20">
        <f>IF($H239="","",G238+E239-F239)</f>
        <v/>
      </c>
      <c r="H239" s="18">
        <f t="array" ref="H239">IF($B$1="","",IFERROR(_xlfn.AGGREGATE(15,6,ROW('Journal'!$A$3:$A$2002)/(('Journal'!$D$3:$D$2002=$B$1)+('Journal'!$E$3:$E$2002=$B$1))/('Journal'!$B$3:$B$2002&gt;=$B$2)/('Journal'!$B$3:$B$2002&lt;=$B$3),234),""))</f>
        <v/>
      </c>
    </row>
    <row r="240">
      <c r="A240" s="18">
        <f>IF($H240="","",INDEX('Journal'!$A$1:$A$2002,$H240))</f>
        <v/>
      </c>
      <c r="B240" s="21">
        <f>IF($H240="","",INDEX('Journal'!$B$1:$B$2002,$H240))</f>
        <v/>
      </c>
      <c r="C240" s="5">
        <f>IF($H240="","",INDEX('Journal'!$C$1:$C$2002,$H240)&amp;"")</f>
        <v/>
      </c>
      <c r="D240" s="5">
        <f>IF($H240="","",IF(INDEX('Journal'!$D$1:$D$2002,$H240)=$B$1,INDEX('Journal'!$E$1:$E$2002,$H240),INDEX('Journal'!$D$1:$D$2002,$H240))&amp;"")</f>
        <v/>
      </c>
      <c r="E240" s="20">
        <f>IF($H240="","",IF(INDEX('Journal'!$D$1:$D$2002,$H240)=$B$1,N(INDEX('Journal'!$G$1:$G$2002,$H240)),N(INDEX('Journal'!$F$1:$F$2002,$H240))))</f>
        <v/>
      </c>
      <c r="F240" s="20">
        <f>IF($H240="","",IF(INDEX('Journal'!$D$1:$D$2002,$H240)=$B$1,N(INDEX('Journal'!$F$1:$F$2002,$H240)),N(INDEX('Journal'!$G$1:$G$2002,$H240))))</f>
        <v/>
      </c>
      <c r="G240" s="20">
        <f>IF($H240="","",G239+E240-F240)</f>
        <v/>
      </c>
      <c r="H240" s="18">
        <f t="array" ref="H240">IF($B$1="","",IFERROR(_xlfn.AGGREGATE(15,6,ROW('Journal'!$A$3:$A$2002)/(('Journal'!$D$3:$D$2002=$B$1)+('Journal'!$E$3:$E$2002=$B$1))/('Journal'!$B$3:$B$2002&gt;=$B$2)/('Journal'!$B$3:$B$2002&lt;=$B$3),235),""))</f>
        <v/>
      </c>
    </row>
    <row r="241">
      <c r="A241" s="18">
        <f>IF($H241="","",INDEX('Journal'!$A$1:$A$2002,$H241))</f>
        <v/>
      </c>
      <c r="B241" s="21">
        <f>IF($H241="","",INDEX('Journal'!$B$1:$B$2002,$H241))</f>
        <v/>
      </c>
      <c r="C241" s="5">
        <f>IF($H241="","",INDEX('Journal'!$C$1:$C$2002,$H241)&amp;"")</f>
        <v/>
      </c>
      <c r="D241" s="5">
        <f>IF($H241="","",IF(INDEX('Journal'!$D$1:$D$2002,$H241)=$B$1,INDEX('Journal'!$E$1:$E$2002,$H241),INDEX('Journal'!$D$1:$D$2002,$H241))&amp;"")</f>
        <v/>
      </c>
      <c r="E241" s="20">
        <f>IF($H241="","",IF(INDEX('Journal'!$D$1:$D$2002,$H241)=$B$1,N(INDEX('Journal'!$G$1:$G$2002,$H241)),N(INDEX('Journal'!$F$1:$F$2002,$H241))))</f>
        <v/>
      </c>
      <c r="F241" s="20">
        <f>IF($H241="","",IF(INDEX('Journal'!$D$1:$D$2002,$H241)=$B$1,N(INDEX('Journal'!$F$1:$F$2002,$H241)),N(INDEX('Journal'!$G$1:$G$2002,$H241))))</f>
        <v/>
      </c>
      <c r="G241" s="20">
        <f>IF($H241="","",G240+E241-F241)</f>
        <v/>
      </c>
      <c r="H241" s="18">
        <f t="array" ref="H241">IF($B$1="","",IFERROR(_xlfn.AGGREGATE(15,6,ROW('Journal'!$A$3:$A$2002)/(('Journal'!$D$3:$D$2002=$B$1)+('Journal'!$E$3:$E$2002=$B$1))/('Journal'!$B$3:$B$2002&gt;=$B$2)/('Journal'!$B$3:$B$2002&lt;=$B$3),236),""))</f>
        <v/>
      </c>
    </row>
    <row r="242">
      <c r="A242" s="18">
        <f>IF($H242="","",INDEX('Journal'!$A$1:$A$2002,$H242))</f>
        <v/>
      </c>
      <c r="B242" s="21">
        <f>IF($H242="","",INDEX('Journal'!$B$1:$B$2002,$H242))</f>
        <v/>
      </c>
      <c r="C242" s="5">
        <f>IF($H242="","",INDEX('Journal'!$C$1:$C$2002,$H242)&amp;"")</f>
        <v/>
      </c>
      <c r="D242" s="5">
        <f>IF($H242="","",IF(INDEX('Journal'!$D$1:$D$2002,$H242)=$B$1,INDEX('Journal'!$E$1:$E$2002,$H242),INDEX('Journal'!$D$1:$D$2002,$H242))&amp;"")</f>
        <v/>
      </c>
      <c r="E242" s="20">
        <f>IF($H242="","",IF(INDEX('Journal'!$D$1:$D$2002,$H242)=$B$1,N(INDEX('Journal'!$G$1:$G$2002,$H242)),N(INDEX('Journal'!$F$1:$F$2002,$H242))))</f>
        <v/>
      </c>
      <c r="F242" s="20">
        <f>IF($H242="","",IF(INDEX('Journal'!$D$1:$D$2002,$H242)=$B$1,N(INDEX('Journal'!$F$1:$F$2002,$H242)),N(INDEX('Journal'!$G$1:$G$2002,$H242))))</f>
        <v/>
      </c>
      <c r="G242" s="20">
        <f>IF($H242="","",G241+E242-F242)</f>
        <v/>
      </c>
      <c r="H242" s="18">
        <f t="array" ref="H242">IF($B$1="","",IFERROR(_xlfn.AGGREGATE(15,6,ROW('Journal'!$A$3:$A$2002)/(('Journal'!$D$3:$D$2002=$B$1)+('Journal'!$E$3:$E$2002=$B$1))/('Journal'!$B$3:$B$2002&gt;=$B$2)/('Journal'!$B$3:$B$2002&lt;=$B$3),237),""))</f>
        <v/>
      </c>
    </row>
    <row r="243">
      <c r="A243" s="18">
        <f>IF($H243="","",INDEX('Journal'!$A$1:$A$2002,$H243))</f>
        <v/>
      </c>
      <c r="B243" s="21">
        <f>IF($H243="","",INDEX('Journal'!$B$1:$B$2002,$H243))</f>
        <v/>
      </c>
      <c r="C243" s="5">
        <f>IF($H243="","",INDEX('Journal'!$C$1:$C$2002,$H243)&amp;"")</f>
        <v/>
      </c>
      <c r="D243" s="5">
        <f>IF($H243="","",IF(INDEX('Journal'!$D$1:$D$2002,$H243)=$B$1,INDEX('Journal'!$E$1:$E$2002,$H243),INDEX('Journal'!$D$1:$D$2002,$H243))&amp;"")</f>
        <v/>
      </c>
      <c r="E243" s="20">
        <f>IF($H243="","",IF(INDEX('Journal'!$D$1:$D$2002,$H243)=$B$1,N(INDEX('Journal'!$G$1:$G$2002,$H243)),N(INDEX('Journal'!$F$1:$F$2002,$H243))))</f>
        <v/>
      </c>
      <c r="F243" s="20">
        <f>IF($H243="","",IF(INDEX('Journal'!$D$1:$D$2002,$H243)=$B$1,N(INDEX('Journal'!$F$1:$F$2002,$H243)),N(INDEX('Journal'!$G$1:$G$2002,$H243))))</f>
        <v/>
      </c>
      <c r="G243" s="20">
        <f>IF($H243="","",G242+E243-F243)</f>
        <v/>
      </c>
      <c r="H243" s="18">
        <f t="array" ref="H243">IF($B$1="","",IFERROR(_xlfn.AGGREGATE(15,6,ROW('Journal'!$A$3:$A$2002)/(('Journal'!$D$3:$D$2002=$B$1)+('Journal'!$E$3:$E$2002=$B$1))/('Journal'!$B$3:$B$2002&gt;=$B$2)/('Journal'!$B$3:$B$2002&lt;=$B$3),238),""))</f>
        <v/>
      </c>
    </row>
    <row r="244">
      <c r="A244" s="18">
        <f>IF($H244="","",INDEX('Journal'!$A$1:$A$2002,$H244))</f>
        <v/>
      </c>
      <c r="B244" s="21">
        <f>IF($H244="","",INDEX('Journal'!$B$1:$B$2002,$H244))</f>
        <v/>
      </c>
      <c r="C244" s="5">
        <f>IF($H244="","",INDEX('Journal'!$C$1:$C$2002,$H244)&amp;"")</f>
        <v/>
      </c>
      <c r="D244" s="5">
        <f>IF($H244="","",IF(INDEX('Journal'!$D$1:$D$2002,$H244)=$B$1,INDEX('Journal'!$E$1:$E$2002,$H244),INDEX('Journal'!$D$1:$D$2002,$H244))&amp;"")</f>
        <v/>
      </c>
      <c r="E244" s="20">
        <f>IF($H244="","",IF(INDEX('Journal'!$D$1:$D$2002,$H244)=$B$1,N(INDEX('Journal'!$G$1:$G$2002,$H244)),N(INDEX('Journal'!$F$1:$F$2002,$H244))))</f>
        <v/>
      </c>
      <c r="F244" s="20">
        <f>IF($H244="","",IF(INDEX('Journal'!$D$1:$D$2002,$H244)=$B$1,N(INDEX('Journal'!$F$1:$F$2002,$H244)),N(INDEX('Journal'!$G$1:$G$2002,$H244))))</f>
        <v/>
      </c>
      <c r="G244" s="20">
        <f>IF($H244="","",G243+E244-F244)</f>
        <v/>
      </c>
      <c r="H244" s="18">
        <f t="array" ref="H244">IF($B$1="","",IFERROR(_xlfn.AGGREGATE(15,6,ROW('Journal'!$A$3:$A$2002)/(('Journal'!$D$3:$D$2002=$B$1)+('Journal'!$E$3:$E$2002=$B$1))/('Journal'!$B$3:$B$2002&gt;=$B$2)/('Journal'!$B$3:$B$2002&lt;=$B$3),239),""))</f>
        <v/>
      </c>
    </row>
    <row r="245">
      <c r="A245" s="18">
        <f>IF($H245="","",INDEX('Journal'!$A$1:$A$2002,$H245))</f>
        <v/>
      </c>
      <c r="B245" s="21">
        <f>IF($H245="","",INDEX('Journal'!$B$1:$B$2002,$H245))</f>
        <v/>
      </c>
      <c r="C245" s="5">
        <f>IF($H245="","",INDEX('Journal'!$C$1:$C$2002,$H245)&amp;"")</f>
        <v/>
      </c>
      <c r="D245" s="5">
        <f>IF($H245="","",IF(INDEX('Journal'!$D$1:$D$2002,$H245)=$B$1,INDEX('Journal'!$E$1:$E$2002,$H245),INDEX('Journal'!$D$1:$D$2002,$H245))&amp;"")</f>
        <v/>
      </c>
      <c r="E245" s="20">
        <f>IF($H245="","",IF(INDEX('Journal'!$D$1:$D$2002,$H245)=$B$1,N(INDEX('Journal'!$G$1:$G$2002,$H245)),N(INDEX('Journal'!$F$1:$F$2002,$H245))))</f>
        <v/>
      </c>
      <c r="F245" s="20">
        <f>IF($H245="","",IF(INDEX('Journal'!$D$1:$D$2002,$H245)=$B$1,N(INDEX('Journal'!$F$1:$F$2002,$H245)),N(INDEX('Journal'!$G$1:$G$2002,$H245))))</f>
        <v/>
      </c>
      <c r="G245" s="20">
        <f>IF($H245="","",G244+E245-F245)</f>
        <v/>
      </c>
      <c r="H245" s="18">
        <f t="array" ref="H245">IF($B$1="","",IFERROR(_xlfn.AGGREGATE(15,6,ROW('Journal'!$A$3:$A$2002)/(('Journal'!$D$3:$D$2002=$B$1)+('Journal'!$E$3:$E$2002=$B$1))/('Journal'!$B$3:$B$2002&gt;=$B$2)/('Journal'!$B$3:$B$2002&lt;=$B$3),240),""))</f>
        <v/>
      </c>
    </row>
    <row r="246">
      <c r="A246" s="18">
        <f>IF($H246="","",INDEX('Journal'!$A$1:$A$2002,$H246))</f>
        <v/>
      </c>
      <c r="B246" s="21">
        <f>IF($H246="","",INDEX('Journal'!$B$1:$B$2002,$H246))</f>
        <v/>
      </c>
      <c r="C246" s="5">
        <f>IF($H246="","",INDEX('Journal'!$C$1:$C$2002,$H246)&amp;"")</f>
        <v/>
      </c>
      <c r="D246" s="5">
        <f>IF($H246="","",IF(INDEX('Journal'!$D$1:$D$2002,$H246)=$B$1,INDEX('Journal'!$E$1:$E$2002,$H246),INDEX('Journal'!$D$1:$D$2002,$H246))&amp;"")</f>
        <v/>
      </c>
      <c r="E246" s="20">
        <f>IF($H246="","",IF(INDEX('Journal'!$D$1:$D$2002,$H246)=$B$1,N(INDEX('Journal'!$G$1:$G$2002,$H246)),N(INDEX('Journal'!$F$1:$F$2002,$H246))))</f>
        <v/>
      </c>
      <c r="F246" s="20">
        <f>IF($H246="","",IF(INDEX('Journal'!$D$1:$D$2002,$H246)=$B$1,N(INDEX('Journal'!$F$1:$F$2002,$H246)),N(INDEX('Journal'!$G$1:$G$2002,$H246))))</f>
        <v/>
      </c>
      <c r="G246" s="20">
        <f>IF($H246="","",G245+E246-F246)</f>
        <v/>
      </c>
      <c r="H246" s="18">
        <f t="array" ref="H246">IF($B$1="","",IFERROR(_xlfn.AGGREGATE(15,6,ROW('Journal'!$A$3:$A$2002)/(('Journal'!$D$3:$D$2002=$B$1)+('Journal'!$E$3:$E$2002=$B$1))/('Journal'!$B$3:$B$2002&gt;=$B$2)/('Journal'!$B$3:$B$2002&lt;=$B$3),241),""))</f>
        <v/>
      </c>
    </row>
    <row r="247">
      <c r="A247" s="18">
        <f>IF($H247="","",INDEX('Journal'!$A$1:$A$2002,$H247))</f>
        <v/>
      </c>
      <c r="B247" s="21">
        <f>IF($H247="","",INDEX('Journal'!$B$1:$B$2002,$H247))</f>
        <v/>
      </c>
      <c r="C247" s="5">
        <f>IF($H247="","",INDEX('Journal'!$C$1:$C$2002,$H247)&amp;"")</f>
        <v/>
      </c>
      <c r="D247" s="5">
        <f>IF($H247="","",IF(INDEX('Journal'!$D$1:$D$2002,$H247)=$B$1,INDEX('Journal'!$E$1:$E$2002,$H247),INDEX('Journal'!$D$1:$D$2002,$H247))&amp;"")</f>
        <v/>
      </c>
      <c r="E247" s="20">
        <f>IF($H247="","",IF(INDEX('Journal'!$D$1:$D$2002,$H247)=$B$1,N(INDEX('Journal'!$G$1:$G$2002,$H247)),N(INDEX('Journal'!$F$1:$F$2002,$H247))))</f>
        <v/>
      </c>
      <c r="F247" s="20">
        <f>IF($H247="","",IF(INDEX('Journal'!$D$1:$D$2002,$H247)=$B$1,N(INDEX('Journal'!$F$1:$F$2002,$H247)),N(INDEX('Journal'!$G$1:$G$2002,$H247))))</f>
        <v/>
      </c>
      <c r="G247" s="20">
        <f>IF($H247="","",G246+E247-F247)</f>
        <v/>
      </c>
      <c r="H247" s="18">
        <f t="array" ref="H247">IF($B$1="","",IFERROR(_xlfn.AGGREGATE(15,6,ROW('Journal'!$A$3:$A$2002)/(('Journal'!$D$3:$D$2002=$B$1)+('Journal'!$E$3:$E$2002=$B$1))/('Journal'!$B$3:$B$2002&gt;=$B$2)/('Journal'!$B$3:$B$2002&lt;=$B$3),242),""))</f>
        <v/>
      </c>
    </row>
    <row r="248">
      <c r="A248" s="18">
        <f>IF($H248="","",INDEX('Journal'!$A$1:$A$2002,$H248))</f>
        <v/>
      </c>
      <c r="B248" s="21">
        <f>IF($H248="","",INDEX('Journal'!$B$1:$B$2002,$H248))</f>
        <v/>
      </c>
      <c r="C248" s="5">
        <f>IF($H248="","",INDEX('Journal'!$C$1:$C$2002,$H248)&amp;"")</f>
        <v/>
      </c>
      <c r="D248" s="5">
        <f>IF($H248="","",IF(INDEX('Journal'!$D$1:$D$2002,$H248)=$B$1,INDEX('Journal'!$E$1:$E$2002,$H248),INDEX('Journal'!$D$1:$D$2002,$H248))&amp;"")</f>
        <v/>
      </c>
      <c r="E248" s="20">
        <f>IF($H248="","",IF(INDEX('Journal'!$D$1:$D$2002,$H248)=$B$1,N(INDEX('Journal'!$G$1:$G$2002,$H248)),N(INDEX('Journal'!$F$1:$F$2002,$H248))))</f>
        <v/>
      </c>
      <c r="F248" s="20">
        <f>IF($H248="","",IF(INDEX('Journal'!$D$1:$D$2002,$H248)=$B$1,N(INDEX('Journal'!$F$1:$F$2002,$H248)),N(INDEX('Journal'!$G$1:$G$2002,$H248))))</f>
        <v/>
      </c>
      <c r="G248" s="20">
        <f>IF($H248="","",G247+E248-F248)</f>
        <v/>
      </c>
      <c r="H248" s="18">
        <f t="array" ref="H248">IF($B$1="","",IFERROR(_xlfn.AGGREGATE(15,6,ROW('Journal'!$A$3:$A$2002)/(('Journal'!$D$3:$D$2002=$B$1)+('Journal'!$E$3:$E$2002=$B$1))/('Journal'!$B$3:$B$2002&gt;=$B$2)/('Journal'!$B$3:$B$2002&lt;=$B$3),243),""))</f>
        <v/>
      </c>
    </row>
    <row r="249">
      <c r="A249" s="18">
        <f>IF($H249="","",INDEX('Journal'!$A$1:$A$2002,$H249))</f>
        <v/>
      </c>
      <c r="B249" s="21">
        <f>IF($H249="","",INDEX('Journal'!$B$1:$B$2002,$H249))</f>
        <v/>
      </c>
      <c r="C249" s="5">
        <f>IF($H249="","",INDEX('Journal'!$C$1:$C$2002,$H249)&amp;"")</f>
        <v/>
      </c>
      <c r="D249" s="5">
        <f>IF($H249="","",IF(INDEX('Journal'!$D$1:$D$2002,$H249)=$B$1,INDEX('Journal'!$E$1:$E$2002,$H249),INDEX('Journal'!$D$1:$D$2002,$H249))&amp;"")</f>
        <v/>
      </c>
      <c r="E249" s="20">
        <f>IF($H249="","",IF(INDEX('Journal'!$D$1:$D$2002,$H249)=$B$1,N(INDEX('Journal'!$G$1:$G$2002,$H249)),N(INDEX('Journal'!$F$1:$F$2002,$H249))))</f>
        <v/>
      </c>
      <c r="F249" s="20">
        <f>IF($H249="","",IF(INDEX('Journal'!$D$1:$D$2002,$H249)=$B$1,N(INDEX('Journal'!$F$1:$F$2002,$H249)),N(INDEX('Journal'!$G$1:$G$2002,$H249))))</f>
        <v/>
      </c>
      <c r="G249" s="20">
        <f>IF($H249="","",G248+E249-F249)</f>
        <v/>
      </c>
      <c r="H249" s="18">
        <f t="array" ref="H249">IF($B$1="","",IFERROR(_xlfn.AGGREGATE(15,6,ROW('Journal'!$A$3:$A$2002)/(('Journal'!$D$3:$D$2002=$B$1)+('Journal'!$E$3:$E$2002=$B$1))/('Journal'!$B$3:$B$2002&gt;=$B$2)/('Journal'!$B$3:$B$2002&lt;=$B$3),244),""))</f>
        <v/>
      </c>
    </row>
    <row r="250">
      <c r="A250" s="18">
        <f>IF($H250="","",INDEX('Journal'!$A$1:$A$2002,$H250))</f>
        <v/>
      </c>
      <c r="B250" s="21">
        <f>IF($H250="","",INDEX('Journal'!$B$1:$B$2002,$H250))</f>
        <v/>
      </c>
      <c r="C250" s="5">
        <f>IF($H250="","",INDEX('Journal'!$C$1:$C$2002,$H250)&amp;"")</f>
        <v/>
      </c>
      <c r="D250" s="5">
        <f>IF($H250="","",IF(INDEX('Journal'!$D$1:$D$2002,$H250)=$B$1,INDEX('Journal'!$E$1:$E$2002,$H250),INDEX('Journal'!$D$1:$D$2002,$H250))&amp;"")</f>
        <v/>
      </c>
      <c r="E250" s="20">
        <f>IF($H250="","",IF(INDEX('Journal'!$D$1:$D$2002,$H250)=$B$1,N(INDEX('Journal'!$G$1:$G$2002,$H250)),N(INDEX('Journal'!$F$1:$F$2002,$H250))))</f>
        <v/>
      </c>
      <c r="F250" s="20">
        <f>IF($H250="","",IF(INDEX('Journal'!$D$1:$D$2002,$H250)=$B$1,N(INDEX('Journal'!$F$1:$F$2002,$H250)),N(INDEX('Journal'!$G$1:$G$2002,$H250))))</f>
        <v/>
      </c>
      <c r="G250" s="20">
        <f>IF($H250="","",G249+E250-F250)</f>
        <v/>
      </c>
      <c r="H250" s="18">
        <f t="array" ref="H250">IF($B$1="","",IFERROR(_xlfn.AGGREGATE(15,6,ROW('Journal'!$A$3:$A$2002)/(('Journal'!$D$3:$D$2002=$B$1)+('Journal'!$E$3:$E$2002=$B$1))/('Journal'!$B$3:$B$2002&gt;=$B$2)/('Journal'!$B$3:$B$2002&lt;=$B$3),245),""))</f>
        <v/>
      </c>
    </row>
    <row r="251">
      <c r="A251" s="18">
        <f>IF($H251="","",INDEX('Journal'!$A$1:$A$2002,$H251))</f>
        <v/>
      </c>
      <c r="B251" s="21">
        <f>IF($H251="","",INDEX('Journal'!$B$1:$B$2002,$H251))</f>
        <v/>
      </c>
      <c r="C251" s="5">
        <f>IF($H251="","",INDEX('Journal'!$C$1:$C$2002,$H251)&amp;"")</f>
        <v/>
      </c>
      <c r="D251" s="5">
        <f>IF($H251="","",IF(INDEX('Journal'!$D$1:$D$2002,$H251)=$B$1,INDEX('Journal'!$E$1:$E$2002,$H251),INDEX('Journal'!$D$1:$D$2002,$H251))&amp;"")</f>
        <v/>
      </c>
      <c r="E251" s="20">
        <f>IF($H251="","",IF(INDEX('Journal'!$D$1:$D$2002,$H251)=$B$1,N(INDEX('Journal'!$G$1:$G$2002,$H251)),N(INDEX('Journal'!$F$1:$F$2002,$H251))))</f>
        <v/>
      </c>
      <c r="F251" s="20">
        <f>IF($H251="","",IF(INDEX('Journal'!$D$1:$D$2002,$H251)=$B$1,N(INDEX('Journal'!$F$1:$F$2002,$H251)),N(INDEX('Journal'!$G$1:$G$2002,$H251))))</f>
        <v/>
      </c>
      <c r="G251" s="20">
        <f>IF($H251="","",G250+E251-F251)</f>
        <v/>
      </c>
      <c r="H251" s="18">
        <f t="array" ref="H251">IF($B$1="","",IFERROR(_xlfn.AGGREGATE(15,6,ROW('Journal'!$A$3:$A$2002)/(('Journal'!$D$3:$D$2002=$B$1)+('Journal'!$E$3:$E$2002=$B$1))/('Journal'!$B$3:$B$2002&gt;=$B$2)/('Journal'!$B$3:$B$2002&lt;=$B$3),246),""))</f>
        <v/>
      </c>
    </row>
    <row r="252">
      <c r="A252" s="18">
        <f>IF($H252="","",INDEX('Journal'!$A$1:$A$2002,$H252))</f>
        <v/>
      </c>
      <c r="B252" s="21">
        <f>IF($H252="","",INDEX('Journal'!$B$1:$B$2002,$H252))</f>
        <v/>
      </c>
      <c r="C252" s="5">
        <f>IF($H252="","",INDEX('Journal'!$C$1:$C$2002,$H252)&amp;"")</f>
        <v/>
      </c>
      <c r="D252" s="5">
        <f>IF($H252="","",IF(INDEX('Journal'!$D$1:$D$2002,$H252)=$B$1,INDEX('Journal'!$E$1:$E$2002,$H252),INDEX('Journal'!$D$1:$D$2002,$H252))&amp;"")</f>
        <v/>
      </c>
      <c r="E252" s="20">
        <f>IF($H252="","",IF(INDEX('Journal'!$D$1:$D$2002,$H252)=$B$1,N(INDEX('Journal'!$G$1:$G$2002,$H252)),N(INDEX('Journal'!$F$1:$F$2002,$H252))))</f>
        <v/>
      </c>
      <c r="F252" s="20">
        <f>IF($H252="","",IF(INDEX('Journal'!$D$1:$D$2002,$H252)=$B$1,N(INDEX('Journal'!$F$1:$F$2002,$H252)),N(INDEX('Journal'!$G$1:$G$2002,$H252))))</f>
        <v/>
      </c>
      <c r="G252" s="20">
        <f>IF($H252="","",G251+E252-F252)</f>
        <v/>
      </c>
      <c r="H252" s="18">
        <f t="array" ref="H252">IF($B$1="","",IFERROR(_xlfn.AGGREGATE(15,6,ROW('Journal'!$A$3:$A$2002)/(('Journal'!$D$3:$D$2002=$B$1)+('Journal'!$E$3:$E$2002=$B$1))/('Journal'!$B$3:$B$2002&gt;=$B$2)/('Journal'!$B$3:$B$2002&lt;=$B$3),247),""))</f>
        <v/>
      </c>
    </row>
    <row r="253">
      <c r="A253" s="18">
        <f>IF($H253="","",INDEX('Journal'!$A$1:$A$2002,$H253))</f>
        <v/>
      </c>
      <c r="B253" s="21">
        <f>IF($H253="","",INDEX('Journal'!$B$1:$B$2002,$H253))</f>
        <v/>
      </c>
      <c r="C253" s="5">
        <f>IF($H253="","",INDEX('Journal'!$C$1:$C$2002,$H253)&amp;"")</f>
        <v/>
      </c>
      <c r="D253" s="5">
        <f>IF($H253="","",IF(INDEX('Journal'!$D$1:$D$2002,$H253)=$B$1,INDEX('Journal'!$E$1:$E$2002,$H253),INDEX('Journal'!$D$1:$D$2002,$H253))&amp;"")</f>
        <v/>
      </c>
      <c r="E253" s="20">
        <f>IF($H253="","",IF(INDEX('Journal'!$D$1:$D$2002,$H253)=$B$1,N(INDEX('Journal'!$G$1:$G$2002,$H253)),N(INDEX('Journal'!$F$1:$F$2002,$H253))))</f>
        <v/>
      </c>
      <c r="F253" s="20">
        <f>IF($H253="","",IF(INDEX('Journal'!$D$1:$D$2002,$H253)=$B$1,N(INDEX('Journal'!$F$1:$F$2002,$H253)),N(INDEX('Journal'!$G$1:$G$2002,$H253))))</f>
        <v/>
      </c>
      <c r="G253" s="20">
        <f>IF($H253="","",G252+E253-F253)</f>
        <v/>
      </c>
      <c r="H253" s="18">
        <f t="array" ref="H253">IF($B$1="","",IFERROR(_xlfn.AGGREGATE(15,6,ROW('Journal'!$A$3:$A$2002)/(('Journal'!$D$3:$D$2002=$B$1)+('Journal'!$E$3:$E$2002=$B$1))/('Journal'!$B$3:$B$2002&gt;=$B$2)/('Journal'!$B$3:$B$2002&lt;=$B$3),248),""))</f>
        <v/>
      </c>
    </row>
    <row r="254">
      <c r="A254" s="18">
        <f>IF($H254="","",INDEX('Journal'!$A$1:$A$2002,$H254))</f>
        <v/>
      </c>
      <c r="B254" s="21">
        <f>IF($H254="","",INDEX('Journal'!$B$1:$B$2002,$H254))</f>
        <v/>
      </c>
      <c r="C254" s="5">
        <f>IF($H254="","",INDEX('Journal'!$C$1:$C$2002,$H254)&amp;"")</f>
        <v/>
      </c>
      <c r="D254" s="5">
        <f>IF($H254="","",IF(INDEX('Journal'!$D$1:$D$2002,$H254)=$B$1,INDEX('Journal'!$E$1:$E$2002,$H254),INDEX('Journal'!$D$1:$D$2002,$H254))&amp;"")</f>
        <v/>
      </c>
      <c r="E254" s="20">
        <f>IF($H254="","",IF(INDEX('Journal'!$D$1:$D$2002,$H254)=$B$1,N(INDEX('Journal'!$G$1:$G$2002,$H254)),N(INDEX('Journal'!$F$1:$F$2002,$H254))))</f>
        <v/>
      </c>
      <c r="F254" s="20">
        <f>IF($H254="","",IF(INDEX('Journal'!$D$1:$D$2002,$H254)=$B$1,N(INDEX('Journal'!$F$1:$F$2002,$H254)),N(INDEX('Journal'!$G$1:$G$2002,$H254))))</f>
        <v/>
      </c>
      <c r="G254" s="20">
        <f>IF($H254="","",G253+E254-F254)</f>
        <v/>
      </c>
      <c r="H254" s="18">
        <f t="array" ref="H254">IF($B$1="","",IFERROR(_xlfn.AGGREGATE(15,6,ROW('Journal'!$A$3:$A$2002)/(('Journal'!$D$3:$D$2002=$B$1)+('Journal'!$E$3:$E$2002=$B$1))/('Journal'!$B$3:$B$2002&gt;=$B$2)/('Journal'!$B$3:$B$2002&lt;=$B$3),249),""))</f>
        <v/>
      </c>
    </row>
    <row r="255">
      <c r="A255" s="18">
        <f>IF($H255="","",INDEX('Journal'!$A$1:$A$2002,$H255))</f>
        <v/>
      </c>
      <c r="B255" s="21">
        <f>IF($H255="","",INDEX('Journal'!$B$1:$B$2002,$H255))</f>
        <v/>
      </c>
      <c r="C255" s="5">
        <f>IF($H255="","",INDEX('Journal'!$C$1:$C$2002,$H255)&amp;"")</f>
        <v/>
      </c>
      <c r="D255" s="5">
        <f>IF($H255="","",IF(INDEX('Journal'!$D$1:$D$2002,$H255)=$B$1,INDEX('Journal'!$E$1:$E$2002,$H255),INDEX('Journal'!$D$1:$D$2002,$H255))&amp;"")</f>
        <v/>
      </c>
      <c r="E255" s="20">
        <f>IF($H255="","",IF(INDEX('Journal'!$D$1:$D$2002,$H255)=$B$1,N(INDEX('Journal'!$G$1:$G$2002,$H255)),N(INDEX('Journal'!$F$1:$F$2002,$H255))))</f>
        <v/>
      </c>
      <c r="F255" s="20">
        <f>IF($H255="","",IF(INDEX('Journal'!$D$1:$D$2002,$H255)=$B$1,N(INDEX('Journal'!$F$1:$F$2002,$H255)),N(INDEX('Journal'!$G$1:$G$2002,$H255))))</f>
        <v/>
      </c>
      <c r="G255" s="20">
        <f>IF($H255="","",G254+E255-F255)</f>
        <v/>
      </c>
      <c r="H255" s="18">
        <f t="array" ref="H255">IF($B$1="","",IFERROR(_xlfn.AGGREGATE(15,6,ROW('Journal'!$A$3:$A$2002)/(('Journal'!$D$3:$D$2002=$B$1)+('Journal'!$E$3:$E$2002=$B$1))/('Journal'!$B$3:$B$2002&gt;=$B$2)/('Journal'!$B$3:$B$2002&lt;=$B$3),250),""))</f>
        <v/>
      </c>
    </row>
    <row r="256">
      <c r="A256" s="18">
        <f>IF($H256="","",INDEX('Journal'!$A$1:$A$2002,$H256))</f>
        <v/>
      </c>
      <c r="B256" s="21">
        <f>IF($H256="","",INDEX('Journal'!$B$1:$B$2002,$H256))</f>
        <v/>
      </c>
      <c r="C256" s="5">
        <f>IF($H256="","",INDEX('Journal'!$C$1:$C$2002,$H256)&amp;"")</f>
        <v/>
      </c>
      <c r="D256" s="5">
        <f>IF($H256="","",IF(INDEX('Journal'!$D$1:$D$2002,$H256)=$B$1,INDEX('Journal'!$E$1:$E$2002,$H256),INDEX('Journal'!$D$1:$D$2002,$H256))&amp;"")</f>
        <v/>
      </c>
      <c r="E256" s="20">
        <f>IF($H256="","",IF(INDEX('Journal'!$D$1:$D$2002,$H256)=$B$1,N(INDEX('Journal'!$G$1:$G$2002,$H256)),N(INDEX('Journal'!$F$1:$F$2002,$H256))))</f>
        <v/>
      </c>
      <c r="F256" s="20">
        <f>IF($H256="","",IF(INDEX('Journal'!$D$1:$D$2002,$H256)=$B$1,N(INDEX('Journal'!$F$1:$F$2002,$H256)),N(INDEX('Journal'!$G$1:$G$2002,$H256))))</f>
        <v/>
      </c>
      <c r="G256" s="20">
        <f>IF($H256="","",G255+E256-F256)</f>
        <v/>
      </c>
      <c r="H256" s="18">
        <f t="array" ref="H256">IF($B$1="","",IFERROR(_xlfn.AGGREGATE(15,6,ROW('Journal'!$A$3:$A$2002)/(('Journal'!$D$3:$D$2002=$B$1)+('Journal'!$E$3:$E$2002=$B$1))/('Journal'!$B$3:$B$2002&gt;=$B$2)/('Journal'!$B$3:$B$2002&lt;=$B$3),251),""))</f>
        <v/>
      </c>
    </row>
    <row r="257">
      <c r="A257" s="18">
        <f>IF($H257="","",INDEX('Journal'!$A$1:$A$2002,$H257))</f>
        <v/>
      </c>
      <c r="B257" s="21">
        <f>IF($H257="","",INDEX('Journal'!$B$1:$B$2002,$H257))</f>
        <v/>
      </c>
      <c r="C257" s="5">
        <f>IF($H257="","",INDEX('Journal'!$C$1:$C$2002,$H257)&amp;"")</f>
        <v/>
      </c>
      <c r="D257" s="5">
        <f>IF($H257="","",IF(INDEX('Journal'!$D$1:$D$2002,$H257)=$B$1,INDEX('Journal'!$E$1:$E$2002,$H257),INDEX('Journal'!$D$1:$D$2002,$H257))&amp;"")</f>
        <v/>
      </c>
      <c r="E257" s="20">
        <f>IF($H257="","",IF(INDEX('Journal'!$D$1:$D$2002,$H257)=$B$1,N(INDEX('Journal'!$G$1:$G$2002,$H257)),N(INDEX('Journal'!$F$1:$F$2002,$H257))))</f>
        <v/>
      </c>
      <c r="F257" s="20">
        <f>IF($H257="","",IF(INDEX('Journal'!$D$1:$D$2002,$H257)=$B$1,N(INDEX('Journal'!$F$1:$F$2002,$H257)),N(INDEX('Journal'!$G$1:$G$2002,$H257))))</f>
        <v/>
      </c>
      <c r="G257" s="20">
        <f>IF($H257="","",G256+E257-F257)</f>
        <v/>
      </c>
      <c r="H257" s="18">
        <f t="array" ref="H257">IF($B$1="","",IFERROR(_xlfn.AGGREGATE(15,6,ROW('Journal'!$A$3:$A$2002)/(('Journal'!$D$3:$D$2002=$B$1)+('Journal'!$E$3:$E$2002=$B$1))/('Journal'!$B$3:$B$2002&gt;=$B$2)/('Journal'!$B$3:$B$2002&lt;=$B$3),252),""))</f>
        <v/>
      </c>
    </row>
    <row r="258">
      <c r="A258" s="18">
        <f>IF($H258="","",INDEX('Journal'!$A$1:$A$2002,$H258))</f>
        <v/>
      </c>
      <c r="B258" s="21">
        <f>IF($H258="","",INDEX('Journal'!$B$1:$B$2002,$H258))</f>
        <v/>
      </c>
      <c r="C258" s="5">
        <f>IF($H258="","",INDEX('Journal'!$C$1:$C$2002,$H258)&amp;"")</f>
        <v/>
      </c>
      <c r="D258" s="5">
        <f>IF($H258="","",IF(INDEX('Journal'!$D$1:$D$2002,$H258)=$B$1,INDEX('Journal'!$E$1:$E$2002,$H258),INDEX('Journal'!$D$1:$D$2002,$H258))&amp;"")</f>
        <v/>
      </c>
      <c r="E258" s="20">
        <f>IF($H258="","",IF(INDEX('Journal'!$D$1:$D$2002,$H258)=$B$1,N(INDEX('Journal'!$G$1:$G$2002,$H258)),N(INDEX('Journal'!$F$1:$F$2002,$H258))))</f>
        <v/>
      </c>
      <c r="F258" s="20">
        <f>IF($H258="","",IF(INDEX('Journal'!$D$1:$D$2002,$H258)=$B$1,N(INDEX('Journal'!$F$1:$F$2002,$H258)),N(INDEX('Journal'!$G$1:$G$2002,$H258))))</f>
        <v/>
      </c>
      <c r="G258" s="20">
        <f>IF($H258="","",G257+E258-F258)</f>
        <v/>
      </c>
      <c r="H258" s="18">
        <f t="array" ref="H258">IF($B$1="","",IFERROR(_xlfn.AGGREGATE(15,6,ROW('Journal'!$A$3:$A$2002)/(('Journal'!$D$3:$D$2002=$B$1)+('Journal'!$E$3:$E$2002=$B$1))/('Journal'!$B$3:$B$2002&gt;=$B$2)/('Journal'!$B$3:$B$2002&lt;=$B$3),253),""))</f>
        <v/>
      </c>
    </row>
    <row r="259">
      <c r="A259" s="18">
        <f>IF($H259="","",INDEX('Journal'!$A$1:$A$2002,$H259))</f>
        <v/>
      </c>
      <c r="B259" s="21">
        <f>IF($H259="","",INDEX('Journal'!$B$1:$B$2002,$H259))</f>
        <v/>
      </c>
      <c r="C259" s="5">
        <f>IF($H259="","",INDEX('Journal'!$C$1:$C$2002,$H259)&amp;"")</f>
        <v/>
      </c>
      <c r="D259" s="5">
        <f>IF($H259="","",IF(INDEX('Journal'!$D$1:$D$2002,$H259)=$B$1,INDEX('Journal'!$E$1:$E$2002,$H259),INDEX('Journal'!$D$1:$D$2002,$H259))&amp;"")</f>
        <v/>
      </c>
      <c r="E259" s="20">
        <f>IF($H259="","",IF(INDEX('Journal'!$D$1:$D$2002,$H259)=$B$1,N(INDEX('Journal'!$G$1:$G$2002,$H259)),N(INDEX('Journal'!$F$1:$F$2002,$H259))))</f>
        <v/>
      </c>
      <c r="F259" s="20">
        <f>IF($H259="","",IF(INDEX('Journal'!$D$1:$D$2002,$H259)=$B$1,N(INDEX('Journal'!$F$1:$F$2002,$H259)),N(INDEX('Journal'!$G$1:$G$2002,$H259))))</f>
        <v/>
      </c>
      <c r="G259" s="20">
        <f>IF($H259="","",G258+E259-F259)</f>
        <v/>
      </c>
      <c r="H259" s="18">
        <f t="array" ref="H259">IF($B$1="","",IFERROR(_xlfn.AGGREGATE(15,6,ROW('Journal'!$A$3:$A$2002)/(('Journal'!$D$3:$D$2002=$B$1)+('Journal'!$E$3:$E$2002=$B$1))/('Journal'!$B$3:$B$2002&gt;=$B$2)/('Journal'!$B$3:$B$2002&lt;=$B$3),254),""))</f>
        <v/>
      </c>
    </row>
    <row r="260">
      <c r="A260" s="18">
        <f>IF($H260="","",INDEX('Journal'!$A$1:$A$2002,$H260))</f>
        <v/>
      </c>
      <c r="B260" s="21">
        <f>IF($H260="","",INDEX('Journal'!$B$1:$B$2002,$H260))</f>
        <v/>
      </c>
      <c r="C260" s="5">
        <f>IF($H260="","",INDEX('Journal'!$C$1:$C$2002,$H260)&amp;"")</f>
        <v/>
      </c>
      <c r="D260" s="5">
        <f>IF($H260="","",IF(INDEX('Journal'!$D$1:$D$2002,$H260)=$B$1,INDEX('Journal'!$E$1:$E$2002,$H260),INDEX('Journal'!$D$1:$D$2002,$H260))&amp;"")</f>
        <v/>
      </c>
      <c r="E260" s="20">
        <f>IF($H260="","",IF(INDEX('Journal'!$D$1:$D$2002,$H260)=$B$1,N(INDEX('Journal'!$G$1:$G$2002,$H260)),N(INDEX('Journal'!$F$1:$F$2002,$H260))))</f>
        <v/>
      </c>
      <c r="F260" s="20">
        <f>IF($H260="","",IF(INDEX('Journal'!$D$1:$D$2002,$H260)=$B$1,N(INDEX('Journal'!$F$1:$F$2002,$H260)),N(INDEX('Journal'!$G$1:$G$2002,$H260))))</f>
        <v/>
      </c>
      <c r="G260" s="20">
        <f>IF($H260="","",G259+E260-F260)</f>
        <v/>
      </c>
      <c r="H260" s="18">
        <f t="array" ref="H260">IF($B$1="","",IFERROR(_xlfn.AGGREGATE(15,6,ROW('Journal'!$A$3:$A$2002)/(('Journal'!$D$3:$D$2002=$B$1)+('Journal'!$E$3:$E$2002=$B$1))/('Journal'!$B$3:$B$2002&gt;=$B$2)/('Journal'!$B$3:$B$2002&lt;=$B$3),255),""))</f>
        <v/>
      </c>
    </row>
    <row r="261">
      <c r="A261" s="18">
        <f>IF($H261="","",INDEX('Journal'!$A$1:$A$2002,$H261))</f>
        <v/>
      </c>
      <c r="B261" s="21">
        <f>IF($H261="","",INDEX('Journal'!$B$1:$B$2002,$H261))</f>
        <v/>
      </c>
      <c r="C261" s="5">
        <f>IF($H261="","",INDEX('Journal'!$C$1:$C$2002,$H261)&amp;"")</f>
        <v/>
      </c>
      <c r="D261" s="5">
        <f>IF($H261="","",IF(INDEX('Journal'!$D$1:$D$2002,$H261)=$B$1,INDEX('Journal'!$E$1:$E$2002,$H261),INDEX('Journal'!$D$1:$D$2002,$H261))&amp;"")</f>
        <v/>
      </c>
      <c r="E261" s="20">
        <f>IF($H261="","",IF(INDEX('Journal'!$D$1:$D$2002,$H261)=$B$1,N(INDEX('Journal'!$G$1:$G$2002,$H261)),N(INDEX('Journal'!$F$1:$F$2002,$H261))))</f>
        <v/>
      </c>
      <c r="F261" s="20">
        <f>IF($H261="","",IF(INDEX('Journal'!$D$1:$D$2002,$H261)=$B$1,N(INDEX('Journal'!$F$1:$F$2002,$H261)),N(INDEX('Journal'!$G$1:$G$2002,$H261))))</f>
        <v/>
      </c>
      <c r="G261" s="20">
        <f>IF($H261="","",G260+E261-F261)</f>
        <v/>
      </c>
      <c r="H261" s="18">
        <f t="array" ref="H261">IF($B$1="","",IFERROR(_xlfn.AGGREGATE(15,6,ROW('Journal'!$A$3:$A$2002)/(('Journal'!$D$3:$D$2002=$B$1)+('Journal'!$E$3:$E$2002=$B$1))/('Journal'!$B$3:$B$2002&gt;=$B$2)/('Journal'!$B$3:$B$2002&lt;=$B$3),256),""))</f>
        <v/>
      </c>
    </row>
    <row r="262">
      <c r="A262" s="18">
        <f>IF($H262="","",INDEX('Journal'!$A$1:$A$2002,$H262))</f>
        <v/>
      </c>
      <c r="B262" s="21">
        <f>IF($H262="","",INDEX('Journal'!$B$1:$B$2002,$H262))</f>
        <v/>
      </c>
      <c r="C262" s="5">
        <f>IF($H262="","",INDEX('Journal'!$C$1:$C$2002,$H262)&amp;"")</f>
        <v/>
      </c>
      <c r="D262" s="5">
        <f>IF($H262="","",IF(INDEX('Journal'!$D$1:$D$2002,$H262)=$B$1,INDEX('Journal'!$E$1:$E$2002,$H262),INDEX('Journal'!$D$1:$D$2002,$H262))&amp;"")</f>
        <v/>
      </c>
      <c r="E262" s="20">
        <f>IF($H262="","",IF(INDEX('Journal'!$D$1:$D$2002,$H262)=$B$1,N(INDEX('Journal'!$G$1:$G$2002,$H262)),N(INDEX('Journal'!$F$1:$F$2002,$H262))))</f>
        <v/>
      </c>
      <c r="F262" s="20">
        <f>IF($H262="","",IF(INDEX('Journal'!$D$1:$D$2002,$H262)=$B$1,N(INDEX('Journal'!$F$1:$F$2002,$H262)),N(INDEX('Journal'!$G$1:$G$2002,$H262))))</f>
        <v/>
      </c>
      <c r="G262" s="20">
        <f>IF($H262="","",G261+E262-F262)</f>
        <v/>
      </c>
      <c r="H262" s="18">
        <f t="array" ref="H262">IF($B$1="","",IFERROR(_xlfn.AGGREGATE(15,6,ROW('Journal'!$A$3:$A$2002)/(('Journal'!$D$3:$D$2002=$B$1)+('Journal'!$E$3:$E$2002=$B$1))/('Journal'!$B$3:$B$2002&gt;=$B$2)/('Journal'!$B$3:$B$2002&lt;=$B$3),257),""))</f>
        <v/>
      </c>
    </row>
    <row r="263">
      <c r="A263" s="18">
        <f>IF($H263="","",INDEX('Journal'!$A$1:$A$2002,$H263))</f>
        <v/>
      </c>
      <c r="B263" s="21">
        <f>IF($H263="","",INDEX('Journal'!$B$1:$B$2002,$H263))</f>
        <v/>
      </c>
      <c r="C263" s="5">
        <f>IF($H263="","",INDEX('Journal'!$C$1:$C$2002,$H263)&amp;"")</f>
        <v/>
      </c>
      <c r="D263" s="5">
        <f>IF($H263="","",IF(INDEX('Journal'!$D$1:$D$2002,$H263)=$B$1,INDEX('Journal'!$E$1:$E$2002,$H263),INDEX('Journal'!$D$1:$D$2002,$H263))&amp;"")</f>
        <v/>
      </c>
      <c r="E263" s="20">
        <f>IF($H263="","",IF(INDEX('Journal'!$D$1:$D$2002,$H263)=$B$1,N(INDEX('Journal'!$G$1:$G$2002,$H263)),N(INDEX('Journal'!$F$1:$F$2002,$H263))))</f>
        <v/>
      </c>
      <c r="F263" s="20">
        <f>IF($H263="","",IF(INDEX('Journal'!$D$1:$D$2002,$H263)=$B$1,N(INDEX('Journal'!$F$1:$F$2002,$H263)),N(INDEX('Journal'!$G$1:$G$2002,$H263))))</f>
        <v/>
      </c>
      <c r="G263" s="20">
        <f>IF($H263="","",G262+E263-F263)</f>
        <v/>
      </c>
      <c r="H263" s="18">
        <f t="array" ref="H263">IF($B$1="","",IFERROR(_xlfn.AGGREGATE(15,6,ROW('Journal'!$A$3:$A$2002)/(('Journal'!$D$3:$D$2002=$B$1)+('Journal'!$E$3:$E$2002=$B$1))/('Journal'!$B$3:$B$2002&gt;=$B$2)/('Journal'!$B$3:$B$2002&lt;=$B$3),258),""))</f>
        <v/>
      </c>
    </row>
    <row r="264">
      <c r="A264" s="18">
        <f>IF($H264="","",INDEX('Journal'!$A$1:$A$2002,$H264))</f>
        <v/>
      </c>
      <c r="B264" s="21">
        <f>IF($H264="","",INDEX('Journal'!$B$1:$B$2002,$H264))</f>
        <v/>
      </c>
      <c r="C264" s="5">
        <f>IF($H264="","",INDEX('Journal'!$C$1:$C$2002,$H264)&amp;"")</f>
        <v/>
      </c>
      <c r="D264" s="5">
        <f>IF($H264="","",IF(INDEX('Journal'!$D$1:$D$2002,$H264)=$B$1,INDEX('Journal'!$E$1:$E$2002,$H264),INDEX('Journal'!$D$1:$D$2002,$H264))&amp;"")</f>
        <v/>
      </c>
      <c r="E264" s="20">
        <f>IF($H264="","",IF(INDEX('Journal'!$D$1:$D$2002,$H264)=$B$1,N(INDEX('Journal'!$G$1:$G$2002,$H264)),N(INDEX('Journal'!$F$1:$F$2002,$H264))))</f>
        <v/>
      </c>
      <c r="F264" s="20">
        <f>IF($H264="","",IF(INDEX('Journal'!$D$1:$D$2002,$H264)=$B$1,N(INDEX('Journal'!$F$1:$F$2002,$H264)),N(INDEX('Journal'!$G$1:$G$2002,$H264))))</f>
        <v/>
      </c>
      <c r="G264" s="20">
        <f>IF($H264="","",G263+E264-F264)</f>
        <v/>
      </c>
      <c r="H264" s="18">
        <f t="array" ref="H264">IF($B$1="","",IFERROR(_xlfn.AGGREGATE(15,6,ROW('Journal'!$A$3:$A$2002)/(('Journal'!$D$3:$D$2002=$B$1)+('Journal'!$E$3:$E$2002=$B$1))/('Journal'!$B$3:$B$2002&gt;=$B$2)/('Journal'!$B$3:$B$2002&lt;=$B$3),259),""))</f>
        <v/>
      </c>
    </row>
    <row r="265">
      <c r="A265" s="18">
        <f>IF($H265="","",INDEX('Journal'!$A$1:$A$2002,$H265))</f>
        <v/>
      </c>
      <c r="B265" s="21">
        <f>IF($H265="","",INDEX('Journal'!$B$1:$B$2002,$H265))</f>
        <v/>
      </c>
      <c r="C265" s="5">
        <f>IF($H265="","",INDEX('Journal'!$C$1:$C$2002,$H265)&amp;"")</f>
        <v/>
      </c>
      <c r="D265" s="5">
        <f>IF($H265="","",IF(INDEX('Journal'!$D$1:$D$2002,$H265)=$B$1,INDEX('Journal'!$E$1:$E$2002,$H265),INDEX('Journal'!$D$1:$D$2002,$H265))&amp;"")</f>
        <v/>
      </c>
      <c r="E265" s="20">
        <f>IF($H265="","",IF(INDEX('Journal'!$D$1:$D$2002,$H265)=$B$1,N(INDEX('Journal'!$G$1:$G$2002,$H265)),N(INDEX('Journal'!$F$1:$F$2002,$H265))))</f>
        <v/>
      </c>
      <c r="F265" s="20">
        <f>IF($H265="","",IF(INDEX('Journal'!$D$1:$D$2002,$H265)=$B$1,N(INDEX('Journal'!$F$1:$F$2002,$H265)),N(INDEX('Journal'!$G$1:$G$2002,$H265))))</f>
        <v/>
      </c>
      <c r="G265" s="20">
        <f>IF($H265="","",G264+E265-F265)</f>
        <v/>
      </c>
      <c r="H265" s="18">
        <f t="array" ref="H265">IF($B$1="","",IFERROR(_xlfn.AGGREGATE(15,6,ROW('Journal'!$A$3:$A$2002)/(('Journal'!$D$3:$D$2002=$B$1)+('Journal'!$E$3:$E$2002=$B$1))/('Journal'!$B$3:$B$2002&gt;=$B$2)/('Journal'!$B$3:$B$2002&lt;=$B$3),260),""))</f>
        <v/>
      </c>
    </row>
    <row r="266">
      <c r="A266" s="18">
        <f>IF($H266="","",INDEX('Journal'!$A$1:$A$2002,$H266))</f>
        <v/>
      </c>
      <c r="B266" s="21">
        <f>IF($H266="","",INDEX('Journal'!$B$1:$B$2002,$H266))</f>
        <v/>
      </c>
      <c r="C266" s="5">
        <f>IF($H266="","",INDEX('Journal'!$C$1:$C$2002,$H266)&amp;"")</f>
        <v/>
      </c>
      <c r="D266" s="5">
        <f>IF($H266="","",IF(INDEX('Journal'!$D$1:$D$2002,$H266)=$B$1,INDEX('Journal'!$E$1:$E$2002,$H266),INDEX('Journal'!$D$1:$D$2002,$H266))&amp;"")</f>
        <v/>
      </c>
      <c r="E266" s="20">
        <f>IF($H266="","",IF(INDEX('Journal'!$D$1:$D$2002,$H266)=$B$1,N(INDEX('Journal'!$G$1:$G$2002,$H266)),N(INDEX('Journal'!$F$1:$F$2002,$H266))))</f>
        <v/>
      </c>
      <c r="F266" s="20">
        <f>IF($H266="","",IF(INDEX('Journal'!$D$1:$D$2002,$H266)=$B$1,N(INDEX('Journal'!$F$1:$F$2002,$H266)),N(INDEX('Journal'!$G$1:$G$2002,$H266))))</f>
        <v/>
      </c>
      <c r="G266" s="20">
        <f>IF($H266="","",G265+E266-F266)</f>
        <v/>
      </c>
      <c r="H266" s="18">
        <f t="array" ref="H266">IF($B$1="","",IFERROR(_xlfn.AGGREGATE(15,6,ROW('Journal'!$A$3:$A$2002)/(('Journal'!$D$3:$D$2002=$B$1)+('Journal'!$E$3:$E$2002=$B$1))/('Journal'!$B$3:$B$2002&gt;=$B$2)/('Journal'!$B$3:$B$2002&lt;=$B$3),261),""))</f>
        <v/>
      </c>
    </row>
    <row r="267">
      <c r="A267" s="18">
        <f>IF($H267="","",INDEX('Journal'!$A$1:$A$2002,$H267))</f>
        <v/>
      </c>
      <c r="B267" s="21">
        <f>IF($H267="","",INDEX('Journal'!$B$1:$B$2002,$H267))</f>
        <v/>
      </c>
      <c r="C267" s="5">
        <f>IF($H267="","",INDEX('Journal'!$C$1:$C$2002,$H267)&amp;"")</f>
        <v/>
      </c>
      <c r="D267" s="5">
        <f>IF($H267="","",IF(INDEX('Journal'!$D$1:$D$2002,$H267)=$B$1,INDEX('Journal'!$E$1:$E$2002,$H267),INDEX('Journal'!$D$1:$D$2002,$H267))&amp;"")</f>
        <v/>
      </c>
      <c r="E267" s="20">
        <f>IF($H267="","",IF(INDEX('Journal'!$D$1:$D$2002,$H267)=$B$1,N(INDEX('Journal'!$G$1:$G$2002,$H267)),N(INDEX('Journal'!$F$1:$F$2002,$H267))))</f>
        <v/>
      </c>
      <c r="F267" s="20">
        <f>IF($H267="","",IF(INDEX('Journal'!$D$1:$D$2002,$H267)=$B$1,N(INDEX('Journal'!$F$1:$F$2002,$H267)),N(INDEX('Journal'!$G$1:$G$2002,$H267))))</f>
        <v/>
      </c>
      <c r="G267" s="20">
        <f>IF($H267="","",G266+E267-F267)</f>
        <v/>
      </c>
      <c r="H267" s="18">
        <f t="array" ref="H267">IF($B$1="","",IFERROR(_xlfn.AGGREGATE(15,6,ROW('Journal'!$A$3:$A$2002)/(('Journal'!$D$3:$D$2002=$B$1)+('Journal'!$E$3:$E$2002=$B$1))/('Journal'!$B$3:$B$2002&gt;=$B$2)/('Journal'!$B$3:$B$2002&lt;=$B$3),262),""))</f>
        <v/>
      </c>
    </row>
    <row r="268">
      <c r="A268" s="18">
        <f>IF($H268="","",INDEX('Journal'!$A$1:$A$2002,$H268))</f>
        <v/>
      </c>
      <c r="B268" s="21">
        <f>IF($H268="","",INDEX('Journal'!$B$1:$B$2002,$H268))</f>
        <v/>
      </c>
      <c r="C268" s="5">
        <f>IF($H268="","",INDEX('Journal'!$C$1:$C$2002,$H268)&amp;"")</f>
        <v/>
      </c>
      <c r="D268" s="5">
        <f>IF($H268="","",IF(INDEX('Journal'!$D$1:$D$2002,$H268)=$B$1,INDEX('Journal'!$E$1:$E$2002,$H268),INDEX('Journal'!$D$1:$D$2002,$H268))&amp;"")</f>
        <v/>
      </c>
      <c r="E268" s="20">
        <f>IF($H268="","",IF(INDEX('Journal'!$D$1:$D$2002,$H268)=$B$1,N(INDEX('Journal'!$G$1:$G$2002,$H268)),N(INDEX('Journal'!$F$1:$F$2002,$H268))))</f>
        <v/>
      </c>
      <c r="F268" s="20">
        <f>IF($H268="","",IF(INDEX('Journal'!$D$1:$D$2002,$H268)=$B$1,N(INDEX('Journal'!$F$1:$F$2002,$H268)),N(INDEX('Journal'!$G$1:$G$2002,$H268))))</f>
        <v/>
      </c>
      <c r="G268" s="20">
        <f>IF($H268="","",G267+E268-F268)</f>
        <v/>
      </c>
      <c r="H268" s="18">
        <f t="array" ref="H268">IF($B$1="","",IFERROR(_xlfn.AGGREGATE(15,6,ROW('Journal'!$A$3:$A$2002)/(('Journal'!$D$3:$D$2002=$B$1)+('Journal'!$E$3:$E$2002=$B$1))/('Journal'!$B$3:$B$2002&gt;=$B$2)/('Journal'!$B$3:$B$2002&lt;=$B$3),263),""))</f>
        <v/>
      </c>
    </row>
    <row r="269">
      <c r="A269" s="18">
        <f>IF($H269="","",INDEX('Journal'!$A$1:$A$2002,$H269))</f>
        <v/>
      </c>
      <c r="B269" s="21">
        <f>IF($H269="","",INDEX('Journal'!$B$1:$B$2002,$H269))</f>
        <v/>
      </c>
      <c r="C269" s="5">
        <f>IF($H269="","",INDEX('Journal'!$C$1:$C$2002,$H269)&amp;"")</f>
        <v/>
      </c>
      <c r="D269" s="5">
        <f>IF($H269="","",IF(INDEX('Journal'!$D$1:$D$2002,$H269)=$B$1,INDEX('Journal'!$E$1:$E$2002,$H269),INDEX('Journal'!$D$1:$D$2002,$H269))&amp;"")</f>
        <v/>
      </c>
      <c r="E269" s="20">
        <f>IF($H269="","",IF(INDEX('Journal'!$D$1:$D$2002,$H269)=$B$1,N(INDEX('Journal'!$G$1:$G$2002,$H269)),N(INDEX('Journal'!$F$1:$F$2002,$H269))))</f>
        <v/>
      </c>
      <c r="F269" s="20">
        <f>IF($H269="","",IF(INDEX('Journal'!$D$1:$D$2002,$H269)=$B$1,N(INDEX('Journal'!$F$1:$F$2002,$H269)),N(INDEX('Journal'!$G$1:$G$2002,$H269))))</f>
        <v/>
      </c>
      <c r="G269" s="20">
        <f>IF($H269="","",G268+E269-F269)</f>
        <v/>
      </c>
      <c r="H269" s="18">
        <f t="array" ref="H269">IF($B$1="","",IFERROR(_xlfn.AGGREGATE(15,6,ROW('Journal'!$A$3:$A$2002)/(('Journal'!$D$3:$D$2002=$B$1)+('Journal'!$E$3:$E$2002=$B$1))/('Journal'!$B$3:$B$2002&gt;=$B$2)/('Journal'!$B$3:$B$2002&lt;=$B$3),264),""))</f>
        <v/>
      </c>
    </row>
    <row r="270">
      <c r="A270" s="18">
        <f>IF($H270="","",INDEX('Journal'!$A$1:$A$2002,$H270))</f>
        <v/>
      </c>
      <c r="B270" s="21">
        <f>IF($H270="","",INDEX('Journal'!$B$1:$B$2002,$H270))</f>
        <v/>
      </c>
      <c r="C270" s="5">
        <f>IF($H270="","",INDEX('Journal'!$C$1:$C$2002,$H270)&amp;"")</f>
        <v/>
      </c>
      <c r="D270" s="5">
        <f>IF($H270="","",IF(INDEX('Journal'!$D$1:$D$2002,$H270)=$B$1,INDEX('Journal'!$E$1:$E$2002,$H270),INDEX('Journal'!$D$1:$D$2002,$H270))&amp;"")</f>
        <v/>
      </c>
      <c r="E270" s="20">
        <f>IF($H270="","",IF(INDEX('Journal'!$D$1:$D$2002,$H270)=$B$1,N(INDEX('Journal'!$G$1:$G$2002,$H270)),N(INDEX('Journal'!$F$1:$F$2002,$H270))))</f>
        <v/>
      </c>
      <c r="F270" s="20">
        <f>IF($H270="","",IF(INDEX('Journal'!$D$1:$D$2002,$H270)=$B$1,N(INDEX('Journal'!$F$1:$F$2002,$H270)),N(INDEX('Journal'!$G$1:$G$2002,$H270))))</f>
        <v/>
      </c>
      <c r="G270" s="20">
        <f>IF($H270="","",G269+E270-F270)</f>
        <v/>
      </c>
      <c r="H270" s="18">
        <f t="array" ref="H270">IF($B$1="","",IFERROR(_xlfn.AGGREGATE(15,6,ROW('Journal'!$A$3:$A$2002)/(('Journal'!$D$3:$D$2002=$B$1)+('Journal'!$E$3:$E$2002=$B$1))/('Journal'!$B$3:$B$2002&gt;=$B$2)/('Journal'!$B$3:$B$2002&lt;=$B$3),265),""))</f>
        <v/>
      </c>
    </row>
    <row r="271">
      <c r="A271" s="18">
        <f>IF($H271="","",INDEX('Journal'!$A$1:$A$2002,$H271))</f>
        <v/>
      </c>
      <c r="B271" s="21">
        <f>IF($H271="","",INDEX('Journal'!$B$1:$B$2002,$H271))</f>
        <v/>
      </c>
      <c r="C271" s="5">
        <f>IF($H271="","",INDEX('Journal'!$C$1:$C$2002,$H271)&amp;"")</f>
        <v/>
      </c>
      <c r="D271" s="5">
        <f>IF($H271="","",IF(INDEX('Journal'!$D$1:$D$2002,$H271)=$B$1,INDEX('Journal'!$E$1:$E$2002,$H271),INDEX('Journal'!$D$1:$D$2002,$H271))&amp;"")</f>
        <v/>
      </c>
      <c r="E271" s="20">
        <f>IF($H271="","",IF(INDEX('Journal'!$D$1:$D$2002,$H271)=$B$1,N(INDEX('Journal'!$G$1:$G$2002,$H271)),N(INDEX('Journal'!$F$1:$F$2002,$H271))))</f>
        <v/>
      </c>
      <c r="F271" s="20">
        <f>IF($H271="","",IF(INDEX('Journal'!$D$1:$D$2002,$H271)=$B$1,N(INDEX('Journal'!$F$1:$F$2002,$H271)),N(INDEX('Journal'!$G$1:$G$2002,$H271))))</f>
        <v/>
      </c>
      <c r="G271" s="20">
        <f>IF($H271="","",G270+E271-F271)</f>
        <v/>
      </c>
      <c r="H271" s="18">
        <f t="array" ref="H271">IF($B$1="","",IFERROR(_xlfn.AGGREGATE(15,6,ROW('Journal'!$A$3:$A$2002)/(('Journal'!$D$3:$D$2002=$B$1)+('Journal'!$E$3:$E$2002=$B$1))/('Journal'!$B$3:$B$2002&gt;=$B$2)/('Journal'!$B$3:$B$2002&lt;=$B$3),266),""))</f>
        <v/>
      </c>
    </row>
    <row r="272">
      <c r="A272" s="18">
        <f>IF($H272="","",INDEX('Journal'!$A$1:$A$2002,$H272))</f>
        <v/>
      </c>
      <c r="B272" s="21">
        <f>IF($H272="","",INDEX('Journal'!$B$1:$B$2002,$H272))</f>
        <v/>
      </c>
      <c r="C272" s="5">
        <f>IF($H272="","",INDEX('Journal'!$C$1:$C$2002,$H272)&amp;"")</f>
        <v/>
      </c>
      <c r="D272" s="5">
        <f>IF($H272="","",IF(INDEX('Journal'!$D$1:$D$2002,$H272)=$B$1,INDEX('Journal'!$E$1:$E$2002,$H272),INDEX('Journal'!$D$1:$D$2002,$H272))&amp;"")</f>
        <v/>
      </c>
      <c r="E272" s="20">
        <f>IF($H272="","",IF(INDEX('Journal'!$D$1:$D$2002,$H272)=$B$1,N(INDEX('Journal'!$G$1:$G$2002,$H272)),N(INDEX('Journal'!$F$1:$F$2002,$H272))))</f>
        <v/>
      </c>
      <c r="F272" s="20">
        <f>IF($H272="","",IF(INDEX('Journal'!$D$1:$D$2002,$H272)=$B$1,N(INDEX('Journal'!$F$1:$F$2002,$H272)),N(INDEX('Journal'!$G$1:$G$2002,$H272))))</f>
        <v/>
      </c>
      <c r="G272" s="20">
        <f>IF($H272="","",G271+E272-F272)</f>
        <v/>
      </c>
      <c r="H272" s="18">
        <f t="array" ref="H272">IF($B$1="","",IFERROR(_xlfn.AGGREGATE(15,6,ROW('Journal'!$A$3:$A$2002)/(('Journal'!$D$3:$D$2002=$B$1)+('Journal'!$E$3:$E$2002=$B$1))/('Journal'!$B$3:$B$2002&gt;=$B$2)/('Journal'!$B$3:$B$2002&lt;=$B$3),267),""))</f>
        <v/>
      </c>
    </row>
    <row r="273">
      <c r="A273" s="18">
        <f>IF($H273="","",INDEX('Journal'!$A$1:$A$2002,$H273))</f>
        <v/>
      </c>
      <c r="B273" s="21">
        <f>IF($H273="","",INDEX('Journal'!$B$1:$B$2002,$H273))</f>
        <v/>
      </c>
      <c r="C273" s="5">
        <f>IF($H273="","",INDEX('Journal'!$C$1:$C$2002,$H273)&amp;"")</f>
        <v/>
      </c>
      <c r="D273" s="5">
        <f>IF($H273="","",IF(INDEX('Journal'!$D$1:$D$2002,$H273)=$B$1,INDEX('Journal'!$E$1:$E$2002,$H273),INDEX('Journal'!$D$1:$D$2002,$H273))&amp;"")</f>
        <v/>
      </c>
      <c r="E273" s="20">
        <f>IF($H273="","",IF(INDEX('Journal'!$D$1:$D$2002,$H273)=$B$1,N(INDEX('Journal'!$G$1:$G$2002,$H273)),N(INDEX('Journal'!$F$1:$F$2002,$H273))))</f>
        <v/>
      </c>
      <c r="F273" s="20">
        <f>IF($H273="","",IF(INDEX('Journal'!$D$1:$D$2002,$H273)=$B$1,N(INDEX('Journal'!$F$1:$F$2002,$H273)),N(INDEX('Journal'!$G$1:$G$2002,$H273))))</f>
        <v/>
      </c>
      <c r="G273" s="20">
        <f>IF($H273="","",G272+E273-F273)</f>
        <v/>
      </c>
      <c r="H273" s="18">
        <f t="array" ref="H273">IF($B$1="","",IFERROR(_xlfn.AGGREGATE(15,6,ROW('Journal'!$A$3:$A$2002)/(('Journal'!$D$3:$D$2002=$B$1)+('Journal'!$E$3:$E$2002=$B$1))/('Journal'!$B$3:$B$2002&gt;=$B$2)/('Journal'!$B$3:$B$2002&lt;=$B$3),268),""))</f>
        <v/>
      </c>
    </row>
    <row r="274">
      <c r="A274" s="18">
        <f>IF($H274="","",INDEX('Journal'!$A$1:$A$2002,$H274))</f>
        <v/>
      </c>
      <c r="B274" s="21">
        <f>IF($H274="","",INDEX('Journal'!$B$1:$B$2002,$H274))</f>
        <v/>
      </c>
      <c r="C274" s="5">
        <f>IF($H274="","",INDEX('Journal'!$C$1:$C$2002,$H274)&amp;"")</f>
        <v/>
      </c>
      <c r="D274" s="5">
        <f>IF($H274="","",IF(INDEX('Journal'!$D$1:$D$2002,$H274)=$B$1,INDEX('Journal'!$E$1:$E$2002,$H274),INDEX('Journal'!$D$1:$D$2002,$H274))&amp;"")</f>
        <v/>
      </c>
      <c r="E274" s="20">
        <f>IF($H274="","",IF(INDEX('Journal'!$D$1:$D$2002,$H274)=$B$1,N(INDEX('Journal'!$G$1:$G$2002,$H274)),N(INDEX('Journal'!$F$1:$F$2002,$H274))))</f>
        <v/>
      </c>
      <c r="F274" s="20">
        <f>IF($H274="","",IF(INDEX('Journal'!$D$1:$D$2002,$H274)=$B$1,N(INDEX('Journal'!$F$1:$F$2002,$H274)),N(INDEX('Journal'!$G$1:$G$2002,$H274))))</f>
        <v/>
      </c>
      <c r="G274" s="20">
        <f>IF($H274="","",G273+E274-F274)</f>
        <v/>
      </c>
      <c r="H274" s="18">
        <f t="array" ref="H274">IF($B$1="","",IFERROR(_xlfn.AGGREGATE(15,6,ROW('Journal'!$A$3:$A$2002)/(('Journal'!$D$3:$D$2002=$B$1)+('Journal'!$E$3:$E$2002=$B$1))/('Journal'!$B$3:$B$2002&gt;=$B$2)/('Journal'!$B$3:$B$2002&lt;=$B$3),269),""))</f>
        <v/>
      </c>
    </row>
    <row r="275">
      <c r="A275" s="18">
        <f>IF($H275="","",INDEX('Journal'!$A$1:$A$2002,$H275))</f>
        <v/>
      </c>
      <c r="B275" s="21">
        <f>IF($H275="","",INDEX('Journal'!$B$1:$B$2002,$H275))</f>
        <v/>
      </c>
      <c r="C275" s="5">
        <f>IF($H275="","",INDEX('Journal'!$C$1:$C$2002,$H275)&amp;"")</f>
        <v/>
      </c>
      <c r="D275" s="5">
        <f>IF($H275="","",IF(INDEX('Journal'!$D$1:$D$2002,$H275)=$B$1,INDEX('Journal'!$E$1:$E$2002,$H275),INDEX('Journal'!$D$1:$D$2002,$H275))&amp;"")</f>
        <v/>
      </c>
      <c r="E275" s="20">
        <f>IF($H275="","",IF(INDEX('Journal'!$D$1:$D$2002,$H275)=$B$1,N(INDEX('Journal'!$G$1:$G$2002,$H275)),N(INDEX('Journal'!$F$1:$F$2002,$H275))))</f>
        <v/>
      </c>
      <c r="F275" s="20">
        <f>IF($H275="","",IF(INDEX('Journal'!$D$1:$D$2002,$H275)=$B$1,N(INDEX('Journal'!$F$1:$F$2002,$H275)),N(INDEX('Journal'!$G$1:$G$2002,$H275))))</f>
        <v/>
      </c>
      <c r="G275" s="20">
        <f>IF($H275="","",G274+E275-F275)</f>
        <v/>
      </c>
      <c r="H275" s="18">
        <f t="array" ref="H275">IF($B$1="","",IFERROR(_xlfn.AGGREGATE(15,6,ROW('Journal'!$A$3:$A$2002)/(('Journal'!$D$3:$D$2002=$B$1)+('Journal'!$E$3:$E$2002=$B$1))/('Journal'!$B$3:$B$2002&gt;=$B$2)/('Journal'!$B$3:$B$2002&lt;=$B$3),270),""))</f>
        <v/>
      </c>
    </row>
    <row r="276">
      <c r="A276" s="18">
        <f>IF($H276="","",INDEX('Journal'!$A$1:$A$2002,$H276))</f>
        <v/>
      </c>
      <c r="B276" s="21">
        <f>IF($H276="","",INDEX('Journal'!$B$1:$B$2002,$H276))</f>
        <v/>
      </c>
      <c r="C276" s="5">
        <f>IF($H276="","",INDEX('Journal'!$C$1:$C$2002,$H276)&amp;"")</f>
        <v/>
      </c>
      <c r="D276" s="5">
        <f>IF($H276="","",IF(INDEX('Journal'!$D$1:$D$2002,$H276)=$B$1,INDEX('Journal'!$E$1:$E$2002,$H276),INDEX('Journal'!$D$1:$D$2002,$H276))&amp;"")</f>
        <v/>
      </c>
      <c r="E276" s="20">
        <f>IF($H276="","",IF(INDEX('Journal'!$D$1:$D$2002,$H276)=$B$1,N(INDEX('Journal'!$G$1:$G$2002,$H276)),N(INDEX('Journal'!$F$1:$F$2002,$H276))))</f>
        <v/>
      </c>
      <c r="F276" s="20">
        <f>IF($H276="","",IF(INDEX('Journal'!$D$1:$D$2002,$H276)=$B$1,N(INDEX('Journal'!$F$1:$F$2002,$H276)),N(INDEX('Journal'!$G$1:$G$2002,$H276))))</f>
        <v/>
      </c>
      <c r="G276" s="20">
        <f>IF($H276="","",G275+E276-F276)</f>
        <v/>
      </c>
      <c r="H276" s="18">
        <f t="array" ref="H276">IF($B$1="","",IFERROR(_xlfn.AGGREGATE(15,6,ROW('Journal'!$A$3:$A$2002)/(('Journal'!$D$3:$D$2002=$B$1)+('Journal'!$E$3:$E$2002=$B$1))/('Journal'!$B$3:$B$2002&gt;=$B$2)/('Journal'!$B$3:$B$2002&lt;=$B$3),271),""))</f>
        <v/>
      </c>
    </row>
    <row r="277">
      <c r="A277" s="18">
        <f>IF($H277="","",INDEX('Journal'!$A$1:$A$2002,$H277))</f>
        <v/>
      </c>
      <c r="B277" s="21">
        <f>IF($H277="","",INDEX('Journal'!$B$1:$B$2002,$H277))</f>
        <v/>
      </c>
      <c r="C277" s="5">
        <f>IF($H277="","",INDEX('Journal'!$C$1:$C$2002,$H277)&amp;"")</f>
        <v/>
      </c>
      <c r="D277" s="5">
        <f>IF($H277="","",IF(INDEX('Journal'!$D$1:$D$2002,$H277)=$B$1,INDEX('Journal'!$E$1:$E$2002,$H277),INDEX('Journal'!$D$1:$D$2002,$H277))&amp;"")</f>
        <v/>
      </c>
      <c r="E277" s="20">
        <f>IF($H277="","",IF(INDEX('Journal'!$D$1:$D$2002,$H277)=$B$1,N(INDEX('Journal'!$G$1:$G$2002,$H277)),N(INDEX('Journal'!$F$1:$F$2002,$H277))))</f>
        <v/>
      </c>
      <c r="F277" s="20">
        <f>IF($H277="","",IF(INDEX('Journal'!$D$1:$D$2002,$H277)=$B$1,N(INDEX('Journal'!$F$1:$F$2002,$H277)),N(INDEX('Journal'!$G$1:$G$2002,$H277))))</f>
        <v/>
      </c>
      <c r="G277" s="20">
        <f>IF($H277="","",G276+E277-F277)</f>
        <v/>
      </c>
      <c r="H277" s="18">
        <f t="array" ref="H277">IF($B$1="","",IFERROR(_xlfn.AGGREGATE(15,6,ROW('Journal'!$A$3:$A$2002)/(('Journal'!$D$3:$D$2002=$B$1)+('Journal'!$E$3:$E$2002=$B$1))/('Journal'!$B$3:$B$2002&gt;=$B$2)/('Journal'!$B$3:$B$2002&lt;=$B$3),272),""))</f>
        <v/>
      </c>
    </row>
    <row r="278">
      <c r="A278" s="18">
        <f>IF($H278="","",INDEX('Journal'!$A$1:$A$2002,$H278))</f>
        <v/>
      </c>
      <c r="B278" s="21">
        <f>IF($H278="","",INDEX('Journal'!$B$1:$B$2002,$H278))</f>
        <v/>
      </c>
      <c r="C278" s="5">
        <f>IF($H278="","",INDEX('Journal'!$C$1:$C$2002,$H278)&amp;"")</f>
        <v/>
      </c>
      <c r="D278" s="5">
        <f>IF($H278="","",IF(INDEX('Journal'!$D$1:$D$2002,$H278)=$B$1,INDEX('Journal'!$E$1:$E$2002,$H278),INDEX('Journal'!$D$1:$D$2002,$H278))&amp;"")</f>
        <v/>
      </c>
      <c r="E278" s="20">
        <f>IF($H278="","",IF(INDEX('Journal'!$D$1:$D$2002,$H278)=$B$1,N(INDEX('Journal'!$G$1:$G$2002,$H278)),N(INDEX('Journal'!$F$1:$F$2002,$H278))))</f>
        <v/>
      </c>
      <c r="F278" s="20">
        <f>IF($H278="","",IF(INDEX('Journal'!$D$1:$D$2002,$H278)=$B$1,N(INDEX('Journal'!$F$1:$F$2002,$H278)),N(INDEX('Journal'!$G$1:$G$2002,$H278))))</f>
        <v/>
      </c>
      <c r="G278" s="20">
        <f>IF($H278="","",G277+E278-F278)</f>
        <v/>
      </c>
      <c r="H278" s="18">
        <f t="array" ref="H278">IF($B$1="","",IFERROR(_xlfn.AGGREGATE(15,6,ROW('Journal'!$A$3:$A$2002)/(('Journal'!$D$3:$D$2002=$B$1)+('Journal'!$E$3:$E$2002=$B$1))/('Journal'!$B$3:$B$2002&gt;=$B$2)/('Journal'!$B$3:$B$2002&lt;=$B$3),273),""))</f>
        <v/>
      </c>
    </row>
    <row r="279">
      <c r="A279" s="18">
        <f>IF($H279="","",INDEX('Journal'!$A$1:$A$2002,$H279))</f>
        <v/>
      </c>
      <c r="B279" s="21">
        <f>IF($H279="","",INDEX('Journal'!$B$1:$B$2002,$H279))</f>
        <v/>
      </c>
      <c r="C279" s="5">
        <f>IF($H279="","",INDEX('Journal'!$C$1:$C$2002,$H279)&amp;"")</f>
        <v/>
      </c>
      <c r="D279" s="5">
        <f>IF($H279="","",IF(INDEX('Journal'!$D$1:$D$2002,$H279)=$B$1,INDEX('Journal'!$E$1:$E$2002,$H279),INDEX('Journal'!$D$1:$D$2002,$H279))&amp;"")</f>
        <v/>
      </c>
      <c r="E279" s="20">
        <f>IF($H279="","",IF(INDEX('Journal'!$D$1:$D$2002,$H279)=$B$1,N(INDEX('Journal'!$G$1:$G$2002,$H279)),N(INDEX('Journal'!$F$1:$F$2002,$H279))))</f>
        <v/>
      </c>
      <c r="F279" s="20">
        <f>IF($H279="","",IF(INDEX('Journal'!$D$1:$D$2002,$H279)=$B$1,N(INDEX('Journal'!$F$1:$F$2002,$H279)),N(INDEX('Journal'!$G$1:$G$2002,$H279))))</f>
        <v/>
      </c>
      <c r="G279" s="20">
        <f>IF($H279="","",G278+E279-F279)</f>
        <v/>
      </c>
      <c r="H279" s="18">
        <f t="array" ref="H279">IF($B$1="","",IFERROR(_xlfn.AGGREGATE(15,6,ROW('Journal'!$A$3:$A$2002)/(('Journal'!$D$3:$D$2002=$B$1)+('Journal'!$E$3:$E$2002=$B$1))/('Journal'!$B$3:$B$2002&gt;=$B$2)/('Journal'!$B$3:$B$2002&lt;=$B$3),274),""))</f>
        <v/>
      </c>
    </row>
    <row r="280">
      <c r="A280" s="18">
        <f>IF($H280="","",INDEX('Journal'!$A$1:$A$2002,$H280))</f>
        <v/>
      </c>
      <c r="B280" s="21">
        <f>IF($H280="","",INDEX('Journal'!$B$1:$B$2002,$H280))</f>
        <v/>
      </c>
      <c r="C280" s="5">
        <f>IF($H280="","",INDEX('Journal'!$C$1:$C$2002,$H280)&amp;"")</f>
        <v/>
      </c>
      <c r="D280" s="5">
        <f>IF($H280="","",IF(INDEX('Journal'!$D$1:$D$2002,$H280)=$B$1,INDEX('Journal'!$E$1:$E$2002,$H280),INDEX('Journal'!$D$1:$D$2002,$H280))&amp;"")</f>
        <v/>
      </c>
      <c r="E280" s="20">
        <f>IF($H280="","",IF(INDEX('Journal'!$D$1:$D$2002,$H280)=$B$1,N(INDEX('Journal'!$G$1:$G$2002,$H280)),N(INDEX('Journal'!$F$1:$F$2002,$H280))))</f>
        <v/>
      </c>
      <c r="F280" s="20">
        <f>IF($H280="","",IF(INDEX('Journal'!$D$1:$D$2002,$H280)=$B$1,N(INDEX('Journal'!$F$1:$F$2002,$H280)),N(INDEX('Journal'!$G$1:$G$2002,$H280))))</f>
        <v/>
      </c>
      <c r="G280" s="20">
        <f>IF($H280="","",G279+E280-F280)</f>
        <v/>
      </c>
      <c r="H280" s="18">
        <f t="array" ref="H280">IF($B$1="","",IFERROR(_xlfn.AGGREGATE(15,6,ROW('Journal'!$A$3:$A$2002)/(('Journal'!$D$3:$D$2002=$B$1)+('Journal'!$E$3:$E$2002=$B$1))/('Journal'!$B$3:$B$2002&gt;=$B$2)/('Journal'!$B$3:$B$2002&lt;=$B$3),275),""))</f>
        <v/>
      </c>
    </row>
    <row r="281">
      <c r="A281" s="18">
        <f>IF($H281="","",INDEX('Journal'!$A$1:$A$2002,$H281))</f>
        <v/>
      </c>
      <c r="B281" s="21">
        <f>IF($H281="","",INDEX('Journal'!$B$1:$B$2002,$H281))</f>
        <v/>
      </c>
      <c r="C281" s="5">
        <f>IF($H281="","",INDEX('Journal'!$C$1:$C$2002,$H281)&amp;"")</f>
        <v/>
      </c>
      <c r="D281" s="5">
        <f>IF($H281="","",IF(INDEX('Journal'!$D$1:$D$2002,$H281)=$B$1,INDEX('Journal'!$E$1:$E$2002,$H281),INDEX('Journal'!$D$1:$D$2002,$H281))&amp;"")</f>
        <v/>
      </c>
      <c r="E281" s="20">
        <f>IF($H281="","",IF(INDEX('Journal'!$D$1:$D$2002,$H281)=$B$1,N(INDEX('Journal'!$G$1:$G$2002,$H281)),N(INDEX('Journal'!$F$1:$F$2002,$H281))))</f>
        <v/>
      </c>
      <c r="F281" s="20">
        <f>IF($H281="","",IF(INDEX('Journal'!$D$1:$D$2002,$H281)=$B$1,N(INDEX('Journal'!$F$1:$F$2002,$H281)),N(INDEX('Journal'!$G$1:$G$2002,$H281))))</f>
        <v/>
      </c>
      <c r="G281" s="20">
        <f>IF($H281="","",G280+E281-F281)</f>
        <v/>
      </c>
      <c r="H281" s="18">
        <f t="array" ref="H281">IF($B$1="","",IFERROR(_xlfn.AGGREGATE(15,6,ROW('Journal'!$A$3:$A$2002)/(('Journal'!$D$3:$D$2002=$B$1)+('Journal'!$E$3:$E$2002=$B$1))/('Journal'!$B$3:$B$2002&gt;=$B$2)/('Journal'!$B$3:$B$2002&lt;=$B$3),276),""))</f>
        <v/>
      </c>
    </row>
    <row r="282">
      <c r="A282" s="18">
        <f>IF($H282="","",INDEX('Journal'!$A$1:$A$2002,$H282))</f>
        <v/>
      </c>
      <c r="B282" s="21">
        <f>IF($H282="","",INDEX('Journal'!$B$1:$B$2002,$H282))</f>
        <v/>
      </c>
      <c r="C282" s="5">
        <f>IF($H282="","",INDEX('Journal'!$C$1:$C$2002,$H282)&amp;"")</f>
        <v/>
      </c>
      <c r="D282" s="5">
        <f>IF($H282="","",IF(INDEX('Journal'!$D$1:$D$2002,$H282)=$B$1,INDEX('Journal'!$E$1:$E$2002,$H282),INDEX('Journal'!$D$1:$D$2002,$H282))&amp;"")</f>
        <v/>
      </c>
      <c r="E282" s="20">
        <f>IF($H282="","",IF(INDEX('Journal'!$D$1:$D$2002,$H282)=$B$1,N(INDEX('Journal'!$G$1:$G$2002,$H282)),N(INDEX('Journal'!$F$1:$F$2002,$H282))))</f>
        <v/>
      </c>
      <c r="F282" s="20">
        <f>IF($H282="","",IF(INDEX('Journal'!$D$1:$D$2002,$H282)=$B$1,N(INDEX('Journal'!$F$1:$F$2002,$H282)),N(INDEX('Journal'!$G$1:$G$2002,$H282))))</f>
        <v/>
      </c>
      <c r="G282" s="20">
        <f>IF($H282="","",G281+E282-F282)</f>
        <v/>
      </c>
      <c r="H282" s="18">
        <f t="array" ref="H282">IF($B$1="","",IFERROR(_xlfn.AGGREGATE(15,6,ROW('Journal'!$A$3:$A$2002)/(('Journal'!$D$3:$D$2002=$B$1)+('Journal'!$E$3:$E$2002=$B$1))/('Journal'!$B$3:$B$2002&gt;=$B$2)/('Journal'!$B$3:$B$2002&lt;=$B$3),277),""))</f>
        <v/>
      </c>
    </row>
    <row r="283">
      <c r="A283" s="18">
        <f>IF($H283="","",INDEX('Journal'!$A$1:$A$2002,$H283))</f>
        <v/>
      </c>
      <c r="B283" s="21">
        <f>IF($H283="","",INDEX('Journal'!$B$1:$B$2002,$H283))</f>
        <v/>
      </c>
      <c r="C283" s="5">
        <f>IF($H283="","",INDEX('Journal'!$C$1:$C$2002,$H283)&amp;"")</f>
        <v/>
      </c>
      <c r="D283" s="5">
        <f>IF($H283="","",IF(INDEX('Journal'!$D$1:$D$2002,$H283)=$B$1,INDEX('Journal'!$E$1:$E$2002,$H283),INDEX('Journal'!$D$1:$D$2002,$H283))&amp;"")</f>
        <v/>
      </c>
      <c r="E283" s="20">
        <f>IF($H283="","",IF(INDEX('Journal'!$D$1:$D$2002,$H283)=$B$1,N(INDEX('Journal'!$G$1:$G$2002,$H283)),N(INDEX('Journal'!$F$1:$F$2002,$H283))))</f>
        <v/>
      </c>
      <c r="F283" s="20">
        <f>IF($H283="","",IF(INDEX('Journal'!$D$1:$D$2002,$H283)=$B$1,N(INDEX('Journal'!$F$1:$F$2002,$H283)),N(INDEX('Journal'!$G$1:$G$2002,$H283))))</f>
        <v/>
      </c>
      <c r="G283" s="20">
        <f>IF($H283="","",G282+E283-F283)</f>
        <v/>
      </c>
      <c r="H283" s="18">
        <f t="array" ref="H283">IF($B$1="","",IFERROR(_xlfn.AGGREGATE(15,6,ROW('Journal'!$A$3:$A$2002)/(('Journal'!$D$3:$D$2002=$B$1)+('Journal'!$E$3:$E$2002=$B$1))/('Journal'!$B$3:$B$2002&gt;=$B$2)/('Journal'!$B$3:$B$2002&lt;=$B$3),278),""))</f>
        <v/>
      </c>
    </row>
    <row r="284">
      <c r="A284" s="18">
        <f>IF($H284="","",INDEX('Journal'!$A$1:$A$2002,$H284))</f>
        <v/>
      </c>
      <c r="B284" s="21">
        <f>IF($H284="","",INDEX('Journal'!$B$1:$B$2002,$H284))</f>
        <v/>
      </c>
      <c r="C284" s="5">
        <f>IF($H284="","",INDEX('Journal'!$C$1:$C$2002,$H284)&amp;"")</f>
        <v/>
      </c>
      <c r="D284" s="5">
        <f>IF($H284="","",IF(INDEX('Journal'!$D$1:$D$2002,$H284)=$B$1,INDEX('Journal'!$E$1:$E$2002,$H284),INDEX('Journal'!$D$1:$D$2002,$H284))&amp;"")</f>
        <v/>
      </c>
      <c r="E284" s="20">
        <f>IF($H284="","",IF(INDEX('Journal'!$D$1:$D$2002,$H284)=$B$1,N(INDEX('Journal'!$G$1:$G$2002,$H284)),N(INDEX('Journal'!$F$1:$F$2002,$H284))))</f>
        <v/>
      </c>
      <c r="F284" s="20">
        <f>IF($H284="","",IF(INDEX('Journal'!$D$1:$D$2002,$H284)=$B$1,N(INDEX('Journal'!$F$1:$F$2002,$H284)),N(INDEX('Journal'!$G$1:$G$2002,$H284))))</f>
        <v/>
      </c>
      <c r="G284" s="20">
        <f>IF($H284="","",G283+E284-F284)</f>
        <v/>
      </c>
      <c r="H284" s="18">
        <f t="array" ref="H284">IF($B$1="","",IFERROR(_xlfn.AGGREGATE(15,6,ROW('Journal'!$A$3:$A$2002)/(('Journal'!$D$3:$D$2002=$B$1)+('Journal'!$E$3:$E$2002=$B$1))/('Journal'!$B$3:$B$2002&gt;=$B$2)/('Journal'!$B$3:$B$2002&lt;=$B$3),279),""))</f>
        <v/>
      </c>
    </row>
    <row r="285">
      <c r="A285" s="18">
        <f>IF($H285="","",INDEX('Journal'!$A$1:$A$2002,$H285))</f>
        <v/>
      </c>
      <c r="B285" s="21">
        <f>IF($H285="","",INDEX('Journal'!$B$1:$B$2002,$H285))</f>
        <v/>
      </c>
      <c r="C285" s="5">
        <f>IF($H285="","",INDEX('Journal'!$C$1:$C$2002,$H285)&amp;"")</f>
        <v/>
      </c>
      <c r="D285" s="5">
        <f>IF($H285="","",IF(INDEX('Journal'!$D$1:$D$2002,$H285)=$B$1,INDEX('Journal'!$E$1:$E$2002,$H285),INDEX('Journal'!$D$1:$D$2002,$H285))&amp;"")</f>
        <v/>
      </c>
      <c r="E285" s="20">
        <f>IF($H285="","",IF(INDEX('Journal'!$D$1:$D$2002,$H285)=$B$1,N(INDEX('Journal'!$G$1:$G$2002,$H285)),N(INDEX('Journal'!$F$1:$F$2002,$H285))))</f>
        <v/>
      </c>
      <c r="F285" s="20">
        <f>IF($H285="","",IF(INDEX('Journal'!$D$1:$D$2002,$H285)=$B$1,N(INDEX('Journal'!$F$1:$F$2002,$H285)),N(INDEX('Journal'!$G$1:$G$2002,$H285))))</f>
        <v/>
      </c>
      <c r="G285" s="20">
        <f>IF($H285="","",G284+E285-F285)</f>
        <v/>
      </c>
      <c r="H285" s="18">
        <f t="array" ref="H285">IF($B$1="","",IFERROR(_xlfn.AGGREGATE(15,6,ROW('Journal'!$A$3:$A$2002)/(('Journal'!$D$3:$D$2002=$B$1)+('Journal'!$E$3:$E$2002=$B$1))/('Journal'!$B$3:$B$2002&gt;=$B$2)/('Journal'!$B$3:$B$2002&lt;=$B$3),280),""))</f>
        <v/>
      </c>
    </row>
    <row r="286">
      <c r="A286" s="18">
        <f>IF($H286="","",INDEX('Journal'!$A$1:$A$2002,$H286))</f>
        <v/>
      </c>
      <c r="B286" s="21">
        <f>IF($H286="","",INDEX('Journal'!$B$1:$B$2002,$H286))</f>
        <v/>
      </c>
      <c r="C286" s="5">
        <f>IF($H286="","",INDEX('Journal'!$C$1:$C$2002,$H286)&amp;"")</f>
        <v/>
      </c>
      <c r="D286" s="5">
        <f>IF($H286="","",IF(INDEX('Journal'!$D$1:$D$2002,$H286)=$B$1,INDEX('Journal'!$E$1:$E$2002,$H286),INDEX('Journal'!$D$1:$D$2002,$H286))&amp;"")</f>
        <v/>
      </c>
      <c r="E286" s="20">
        <f>IF($H286="","",IF(INDEX('Journal'!$D$1:$D$2002,$H286)=$B$1,N(INDEX('Journal'!$G$1:$G$2002,$H286)),N(INDEX('Journal'!$F$1:$F$2002,$H286))))</f>
        <v/>
      </c>
      <c r="F286" s="20">
        <f>IF($H286="","",IF(INDEX('Journal'!$D$1:$D$2002,$H286)=$B$1,N(INDEX('Journal'!$F$1:$F$2002,$H286)),N(INDEX('Journal'!$G$1:$G$2002,$H286))))</f>
        <v/>
      </c>
      <c r="G286" s="20">
        <f>IF($H286="","",G285+E286-F286)</f>
        <v/>
      </c>
      <c r="H286" s="18">
        <f t="array" ref="H286">IF($B$1="","",IFERROR(_xlfn.AGGREGATE(15,6,ROW('Journal'!$A$3:$A$2002)/(('Journal'!$D$3:$D$2002=$B$1)+('Journal'!$E$3:$E$2002=$B$1))/('Journal'!$B$3:$B$2002&gt;=$B$2)/('Journal'!$B$3:$B$2002&lt;=$B$3),281),""))</f>
        <v/>
      </c>
    </row>
    <row r="287">
      <c r="A287" s="18">
        <f>IF($H287="","",INDEX('Journal'!$A$1:$A$2002,$H287))</f>
        <v/>
      </c>
      <c r="B287" s="21">
        <f>IF($H287="","",INDEX('Journal'!$B$1:$B$2002,$H287))</f>
        <v/>
      </c>
      <c r="C287" s="5">
        <f>IF($H287="","",INDEX('Journal'!$C$1:$C$2002,$H287)&amp;"")</f>
        <v/>
      </c>
      <c r="D287" s="5">
        <f>IF($H287="","",IF(INDEX('Journal'!$D$1:$D$2002,$H287)=$B$1,INDEX('Journal'!$E$1:$E$2002,$H287),INDEX('Journal'!$D$1:$D$2002,$H287))&amp;"")</f>
        <v/>
      </c>
      <c r="E287" s="20">
        <f>IF($H287="","",IF(INDEX('Journal'!$D$1:$D$2002,$H287)=$B$1,N(INDEX('Journal'!$G$1:$G$2002,$H287)),N(INDEX('Journal'!$F$1:$F$2002,$H287))))</f>
        <v/>
      </c>
      <c r="F287" s="20">
        <f>IF($H287="","",IF(INDEX('Journal'!$D$1:$D$2002,$H287)=$B$1,N(INDEX('Journal'!$F$1:$F$2002,$H287)),N(INDEX('Journal'!$G$1:$G$2002,$H287))))</f>
        <v/>
      </c>
      <c r="G287" s="20">
        <f>IF($H287="","",G286+E287-F287)</f>
        <v/>
      </c>
      <c r="H287" s="18">
        <f t="array" ref="H287">IF($B$1="","",IFERROR(_xlfn.AGGREGATE(15,6,ROW('Journal'!$A$3:$A$2002)/(('Journal'!$D$3:$D$2002=$B$1)+('Journal'!$E$3:$E$2002=$B$1))/('Journal'!$B$3:$B$2002&gt;=$B$2)/('Journal'!$B$3:$B$2002&lt;=$B$3),282),""))</f>
        <v/>
      </c>
    </row>
    <row r="288">
      <c r="A288" s="18">
        <f>IF($H288="","",INDEX('Journal'!$A$1:$A$2002,$H288))</f>
        <v/>
      </c>
      <c r="B288" s="21">
        <f>IF($H288="","",INDEX('Journal'!$B$1:$B$2002,$H288))</f>
        <v/>
      </c>
      <c r="C288" s="5">
        <f>IF($H288="","",INDEX('Journal'!$C$1:$C$2002,$H288)&amp;"")</f>
        <v/>
      </c>
      <c r="D288" s="5">
        <f>IF($H288="","",IF(INDEX('Journal'!$D$1:$D$2002,$H288)=$B$1,INDEX('Journal'!$E$1:$E$2002,$H288),INDEX('Journal'!$D$1:$D$2002,$H288))&amp;"")</f>
        <v/>
      </c>
      <c r="E288" s="20">
        <f>IF($H288="","",IF(INDEX('Journal'!$D$1:$D$2002,$H288)=$B$1,N(INDEX('Journal'!$G$1:$G$2002,$H288)),N(INDEX('Journal'!$F$1:$F$2002,$H288))))</f>
        <v/>
      </c>
      <c r="F288" s="20">
        <f>IF($H288="","",IF(INDEX('Journal'!$D$1:$D$2002,$H288)=$B$1,N(INDEX('Journal'!$F$1:$F$2002,$H288)),N(INDEX('Journal'!$G$1:$G$2002,$H288))))</f>
        <v/>
      </c>
      <c r="G288" s="20">
        <f>IF($H288="","",G287+E288-F288)</f>
        <v/>
      </c>
      <c r="H288" s="18">
        <f t="array" ref="H288">IF($B$1="","",IFERROR(_xlfn.AGGREGATE(15,6,ROW('Journal'!$A$3:$A$2002)/(('Journal'!$D$3:$D$2002=$B$1)+('Journal'!$E$3:$E$2002=$B$1))/('Journal'!$B$3:$B$2002&gt;=$B$2)/('Journal'!$B$3:$B$2002&lt;=$B$3),283),""))</f>
        <v/>
      </c>
    </row>
    <row r="289">
      <c r="A289" s="18">
        <f>IF($H289="","",INDEX('Journal'!$A$1:$A$2002,$H289))</f>
        <v/>
      </c>
      <c r="B289" s="21">
        <f>IF($H289="","",INDEX('Journal'!$B$1:$B$2002,$H289))</f>
        <v/>
      </c>
      <c r="C289" s="5">
        <f>IF($H289="","",INDEX('Journal'!$C$1:$C$2002,$H289)&amp;"")</f>
        <v/>
      </c>
      <c r="D289" s="5">
        <f>IF($H289="","",IF(INDEX('Journal'!$D$1:$D$2002,$H289)=$B$1,INDEX('Journal'!$E$1:$E$2002,$H289),INDEX('Journal'!$D$1:$D$2002,$H289))&amp;"")</f>
        <v/>
      </c>
      <c r="E289" s="20">
        <f>IF($H289="","",IF(INDEX('Journal'!$D$1:$D$2002,$H289)=$B$1,N(INDEX('Journal'!$G$1:$G$2002,$H289)),N(INDEX('Journal'!$F$1:$F$2002,$H289))))</f>
        <v/>
      </c>
      <c r="F289" s="20">
        <f>IF($H289="","",IF(INDEX('Journal'!$D$1:$D$2002,$H289)=$B$1,N(INDEX('Journal'!$F$1:$F$2002,$H289)),N(INDEX('Journal'!$G$1:$G$2002,$H289))))</f>
        <v/>
      </c>
      <c r="G289" s="20">
        <f>IF($H289="","",G288+E289-F289)</f>
        <v/>
      </c>
      <c r="H289" s="18">
        <f t="array" ref="H289">IF($B$1="","",IFERROR(_xlfn.AGGREGATE(15,6,ROW('Journal'!$A$3:$A$2002)/(('Journal'!$D$3:$D$2002=$B$1)+('Journal'!$E$3:$E$2002=$B$1))/('Journal'!$B$3:$B$2002&gt;=$B$2)/('Journal'!$B$3:$B$2002&lt;=$B$3),284),""))</f>
        <v/>
      </c>
    </row>
    <row r="290">
      <c r="A290" s="18">
        <f>IF($H290="","",INDEX('Journal'!$A$1:$A$2002,$H290))</f>
        <v/>
      </c>
      <c r="B290" s="21">
        <f>IF($H290="","",INDEX('Journal'!$B$1:$B$2002,$H290))</f>
        <v/>
      </c>
      <c r="C290" s="5">
        <f>IF($H290="","",INDEX('Journal'!$C$1:$C$2002,$H290)&amp;"")</f>
        <v/>
      </c>
      <c r="D290" s="5">
        <f>IF($H290="","",IF(INDEX('Journal'!$D$1:$D$2002,$H290)=$B$1,INDEX('Journal'!$E$1:$E$2002,$H290),INDEX('Journal'!$D$1:$D$2002,$H290))&amp;"")</f>
        <v/>
      </c>
      <c r="E290" s="20">
        <f>IF($H290="","",IF(INDEX('Journal'!$D$1:$D$2002,$H290)=$B$1,N(INDEX('Journal'!$G$1:$G$2002,$H290)),N(INDEX('Journal'!$F$1:$F$2002,$H290))))</f>
        <v/>
      </c>
      <c r="F290" s="20">
        <f>IF($H290="","",IF(INDEX('Journal'!$D$1:$D$2002,$H290)=$B$1,N(INDEX('Journal'!$F$1:$F$2002,$H290)),N(INDEX('Journal'!$G$1:$G$2002,$H290))))</f>
        <v/>
      </c>
      <c r="G290" s="20">
        <f>IF($H290="","",G289+E290-F290)</f>
        <v/>
      </c>
      <c r="H290" s="18">
        <f t="array" ref="H290">IF($B$1="","",IFERROR(_xlfn.AGGREGATE(15,6,ROW('Journal'!$A$3:$A$2002)/(('Journal'!$D$3:$D$2002=$B$1)+('Journal'!$E$3:$E$2002=$B$1))/('Journal'!$B$3:$B$2002&gt;=$B$2)/('Journal'!$B$3:$B$2002&lt;=$B$3),285),""))</f>
        <v/>
      </c>
    </row>
    <row r="291">
      <c r="A291" s="18">
        <f>IF($H291="","",INDEX('Journal'!$A$1:$A$2002,$H291))</f>
        <v/>
      </c>
      <c r="B291" s="21">
        <f>IF($H291="","",INDEX('Journal'!$B$1:$B$2002,$H291))</f>
        <v/>
      </c>
      <c r="C291" s="5">
        <f>IF($H291="","",INDEX('Journal'!$C$1:$C$2002,$H291)&amp;"")</f>
        <v/>
      </c>
      <c r="D291" s="5">
        <f>IF($H291="","",IF(INDEX('Journal'!$D$1:$D$2002,$H291)=$B$1,INDEX('Journal'!$E$1:$E$2002,$H291),INDEX('Journal'!$D$1:$D$2002,$H291))&amp;"")</f>
        <v/>
      </c>
      <c r="E291" s="20">
        <f>IF($H291="","",IF(INDEX('Journal'!$D$1:$D$2002,$H291)=$B$1,N(INDEX('Journal'!$G$1:$G$2002,$H291)),N(INDEX('Journal'!$F$1:$F$2002,$H291))))</f>
        <v/>
      </c>
      <c r="F291" s="20">
        <f>IF($H291="","",IF(INDEX('Journal'!$D$1:$D$2002,$H291)=$B$1,N(INDEX('Journal'!$F$1:$F$2002,$H291)),N(INDEX('Journal'!$G$1:$G$2002,$H291))))</f>
        <v/>
      </c>
      <c r="G291" s="20">
        <f>IF($H291="","",G290+E291-F291)</f>
        <v/>
      </c>
      <c r="H291" s="18">
        <f t="array" ref="H291">IF($B$1="","",IFERROR(_xlfn.AGGREGATE(15,6,ROW('Journal'!$A$3:$A$2002)/(('Journal'!$D$3:$D$2002=$B$1)+('Journal'!$E$3:$E$2002=$B$1))/('Journal'!$B$3:$B$2002&gt;=$B$2)/('Journal'!$B$3:$B$2002&lt;=$B$3),286),""))</f>
        <v/>
      </c>
    </row>
    <row r="292">
      <c r="A292" s="18">
        <f>IF($H292="","",INDEX('Journal'!$A$1:$A$2002,$H292))</f>
        <v/>
      </c>
      <c r="B292" s="21">
        <f>IF($H292="","",INDEX('Journal'!$B$1:$B$2002,$H292))</f>
        <v/>
      </c>
      <c r="C292" s="5">
        <f>IF($H292="","",INDEX('Journal'!$C$1:$C$2002,$H292)&amp;"")</f>
        <v/>
      </c>
      <c r="D292" s="5">
        <f>IF($H292="","",IF(INDEX('Journal'!$D$1:$D$2002,$H292)=$B$1,INDEX('Journal'!$E$1:$E$2002,$H292),INDEX('Journal'!$D$1:$D$2002,$H292))&amp;"")</f>
        <v/>
      </c>
      <c r="E292" s="20">
        <f>IF($H292="","",IF(INDEX('Journal'!$D$1:$D$2002,$H292)=$B$1,N(INDEX('Journal'!$G$1:$G$2002,$H292)),N(INDEX('Journal'!$F$1:$F$2002,$H292))))</f>
        <v/>
      </c>
      <c r="F292" s="20">
        <f>IF($H292="","",IF(INDEX('Journal'!$D$1:$D$2002,$H292)=$B$1,N(INDEX('Journal'!$F$1:$F$2002,$H292)),N(INDEX('Journal'!$G$1:$G$2002,$H292))))</f>
        <v/>
      </c>
      <c r="G292" s="20">
        <f>IF($H292="","",G291+E292-F292)</f>
        <v/>
      </c>
      <c r="H292" s="18">
        <f t="array" ref="H292">IF($B$1="","",IFERROR(_xlfn.AGGREGATE(15,6,ROW('Journal'!$A$3:$A$2002)/(('Journal'!$D$3:$D$2002=$B$1)+('Journal'!$E$3:$E$2002=$B$1))/('Journal'!$B$3:$B$2002&gt;=$B$2)/('Journal'!$B$3:$B$2002&lt;=$B$3),287),""))</f>
        <v/>
      </c>
    </row>
    <row r="293">
      <c r="A293" s="18">
        <f>IF($H293="","",INDEX('Journal'!$A$1:$A$2002,$H293))</f>
        <v/>
      </c>
      <c r="B293" s="21">
        <f>IF($H293="","",INDEX('Journal'!$B$1:$B$2002,$H293))</f>
        <v/>
      </c>
      <c r="C293" s="5">
        <f>IF($H293="","",INDEX('Journal'!$C$1:$C$2002,$H293)&amp;"")</f>
        <v/>
      </c>
      <c r="D293" s="5">
        <f>IF($H293="","",IF(INDEX('Journal'!$D$1:$D$2002,$H293)=$B$1,INDEX('Journal'!$E$1:$E$2002,$H293),INDEX('Journal'!$D$1:$D$2002,$H293))&amp;"")</f>
        <v/>
      </c>
      <c r="E293" s="20">
        <f>IF($H293="","",IF(INDEX('Journal'!$D$1:$D$2002,$H293)=$B$1,N(INDEX('Journal'!$G$1:$G$2002,$H293)),N(INDEX('Journal'!$F$1:$F$2002,$H293))))</f>
        <v/>
      </c>
      <c r="F293" s="20">
        <f>IF($H293="","",IF(INDEX('Journal'!$D$1:$D$2002,$H293)=$B$1,N(INDEX('Journal'!$F$1:$F$2002,$H293)),N(INDEX('Journal'!$G$1:$G$2002,$H293))))</f>
        <v/>
      </c>
      <c r="G293" s="20">
        <f>IF($H293="","",G292+E293-F293)</f>
        <v/>
      </c>
      <c r="H293" s="18">
        <f t="array" ref="H293">IF($B$1="","",IFERROR(_xlfn.AGGREGATE(15,6,ROW('Journal'!$A$3:$A$2002)/(('Journal'!$D$3:$D$2002=$B$1)+('Journal'!$E$3:$E$2002=$B$1))/('Journal'!$B$3:$B$2002&gt;=$B$2)/('Journal'!$B$3:$B$2002&lt;=$B$3),288),""))</f>
        <v/>
      </c>
    </row>
    <row r="294">
      <c r="A294" s="18">
        <f>IF($H294="","",INDEX('Journal'!$A$1:$A$2002,$H294))</f>
        <v/>
      </c>
      <c r="B294" s="21">
        <f>IF($H294="","",INDEX('Journal'!$B$1:$B$2002,$H294))</f>
        <v/>
      </c>
      <c r="C294" s="5">
        <f>IF($H294="","",INDEX('Journal'!$C$1:$C$2002,$H294)&amp;"")</f>
        <v/>
      </c>
      <c r="D294" s="5">
        <f>IF($H294="","",IF(INDEX('Journal'!$D$1:$D$2002,$H294)=$B$1,INDEX('Journal'!$E$1:$E$2002,$H294),INDEX('Journal'!$D$1:$D$2002,$H294))&amp;"")</f>
        <v/>
      </c>
      <c r="E294" s="20">
        <f>IF($H294="","",IF(INDEX('Journal'!$D$1:$D$2002,$H294)=$B$1,N(INDEX('Journal'!$G$1:$G$2002,$H294)),N(INDEX('Journal'!$F$1:$F$2002,$H294))))</f>
        <v/>
      </c>
      <c r="F294" s="20">
        <f>IF($H294="","",IF(INDEX('Journal'!$D$1:$D$2002,$H294)=$B$1,N(INDEX('Journal'!$F$1:$F$2002,$H294)),N(INDEX('Journal'!$G$1:$G$2002,$H294))))</f>
        <v/>
      </c>
      <c r="G294" s="20">
        <f>IF($H294="","",G293+E294-F294)</f>
        <v/>
      </c>
      <c r="H294" s="18">
        <f t="array" ref="H294">IF($B$1="","",IFERROR(_xlfn.AGGREGATE(15,6,ROW('Journal'!$A$3:$A$2002)/(('Journal'!$D$3:$D$2002=$B$1)+('Journal'!$E$3:$E$2002=$B$1))/('Journal'!$B$3:$B$2002&gt;=$B$2)/('Journal'!$B$3:$B$2002&lt;=$B$3),289),""))</f>
        <v/>
      </c>
    </row>
    <row r="295">
      <c r="A295" s="18">
        <f>IF($H295="","",INDEX('Journal'!$A$1:$A$2002,$H295))</f>
        <v/>
      </c>
      <c r="B295" s="21">
        <f>IF($H295="","",INDEX('Journal'!$B$1:$B$2002,$H295))</f>
        <v/>
      </c>
      <c r="C295" s="5">
        <f>IF($H295="","",INDEX('Journal'!$C$1:$C$2002,$H295)&amp;"")</f>
        <v/>
      </c>
      <c r="D295" s="5">
        <f>IF($H295="","",IF(INDEX('Journal'!$D$1:$D$2002,$H295)=$B$1,INDEX('Journal'!$E$1:$E$2002,$H295),INDEX('Journal'!$D$1:$D$2002,$H295))&amp;"")</f>
        <v/>
      </c>
      <c r="E295" s="20">
        <f>IF($H295="","",IF(INDEX('Journal'!$D$1:$D$2002,$H295)=$B$1,N(INDEX('Journal'!$G$1:$G$2002,$H295)),N(INDEX('Journal'!$F$1:$F$2002,$H295))))</f>
        <v/>
      </c>
      <c r="F295" s="20">
        <f>IF($H295="","",IF(INDEX('Journal'!$D$1:$D$2002,$H295)=$B$1,N(INDEX('Journal'!$F$1:$F$2002,$H295)),N(INDEX('Journal'!$G$1:$G$2002,$H295))))</f>
        <v/>
      </c>
      <c r="G295" s="20">
        <f>IF($H295="","",G294+E295-F295)</f>
        <v/>
      </c>
      <c r="H295" s="18">
        <f t="array" ref="H295">IF($B$1="","",IFERROR(_xlfn.AGGREGATE(15,6,ROW('Journal'!$A$3:$A$2002)/(('Journal'!$D$3:$D$2002=$B$1)+('Journal'!$E$3:$E$2002=$B$1))/('Journal'!$B$3:$B$2002&gt;=$B$2)/('Journal'!$B$3:$B$2002&lt;=$B$3),290),""))</f>
        <v/>
      </c>
    </row>
    <row r="296">
      <c r="A296" s="18">
        <f>IF($H296="","",INDEX('Journal'!$A$1:$A$2002,$H296))</f>
        <v/>
      </c>
      <c r="B296" s="21">
        <f>IF($H296="","",INDEX('Journal'!$B$1:$B$2002,$H296))</f>
        <v/>
      </c>
      <c r="C296" s="5">
        <f>IF($H296="","",INDEX('Journal'!$C$1:$C$2002,$H296)&amp;"")</f>
        <v/>
      </c>
      <c r="D296" s="5">
        <f>IF($H296="","",IF(INDEX('Journal'!$D$1:$D$2002,$H296)=$B$1,INDEX('Journal'!$E$1:$E$2002,$H296),INDEX('Journal'!$D$1:$D$2002,$H296))&amp;"")</f>
        <v/>
      </c>
      <c r="E296" s="20">
        <f>IF($H296="","",IF(INDEX('Journal'!$D$1:$D$2002,$H296)=$B$1,N(INDEX('Journal'!$G$1:$G$2002,$H296)),N(INDEX('Journal'!$F$1:$F$2002,$H296))))</f>
        <v/>
      </c>
      <c r="F296" s="20">
        <f>IF($H296="","",IF(INDEX('Journal'!$D$1:$D$2002,$H296)=$B$1,N(INDEX('Journal'!$F$1:$F$2002,$H296)),N(INDEX('Journal'!$G$1:$G$2002,$H296))))</f>
        <v/>
      </c>
      <c r="G296" s="20">
        <f>IF($H296="","",G295+E296-F296)</f>
        <v/>
      </c>
      <c r="H296" s="18">
        <f t="array" ref="H296">IF($B$1="","",IFERROR(_xlfn.AGGREGATE(15,6,ROW('Journal'!$A$3:$A$2002)/(('Journal'!$D$3:$D$2002=$B$1)+('Journal'!$E$3:$E$2002=$B$1))/('Journal'!$B$3:$B$2002&gt;=$B$2)/('Journal'!$B$3:$B$2002&lt;=$B$3),291),""))</f>
        <v/>
      </c>
    </row>
    <row r="297">
      <c r="A297" s="18">
        <f>IF($H297="","",INDEX('Journal'!$A$1:$A$2002,$H297))</f>
        <v/>
      </c>
      <c r="B297" s="21">
        <f>IF($H297="","",INDEX('Journal'!$B$1:$B$2002,$H297))</f>
        <v/>
      </c>
      <c r="C297" s="5">
        <f>IF($H297="","",INDEX('Journal'!$C$1:$C$2002,$H297)&amp;"")</f>
        <v/>
      </c>
      <c r="D297" s="5">
        <f>IF($H297="","",IF(INDEX('Journal'!$D$1:$D$2002,$H297)=$B$1,INDEX('Journal'!$E$1:$E$2002,$H297),INDEX('Journal'!$D$1:$D$2002,$H297))&amp;"")</f>
        <v/>
      </c>
      <c r="E297" s="20">
        <f>IF($H297="","",IF(INDEX('Journal'!$D$1:$D$2002,$H297)=$B$1,N(INDEX('Journal'!$G$1:$G$2002,$H297)),N(INDEX('Journal'!$F$1:$F$2002,$H297))))</f>
        <v/>
      </c>
      <c r="F297" s="20">
        <f>IF($H297="","",IF(INDEX('Journal'!$D$1:$D$2002,$H297)=$B$1,N(INDEX('Journal'!$F$1:$F$2002,$H297)),N(INDEX('Journal'!$G$1:$G$2002,$H297))))</f>
        <v/>
      </c>
      <c r="G297" s="20">
        <f>IF($H297="","",G296+E297-F297)</f>
        <v/>
      </c>
      <c r="H297" s="18">
        <f t="array" ref="H297">IF($B$1="","",IFERROR(_xlfn.AGGREGATE(15,6,ROW('Journal'!$A$3:$A$2002)/(('Journal'!$D$3:$D$2002=$B$1)+('Journal'!$E$3:$E$2002=$B$1))/('Journal'!$B$3:$B$2002&gt;=$B$2)/('Journal'!$B$3:$B$2002&lt;=$B$3),292),""))</f>
        <v/>
      </c>
    </row>
    <row r="298">
      <c r="A298" s="18">
        <f>IF($H298="","",INDEX('Journal'!$A$1:$A$2002,$H298))</f>
        <v/>
      </c>
      <c r="B298" s="21">
        <f>IF($H298="","",INDEX('Journal'!$B$1:$B$2002,$H298))</f>
        <v/>
      </c>
      <c r="C298" s="5">
        <f>IF($H298="","",INDEX('Journal'!$C$1:$C$2002,$H298)&amp;"")</f>
        <v/>
      </c>
      <c r="D298" s="5">
        <f>IF($H298="","",IF(INDEX('Journal'!$D$1:$D$2002,$H298)=$B$1,INDEX('Journal'!$E$1:$E$2002,$H298),INDEX('Journal'!$D$1:$D$2002,$H298))&amp;"")</f>
        <v/>
      </c>
      <c r="E298" s="20">
        <f>IF($H298="","",IF(INDEX('Journal'!$D$1:$D$2002,$H298)=$B$1,N(INDEX('Journal'!$G$1:$G$2002,$H298)),N(INDEX('Journal'!$F$1:$F$2002,$H298))))</f>
        <v/>
      </c>
      <c r="F298" s="20">
        <f>IF($H298="","",IF(INDEX('Journal'!$D$1:$D$2002,$H298)=$B$1,N(INDEX('Journal'!$F$1:$F$2002,$H298)),N(INDEX('Journal'!$G$1:$G$2002,$H298))))</f>
        <v/>
      </c>
      <c r="G298" s="20">
        <f>IF($H298="","",G297+E298-F298)</f>
        <v/>
      </c>
      <c r="H298" s="18">
        <f t="array" ref="H298">IF($B$1="","",IFERROR(_xlfn.AGGREGATE(15,6,ROW('Journal'!$A$3:$A$2002)/(('Journal'!$D$3:$D$2002=$B$1)+('Journal'!$E$3:$E$2002=$B$1))/('Journal'!$B$3:$B$2002&gt;=$B$2)/('Journal'!$B$3:$B$2002&lt;=$B$3),293),""))</f>
        <v/>
      </c>
    </row>
    <row r="299">
      <c r="A299" s="18">
        <f>IF($H299="","",INDEX('Journal'!$A$1:$A$2002,$H299))</f>
        <v/>
      </c>
      <c r="B299" s="21">
        <f>IF($H299="","",INDEX('Journal'!$B$1:$B$2002,$H299))</f>
        <v/>
      </c>
      <c r="C299" s="5">
        <f>IF($H299="","",INDEX('Journal'!$C$1:$C$2002,$H299)&amp;"")</f>
        <v/>
      </c>
      <c r="D299" s="5">
        <f>IF($H299="","",IF(INDEX('Journal'!$D$1:$D$2002,$H299)=$B$1,INDEX('Journal'!$E$1:$E$2002,$H299),INDEX('Journal'!$D$1:$D$2002,$H299))&amp;"")</f>
        <v/>
      </c>
      <c r="E299" s="20">
        <f>IF($H299="","",IF(INDEX('Journal'!$D$1:$D$2002,$H299)=$B$1,N(INDEX('Journal'!$G$1:$G$2002,$H299)),N(INDEX('Journal'!$F$1:$F$2002,$H299))))</f>
        <v/>
      </c>
      <c r="F299" s="20">
        <f>IF($H299="","",IF(INDEX('Journal'!$D$1:$D$2002,$H299)=$B$1,N(INDEX('Journal'!$F$1:$F$2002,$H299)),N(INDEX('Journal'!$G$1:$G$2002,$H299))))</f>
        <v/>
      </c>
      <c r="G299" s="20">
        <f>IF($H299="","",G298+E299-F299)</f>
        <v/>
      </c>
      <c r="H299" s="18">
        <f t="array" ref="H299">IF($B$1="","",IFERROR(_xlfn.AGGREGATE(15,6,ROW('Journal'!$A$3:$A$2002)/(('Journal'!$D$3:$D$2002=$B$1)+('Journal'!$E$3:$E$2002=$B$1))/('Journal'!$B$3:$B$2002&gt;=$B$2)/('Journal'!$B$3:$B$2002&lt;=$B$3),294),""))</f>
        <v/>
      </c>
    </row>
    <row r="300">
      <c r="A300" s="18">
        <f>IF($H300="","",INDEX('Journal'!$A$1:$A$2002,$H300))</f>
        <v/>
      </c>
      <c r="B300" s="21">
        <f>IF($H300="","",INDEX('Journal'!$B$1:$B$2002,$H300))</f>
        <v/>
      </c>
      <c r="C300" s="5">
        <f>IF($H300="","",INDEX('Journal'!$C$1:$C$2002,$H300)&amp;"")</f>
        <v/>
      </c>
      <c r="D300" s="5">
        <f>IF($H300="","",IF(INDEX('Journal'!$D$1:$D$2002,$H300)=$B$1,INDEX('Journal'!$E$1:$E$2002,$H300),INDEX('Journal'!$D$1:$D$2002,$H300))&amp;"")</f>
        <v/>
      </c>
      <c r="E300" s="20">
        <f>IF($H300="","",IF(INDEX('Journal'!$D$1:$D$2002,$H300)=$B$1,N(INDEX('Journal'!$G$1:$G$2002,$H300)),N(INDEX('Journal'!$F$1:$F$2002,$H300))))</f>
        <v/>
      </c>
      <c r="F300" s="20">
        <f>IF($H300="","",IF(INDEX('Journal'!$D$1:$D$2002,$H300)=$B$1,N(INDEX('Journal'!$F$1:$F$2002,$H300)),N(INDEX('Journal'!$G$1:$G$2002,$H300))))</f>
        <v/>
      </c>
      <c r="G300" s="20">
        <f>IF($H300="","",G299+E300-F300)</f>
        <v/>
      </c>
      <c r="H300" s="18">
        <f t="array" ref="H300">IF($B$1="","",IFERROR(_xlfn.AGGREGATE(15,6,ROW('Journal'!$A$3:$A$2002)/(('Journal'!$D$3:$D$2002=$B$1)+('Journal'!$E$3:$E$2002=$B$1))/('Journal'!$B$3:$B$2002&gt;=$B$2)/('Journal'!$B$3:$B$2002&lt;=$B$3),295),""))</f>
        <v/>
      </c>
    </row>
    <row r="301">
      <c r="A301" s="18">
        <f>IF($H301="","",INDEX('Journal'!$A$1:$A$2002,$H301))</f>
        <v/>
      </c>
      <c r="B301" s="21">
        <f>IF($H301="","",INDEX('Journal'!$B$1:$B$2002,$H301))</f>
        <v/>
      </c>
      <c r="C301" s="5">
        <f>IF($H301="","",INDEX('Journal'!$C$1:$C$2002,$H301)&amp;"")</f>
        <v/>
      </c>
      <c r="D301" s="5">
        <f>IF($H301="","",IF(INDEX('Journal'!$D$1:$D$2002,$H301)=$B$1,INDEX('Journal'!$E$1:$E$2002,$H301),INDEX('Journal'!$D$1:$D$2002,$H301))&amp;"")</f>
        <v/>
      </c>
      <c r="E301" s="20">
        <f>IF($H301="","",IF(INDEX('Journal'!$D$1:$D$2002,$H301)=$B$1,N(INDEX('Journal'!$G$1:$G$2002,$H301)),N(INDEX('Journal'!$F$1:$F$2002,$H301))))</f>
        <v/>
      </c>
      <c r="F301" s="20">
        <f>IF($H301="","",IF(INDEX('Journal'!$D$1:$D$2002,$H301)=$B$1,N(INDEX('Journal'!$F$1:$F$2002,$H301)),N(INDEX('Journal'!$G$1:$G$2002,$H301))))</f>
        <v/>
      </c>
      <c r="G301" s="20">
        <f>IF($H301="","",G300+E301-F301)</f>
        <v/>
      </c>
      <c r="H301" s="18">
        <f t="array" ref="H301">IF($B$1="","",IFERROR(_xlfn.AGGREGATE(15,6,ROW('Journal'!$A$3:$A$2002)/(('Journal'!$D$3:$D$2002=$B$1)+('Journal'!$E$3:$E$2002=$B$1))/('Journal'!$B$3:$B$2002&gt;=$B$2)/('Journal'!$B$3:$B$2002&lt;=$B$3),296),""))</f>
        <v/>
      </c>
    </row>
    <row r="302">
      <c r="A302" s="18">
        <f>IF($H302="","",INDEX('Journal'!$A$1:$A$2002,$H302))</f>
        <v/>
      </c>
      <c r="B302" s="21">
        <f>IF($H302="","",INDEX('Journal'!$B$1:$B$2002,$H302))</f>
        <v/>
      </c>
      <c r="C302" s="5">
        <f>IF($H302="","",INDEX('Journal'!$C$1:$C$2002,$H302)&amp;"")</f>
        <v/>
      </c>
      <c r="D302" s="5">
        <f>IF($H302="","",IF(INDEX('Journal'!$D$1:$D$2002,$H302)=$B$1,INDEX('Journal'!$E$1:$E$2002,$H302),INDEX('Journal'!$D$1:$D$2002,$H302))&amp;"")</f>
        <v/>
      </c>
      <c r="E302" s="20">
        <f>IF($H302="","",IF(INDEX('Journal'!$D$1:$D$2002,$H302)=$B$1,N(INDEX('Journal'!$G$1:$G$2002,$H302)),N(INDEX('Journal'!$F$1:$F$2002,$H302))))</f>
        <v/>
      </c>
      <c r="F302" s="20">
        <f>IF($H302="","",IF(INDEX('Journal'!$D$1:$D$2002,$H302)=$B$1,N(INDEX('Journal'!$F$1:$F$2002,$H302)),N(INDEX('Journal'!$G$1:$G$2002,$H302))))</f>
        <v/>
      </c>
      <c r="G302" s="20">
        <f>IF($H302="","",G301+E302-F302)</f>
        <v/>
      </c>
      <c r="H302" s="18">
        <f t="array" ref="H302">IF($B$1="","",IFERROR(_xlfn.AGGREGATE(15,6,ROW('Journal'!$A$3:$A$2002)/(('Journal'!$D$3:$D$2002=$B$1)+('Journal'!$E$3:$E$2002=$B$1))/('Journal'!$B$3:$B$2002&gt;=$B$2)/('Journal'!$B$3:$B$2002&lt;=$B$3),297),""))</f>
        <v/>
      </c>
    </row>
    <row r="303">
      <c r="A303" s="18">
        <f>IF($H303="","",INDEX('Journal'!$A$1:$A$2002,$H303))</f>
        <v/>
      </c>
      <c r="B303" s="21">
        <f>IF($H303="","",INDEX('Journal'!$B$1:$B$2002,$H303))</f>
        <v/>
      </c>
      <c r="C303" s="5">
        <f>IF($H303="","",INDEX('Journal'!$C$1:$C$2002,$H303)&amp;"")</f>
        <v/>
      </c>
      <c r="D303" s="5">
        <f>IF($H303="","",IF(INDEX('Journal'!$D$1:$D$2002,$H303)=$B$1,INDEX('Journal'!$E$1:$E$2002,$H303),INDEX('Journal'!$D$1:$D$2002,$H303))&amp;"")</f>
        <v/>
      </c>
      <c r="E303" s="20">
        <f>IF($H303="","",IF(INDEX('Journal'!$D$1:$D$2002,$H303)=$B$1,N(INDEX('Journal'!$G$1:$G$2002,$H303)),N(INDEX('Journal'!$F$1:$F$2002,$H303))))</f>
        <v/>
      </c>
      <c r="F303" s="20">
        <f>IF($H303="","",IF(INDEX('Journal'!$D$1:$D$2002,$H303)=$B$1,N(INDEX('Journal'!$F$1:$F$2002,$H303)),N(INDEX('Journal'!$G$1:$G$2002,$H303))))</f>
        <v/>
      </c>
      <c r="G303" s="20">
        <f>IF($H303="","",G302+E303-F303)</f>
        <v/>
      </c>
      <c r="H303" s="18">
        <f t="array" ref="H303">IF($B$1="","",IFERROR(_xlfn.AGGREGATE(15,6,ROW('Journal'!$A$3:$A$2002)/(('Journal'!$D$3:$D$2002=$B$1)+('Journal'!$E$3:$E$2002=$B$1))/('Journal'!$B$3:$B$2002&gt;=$B$2)/('Journal'!$B$3:$B$2002&lt;=$B$3),298),""))</f>
        <v/>
      </c>
    </row>
    <row r="304">
      <c r="A304" s="18">
        <f>IF($H304="","",INDEX('Journal'!$A$1:$A$2002,$H304))</f>
        <v/>
      </c>
      <c r="B304" s="21">
        <f>IF($H304="","",INDEX('Journal'!$B$1:$B$2002,$H304))</f>
        <v/>
      </c>
      <c r="C304" s="5">
        <f>IF($H304="","",INDEX('Journal'!$C$1:$C$2002,$H304)&amp;"")</f>
        <v/>
      </c>
      <c r="D304" s="5">
        <f>IF($H304="","",IF(INDEX('Journal'!$D$1:$D$2002,$H304)=$B$1,INDEX('Journal'!$E$1:$E$2002,$H304),INDEX('Journal'!$D$1:$D$2002,$H304))&amp;"")</f>
        <v/>
      </c>
      <c r="E304" s="20">
        <f>IF($H304="","",IF(INDEX('Journal'!$D$1:$D$2002,$H304)=$B$1,N(INDEX('Journal'!$G$1:$G$2002,$H304)),N(INDEX('Journal'!$F$1:$F$2002,$H304))))</f>
        <v/>
      </c>
      <c r="F304" s="20">
        <f>IF($H304="","",IF(INDEX('Journal'!$D$1:$D$2002,$H304)=$B$1,N(INDEX('Journal'!$F$1:$F$2002,$H304)),N(INDEX('Journal'!$G$1:$G$2002,$H304))))</f>
        <v/>
      </c>
      <c r="G304" s="20">
        <f>IF($H304="","",G303+E304-F304)</f>
        <v/>
      </c>
      <c r="H304" s="18">
        <f t="array" ref="H304">IF($B$1="","",IFERROR(_xlfn.AGGREGATE(15,6,ROW('Journal'!$A$3:$A$2002)/(('Journal'!$D$3:$D$2002=$B$1)+('Journal'!$E$3:$E$2002=$B$1))/('Journal'!$B$3:$B$2002&gt;=$B$2)/('Journal'!$B$3:$B$2002&lt;=$B$3),299),""))</f>
        <v/>
      </c>
    </row>
    <row r="305">
      <c r="A305" s="18">
        <f>IF($H305="","",INDEX('Journal'!$A$1:$A$2002,$H305))</f>
        <v/>
      </c>
      <c r="B305" s="21">
        <f>IF($H305="","",INDEX('Journal'!$B$1:$B$2002,$H305))</f>
        <v/>
      </c>
      <c r="C305" s="5">
        <f>IF($H305="","",INDEX('Journal'!$C$1:$C$2002,$H305)&amp;"")</f>
        <v/>
      </c>
      <c r="D305" s="5">
        <f>IF($H305="","",IF(INDEX('Journal'!$D$1:$D$2002,$H305)=$B$1,INDEX('Journal'!$E$1:$E$2002,$H305),INDEX('Journal'!$D$1:$D$2002,$H305))&amp;"")</f>
        <v/>
      </c>
      <c r="E305" s="20">
        <f>IF($H305="","",IF(INDEX('Journal'!$D$1:$D$2002,$H305)=$B$1,N(INDEX('Journal'!$G$1:$G$2002,$H305)),N(INDEX('Journal'!$F$1:$F$2002,$H305))))</f>
        <v/>
      </c>
      <c r="F305" s="20">
        <f>IF($H305="","",IF(INDEX('Journal'!$D$1:$D$2002,$H305)=$B$1,N(INDEX('Journal'!$F$1:$F$2002,$H305)),N(INDEX('Journal'!$G$1:$G$2002,$H305))))</f>
        <v/>
      </c>
      <c r="G305" s="20">
        <f>IF($H305="","",G304+E305-F305)</f>
        <v/>
      </c>
      <c r="H305" s="18">
        <f t="array" ref="H305">IF($B$1="","",IFERROR(_xlfn.AGGREGATE(15,6,ROW('Journal'!$A$3:$A$2002)/(('Journal'!$D$3:$D$2002=$B$1)+('Journal'!$E$3:$E$2002=$B$1))/('Journal'!$B$3:$B$2002&gt;=$B$2)/('Journal'!$B$3:$B$2002&lt;=$B$3),300),""))</f>
        <v/>
      </c>
    </row>
    <row r="306">
      <c r="A306" s="18">
        <f>IF($H306="","",INDEX('Journal'!$A$1:$A$2002,$H306))</f>
        <v/>
      </c>
      <c r="B306" s="21">
        <f>IF($H306="","",INDEX('Journal'!$B$1:$B$2002,$H306))</f>
        <v/>
      </c>
      <c r="C306" s="5">
        <f>IF($H306="","",INDEX('Journal'!$C$1:$C$2002,$H306)&amp;"")</f>
        <v/>
      </c>
      <c r="D306" s="5">
        <f>IF($H306="","",IF(INDEX('Journal'!$D$1:$D$2002,$H306)=$B$1,INDEX('Journal'!$E$1:$E$2002,$H306),INDEX('Journal'!$D$1:$D$2002,$H306))&amp;"")</f>
        <v/>
      </c>
      <c r="E306" s="20">
        <f>IF($H306="","",IF(INDEX('Journal'!$D$1:$D$2002,$H306)=$B$1,N(INDEX('Journal'!$G$1:$G$2002,$H306)),N(INDEX('Journal'!$F$1:$F$2002,$H306))))</f>
        <v/>
      </c>
      <c r="F306" s="20">
        <f>IF($H306="","",IF(INDEX('Journal'!$D$1:$D$2002,$H306)=$B$1,N(INDEX('Journal'!$F$1:$F$2002,$H306)),N(INDEX('Journal'!$G$1:$G$2002,$H306))))</f>
        <v/>
      </c>
      <c r="G306" s="20">
        <f>IF($H306="","",G305+E306-F306)</f>
        <v/>
      </c>
      <c r="H306" s="18">
        <f t="array" ref="H306">IF($B$1="","",IFERROR(_xlfn.AGGREGATE(15,6,ROW('Journal'!$A$3:$A$2002)/(('Journal'!$D$3:$D$2002=$B$1)+('Journal'!$E$3:$E$2002=$B$1))/('Journal'!$B$3:$B$2002&gt;=$B$2)/('Journal'!$B$3:$B$2002&lt;=$B$3),301),""))</f>
        <v/>
      </c>
    </row>
    <row r="307">
      <c r="A307" s="18">
        <f>IF($H307="","",INDEX('Journal'!$A$1:$A$2002,$H307))</f>
        <v/>
      </c>
      <c r="B307" s="21">
        <f>IF($H307="","",INDEX('Journal'!$B$1:$B$2002,$H307))</f>
        <v/>
      </c>
      <c r="C307" s="5">
        <f>IF($H307="","",INDEX('Journal'!$C$1:$C$2002,$H307)&amp;"")</f>
        <v/>
      </c>
      <c r="D307" s="5">
        <f>IF($H307="","",IF(INDEX('Journal'!$D$1:$D$2002,$H307)=$B$1,INDEX('Journal'!$E$1:$E$2002,$H307),INDEX('Journal'!$D$1:$D$2002,$H307))&amp;"")</f>
        <v/>
      </c>
      <c r="E307" s="20">
        <f>IF($H307="","",IF(INDEX('Journal'!$D$1:$D$2002,$H307)=$B$1,N(INDEX('Journal'!$G$1:$G$2002,$H307)),N(INDEX('Journal'!$F$1:$F$2002,$H307))))</f>
        <v/>
      </c>
      <c r="F307" s="20">
        <f>IF($H307="","",IF(INDEX('Journal'!$D$1:$D$2002,$H307)=$B$1,N(INDEX('Journal'!$F$1:$F$2002,$H307)),N(INDEX('Journal'!$G$1:$G$2002,$H307))))</f>
        <v/>
      </c>
      <c r="G307" s="20">
        <f>IF($H307="","",G306+E307-F307)</f>
        <v/>
      </c>
      <c r="H307" s="18">
        <f t="array" ref="H307">IF($B$1="","",IFERROR(_xlfn.AGGREGATE(15,6,ROW('Journal'!$A$3:$A$2002)/(('Journal'!$D$3:$D$2002=$B$1)+('Journal'!$E$3:$E$2002=$B$1))/('Journal'!$B$3:$B$2002&gt;=$B$2)/('Journal'!$B$3:$B$2002&lt;=$B$3),302),""))</f>
        <v/>
      </c>
    </row>
    <row r="308">
      <c r="A308" s="18">
        <f>IF($H308="","",INDEX('Journal'!$A$1:$A$2002,$H308))</f>
        <v/>
      </c>
      <c r="B308" s="21">
        <f>IF($H308="","",INDEX('Journal'!$B$1:$B$2002,$H308))</f>
        <v/>
      </c>
      <c r="C308" s="5">
        <f>IF($H308="","",INDEX('Journal'!$C$1:$C$2002,$H308)&amp;"")</f>
        <v/>
      </c>
      <c r="D308" s="5">
        <f>IF($H308="","",IF(INDEX('Journal'!$D$1:$D$2002,$H308)=$B$1,INDEX('Journal'!$E$1:$E$2002,$H308),INDEX('Journal'!$D$1:$D$2002,$H308))&amp;"")</f>
        <v/>
      </c>
      <c r="E308" s="20">
        <f>IF($H308="","",IF(INDEX('Journal'!$D$1:$D$2002,$H308)=$B$1,N(INDEX('Journal'!$G$1:$G$2002,$H308)),N(INDEX('Journal'!$F$1:$F$2002,$H308))))</f>
        <v/>
      </c>
      <c r="F308" s="20">
        <f>IF($H308="","",IF(INDEX('Journal'!$D$1:$D$2002,$H308)=$B$1,N(INDEX('Journal'!$F$1:$F$2002,$H308)),N(INDEX('Journal'!$G$1:$G$2002,$H308))))</f>
        <v/>
      </c>
      <c r="G308" s="20">
        <f>IF($H308="","",G307+E308-F308)</f>
        <v/>
      </c>
      <c r="H308" s="18">
        <f t="array" ref="H308">IF($B$1="","",IFERROR(_xlfn.AGGREGATE(15,6,ROW('Journal'!$A$3:$A$2002)/(('Journal'!$D$3:$D$2002=$B$1)+('Journal'!$E$3:$E$2002=$B$1))/('Journal'!$B$3:$B$2002&gt;=$B$2)/('Journal'!$B$3:$B$2002&lt;=$B$3),303),""))</f>
        <v/>
      </c>
    </row>
    <row r="309">
      <c r="A309" s="18">
        <f>IF($H309="","",INDEX('Journal'!$A$1:$A$2002,$H309))</f>
        <v/>
      </c>
      <c r="B309" s="21">
        <f>IF($H309="","",INDEX('Journal'!$B$1:$B$2002,$H309))</f>
        <v/>
      </c>
      <c r="C309" s="5">
        <f>IF($H309="","",INDEX('Journal'!$C$1:$C$2002,$H309)&amp;"")</f>
        <v/>
      </c>
      <c r="D309" s="5">
        <f>IF($H309="","",IF(INDEX('Journal'!$D$1:$D$2002,$H309)=$B$1,INDEX('Journal'!$E$1:$E$2002,$H309),INDEX('Journal'!$D$1:$D$2002,$H309))&amp;"")</f>
        <v/>
      </c>
      <c r="E309" s="20">
        <f>IF($H309="","",IF(INDEX('Journal'!$D$1:$D$2002,$H309)=$B$1,N(INDEX('Journal'!$G$1:$G$2002,$H309)),N(INDEX('Journal'!$F$1:$F$2002,$H309))))</f>
        <v/>
      </c>
      <c r="F309" s="20">
        <f>IF($H309="","",IF(INDEX('Journal'!$D$1:$D$2002,$H309)=$B$1,N(INDEX('Journal'!$F$1:$F$2002,$H309)),N(INDEX('Journal'!$G$1:$G$2002,$H309))))</f>
        <v/>
      </c>
      <c r="G309" s="20">
        <f>IF($H309="","",G308+E309-F309)</f>
        <v/>
      </c>
      <c r="H309" s="18">
        <f t="array" ref="H309">IF($B$1="","",IFERROR(_xlfn.AGGREGATE(15,6,ROW('Journal'!$A$3:$A$2002)/(('Journal'!$D$3:$D$2002=$B$1)+('Journal'!$E$3:$E$2002=$B$1))/('Journal'!$B$3:$B$2002&gt;=$B$2)/('Journal'!$B$3:$B$2002&lt;=$B$3),304),""))</f>
        <v/>
      </c>
    </row>
    <row r="310">
      <c r="A310" s="18">
        <f>IF($H310="","",INDEX('Journal'!$A$1:$A$2002,$H310))</f>
        <v/>
      </c>
      <c r="B310" s="21">
        <f>IF($H310="","",INDEX('Journal'!$B$1:$B$2002,$H310))</f>
        <v/>
      </c>
      <c r="C310" s="5">
        <f>IF($H310="","",INDEX('Journal'!$C$1:$C$2002,$H310)&amp;"")</f>
        <v/>
      </c>
      <c r="D310" s="5">
        <f>IF($H310="","",IF(INDEX('Journal'!$D$1:$D$2002,$H310)=$B$1,INDEX('Journal'!$E$1:$E$2002,$H310),INDEX('Journal'!$D$1:$D$2002,$H310))&amp;"")</f>
        <v/>
      </c>
      <c r="E310" s="20">
        <f>IF($H310="","",IF(INDEX('Journal'!$D$1:$D$2002,$H310)=$B$1,N(INDEX('Journal'!$G$1:$G$2002,$H310)),N(INDEX('Journal'!$F$1:$F$2002,$H310))))</f>
        <v/>
      </c>
      <c r="F310" s="20">
        <f>IF($H310="","",IF(INDEX('Journal'!$D$1:$D$2002,$H310)=$B$1,N(INDEX('Journal'!$F$1:$F$2002,$H310)),N(INDEX('Journal'!$G$1:$G$2002,$H310))))</f>
        <v/>
      </c>
      <c r="G310" s="20">
        <f>IF($H310="","",G309+E310-F310)</f>
        <v/>
      </c>
      <c r="H310" s="18">
        <f t="array" ref="H310">IF($B$1="","",IFERROR(_xlfn.AGGREGATE(15,6,ROW('Journal'!$A$3:$A$2002)/(('Journal'!$D$3:$D$2002=$B$1)+('Journal'!$E$3:$E$2002=$B$1))/('Journal'!$B$3:$B$2002&gt;=$B$2)/('Journal'!$B$3:$B$2002&lt;=$B$3),305),""))</f>
        <v/>
      </c>
    </row>
    <row r="311">
      <c r="A311" s="18">
        <f>IF($H311="","",INDEX('Journal'!$A$1:$A$2002,$H311))</f>
        <v/>
      </c>
      <c r="B311" s="21">
        <f>IF($H311="","",INDEX('Journal'!$B$1:$B$2002,$H311))</f>
        <v/>
      </c>
      <c r="C311" s="5">
        <f>IF($H311="","",INDEX('Journal'!$C$1:$C$2002,$H311)&amp;"")</f>
        <v/>
      </c>
      <c r="D311" s="5">
        <f>IF($H311="","",IF(INDEX('Journal'!$D$1:$D$2002,$H311)=$B$1,INDEX('Journal'!$E$1:$E$2002,$H311),INDEX('Journal'!$D$1:$D$2002,$H311))&amp;"")</f>
        <v/>
      </c>
      <c r="E311" s="20">
        <f>IF($H311="","",IF(INDEX('Journal'!$D$1:$D$2002,$H311)=$B$1,N(INDEX('Journal'!$G$1:$G$2002,$H311)),N(INDEX('Journal'!$F$1:$F$2002,$H311))))</f>
        <v/>
      </c>
      <c r="F311" s="20">
        <f>IF($H311="","",IF(INDEX('Journal'!$D$1:$D$2002,$H311)=$B$1,N(INDEX('Journal'!$F$1:$F$2002,$H311)),N(INDEX('Journal'!$G$1:$G$2002,$H311))))</f>
        <v/>
      </c>
      <c r="G311" s="20">
        <f>IF($H311="","",G310+E311-F311)</f>
        <v/>
      </c>
      <c r="H311" s="18">
        <f t="array" ref="H311">IF($B$1="","",IFERROR(_xlfn.AGGREGATE(15,6,ROW('Journal'!$A$3:$A$2002)/(('Journal'!$D$3:$D$2002=$B$1)+('Journal'!$E$3:$E$2002=$B$1))/('Journal'!$B$3:$B$2002&gt;=$B$2)/('Journal'!$B$3:$B$2002&lt;=$B$3),306),""))</f>
        <v/>
      </c>
    </row>
    <row r="312">
      <c r="A312" s="18">
        <f>IF($H312="","",INDEX('Journal'!$A$1:$A$2002,$H312))</f>
        <v/>
      </c>
      <c r="B312" s="21">
        <f>IF($H312="","",INDEX('Journal'!$B$1:$B$2002,$H312))</f>
        <v/>
      </c>
      <c r="C312" s="5">
        <f>IF($H312="","",INDEX('Journal'!$C$1:$C$2002,$H312)&amp;"")</f>
        <v/>
      </c>
      <c r="D312" s="5">
        <f>IF($H312="","",IF(INDEX('Journal'!$D$1:$D$2002,$H312)=$B$1,INDEX('Journal'!$E$1:$E$2002,$H312),INDEX('Journal'!$D$1:$D$2002,$H312))&amp;"")</f>
        <v/>
      </c>
      <c r="E312" s="20">
        <f>IF($H312="","",IF(INDEX('Journal'!$D$1:$D$2002,$H312)=$B$1,N(INDEX('Journal'!$G$1:$G$2002,$H312)),N(INDEX('Journal'!$F$1:$F$2002,$H312))))</f>
        <v/>
      </c>
      <c r="F312" s="20">
        <f>IF($H312="","",IF(INDEX('Journal'!$D$1:$D$2002,$H312)=$B$1,N(INDEX('Journal'!$F$1:$F$2002,$H312)),N(INDEX('Journal'!$G$1:$G$2002,$H312))))</f>
        <v/>
      </c>
      <c r="G312" s="20">
        <f>IF($H312="","",G311+E312-F312)</f>
        <v/>
      </c>
      <c r="H312" s="18">
        <f t="array" ref="H312">IF($B$1="","",IFERROR(_xlfn.AGGREGATE(15,6,ROW('Journal'!$A$3:$A$2002)/(('Journal'!$D$3:$D$2002=$B$1)+('Journal'!$E$3:$E$2002=$B$1))/('Journal'!$B$3:$B$2002&gt;=$B$2)/('Journal'!$B$3:$B$2002&lt;=$B$3),307),""))</f>
        <v/>
      </c>
    </row>
    <row r="313">
      <c r="A313" s="18">
        <f>IF($H313="","",INDEX('Journal'!$A$1:$A$2002,$H313))</f>
        <v/>
      </c>
      <c r="B313" s="21">
        <f>IF($H313="","",INDEX('Journal'!$B$1:$B$2002,$H313))</f>
        <v/>
      </c>
      <c r="C313" s="5">
        <f>IF($H313="","",INDEX('Journal'!$C$1:$C$2002,$H313)&amp;"")</f>
        <v/>
      </c>
      <c r="D313" s="5">
        <f>IF($H313="","",IF(INDEX('Journal'!$D$1:$D$2002,$H313)=$B$1,INDEX('Journal'!$E$1:$E$2002,$H313),INDEX('Journal'!$D$1:$D$2002,$H313))&amp;"")</f>
        <v/>
      </c>
      <c r="E313" s="20">
        <f>IF($H313="","",IF(INDEX('Journal'!$D$1:$D$2002,$H313)=$B$1,N(INDEX('Journal'!$G$1:$G$2002,$H313)),N(INDEX('Journal'!$F$1:$F$2002,$H313))))</f>
        <v/>
      </c>
      <c r="F313" s="20">
        <f>IF($H313="","",IF(INDEX('Journal'!$D$1:$D$2002,$H313)=$B$1,N(INDEX('Journal'!$F$1:$F$2002,$H313)),N(INDEX('Journal'!$G$1:$G$2002,$H313))))</f>
        <v/>
      </c>
      <c r="G313" s="20">
        <f>IF($H313="","",G312+E313-F313)</f>
        <v/>
      </c>
      <c r="H313" s="18">
        <f t="array" ref="H313">IF($B$1="","",IFERROR(_xlfn.AGGREGATE(15,6,ROW('Journal'!$A$3:$A$2002)/(('Journal'!$D$3:$D$2002=$B$1)+('Journal'!$E$3:$E$2002=$B$1))/('Journal'!$B$3:$B$2002&gt;=$B$2)/('Journal'!$B$3:$B$2002&lt;=$B$3),308),""))</f>
        <v/>
      </c>
    </row>
    <row r="314">
      <c r="A314" s="18">
        <f>IF($H314="","",INDEX('Journal'!$A$1:$A$2002,$H314))</f>
        <v/>
      </c>
      <c r="B314" s="21">
        <f>IF($H314="","",INDEX('Journal'!$B$1:$B$2002,$H314))</f>
        <v/>
      </c>
      <c r="C314" s="5">
        <f>IF($H314="","",INDEX('Journal'!$C$1:$C$2002,$H314)&amp;"")</f>
        <v/>
      </c>
      <c r="D314" s="5">
        <f>IF($H314="","",IF(INDEX('Journal'!$D$1:$D$2002,$H314)=$B$1,INDEX('Journal'!$E$1:$E$2002,$H314),INDEX('Journal'!$D$1:$D$2002,$H314))&amp;"")</f>
        <v/>
      </c>
      <c r="E314" s="20">
        <f>IF($H314="","",IF(INDEX('Journal'!$D$1:$D$2002,$H314)=$B$1,N(INDEX('Journal'!$G$1:$G$2002,$H314)),N(INDEX('Journal'!$F$1:$F$2002,$H314))))</f>
        <v/>
      </c>
      <c r="F314" s="20">
        <f>IF($H314="","",IF(INDEX('Journal'!$D$1:$D$2002,$H314)=$B$1,N(INDEX('Journal'!$F$1:$F$2002,$H314)),N(INDEX('Journal'!$G$1:$G$2002,$H314))))</f>
        <v/>
      </c>
      <c r="G314" s="20">
        <f>IF($H314="","",G313+E314-F314)</f>
        <v/>
      </c>
      <c r="H314" s="18">
        <f t="array" ref="H314">IF($B$1="","",IFERROR(_xlfn.AGGREGATE(15,6,ROW('Journal'!$A$3:$A$2002)/(('Journal'!$D$3:$D$2002=$B$1)+('Journal'!$E$3:$E$2002=$B$1))/('Journal'!$B$3:$B$2002&gt;=$B$2)/('Journal'!$B$3:$B$2002&lt;=$B$3),309),""))</f>
        <v/>
      </c>
    </row>
    <row r="315">
      <c r="A315" s="18">
        <f>IF($H315="","",INDEX('Journal'!$A$1:$A$2002,$H315))</f>
        <v/>
      </c>
      <c r="B315" s="21">
        <f>IF($H315="","",INDEX('Journal'!$B$1:$B$2002,$H315))</f>
        <v/>
      </c>
      <c r="C315" s="5">
        <f>IF($H315="","",INDEX('Journal'!$C$1:$C$2002,$H315)&amp;"")</f>
        <v/>
      </c>
      <c r="D315" s="5">
        <f>IF($H315="","",IF(INDEX('Journal'!$D$1:$D$2002,$H315)=$B$1,INDEX('Journal'!$E$1:$E$2002,$H315),INDEX('Journal'!$D$1:$D$2002,$H315))&amp;"")</f>
        <v/>
      </c>
      <c r="E315" s="20">
        <f>IF($H315="","",IF(INDEX('Journal'!$D$1:$D$2002,$H315)=$B$1,N(INDEX('Journal'!$G$1:$G$2002,$H315)),N(INDEX('Journal'!$F$1:$F$2002,$H315))))</f>
        <v/>
      </c>
      <c r="F315" s="20">
        <f>IF($H315="","",IF(INDEX('Journal'!$D$1:$D$2002,$H315)=$B$1,N(INDEX('Journal'!$F$1:$F$2002,$H315)),N(INDEX('Journal'!$G$1:$G$2002,$H315))))</f>
        <v/>
      </c>
      <c r="G315" s="20">
        <f>IF($H315="","",G314+E315-F315)</f>
        <v/>
      </c>
      <c r="H315" s="18">
        <f t="array" ref="H315">IF($B$1="","",IFERROR(_xlfn.AGGREGATE(15,6,ROW('Journal'!$A$3:$A$2002)/(('Journal'!$D$3:$D$2002=$B$1)+('Journal'!$E$3:$E$2002=$B$1))/('Journal'!$B$3:$B$2002&gt;=$B$2)/('Journal'!$B$3:$B$2002&lt;=$B$3),310),""))</f>
        <v/>
      </c>
    </row>
    <row r="316">
      <c r="A316" s="18">
        <f>IF($H316="","",INDEX('Journal'!$A$1:$A$2002,$H316))</f>
        <v/>
      </c>
      <c r="B316" s="21">
        <f>IF($H316="","",INDEX('Journal'!$B$1:$B$2002,$H316))</f>
        <v/>
      </c>
      <c r="C316" s="5">
        <f>IF($H316="","",INDEX('Journal'!$C$1:$C$2002,$H316)&amp;"")</f>
        <v/>
      </c>
      <c r="D316" s="5">
        <f>IF($H316="","",IF(INDEX('Journal'!$D$1:$D$2002,$H316)=$B$1,INDEX('Journal'!$E$1:$E$2002,$H316),INDEX('Journal'!$D$1:$D$2002,$H316))&amp;"")</f>
        <v/>
      </c>
      <c r="E316" s="20">
        <f>IF($H316="","",IF(INDEX('Journal'!$D$1:$D$2002,$H316)=$B$1,N(INDEX('Journal'!$G$1:$G$2002,$H316)),N(INDEX('Journal'!$F$1:$F$2002,$H316))))</f>
        <v/>
      </c>
      <c r="F316" s="20">
        <f>IF($H316="","",IF(INDEX('Journal'!$D$1:$D$2002,$H316)=$B$1,N(INDEX('Journal'!$F$1:$F$2002,$H316)),N(INDEX('Journal'!$G$1:$G$2002,$H316))))</f>
        <v/>
      </c>
      <c r="G316" s="20">
        <f>IF($H316="","",G315+E316-F316)</f>
        <v/>
      </c>
      <c r="H316" s="18">
        <f t="array" ref="H316">IF($B$1="","",IFERROR(_xlfn.AGGREGATE(15,6,ROW('Journal'!$A$3:$A$2002)/(('Journal'!$D$3:$D$2002=$B$1)+('Journal'!$E$3:$E$2002=$B$1))/('Journal'!$B$3:$B$2002&gt;=$B$2)/('Journal'!$B$3:$B$2002&lt;=$B$3),311),""))</f>
        <v/>
      </c>
    </row>
    <row r="317">
      <c r="A317" s="18">
        <f>IF($H317="","",INDEX('Journal'!$A$1:$A$2002,$H317))</f>
        <v/>
      </c>
      <c r="B317" s="21">
        <f>IF($H317="","",INDEX('Journal'!$B$1:$B$2002,$H317))</f>
        <v/>
      </c>
      <c r="C317" s="5">
        <f>IF($H317="","",INDEX('Journal'!$C$1:$C$2002,$H317)&amp;"")</f>
        <v/>
      </c>
      <c r="D317" s="5">
        <f>IF($H317="","",IF(INDEX('Journal'!$D$1:$D$2002,$H317)=$B$1,INDEX('Journal'!$E$1:$E$2002,$H317),INDEX('Journal'!$D$1:$D$2002,$H317))&amp;"")</f>
        <v/>
      </c>
      <c r="E317" s="20">
        <f>IF($H317="","",IF(INDEX('Journal'!$D$1:$D$2002,$H317)=$B$1,N(INDEX('Journal'!$G$1:$G$2002,$H317)),N(INDEX('Journal'!$F$1:$F$2002,$H317))))</f>
        <v/>
      </c>
      <c r="F317" s="20">
        <f>IF($H317="","",IF(INDEX('Journal'!$D$1:$D$2002,$H317)=$B$1,N(INDEX('Journal'!$F$1:$F$2002,$H317)),N(INDEX('Journal'!$G$1:$G$2002,$H317))))</f>
        <v/>
      </c>
      <c r="G317" s="20">
        <f>IF($H317="","",G316+E317-F317)</f>
        <v/>
      </c>
      <c r="H317" s="18">
        <f t="array" ref="H317">IF($B$1="","",IFERROR(_xlfn.AGGREGATE(15,6,ROW('Journal'!$A$3:$A$2002)/(('Journal'!$D$3:$D$2002=$B$1)+('Journal'!$E$3:$E$2002=$B$1))/('Journal'!$B$3:$B$2002&gt;=$B$2)/('Journal'!$B$3:$B$2002&lt;=$B$3),312),""))</f>
        <v/>
      </c>
    </row>
    <row r="318">
      <c r="A318" s="18">
        <f>IF($H318="","",INDEX('Journal'!$A$1:$A$2002,$H318))</f>
        <v/>
      </c>
      <c r="B318" s="21">
        <f>IF($H318="","",INDEX('Journal'!$B$1:$B$2002,$H318))</f>
        <v/>
      </c>
      <c r="C318" s="5">
        <f>IF($H318="","",INDEX('Journal'!$C$1:$C$2002,$H318)&amp;"")</f>
        <v/>
      </c>
      <c r="D318" s="5">
        <f>IF($H318="","",IF(INDEX('Journal'!$D$1:$D$2002,$H318)=$B$1,INDEX('Journal'!$E$1:$E$2002,$H318),INDEX('Journal'!$D$1:$D$2002,$H318))&amp;"")</f>
        <v/>
      </c>
      <c r="E318" s="20">
        <f>IF($H318="","",IF(INDEX('Journal'!$D$1:$D$2002,$H318)=$B$1,N(INDEX('Journal'!$G$1:$G$2002,$H318)),N(INDEX('Journal'!$F$1:$F$2002,$H318))))</f>
        <v/>
      </c>
      <c r="F318" s="20">
        <f>IF($H318="","",IF(INDEX('Journal'!$D$1:$D$2002,$H318)=$B$1,N(INDEX('Journal'!$F$1:$F$2002,$H318)),N(INDEX('Journal'!$G$1:$G$2002,$H318))))</f>
        <v/>
      </c>
      <c r="G318" s="20">
        <f>IF($H318="","",G317+E318-F318)</f>
        <v/>
      </c>
      <c r="H318" s="18">
        <f t="array" ref="H318">IF($B$1="","",IFERROR(_xlfn.AGGREGATE(15,6,ROW('Journal'!$A$3:$A$2002)/(('Journal'!$D$3:$D$2002=$B$1)+('Journal'!$E$3:$E$2002=$B$1))/('Journal'!$B$3:$B$2002&gt;=$B$2)/('Journal'!$B$3:$B$2002&lt;=$B$3),313),""))</f>
        <v/>
      </c>
    </row>
    <row r="319">
      <c r="A319" s="18">
        <f>IF($H319="","",INDEX('Journal'!$A$1:$A$2002,$H319))</f>
        <v/>
      </c>
      <c r="B319" s="21">
        <f>IF($H319="","",INDEX('Journal'!$B$1:$B$2002,$H319))</f>
        <v/>
      </c>
      <c r="C319" s="5">
        <f>IF($H319="","",INDEX('Journal'!$C$1:$C$2002,$H319)&amp;"")</f>
        <v/>
      </c>
      <c r="D319" s="5">
        <f>IF($H319="","",IF(INDEX('Journal'!$D$1:$D$2002,$H319)=$B$1,INDEX('Journal'!$E$1:$E$2002,$H319),INDEX('Journal'!$D$1:$D$2002,$H319))&amp;"")</f>
        <v/>
      </c>
      <c r="E319" s="20">
        <f>IF($H319="","",IF(INDEX('Journal'!$D$1:$D$2002,$H319)=$B$1,N(INDEX('Journal'!$G$1:$G$2002,$H319)),N(INDEX('Journal'!$F$1:$F$2002,$H319))))</f>
        <v/>
      </c>
      <c r="F319" s="20">
        <f>IF($H319="","",IF(INDEX('Journal'!$D$1:$D$2002,$H319)=$B$1,N(INDEX('Journal'!$F$1:$F$2002,$H319)),N(INDEX('Journal'!$G$1:$G$2002,$H319))))</f>
        <v/>
      </c>
      <c r="G319" s="20">
        <f>IF($H319="","",G318+E319-F319)</f>
        <v/>
      </c>
      <c r="H319" s="18">
        <f t="array" ref="H319">IF($B$1="","",IFERROR(_xlfn.AGGREGATE(15,6,ROW('Journal'!$A$3:$A$2002)/(('Journal'!$D$3:$D$2002=$B$1)+('Journal'!$E$3:$E$2002=$B$1))/('Journal'!$B$3:$B$2002&gt;=$B$2)/('Journal'!$B$3:$B$2002&lt;=$B$3),314),""))</f>
        <v/>
      </c>
    </row>
    <row r="320">
      <c r="A320" s="18">
        <f>IF($H320="","",INDEX('Journal'!$A$1:$A$2002,$H320))</f>
        <v/>
      </c>
      <c r="B320" s="21">
        <f>IF($H320="","",INDEX('Journal'!$B$1:$B$2002,$H320))</f>
        <v/>
      </c>
      <c r="C320" s="5">
        <f>IF($H320="","",INDEX('Journal'!$C$1:$C$2002,$H320)&amp;"")</f>
        <v/>
      </c>
      <c r="D320" s="5">
        <f>IF($H320="","",IF(INDEX('Journal'!$D$1:$D$2002,$H320)=$B$1,INDEX('Journal'!$E$1:$E$2002,$H320),INDEX('Journal'!$D$1:$D$2002,$H320))&amp;"")</f>
        <v/>
      </c>
      <c r="E320" s="20">
        <f>IF($H320="","",IF(INDEX('Journal'!$D$1:$D$2002,$H320)=$B$1,N(INDEX('Journal'!$G$1:$G$2002,$H320)),N(INDEX('Journal'!$F$1:$F$2002,$H320))))</f>
        <v/>
      </c>
      <c r="F320" s="20">
        <f>IF($H320="","",IF(INDEX('Journal'!$D$1:$D$2002,$H320)=$B$1,N(INDEX('Journal'!$F$1:$F$2002,$H320)),N(INDEX('Journal'!$G$1:$G$2002,$H320))))</f>
        <v/>
      </c>
      <c r="G320" s="20">
        <f>IF($H320="","",G319+E320-F320)</f>
        <v/>
      </c>
      <c r="H320" s="18">
        <f t="array" ref="H320">IF($B$1="","",IFERROR(_xlfn.AGGREGATE(15,6,ROW('Journal'!$A$3:$A$2002)/(('Journal'!$D$3:$D$2002=$B$1)+('Journal'!$E$3:$E$2002=$B$1))/('Journal'!$B$3:$B$2002&gt;=$B$2)/('Journal'!$B$3:$B$2002&lt;=$B$3),315),""))</f>
        <v/>
      </c>
    </row>
    <row r="321">
      <c r="A321" s="18">
        <f>IF($H321="","",INDEX('Journal'!$A$1:$A$2002,$H321))</f>
        <v/>
      </c>
      <c r="B321" s="21">
        <f>IF($H321="","",INDEX('Journal'!$B$1:$B$2002,$H321))</f>
        <v/>
      </c>
      <c r="C321" s="5">
        <f>IF($H321="","",INDEX('Journal'!$C$1:$C$2002,$H321)&amp;"")</f>
        <v/>
      </c>
      <c r="D321" s="5">
        <f>IF($H321="","",IF(INDEX('Journal'!$D$1:$D$2002,$H321)=$B$1,INDEX('Journal'!$E$1:$E$2002,$H321),INDEX('Journal'!$D$1:$D$2002,$H321))&amp;"")</f>
        <v/>
      </c>
      <c r="E321" s="20">
        <f>IF($H321="","",IF(INDEX('Journal'!$D$1:$D$2002,$H321)=$B$1,N(INDEX('Journal'!$G$1:$G$2002,$H321)),N(INDEX('Journal'!$F$1:$F$2002,$H321))))</f>
        <v/>
      </c>
      <c r="F321" s="20">
        <f>IF($H321="","",IF(INDEX('Journal'!$D$1:$D$2002,$H321)=$B$1,N(INDEX('Journal'!$F$1:$F$2002,$H321)),N(INDEX('Journal'!$G$1:$G$2002,$H321))))</f>
        <v/>
      </c>
      <c r="G321" s="20">
        <f>IF($H321="","",G320+E321-F321)</f>
        <v/>
      </c>
      <c r="H321" s="18">
        <f t="array" ref="H321">IF($B$1="","",IFERROR(_xlfn.AGGREGATE(15,6,ROW('Journal'!$A$3:$A$2002)/(('Journal'!$D$3:$D$2002=$B$1)+('Journal'!$E$3:$E$2002=$B$1))/('Journal'!$B$3:$B$2002&gt;=$B$2)/('Journal'!$B$3:$B$2002&lt;=$B$3),316),""))</f>
        <v/>
      </c>
    </row>
    <row r="322">
      <c r="A322" s="18">
        <f>IF($H322="","",INDEX('Journal'!$A$1:$A$2002,$H322))</f>
        <v/>
      </c>
      <c r="B322" s="21">
        <f>IF($H322="","",INDEX('Journal'!$B$1:$B$2002,$H322))</f>
        <v/>
      </c>
      <c r="C322" s="5">
        <f>IF($H322="","",INDEX('Journal'!$C$1:$C$2002,$H322)&amp;"")</f>
        <v/>
      </c>
      <c r="D322" s="5">
        <f>IF($H322="","",IF(INDEX('Journal'!$D$1:$D$2002,$H322)=$B$1,INDEX('Journal'!$E$1:$E$2002,$H322),INDEX('Journal'!$D$1:$D$2002,$H322))&amp;"")</f>
        <v/>
      </c>
      <c r="E322" s="20">
        <f>IF($H322="","",IF(INDEX('Journal'!$D$1:$D$2002,$H322)=$B$1,N(INDEX('Journal'!$G$1:$G$2002,$H322)),N(INDEX('Journal'!$F$1:$F$2002,$H322))))</f>
        <v/>
      </c>
      <c r="F322" s="20">
        <f>IF($H322="","",IF(INDEX('Journal'!$D$1:$D$2002,$H322)=$B$1,N(INDEX('Journal'!$F$1:$F$2002,$H322)),N(INDEX('Journal'!$G$1:$G$2002,$H322))))</f>
        <v/>
      </c>
      <c r="G322" s="20">
        <f>IF($H322="","",G321+E322-F322)</f>
        <v/>
      </c>
      <c r="H322" s="18">
        <f t="array" ref="H322">IF($B$1="","",IFERROR(_xlfn.AGGREGATE(15,6,ROW('Journal'!$A$3:$A$2002)/(('Journal'!$D$3:$D$2002=$B$1)+('Journal'!$E$3:$E$2002=$B$1))/('Journal'!$B$3:$B$2002&gt;=$B$2)/('Journal'!$B$3:$B$2002&lt;=$B$3),317),""))</f>
        <v/>
      </c>
    </row>
    <row r="323">
      <c r="A323" s="18">
        <f>IF($H323="","",INDEX('Journal'!$A$1:$A$2002,$H323))</f>
        <v/>
      </c>
      <c r="B323" s="21">
        <f>IF($H323="","",INDEX('Journal'!$B$1:$B$2002,$H323))</f>
        <v/>
      </c>
      <c r="C323" s="5">
        <f>IF($H323="","",INDEX('Journal'!$C$1:$C$2002,$H323)&amp;"")</f>
        <v/>
      </c>
      <c r="D323" s="5">
        <f>IF($H323="","",IF(INDEX('Journal'!$D$1:$D$2002,$H323)=$B$1,INDEX('Journal'!$E$1:$E$2002,$H323),INDEX('Journal'!$D$1:$D$2002,$H323))&amp;"")</f>
        <v/>
      </c>
      <c r="E323" s="20">
        <f>IF($H323="","",IF(INDEX('Journal'!$D$1:$D$2002,$H323)=$B$1,N(INDEX('Journal'!$G$1:$G$2002,$H323)),N(INDEX('Journal'!$F$1:$F$2002,$H323))))</f>
        <v/>
      </c>
      <c r="F323" s="20">
        <f>IF($H323="","",IF(INDEX('Journal'!$D$1:$D$2002,$H323)=$B$1,N(INDEX('Journal'!$F$1:$F$2002,$H323)),N(INDEX('Journal'!$G$1:$G$2002,$H323))))</f>
        <v/>
      </c>
      <c r="G323" s="20">
        <f>IF($H323="","",G322+E323-F323)</f>
        <v/>
      </c>
      <c r="H323" s="18">
        <f t="array" ref="H323">IF($B$1="","",IFERROR(_xlfn.AGGREGATE(15,6,ROW('Journal'!$A$3:$A$2002)/(('Journal'!$D$3:$D$2002=$B$1)+('Journal'!$E$3:$E$2002=$B$1))/('Journal'!$B$3:$B$2002&gt;=$B$2)/('Journal'!$B$3:$B$2002&lt;=$B$3),318),""))</f>
        <v/>
      </c>
    </row>
    <row r="324">
      <c r="A324" s="18">
        <f>IF($H324="","",INDEX('Journal'!$A$1:$A$2002,$H324))</f>
        <v/>
      </c>
      <c r="B324" s="21">
        <f>IF($H324="","",INDEX('Journal'!$B$1:$B$2002,$H324))</f>
        <v/>
      </c>
      <c r="C324" s="5">
        <f>IF($H324="","",INDEX('Journal'!$C$1:$C$2002,$H324)&amp;"")</f>
        <v/>
      </c>
      <c r="D324" s="5">
        <f>IF($H324="","",IF(INDEX('Journal'!$D$1:$D$2002,$H324)=$B$1,INDEX('Journal'!$E$1:$E$2002,$H324),INDEX('Journal'!$D$1:$D$2002,$H324))&amp;"")</f>
        <v/>
      </c>
      <c r="E324" s="20">
        <f>IF($H324="","",IF(INDEX('Journal'!$D$1:$D$2002,$H324)=$B$1,N(INDEX('Journal'!$G$1:$G$2002,$H324)),N(INDEX('Journal'!$F$1:$F$2002,$H324))))</f>
        <v/>
      </c>
      <c r="F324" s="20">
        <f>IF($H324="","",IF(INDEX('Journal'!$D$1:$D$2002,$H324)=$B$1,N(INDEX('Journal'!$F$1:$F$2002,$H324)),N(INDEX('Journal'!$G$1:$G$2002,$H324))))</f>
        <v/>
      </c>
      <c r="G324" s="20">
        <f>IF($H324="","",G323+E324-F324)</f>
        <v/>
      </c>
      <c r="H324" s="18">
        <f t="array" ref="H324">IF($B$1="","",IFERROR(_xlfn.AGGREGATE(15,6,ROW('Journal'!$A$3:$A$2002)/(('Journal'!$D$3:$D$2002=$B$1)+('Journal'!$E$3:$E$2002=$B$1))/('Journal'!$B$3:$B$2002&gt;=$B$2)/('Journal'!$B$3:$B$2002&lt;=$B$3),319),""))</f>
        <v/>
      </c>
    </row>
    <row r="325">
      <c r="A325" s="18">
        <f>IF($H325="","",INDEX('Journal'!$A$1:$A$2002,$H325))</f>
        <v/>
      </c>
      <c r="B325" s="21">
        <f>IF($H325="","",INDEX('Journal'!$B$1:$B$2002,$H325))</f>
        <v/>
      </c>
      <c r="C325" s="5">
        <f>IF($H325="","",INDEX('Journal'!$C$1:$C$2002,$H325)&amp;"")</f>
        <v/>
      </c>
      <c r="D325" s="5">
        <f>IF($H325="","",IF(INDEX('Journal'!$D$1:$D$2002,$H325)=$B$1,INDEX('Journal'!$E$1:$E$2002,$H325),INDEX('Journal'!$D$1:$D$2002,$H325))&amp;"")</f>
        <v/>
      </c>
      <c r="E325" s="20">
        <f>IF($H325="","",IF(INDEX('Journal'!$D$1:$D$2002,$H325)=$B$1,N(INDEX('Journal'!$G$1:$G$2002,$H325)),N(INDEX('Journal'!$F$1:$F$2002,$H325))))</f>
        <v/>
      </c>
      <c r="F325" s="20">
        <f>IF($H325="","",IF(INDEX('Journal'!$D$1:$D$2002,$H325)=$B$1,N(INDEX('Journal'!$F$1:$F$2002,$H325)),N(INDEX('Journal'!$G$1:$G$2002,$H325))))</f>
        <v/>
      </c>
      <c r="G325" s="20">
        <f>IF($H325="","",G324+E325-F325)</f>
        <v/>
      </c>
      <c r="H325" s="18">
        <f t="array" ref="H325">IF($B$1="","",IFERROR(_xlfn.AGGREGATE(15,6,ROW('Journal'!$A$3:$A$2002)/(('Journal'!$D$3:$D$2002=$B$1)+('Journal'!$E$3:$E$2002=$B$1))/('Journal'!$B$3:$B$2002&gt;=$B$2)/('Journal'!$B$3:$B$2002&lt;=$B$3),320),""))</f>
        <v/>
      </c>
    </row>
    <row r="326">
      <c r="A326" s="18">
        <f>IF($H326="","",INDEX('Journal'!$A$1:$A$2002,$H326))</f>
        <v/>
      </c>
      <c r="B326" s="21">
        <f>IF($H326="","",INDEX('Journal'!$B$1:$B$2002,$H326))</f>
        <v/>
      </c>
      <c r="C326" s="5">
        <f>IF($H326="","",INDEX('Journal'!$C$1:$C$2002,$H326)&amp;"")</f>
        <v/>
      </c>
      <c r="D326" s="5">
        <f>IF($H326="","",IF(INDEX('Journal'!$D$1:$D$2002,$H326)=$B$1,INDEX('Journal'!$E$1:$E$2002,$H326),INDEX('Journal'!$D$1:$D$2002,$H326))&amp;"")</f>
        <v/>
      </c>
      <c r="E326" s="20">
        <f>IF($H326="","",IF(INDEX('Journal'!$D$1:$D$2002,$H326)=$B$1,N(INDEX('Journal'!$G$1:$G$2002,$H326)),N(INDEX('Journal'!$F$1:$F$2002,$H326))))</f>
        <v/>
      </c>
      <c r="F326" s="20">
        <f>IF($H326="","",IF(INDEX('Journal'!$D$1:$D$2002,$H326)=$B$1,N(INDEX('Journal'!$F$1:$F$2002,$H326)),N(INDEX('Journal'!$G$1:$G$2002,$H326))))</f>
        <v/>
      </c>
      <c r="G326" s="20">
        <f>IF($H326="","",G325+E326-F326)</f>
        <v/>
      </c>
      <c r="H326" s="18">
        <f t="array" ref="H326">IF($B$1="","",IFERROR(_xlfn.AGGREGATE(15,6,ROW('Journal'!$A$3:$A$2002)/(('Journal'!$D$3:$D$2002=$B$1)+('Journal'!$E$3:$E$2002=$B$1))/('Journal'!$B$3:$B$2002&gt;=$B$2)/('Journal'!$B$3:$B$2002&lt;=$B$3),321),""))</f>
        <v/>
      </c>
    </row>
    <row r="327">
      <c r="A327" s="18">
        <f>IF($H327="","",INDEX('Journal'!$A$1:$A$2002,$H327))</f>
        <v/>
      </c>
      <c r="B327" s="21">
        <f>IF($H327="","",INDEX('Journal'!$B$1:$B$2002,$H327))</f>
        <v/>
      </c>
      <c r="C327" s="5">
        <f>IF($H327="","",INDEX('Journal'!$C$1:$C$2002,$H327)&amp;"")</f>
        <v/>
      </c>
      <c r="D327" s="5">
        <f>IF($H327="","",IF(INDEX('Journal'!$D$1:$D$2002,$H327)=$B$1,INDEX('Journal'!$E$1:$E$2002,$H327),INDEX('Journal'!$D$1:$D$2002,$H327))&amp;"")</f>
        <v/>
      </c>
      <c r="E327" s="20">
        <f>IF($H327="","",IF(INDEX('Journal'!$D$1:$D$2002,$H327)=$B$1,N(INDEX('Journal'!$G$1:$G$2002,$H327)),N(INDEX('Journal'!$F$1:$F$2002,$H327))))</f>
        <v/>
      </c>
      <c r="F327" s="20">
        <f>IF($H327="","",IF(INDEX('Journal'!$D$1:$D$2002,$H327)=$B$1,N(INDEX('Journal'!$F$1:$F$2002,$H327)),N(INDEX('Journal'!$G$1:$G$2002,$H327))))</f>
        <v/>
      </c>
      <c r="G327" s="20">
        <f>IF($H327="","",G326+E327-F327)</f>
        <v/>
      </c>
      <c r="H327" s="18">
        <f t="array" ref="H327">IF($B$1="","",IFERROR(_xlfn.AGGREGATE(15,6,ROW('Journal'!$A$3:$A$2002)/(('Journal'!$D$3:$D$2002=$B$1)+('Journal'!$E$3:$E$2002=$B$1))/('Journal'!$B$3:$B$2002&gt;=$B$2)/('Journal'!$B$3:$B$2002&lt;=$B$3),322),""))</f>
        <v/>
      </c>
    </row>
    <row r="328">
      <c r="A328" s="18">
        <f>IF($H328="","",INDEX('Journal'!$A$1:$A$2002,$H328))</f>
        <v/>
      </c>
      <c r="B328" s="21">
        <f>IF($H328="","",INDEX('Journal'!$B$1:$B$2002,$H328))</f>
        <v/>
      </c>
      <c r="C328" s="5">
        <f>IF($H328="","",INDEX('Journal'!$C$1:$C$2002,$H328)&amp;"")</f>
        <v/>
      </c>
      <c r="D328" s="5">
        <f>IF($H328="","",IF(INDEX('Journal'!$D$1:$D$2002,$H328)=$B$1,INDEX('Journal'!$E$1:$E$2002,$H328),INDEX('Journal'!$D$1:$D$2002,$H328))&amp;"")</f>
        <v/>
      </c>
      <c r="E328" s="20">
        <f>IF($H328="","",IF(INDEX('Journal'!$D$1:$D$2002,$H328)=$B$1,N(INDEX('Journal'!$G$1:$G$2002,$H328)),N(INDEX('Journal'!$F$1:$F$2002,$H328))))</f>
        <v/>
      </c>
      <c r="F328" s="20">
        <f>IF($H328="","",IF(INDEX('Journal'!$D$1:$D$2002,$H328)=$B$1,N(INDEX('Journal'!$F$1:$F$2002,$H328)),N(INDEX('Journal'!$G$1:$G$2002,$H328))))</f>
        <v/>
      </c>
      <c r="G328" s="20">
        <f>IF($H328="","",G327+E328-F328)</f>
        <v/>
      </c>
      <c r="H328" s="18">
        <f t="array" ref="H328">IF($B$1="","",IFERROR(_xlfn.AGGREGATE(15,6,ROW('Journal'!$A$3:$A$2002)/(('Journal'!$D$3:$D$2002=$B$1)+('Journal'!$E$3:$E$2002=$B$1))/('Journal'!$B$3:$B$2002&gt;=$B$2)/('Journal'!$B$3:$B$2002&lt;=$B$3),323),""))</f>
        <v/>
      </c>
    </row>
    <row r="329">
      <c r="A329" s="18">
        <f>IF($H329="","",INDEX('Journal'!$A$1:$A$2002,$H329))</f>
        <v/>
      </c>
      <c r="B329" s="21">
        <f>IF($H329="","",INDEX('Journal'!$B$1:$B$2002,$H329))</f>
        <v/>
      </c>
      <c r="C329" s="5">
        <f>IF($H329="","",INDEX('Journal'!$C$1:$C$2002,$H329)&amp;"")</f>
        <v/>
      </c>
      <c r="D329" s="5">
        <f>IF($H329="","",IF(INDEX('Journal'!$D$1:$D$2002,$H329)=$B$1,INDEX('Journal'!$E$1:$E$2002,$H329),INDEX('Journal'!$D$1:$D$2002,$H329))&amp;"")</f>
        <v/>
      </c>
      <c r="E329" s="20">
        <f>IF($H329="","",IF(INDEX('Journal'!$D$1:$D$2002,$H329)=$B$1,N(INDEX('Journal'!$G$1:$G$2002,$H329)),N(INDEX('Journal'!$F$1:$F$2002,$H329))))</f>
        <v/>
      </c>
      <c r="F329" s="20">
        <f>IF($H329="","",IF(INDEX('Journal'!$D$1:$D$2002,$H329)=$B$1,N(INDEX('Journal'!$F$1:$F$2002,$H329)),N(INDEX('Journal'!$G$1:$G$2002,$H329))))</f>
        <v/>
      </c>
      <c r="G329" s="20">
        <f>IF($H329="","",G328+E329-F329)</f>
        <v/>
      </c>
      <c r="H329" s="18">
        <f t="array" ref="H329">IF($B$1="","",IFERROR(_xlfn.AGGREGATE(15,6,ROW('Journal'!$A$3:$A$2002)/(('Journal'!$D$3:$D$2002=$B$1)+('Journal'!$E$3:$E$2002=$B$1))/('Journal'!$B$3:$B$2002&gt;=$B$2)/('Journal'!$B$3:$B$2002&lt;=$B$3),324),""))</f>
        <v/>
      </c>
    </row>
    <row r="330">
      <c r="A330" s="18">
        <f>IF($H330="","",INDEX('Journal'!$A$1:$A$2002,$H330))</f>
        <v/>
      </c>
      <c r="B330" s="21">
        <f>IF($H330="","",INDEX('Journal'!$B$1:$B$2002,$H330))</f>
        <v/>
      </c>
      <c r="C330" s="5">
        <f>IF($H330="","",INDEX('Journal'!$C$1:$C$2002,$H330)&amp;"")</f>
        <v/>
      </c>
      <c r="D330" s="5">
        <f>IF($H330="","",IF(INDEX('Journal'!$D$1:$D$2002,$H330)=$B$1,INDEX('Journal'!$E$1:$E$2002,$H330),INDEX('Journal'!$D$1:$D$2002,$H330))&amp;"")</f>
        <v/>
      </c>
      <c r="E330" s="20">
        <f>IF($H330="","",IF(INDEX('Journal'!$D$1:$D$2002,$H330)=$B$1,N(INDEX('Journal'!$G$1:$G$2002,$H330)),N(INDEX('Journal'!$F$1:$F$2002,$H330))))</f>
        <v/>
      </c>
      <c r="F330" s="20">
        <f>IF($H330="","",IF(INDEX('Journal'!$D$1:$D$2002,$H330)=$B$1,N(INDEX('Journal'!$F$1:$F$2002,$H330)),N(INDEX('Journal'!$G$1:$G$2002,$H330))))</f>
        <v/>
      </c>
      <c r="G330" s="20">
        <f>IF($H330="","",G329+E330-F330)</f>
        <v/>
      </c>
      <c r="H330" s="18">
        <f t="array" ref="H330">IF($B$1="","",IFERROR(_xlfn.AGGREGATE(15,6,ROW('Journal'!$A$3:$A$2002)/(('Journal'!$D$3:$D$2002=$B$1)+('Journal'!$E$3:$E$2002=$B$1))/('Journal'!$B$3:$B$2002&gt;=$B$2)/('Journal'!$B$3:$B$2002&lt;=$B$3),325),""))</f>
        <v/>
      </c>
    </row>
    <row r="331">
      <c r="A331" s="18">
        <f>IF($H331="","",INDEX('Journal'!$A$1:$A$2002,$H331))</f>
        <v/>
      </c>
      <c r="B331" s="21">
        <f>IF($H331="","",INDEX('Journal'!$B$1:$B$2002,$H331))</f>
        <v/>
      </c>
      <c r="C331" s="5">
        <f>IF($H331="","",INDEX('Journal'!$C$1:$C$2002,$H331)&amp;"")</f>
        <v/>
      </c>
      <c r="D331" s="5">
        <f>IF($H331="","",IF(INDEX('Journal'!$D$1:$D$2002,$H331)=$B$1,INDEX('Journal'!$E$1:$E$2002,$H331),INDEX('Journal'!$D$1:$D$2002,$H331))&amp;"")</f>
        <v/>
      </c>
      <c r="E331" s="20">
        <f>IF($H331="","",IF(INDEX('Journal'!$D$1:$D$2002,$H331)=$B$1,N(INDEX('Journal'!$G$1:$G$2002,$H331)),N(INDEX('Journal'!$F$1:$F$2002,$H331))))</f>
        <v/>
      </c>
      <c r="F331" s="20">
        <f>IF($H331="","",IF(INDEX('Journal'!$D$1:$D$2002,$H331)=$B$1,N(INDEX('Journal'!$F$1:$F$2002,$H331)),N(INDEX('Journal'!$G$1:$G$2002,$H331))))</f>
        <v/>
      </c>
      <c r="G331" s="20">
        <f>IF($H331="","",G330+E331-F331)</f>
        <v/>
      </c>
      <c r="H331" s="18">
        <f t="array" ref="H331">IF($B$1="","",IFERROR(_xlfn.AGGREGATE(15,6,ROW('Journal'!$A$3:$A$2002)/(('Journal'!$D$3:$D$2002=$B$1)+('Journal'!$E$3:$E$2002=$B$1))/('Journal'!$B$3:$B$2002&gt;=$B$2)/('Journal'!$B$3:$B$2002&lt;=$B$3),326),""))</f>
        <v/>
      </c>
    </row>
    <row r="332">
      <c r="A332" s="18">
        <f>IF($H332="","",INDEX('Journal'!$A$1:$A$2002,$H332))</f>
        <v/>
      </c>
      <c r="B332" s="21">
        <f>IF($H332="","",INDEX('Journal'!$B$1:$B$2002,$H332))</f>
        <v/>
      </c>
      <c r="C332" s="5">
        <f>IF($H332="","",INDEX('Journal'!$C$1:$C$2002,$H332)&amp;"")</f>
        <v/>
      </c>
      <c r="D332" s="5">
        <f>IF($H332="","",IF(INDEX('Journal'!$D$1:$D$2002,$H332)=$B$1,INDEX('Journal'!$E$1:$E$2002,$H332),INDEX('Journal'!$D$1:$D$2002,$H332))&amp;"")</f>
        <v/>
      </c>
      <c r="E332" s="20">
        <f>IF($H332="","",IF(INDEX('Journal'!$D$1:$D$2002,$H332)=$B$1,N(INDEX('Journal'!$G$1:$G$2002,$H332)),N(INDEX('Journal'!$F$1:$F$2002,$H332))))</f>
        <v/>
      </c>
      <c r="F332" s="20">
        <f>IF($H332="","",IF(INDEX('Journal'!$D$1:$D$2002,$H332)=$B$1,N(INDEX('Journal'!$F$1:$F$2002,$H332)),N(INDEX('Journal'!$G$1:$G$2002,$H332))))</f>
        <v/>
      </c>
      <c r="G332" s="20">
        <f>IF($H332="","",G331+E332-F332)</f>
        <v/>
      </c>
      <c r="H332" s="18">
        <f t="array" ref="H332">IF($B$1="","",IFERROR(_xlfn.AGGREGATE(15,6,ROW('Journal'!$A$3:$A$2002)/(('Journal'!$D$3:$D$2002=$B$1)+('Journal'!$E$3:$E$2002=$B$1))/('Journal'!$B$3:$B$2002&gt;=$B$2)/('Journal'!$B$3:$B$2002&lt;=$B$3),327),""))</f>
        <v/>
      </c>
    </row>
    <row r="333">
      <c r="A333" s="18">
        <f>IF($H333="","",INDEX('Journal'!$A$1:$A$2002,$H333))</f>
        <v/>
      </c>
      <c r="B333" s="21">
        <f>IF($H333="","",INDEX('Journal'!$B$1:$B$2002,$H333))</f>
        <v/>
      </c>
      <c r="C333" s="5">
        <f>IF($H333="","",INDEX('Journal'!$C$1:$C$2002,$H333)&amp;"")</f>
        <v/>
      </c>
      <c r="D333" s="5">
        <f>IF($H333="","",IF(INDEX('Journal'!$D$1:$D$2002,$H333)=$B$1,INDEX('Journal'!$E$1:$E$2002,$H333),INDEX('Journal'!$D$1:$D$2002,$H333))&amp;"")</f>
        <v/>
      </c>
      <c r="E333" s="20">
        <f>IF($H333="","",IF(INDEX('Journal'!$D$1:$D$2002,$H333)=$B$1,N(INDEX('Journal'!$G$1:$G$2002,$H333)),N(INDEX('Journal'!$F$1:$F$2002,$H333))))</f>
        <v/>
      </c>
      <c r="F333" s="20">
        <f>IF($H333="","",IF(INDEX('Journal'!$D$1:$D$2002,$H333)=$B$1,N(INDEX('Journal'!$F$1:$F$2002,$H333)),N(INDEX('Journal'!$G$1:$G$2002,$H333))))</f>
        <v/>
      </c>
      <c r="G333" s="20">
        <f>IF($H333="","",G332+E333-F333)</f>
        <v/>
      </c>
      <c r="H333" s="18">
        <f t="array" ref="H333">IF($B$1="","",IFERROR(_xlfn.AGGREGATE(15,6,ROW('Journal'!$A$3:$A$2002)/(('Journal'!$D$3:$D$2002=$B$1)+('Journal'!$E$3:$E$2002=$B$1))/('Journal'!$B$3:$B$2002&gt;=$B$2)/('Journal'!$B$3:$B$2002&lt;=$B$3),328),""))</f>
        <v/>
      </c>
    </row>
    <row r="334">
      <c r="A334" s="18">
        <f>IF($H334="","",INDEX('Journal'!$A$1:$A$2002,$H334))</f>
        <v/>
      </c>
      <c r="B334" s="21">
        <f>IF($H334="","",INDEX('Journal'!$B$1:$B$2002,$H334))</f>
        <v/>
      </c>
      <c r="C334" s="5">
        <f>IF($H334="","",INDEX('Journal'!$C$1:$C$2002,$H334)&amp;"")</f>
        <v/>
      </c>
      <c r="D334" s="5">
        <f>IF($H334="","",IF(INDEX('Journal'!$D$1:$D$2002,$H334)=$B$1,INDEX('Journal'!$E$1:$E$2002,$H334),INDEX('Journal'!$D$1:$D$2002,$H334))&amp;"")</f>
        <v/>
      </c>
      <c r="E334" s="20">
        <f>IF($H334="","",IF(INDEX('Journal'!$D$1:$D$2002,$H334)=$B$1,N(INDEX('Journal'!$G$1:$G$2002,$H334)),N(INDEX('Journal'!$F$1:$F$2002,$H334))))</f>
        <v/>
      </c>
      <c r="F334" s="20">
        <f>IF($H334="","",IF(INDEX('Journal'!$D$1:$D$2002,$H334)=$B$1,N(INDEX('Journal'!$F$1:$F$2002,$H334)),N(INDEX('Journal'!$G$1:$G$2002,$H334))))</f>
        <v/>
      </c>
      <c r="G334" s="20">
        <f>IF($H334="","",G333+E334-F334)</f>
        <v/>
      </c>
      <c r="H334" s="18">
        <f t="array" ref="H334">IF($B$1="","",IFERROR(_xlfn.AGGREGATE(15,6,ROW('Journal'!$A$3:$A$2002)/(('Journal'!$D$3:$D$2002=$B$1)+('Journal'!$E$3:$E$2002=$B$1))/('Journal'!$B$3:$B$2002&gt;=$B$2)/('Journal'!$B$3:$B$2002&lt;=$B$3),329),""))</f>
        <v/>
      </c>
    </row>
    <row r="335">
      <c r="A335" s="18">
        <f>IF($H335="","",INDEX('Journal'!$A$1:$A$2002,$H335))</f>
        <v/>
      </c>
      <c r="B335" s="21">
        <f>IF($H335="","",INDEX('Journal'!$B$1:$B$2002,$H335))</f>
        <v/>
      </c>
      <c r="C335" s="5">
        <f>IF($H335="","",INDEX('Journal'!$C$1:$C$2002,$H335)&amp;"")</f>
        <v/>
      </c>
      <c r="D335" s="5">
        <f>IF($H335="","",IF(INDEX('Journal'!$D$1:$D$2002,$H335)=$B$1,INDEX('Journal'!$E$1:$E$2002,$H335),INDEX('Journal'!$D$1:$D$2002,$H335))&amp;"")</f>
        <v/>
      </c>
      <c r="E335" s="20">
        <f>IF($H335="","",IF(INDEX('Journal'!$D$1:$D$2002,$H335)=$B$1,N(INDEX('Journal'!$G$1:$G$2002,$H335)),N(INDEX('Journal'!$F$1:$F$2002,$H335))))</f>
        <v/>
      </c>
      <c r="F335" s="20">
        <f>IF($H335="","",IF(INDEX('Journal'!$D$1:$D$2002,$H335)=$B$1,N(INDEX('Journal'!$F$1:$F$2002,$H335)),N(INDEX('Journal'!$G$1:$G$2002,$H335))))</f>
        <v/>
      </c>
      <c r="G335" s="20">
        <f>IF($H335="","",G334+E335-F335)</f>
        <v/>
      </c>
      <c r="H335" s="18">
        <f t="array" ref="H335">IF($B$1="","",IFERROR(_xlfn.AGGREGATE(15,6,ROW('Journal'!$A$3:$A$2002)/(('Journal'!$D$3:$D$2002=$B$1)+('Journal'!$E$3:$E$2002=$B$1))/('Journal'!$B$3:$B$2002&gt;=$B$2)/('Journal'!$B$3:$B$2002&lt;=$B$3),330),""))</f>
        <v/>
      </c>
    </row>
    <row r="336">
      <c r="A336" s="18">
        <f>IF($H336="","",INDEX('Journal'!$A$1:$A$2002,$H336))</f>
        <v/>
      </c>
      <c r="B336" s="21">
        <f>IF($H336="","",INDEX('Journal'!$B$1:$B$2002,$H336))</f>
        <v/>
      </c>
      <c r="C336" s="5">
        <f>IF($H336="","",INDEX('Journal'!$C$1:$C$2002,$H336)&amp;"")</f>
        <v/>
      </c>
      <c r="D336" s="5">
        <f>IF($H336="","",IF(INDEX('Journal'!$D$1:$D$2002,$H336)=$B$1,INDEX('Journal'!$E$1:$E$2002,$H336),INDEX('Journal'!$D$1:$D$2002,$H336))&amp;"")</f>
        <v/>
      </c>
      <c r="E336" s="20">
        <f>IF($H336="","",IF(INDEX('Journal'!$D$1:$D$2002,$H336)=$B$1,N(INDEX('Journal'!$G$1:$G$2002,$H336)),N(INDEX('Journal'!$F$1:$F$2002,$H336))))</f>
        <v/>
      </c>
      <c r="F336" s="20">
        <f>IF($H336="","",IF(INDEX('Journal'!$D$1:$D$2002,$H336)=$B$1,N(INDEX('Journal'!$F$1:$F$2002,$H336)),N(INDEX('Journal'!$G$1:$G$2002,$H336))))</f>
        <v/>
      </c>
      <c r="G336" s="20">
        <f>IF($H336="","",G335+E336-F336)</f>
        <v/>
      </c>
      <c r="H336" s="18">
        <f t="array" ref="H336">IF($B$1="","",IFERROR(_xlfn.AGGREGATE(15,6,ROW('Journal'!$A$3:$A$2002)/(('Journal'!$D$3:$D$2002=$B$1)+('Journal'!$E$3:$E$2002=$B$1))/('Journal'!$B$3:$B$2002&gt;=$B$2)/('Journal'!$B$3:$B$2002&lt;=$B$3),331),""))</f>
        <v/>
      </c>
    </row>
    <row r="337">
      <c r="A337" s="18">
        <f>IF($H337="","",INDEX('Journal'!$A$1:$A$2002,$H337))</f>
        <v/>
      </c>
      <c r="B337" s="21">
        <f>IF($H337="","",INDEX('Journal'!$B$1:$B$2002,$H337))</f>
        <v/>
      </c>
      <c r="C337" s="5">
        <f>IF($H337="","",INDEX('Journal'!$C$1:$C$2002,$H337)&amp;"")</f>
        <v/>
      </c>
      <c r="D337" s="5">
        <f>IF($H337="","",IF(INDEX('Journal'!$D$1:$D$2002,$H337)=$B$1,INDEX('Journal'!$E$1:$E$2002,$H337),INDEX('Journal'!$D$1:$D$2002,$H337))&amp;"")</f>
        <v/>
      </c>
      <c r="E337" s="20">
        <f>IF($H337="","",IF(INDEX('Journal'!$D$1:$D$2002,$H337)=$B$1,N(INDEX('Journal'!$G$1:$G$2002,$H337)),N(INDEX('Journal'!$F$1:$F$2002,$H337))))</f>
        <v/>
      </c>
      <c r="F337" s="20">
        <f>IF($H337="","",IF(INDEX('Journal'!$D$1:$D$2002,$H337)=$B$1,N(INDEX('Journal'!$F$1:$F$2002,$H337)),N(INDEX('Journal'!$G$1:$G$2002,$H337))))</f>
        <v/>
      </c>
      <c r="G337" s="20">
        <f>IF($H337="","",G336+E337-F337)</f>
        <v/>
      </c>
      <c r="H337" s="18">
        <f t="array" ref="H337">IF($B$1="","",IFERROR(_xlfn.AGGREGATE(15,6,ROW('Journal'!$A$3:$A$2002)/(('Journal'!$D$3:$D$2002=$B$1)+('Journal'!$E$3:$E$2002=$B$1))/('Journal'!$B$3:$B$2002&gt;=$B$2)/('Journal'!$B$3:$B$2002&lt;=$B$3),332),""))</f>
        <v/>
      </c>
    </row>
    <row r="338">
      <c r="A338" s="18">
        <f>IF($H338="","",INDEX('Journal'!$A$1:$A$2002,$H338))</f>
        <v/>
      </c>
      <c r="B338" s="21">
        <f>IF($H338="","",INDEX('Journal'!$B$1:$B$2002,$H338))</f>
        <v/>
      </c>
      <c r="C338" s="5">
        <f>IF($H338="","",INDEX('Journal'!$C$1:$C$2002,$H338)&amp;"")</f>
        <v/>
      </c>
      <c r="D338" s="5">
        <f>IF($H338="","",IF(INDEX('Journal'!$D$1:$D$2002,$H338)=$B$1,INDEX('Journal'!$E$1:$E$2002,$H338),INDEX('Journal'!$D$1:$D$2002,$H338))&amp;"")</f>
        <v/>
      </c>
      <c r="E338" s="20">
        <f>IF($H338="","",IF(INDEX('Journal'!$D$1:$D$2002,$H338)=$B$1,N(INDEX('Journal'!$G$1:$G$2002,$H338)),N(INDEX('Journal'!$F$1:$F$2002,$H338))))</f>
        <v/>
      </c>
      <c r="F338" s="20">
        <f>IF($H338="","",IF(INDEX('Journal'!$D$1:$D$2002,$H338)=$B$1,N(INDEX('Journal'!$F$1:$F$2002,$H338)),N(INDEX('Journal'!$G$1:$G$2002,$H338))))</f>
        <v/>
      </c>
      <c r="G338" s="20">
        <f>IF($H338="","",G337+E338-F338)</f>
        <v/>
      </c>
      <c r="H338" s="18">
        <f t="array" ref="H338">IF($B$1="","",IFERROR(_xlfn.AGGREGATE(15,6,ROW('Journal'!$A$3:$A$2002)/(('Journal'!$D$3:$D$2002=$B$1)+('Journal'!$E$3:$E$2002=$B$1))/('Journal'!$B$3:$B$2002&gt;=$B$2)/('Journal'!$B$3:$B$2002&lt;=$B$3),333),""))</f>
        <v/>
      </c>
    </row>
    <row r="339">
      <c r="A339" s="18">
        <f>IF($H339="","",INDEX('Journal'!$A$1:$A$2002,$H339))</f>
        <v/>
      </c>
      <c r="B339" s="21">
        <f>IF($H339="","",INDEX('Journal'!$B$1:$B$2002,$H339))</f>
        <v/>
      </c>
      <c r="C339" s="5">
        <f>IF($H339="","",INDEX('Journal'!$C$1:$C$2002,$H339)&amp;"")</f>
        <v/>
      </c>
      <c r="D339" s="5">
        <f>IF($H339="","",IF(INDEX('Journal'!$D$1:$D$2002,$H339)=$B$1,INDEX('Journal'!$E$1:$E$2002,$H339),INDEX('Journal'!$D$1:$D$2002,$H339))&amp;"")</f>
        <v/>
      </c>
      <c r="E339" s="20">
        <f>IF($H339="","",IF(INDEX('Journal'!$D$1:$D$2002,$H339)=$B$1,N(INDEX('Journal'!$G$1:$G$2002,$H339)),N(INDEX('Journal'!$F$1:$F$2002,$H339))))</f>
        <v/>
      </c>
      <c r="F339" s="20">
        <f>IF($H339="","",IF(INDEX('Journal'!$D$1:$D$2002,$H339)=$B$1,N(INDEX('Journal'!$F$1:$F$2002,$H339)),N(INDEX('Journal'!$G$1:$G$2002,$H339))))</f>
        <v/>
      </c>
      <c r="G339" s="20">
        <f>IF($H339="","",G338+E339-F339)</f>
        <v/>
      </c>
      <c r="H339" s="18">
        <f t="array" ref="H339">IF($B$1="","",IFERROR(_xlfn.AGGREGATE(15,6,ROW('Journal'!$A$3:$A$2002)/(('Journal'!$D$3:$D$2002=$B$1)+('Journal'!$E$3:$E$2002=$B$1))/('Journal'!$B$3:$B$2002&gt;=$B$2)/('Journal'!$B$3:$B$2002&lt;=$B$3),334),""))</f>
        <v/>
      </c>
    </row>
    <row r="340">
      <c r="A340" s="18">
        <f>IF($H340="","",INDEX('Journal'!$A$1:$A$2002,$H340))</f>
        <v/>
      </c>
      <c r="B340" s="21">
        <f>IF($H340="","",INDEX('Journal'!$B$1:$B$2002,$H340))</f>
        <v/>
      </c>
      <c r="C340" s="5">
        <f>IF($H340="","",INDEX('Journal'!$C$1:$C$2002,$H340)&amp;"")</f>
        <v/>
      </c>
      <c r="D340" s="5">
        <f>IF($H340="","",IF(INDEX('Journal'!$D$1:$D$2002,$H340)=$B$1,INDEX('Journal'!$E$1:$E$2002,$H340),INDEX('Journal'!$D$1:$D$2002,$H340))&amp;"")</f>
        <v/>
      </c>
      <c r="E340" s="20">
        <f>IF($H340="","",IF(INDEX('Journal'!$D$1:$D$2002,$H340)=$B$1,N(INDEX('Journal'!$G$1:$G$2002,$H340)),N(INDEX('Journal'!$F$1:$F$2002,$H340))))</f>
        <v/>
      </c>
      <c r="F340" s="20">
        <f>IF($H340="","",IF(INDEX('Journal'!$D$1:$D$2002,$H340)=$B$1,N(INDEX('Journal'!$F$1:$F$2002,$H340)),N(INDEX('Journal'!$G$1:$G$2002,$H340))))</f>
        <v/>
      </c>
      <c r="G340" s="20">
        <f>IF($H340="","",G339+E340-F340)</f>
        <v/>
      </c>
      <c r="H340" s="18">
        <f t="array" ref="H340">IF($B$1="","",IFERROR(_xlfn.AGGREGATE(15,6,ROW('Journal'!$A$3:$A$2002)/(('Journal'!$D$3:$D$2002=$B$1)+('Journal'!$E$3:$E$2002=$B$1))/('Journal'!$B$3:$B$2002&gt;=$B$2)/('Journal'!$B$3:$B$2002&lt;=$B$3),335),""))</f>
        <v/>
      </c>
    </row>
    <row r="341">
      <c r="A341" s="18">
        <f>IF($H341="","",INDEX('Journal'!$A$1:$A$2002,$H341))</f>
        <v/>
      </c>
      <c r="B341" s="21">
        <f>IF($H341="","",INDEX('Journal'!$B$1:$B$2002,$H341))</f>
        <v/>
      </c>
      <c r="C341" s="5">
        <f>IF($H341="","",INDEX('Journal'!$C$1:$C$2002,$H341)&amp;"")</f>
        <v/>
      </c>
      <c r="D341" s="5">
        <f>IF($H341="","",IF(INDEX('Journal'!$D$1:$D$2002,$H341)=$B$1,INDEX('Journal'!$E$1:$E$2002,$H341),INDEX('Journal'!$D$1:$D$2002,$H341))&amp;"")</f>
        <v/>
      </c>
      <c r="E341" s="20">
        <f>IF($H341="","",IF(INDEX('Journal'!$D$1:$D$2002,$H341)=$B$1,N(INDEX('Journal'!$G$1:$G$2002,$H341)),N(INDEX('Journal'!$F$1:$F$2002,$H341))))</f>
        <v/>
      </c>
      <c r="F341" s="20">
        <f>IF($H341="","",IF(INDEX('Journal'!$D$1:$D$2002,$H341)=$B$1,N(INDEX('Journal'!$F$1:$F$2002,$H341)),N(INDEX('Journal'!$G$1:$G$2002,$H341))))</f>
        <v/>
      </c>
      <c r="G341" s="20">
        <f>IF($H341="","",G340+E341-F341)</f>
        <v/>
      </c>
      <c r="H341" s="18">
        <f t="array" ref="H341">IF($B$1="","",IFERROR(_xlfn.AGGREGATE(15,6,ROW('Journal'!$A$3:$A$2002)/(('Journal'!$D$3:$D$2002=$B$1)+('Journal'!$E$3:$E$2002=$B$1))/('Journal'!$B$3:$B$2002&gt;=$B$2)/('Journal'!$B$3:$B$2002&lt;=$B$3),336),""))</f>
        <v/>
      </c>
    </row>
    <row r="342">
      <c r="A342" s="18">
        <f>IF($H342="","",INDEX('Journal'!$A$1:$A$2002,$H342))</f>
        <v/>
      </c>
      <c r="B342" s="21">
        <f>IF($H342="","",INDEX('Journal'!$B$1:$B$2002,$H342))</f>
        <v/>
      </c>
      <c r="C342" s="5">
        <f>IF($H342="","",INDEX('Journal'!$C$1:$C$2002,$H342)&amp;"")</f>
        <v/>
      </c>
      <c r="D342" s="5">
        <f>IF($H342="","",IF(INDEX('Journal'!$D$1:$D$2002,$H342)=$B$1,INDEX('Journal'!$E$1:$E$2002,$H342),INDEX('Journal'!$D$1:$D$2002,$H342))&amp;"")</f>
        <v/>
      </c>
      <c r="E342" s="20">
        <f>IF($H342="","",IF(INDEX('Journal'!$D$1:$D$2002,$H342)=$B$1,N(INDEX('Journal'!$G$1:$G$2002,$H342)),N(INDEX('Journal'!$F$1:$F$2002,$H342))))</f>
        <v/>
      </c>
      <c r="F342" s="20">
        <f>IF($H342="","",IF(INDEX('Journal'!$D$1:$D$2002,$H342)=$B$1,N(INDEX('Journal'!$F$1:$F$2002,$H342)),N(INDEX('Journal'!$G$1:$G$2002,$H342))))</f>
        <v/>
      </c>
      <c r="G342" s="20">
        <f>IF($H342="","",G341+E342-F342)</f>
        <v/>
      </c>
      <c r="H342" s="18">
        <f t="array" ref="H342">IF($B$1="","",IFERROR(_xlfn.AGGREGATE(15,6,ROW('Journal'!$A$3:$A$2002)/(('Journal'!$D$3:$D$2002=$B$1)+('Journal'!$E$3:$E$2002=$B$1))/('Journal'!$B$3:$B$2002&gt;=$B$2)/('Journal'!$B$3:$B$2002&lt;=$B$3),337),""))</f>
        <v/>
      </c>
    </row>
    <row r="343">
      <c r="A343" s="18">
        <f>IF($H343="","",INDEX('Journal'!$A$1:$A$2002,$H343))</f>
        <v/>
      </c>
      <c r="B343" s="21">
        <f>IF($H343="","",INDEX('Journal'!$B$1:$B$2002,$H343))</f>
        <v/>
      </c>
      <c r="C343" s="5">
        <f>IF($H343="","",INDEX('Journal'!$C$1:$C$2002,$H343)&amp;"")</f>
        <v/>
      </c>
      <c r="D343" s="5">
        <f>IF($H343="","",IF(INDEX('Journal'!$D$1:$D$2002,$H343)=$B$1,INDEX('Journal'!$E$1:$E$2002,$H343),INDEX('Journal'!$D$1:$D$2002,$H343))&amp;"")</f>
        <v/>
      </c>
      <c r="E343" s="20">
        <f>IF($H343="","",IF(INDEX('Journal'!$D$1:$D$2002,$H343)=$B$1,N(INDEX('Journal'!$G$1:$G$2002,$H343)),N(INDEX('Journal'!$F$1:$F$2002,$H343))))</f>
        <v/>
      </c>
      <c r="F343" s="20">
        <f>IF($H343="","",IF(INDEX('Journal'!$D$1:$D$2002,$H343)=$B$1,N(INDEX('Journal'!$F$1:$F$2002,$H343)),N(INDEX('Journal'!$G$1:$G$2002,$H343))))</f>
        <v/>
      </c>
      <c r="G343" s="20">
        <f>IF($H343="","",G342+E343-F343)</f>
        <v/>
      </c>
      <c r="H343" s="18">
        <f t="array" ref="H343">IF($B$1="","",IFERROR(_xlfn.AGGREGATE(15,6,ROW('Journal'!$A$3:$A$2002)/(('Journal'!$D$3:$D$2002=$B$1)+('Journal'!$E$3:$E$2002=$B$1))/('Journal'!$B$3:$B$2002&gt;=$B$2)/('Journal'!$B$3:$B$2002&lt;=$B$3),338),""))</f>
        <v/>
      </c>
    </row>
    <row r="344">
      <c r="A344" s="18">
        <f>IF($H344="","",INDEX('Journal'!$A$1:$A$2002,$H344))</f>
        <v/>
      </c>
      <c r="B344" s="21">
        <f>IF($H344="","",INDEX('Journal'!$B$1:$B$2002,$H344))</f>
        <v/>
      </c>
      <c r="C344" s="5">
        <f>IF($H344="","",INDEX('Journal'!$C$1:$C$2002,$H344)&amp;"")</f>
        <v/>
      </c>
      <c r="D344" s="5">
        <f>IF($H344="","",IF(INDEX('Journal'!$D$1:$D$2002,$H344)=$B$1,INDEX('Journal'!$E$1:$E$2002,$H344),INDEX('Journal'!$D$1:$D$2002,$H344))&amp;"")</f>
        <v/>
      </c>
      <c r="E344" s="20">
        <f>IF($H344="","",IF(INDEX('Journal'!$D$1:$D$2002,$H344)=$B$1,N(INDEX('Journal'!$G$1:$G$2002,$H344)),N(INDEX('Journal'!$F$1:$F$2002,$H344))))</f>
        <v/>
      </c>
      <c r="F344" s="20">
        <f>IF($H344="","",IF(INDEX('Journal'!$D$1:$D$2002,$H344)=$B$1,N(INDEX('Journal'!$F$1:$F$2002,$H344)),N(INDEX('Journal'!$G$1:$G$2002,$H344))))</f>
        <v/>
      </c>
      <c r="G344" s="20">
        <f>IF($H344="","",G343+E344-F344)</f>
        <v/>
      </c>
      <c r="H344" s="18">
        <f t="array" ref="H344">IF($B$1="","",IFERROR(_xlfn.AGGREGATE(15,6,ROW('Journal'!$A$3:$A$2002)/(('Journal'!$D$3:$D$2002=$B$1)+('Journal'!$E$3:$E$2002=$B$1))/('Journal'!$B$3:$B$2002&gt;=$B$2)/('Journal'!$B$3:$B$2002&lt;=$B$3),339),""))</f>
        <v/>
      </c>
    </row>
    <row r="345">
      <c r="A345" s="18">
        <f>IF($H345="","",INDEX('Journal'!$A$1:$A$2002,$H345))</f>
        <v/>
      </c>
      <c r="B345" s="21">
        <f>IF($H345="","",INDEX('Journal'!$B$1:$B$2002,$H345))</f>
        <v/>
      </c>
      <c r="C345" s="5">
        <f>IF($H345="","",INDEX('Journal'!$C$1:$C$2002,$H345)&amp;"")</f>
        <v/>
      </c>
      <c r="D345" s="5">
        <f>IF($H345="","",IF(INDEX('Journal'!$D$1:$D$2002,$H345)=$B$1,INDEX('Journal'!$E$1:$E$2002,$H345),INDEX('Journal'!$D$1:$D$2002,$H345))&amp;"")</f>
        <v/>
      </c>
      <c r="E345" s="20">
        <f>IF($H345="","",IF(INDEX('Journal'!$D$1:$D$2002,$H345)=$B$1,N(INDEX('Journal'!$G$1:$G$2002,$H345)),N(INDEX('Journal'!$F$1:$F$2002,$H345))))</f>
        <v/>
      </c>
      <c r="F345" s="20">
        <f>IF($H345="","",IF(INDEX('Journal'!$D$1:$D$2002,$H345)=$B$1,N(INDEX('Journal'!$F$1:$F$2002,$H345)),N(INDEX('Journal'!$G$1:$G$2002,$H345))))</f>
        <v/>
      </c>
      <c r="G345" s="20">
        <f>IF($H345="","",G344+E345-F345)</f>
        <v/>
      </c>
      <c r="H345" s="18">
        <f t="array" ref="H345">IF($B$1="","",IFERROR(_xlfn.AGGREGATE(15,6,ROW('Journal'!$A$3:$A$2002)/(('Journal'!$D$3:$D$2002=$B$1)+('Journal'!$E$3:$E$2002=$B$1))/('Journal'!$B$3:$B$2002&gt;=$B$2)/('Journal'!$B$3:$B$2002&lt;=$B$3),340),""))</f>
        <v/>
      </c>
    </row>
    <row r="346">
      <c r="A346" s="18">
        <f>IF($H346="","",INDEX('Journal'!$A$1:$A$2002,$H346))</f>
        <v/>
      </c>
      <c r="B346" s="21">
        <f>IF($H346="","",INDEX('Journal'!$B$1:$B$2002,$H346))</f>
        <v/>
      </c>
      <c r="C346" s="5">
        <f>IF($H346="","",INDEX('Journal'!$C$1:$C$2002,$H346)&amp;"")</f>
        <v/>
      </c>
      <c r="D346" s="5">
        <f>IF($H346="","",IF(INDEX('Journal'!$D$1:$D$2002,$H346)=$B$1,INDEX('Journal'!$E$1:$E$2002,$H346),INDEX('Journal'!$D$1:$D$2002,$H346))&amp;"")</f>
        <v/>
      </c>
      <c r="E346" s="20">
        <f>IF($H346="","",IF(INDEX('Journal'!$D$1:$D$2002,$H346)=$B$1,N(INDEX('Journal'!$G$1:$G$2002,$H346)),N(INDEX('Journal'!$F$1:$F$2002,$H346))))</f>
        <v/>
      </c>
      <c r="F346" s="20">
        <f>IF($H346="","",IF(INDEX('Journal'!$D$1:$D$2002,$H346)=$B$1,N(INDEX('Journal'!$F$1:$F$2002,$H346)),N(INDEX('Journal'!$G$1:$G$2002,$H346))))</f>
        <v/>
      </c>
      <c r="G346" s="20">
        <f>IF($H346="","",G345+E346-F346)</f>
        <v/>
      </c>
      <c r="H346" s="18">
        <f t="array" ref="H346">IF($B$1="","",IFERROR(_xlfn.AGGREGATE(15,6,ROW('Journal'!$A$3:$A$2002)/(('Journal'!$D$3:$D$2002=$B$1)+('Journal'!$E$3:$E$2002=$B$1))/('Journal'!$B$3:$B$2002&gt;=$B$2)/('Journal'!$B$3:$B$2002&lt;=$B$3),341),""))</f>
        <v/>
      </c>
    </row>
    <row r="347">
      <c r="A347" s="18">
        <f>IF($H347="","",INDEX('Journal'!$A$1:$A$2002,$H347))</f>
        <v/>
      </c>
      <c r="B347" s="21">
        <f>IF($H347="","",INDEX('Journal'!$B$1:$B$2002,$H347))</f>
        <v/>
      </c>
      <c r="C347" s="5">
        <f>IF($H347="","",INDEX('Journal'!$C$1:$C$2002,$H347)&amp;"")</f>
        <v/>
      </c>
      <c r="D347" s="5">
        <f>IF($H347="","",IF(INDEX('Journal'!$D$1:$D$2002,$H347)=$B$1,INDEX('Journal'!$E$1:$E$2002,$H347),INDEX('Journal'!$D$1:$D$2002,$H347))&amp;"")</f>
        <v/>
      </c>
      <c r="E347" s="20">
        <f>IF($H347="","",IF(INDEX('Journal'!$D$1:$D$2002,$H347)=$B$1,N(INDEX('Journal'!$G$1:$G$2002,$H347)),N(INDEX('Journal'!$F$1:$F$2002,$H347))))</f>
        <v/>
      </c>
      <c r="F347" s="20">
        <f>IF($H347="","",IF(INDEX('Journal'!$D$1:$D$2002,$H347)=$B$1,N(INDEX('Journal'!$F$1:$F$2002,$H347)),N(INDEX('Journal'!$G$1:$G$2002,$H347))))</f>
        <v/>
      </c>
      <c r="G347" s="20">
        <f>IF($H347="","",G346+E347-F347)</f>
        <v/>
      </c>
      <c r="H347" s="18">
        <f t="array" ref="H347">IF($B$1="","",IFERROR(_xlfn.AGGREGATE(15,6,ROW('Journal'!$A$3:$A$2002)/(('Journal'!$D$3:$D$2002=$B$1)+('Journal'!$E$3:$E$2002=$B$1))/('Journal'!$B$3:$B$2002&gt;=$B$2)/('Journal'!$B$3:$B$2002&lt;=$B$3),342),""))</f>
        <v/>
      </c>
    </row>
    <row r="348">
      <c r="A348" s="18">
        <f>IF($H348="","",INDEX('Journal'!$A$1:$A$2002,$H348))</f>
        <v/>
      </c>
      <c r="B348" s="21">
        <f>IF($H348="","",INDEX('Journal'!$B$1:$B$2002,$H348))</f>
        <v/>
      </c>
      <c r="C348" s="5">
        <f>IF($H348="","",INDEX('Journal'!$C$1:$C$2002,$H348)&amp;"")</f>
        <v/>
      </c>
      <c r="D348" s="5">
        <f>IF($H348="","",IF(INDEX('Journal'!$D$1:$D$2002,$H348)=$B$1,INDEX('Journal'!$E$1:$E$2002,$H348),INDEX('Journal'!$D$1:$D$2002,$H348))&amp;"")</f>
        <v/>
      </c>
      <c r="E348" s="20">
        <f>IF($H348="","",IF(INDEX('Journal'!$D$1:$D$2002,$H348)=$B$1,N(INDEX('Journal'!$G$1:$G$2002,$H348)),N(INDEX('Journal'!$F$1:$F$2002,$H348))))</f>
        <v/>
      </c>
      <c r="F348" s="20">
        <f>IF($H348="","",IF(INDEX('Journal'!$D$1:$D$2002,$H348)=$B$1,N(INDEX('Journal'!$F$1:$F$2002,$H348)),N(INDEX('Journal'!$G$1:$G$2002,$H348))))</f>
        <v/>
      </c>
      <c r="G348" s="20">
        <f>IF($H348="","",G347+E348-F348)</f>
        <v/>
      </c>
      <c r="H348" s="18">
        <f t="array" ref="H348">IF($B$1="","",IFERROR(_xlfn.AGGREGATE(15,6,ROW('Journal'!$A$3:$A$2002)/(('Journal'!$D$3:$D$2002=$B$1)+('Journal'!$E$3:$E$2002=$B$1))/('Journal'!$B$3:$B$2002&gt;=$B$2)/('Journal'!$B$3:$B$2002&lt;=$B$3),343),""))</f>
        <v/>
      </c>
    </row>
    <row r="349">
      <c r="A349" s="18">
        <f>IF($H349="","",INDEX('Journal'!$A$1:$A$2002,$H349))</f>
        <v/>
      </c>
      <c r="B349" s="21">
        <f>IF($H349="","",INDEX('Journal'!$B$1:$B$2002,$H349))</f>
        <v/>
      </c>
      <c r="C349" s="5">
        <f>IF($H349="","",INDEX('Journal'!$C$1:$C$2002,$H349)&amp;"")</f>
        <v/>
      </c>
      <c r="D349" s="5">
        <f>IF($H349="","",IF(INDEX('Journal'!$D$1:$D$2002,$H349)=$B$1,INDEX('Journal'!$E$1:$E$2002,$H349),INDEX('Journal'!$D$1:$D$2002,$H349))&amp;"")</f>
        <v/>
      </c>
      <c r="E349" s="20">
        <f>IF($H349="","",IF(INDEX('Journal'!$D$1:$D$2002,$H349)=$B$1,N(INDEX('Journal'!$G$1:$G$2002,$H349)),N(INDEX('Journal'!$F$1:$F$2002,$H349))))</f>
        <v/>
      </c>
      <c r="F349" s="20">
        <f>IF($H349="","",IF(INDEX('Journal'!$D$1:$D$2002,$H349)=$B$1,N(INDEX('Journal'!$F$1:$F$2002,$H349)),N(INDEX('Journal'!$G$1:$G$2002,$H349))))</f>
        <v/>
      </c>
      <c r="G349" s="20">
        <f>IF($H349="","",G348+E349-F349)</f>
        <v/>
      </c>
      <c r="H349" s="18">
        <f t="array" ref="H349">IF($B$1="","",IFERROR(_xlfn.AGGREGATE(15,6,ROW('Journal'!$A$3:$A$2002)/(('Journal'!$D$3:$D$2002=$B$1)+('Journal'!$E$3:$E$2002=$B$1))/('Journal'!$B$3:$B$2002&gt;=$B$2)/('Journal'!$B$3:$B$2002&lt;=$B$3),344),""))</f>
        <v/>
      </c>
    </row>
    <row r="350">
      <c r="A350" s="18">
        <f>IF($H350="","",INDEX('Journal'!$A$1:$A$2002,$H350))</f>
        <v/>
      </c>
      <c r="B350" s="21">
        <f>IF($H350="","",INDEX('Journal'!$B$1:$B$2002,$H350))</f>
        <v/>
      </c>
      <c r="C350" s="5">
        <f>IF($H350="","",INDEX('Journal'!$C$1:$C$2002,$H350)&amp;"")</f>
        <v/>
      </c>
      <c r="D350" s="5">
        <f>IF($H350="","",IF(INDEX('Journal'!$D$1:$D$2002,$H350)=$B$1,INDEX('Journal'!$E$1:$E$2002,$H350),INDEX('Journal'!$D$1:$D$2002,$H350))&amp;"")</f>
        <v/>
      </c>
      <c r="E350" s="20">
        <f>IF($H350="","",IF(INDEX('Journal'!$D$1:$D$2002,$H350)=$B$1,N(INDEX('Journal'!$G$1:$G$2002,$H350)),N(INDEX('Journal'!$F$1:$F$2002,$H350))))</f>
        <v/>
      </c>
      <c r="F350" s="20">
        <f>IF($H350="","",IF(INDEX('Journal'!$D$1:$D$2002,$H350)=$B$1,N(INDEX('Journal'!$F$1:$F$2002,$H350)),N(INDEX('Journal'!$G$1:$G$2002,$H350))))</f>
        <v/>
      </c>
      <c r="G350" s="20">
        <f>IF($H350="","",G349+E350-F350)</f>
        <v/>
      </c>
      <c r="H350" s="18">
        <f t="array" ref="H350">IF($B$1="","",IFERROR(_xlfn.AGGREGATE(15,6,ROW('Journal'!$A$3:$A$2002)/(('Journal'!$D$3:$D$2002=$B$1)+('Journal'!$E$3:$E$2002=$B$1))/('Journal'!$B$3:$B$2002&gt;=$B$2)/('Journal'!$B$3:$B$2002&lt;=$B$3),345),""))</f>
        <v/>
      </c>
    </row>
    <row r="351">
      <c r="A351" s="18">
        <f>IF($H351="","",INDEX('Journal'!$A$1:$A$2002,$H351))</f>
        <v/>
      </c>
      <c r="B351" s="21">
        <f>IF($H351="","",INDEX('Journal'!$B$1:$B$2002,$H351))</f>
        <v/>
      </c>
      <c r="C351" s="5">
        <f>IF($H351="","",INDEX('Journal'!$C$1:$C$2002,$H351)&amp;"")</f>
        <v/>
      </c>
      <c r="D351" s="5">
        <f>IF($H351="","",IF(INDEX('Journal'!$D$1:$D$2002,$H351)=$B$1,INDEX('Journal'!$E$1:$E$2002,$H351),INDEX('Journal'!$D$1:$D$2002,$H351))&amp;"")</f>
        <v/>
      </c>
      <c r="E351" s="20">
        <f>IF($H351="","",IF(INDEX('Journal'!$D$1:$D$2002,$H351)=$B$1,N(INDEX('Journal'!$G$1:$G$2002,$H351)),N(INDEX('Journal'!$F$1:$F$2002,$H351))))</f>
        <v/>
      </c>
      <c r="F351" s="20">
        <f>IF($H351="","",IF(INDEX('Journal'!$D$1:$D$2002,$H351)=$B$1,N(INDEX('Journal'!$F$1:$F$2002,$H351)),N(INDEX('Journal'!$G$1:$G$2002,$H351))))</f>
        <v/>
      </c>
      <c r="G351" s="20">
        <f>IF($H351="","",G350+E351-F351)</f>
        <v/>
      </c>
      <c r="H351" s="18">
        <f t="array" ref="H351">IF($B$1="","",IFERROR(_xlfn.AGGREGATE(15,6,ROW('Journal'!$A$3:$A$2002)/(('Journal'!$D$3:$D$2002=$B$1)+('Journal'!$E$3:$E$2002=$B$1))/('Journal'!$B$3:$B$2002&gt;=$B$2)/('Journal'!$B$3:$B$2002&lt;=$B$3),346),""))</f>
        <v/>
      </c>
    </row>
    <row r="352">
      <c r="A352" s="18">
        <f>IF($H352="","",INDEX('Journal'!$A$1:$A$2002,$H352))</f>
        <v/>
      </c>
      <c r="B352" s="21">
        <f>IF($H352="","",INDEX('Journal'!$B$1:$B$2002,$H352))</f>
        <v/>
      </c>
      <c r="C352" s="5">
        <f>IF($H352="","",INDEX('Journal'!$C$1:$C$2002,$H352)&amp;"")</f>
        <v/>
      </c>
      <c r="D352" s="5">
        <f>IF($H352="","",IF(INDEX('Journal'!$D$1:$D$2002,$H352)=$B$1,INDEX('Journal'!$E$1:$E$2002,$H352),INDEX('Journal'!$D$1:$D$2002,$H352))&amp;"")</f>
        <v/>
      </c>
      <c r="E352" s="20">
        <f>IF($H352="","",IF(INDEX('Journal'!$D$1:$D$2002,$H352)=$B$1,N(INDEX('Journal'!$G$1:$G$2002,$H352)),N(INDEX('Journal'!$F$1:$F$2002,$H352))))</f>
        <v/>
      </c>
      <c r="F352" s="20">
        <f>IF($H352="","",IF(INDEX('Journal'!$D$1:$D$2002,$H352)=$B$1,N(INDEX('Journal'!$F$1:$F$2002,$H352)),N(INDEX('Journal'!$G$1:$G$2002,$H352))))</f>
        <v/>
      </c>
      <c r="G352" s="20">
        <f>IF($H352="","",G351+E352-F352)</f>
        <v/>
      </c>
      <c r="H352" s="18">
        <f t="array" ref="H352">IF($B$1="","",IFERROR(_xlfn.AGGREGATE(15,6,ROW('Journal'!$A$3:$A$2002)/(('Journal'!$D$3:$D$2002=$B$1)+('Journal'!$E$3:$E$2002=$B$1))/('Journal'!$B$3:$B$2002&gt;=$B$2)/('Journal'!$B$3:$B$2002&lt;=$B$3),347),""))</f>
        <v/>
      </c>
    </row>
    <row r="353">
      <c r="A353" s="18">
        <f>IF($H353="","",INDEX('Journal'!$A$1:$A$2002,$H353))</f>
        <v/>
      </c>
      <c r="B353" s="21">
        <f>IF($H353="","",INDEX('Journal'!$B$1:$B$2002,$H353))</f>
        <v/>
      </c>
      <c r="C353" s="5">
        <f>IF($H353="","",INDEX('Journal'!$C$1:$C$2002,$H353)&amp;"")</f>
        <v/>
      </c>
      <c r="D353" s="5">
        <f>IF($H353="","",IF(INDEX('Journal'!$D$1:$D$2002,$H353)=$B$1,INDEX('Journal'!$E$1:$E$2002,$H353),INDEX('Journal'!$D$1:$D$2002,$H353))&amp;"")</f>
        <v/>
      </c>
      <c r="E353" s="20">
        <f>IF($H353="","",IF(INDEX('Journal'!$D$1:$D$2002,$H353)=$B$1,N(INDEX('Journal'!$G$1:$G$2002,$H353)),N(INDEX('Journal'!$F$1:$F$2002,$H353))))</f>
        <v/>
      </c>
      <c r="F353" s="20">
        <f>IF($H353="","",IF(INDEX('Journal'!$D$1:$D$2002,$H353)=$B$1,N(INDEX('Journal'!$F$1:$F$2002,$H353)),N(INDEX('Journal'!$G$1:$G$2002,$H353))))</f>
        <v/>
      </c>
      <c r="G353" s="20">
        <f>IF($H353="","",G352+E353-F353)</f>
        <v/>
      </c>
      <c r="H353" s="18">
        <f t="array" ref="H353">IF($B$1="","",IFERROR(_xlfn.AGGREGATE(15,6,ROW('Journal'!$A$3:$A$2002)/(('Journal'!$D$3:$D$2002=$B$1)+('Journal'!$E$3:$E$2002=$B$1))/('Journal'!$B$3:$B$2002&gt;=$B$2)/('Journal'!$B$3:$B$2002&lt;=$B$3),348),""))</f>
        <v/>
      </c>
    </row>
    <row r="354">
      <c r="A354" s="18">
        <f>IF($H354="","",INDEX('Journal'!$A$1:$A$2002,$H354))</f>
        <v/>
      </c>
      <c r="B354" s="21">
        <f>IF($H354="","",INDEX('Journal'!$B$1:$B$2002,$H354))</f>
        <v/>
      </c>
      <c r="C354" s="5">
        <f>IF($H354="","",INDEX('Journal'!$C$1:$C$2002,$H354)&amp;"")</f>
        <v/>
      </c>
      <c r="D354" s="5">
        <f>IF($H354="","",IF(INDEX('Journal'!$D$1:$D$2002,$H354)=$B$1,INDEX('Journal'!$E$1:$E$2002,$H354),INDEX('Journal'!$D$1:$D$2002,$H354))&amp;"")</f>
        <v/>
      </c>
      <c r="E354" s="20">
        <f>IF($H354="","",IF(INDEX('Journal'!$D$1:$D$2002,$H354)=$B$1,N(INDEX('Journal'!$G$1:$G$2002,$H354)),N(INDEX('Journal'!$F$1:$F$2002,$H354))))</f>
        <v/>
      </c>
      <c r="F354" s="20">
        <f>IF($H354="","",IF(INDEX('Journal'!$D$1:$D$2002,$H354)=$B$1,N(INDEX('Journal'!$F$1:$F$2002,$H354)),N(INDEX('Journal'!$G$1:$G$2002,$H354))))</f>
        <v/>
      </c>
      <c r="G354" s="20">
        <f>IF($H354="","",G353+E354-F354)</f>
        <v/>
      </c>
      <c r="H354" s="18">
        <f t="array" ref="H354">IF($B$1="","",IFERROR(_xlfn.AGGREGATE(15,6,ROW('Journal'!$A$3:$A$2002)/(('Journal'!$D$3:$D$2002=$B$1)+('Journal'!$E$3:$E$2002=$B$1))/('Journal'!$B$3:$B$2002&gt;=$B$2)/('Journal'!$B$3:$B$2002&lt;=$B$3),349),""))</f>
        <v/>
      </c>
    </row>
    <row r="355">
      <c r="A355" s="18">
        <f>IF($H355="","",INDEX('Journal'!$A$1:$A$2002,$H355))</f>
        <v/>
      </c>
      <c r="B355" s="21">
        <f>IF($H355="","",INDEX('Journal'!$B$1:$B$2002,$H355))</f>
        <v/>
      </c>
      <c r="C355" s="5">
        <f>IF($H355="","",INDEX('Journal'!$C$1:$C$2002,$H355)&amp;"")</f>
        <v/>
      </c>
      <c r="D355" s="5">
        <f>IF($H355="","",IF(INDEX('Journal'!$D$1:$D$2002,$H355)=$B$1,INDEX('Journal'!$E$1:$E$2002,$H355),INDEX('Journal'!$D$1:$D$2002,$H355))&amp;"")</f>
        <v/>
      </c>
      <c r="E355" s="20">
        <f>IF($H355="","",IF(INDEX('Journal'!$D$1:$D$2002,$H355)=$B$1,N(INDEX('Journal'!$G$1:$G$2002,$H355)),N(INDEX('Journal'!$F$1:$F$2002,$H355))))</f>
        <v/>
      </c>
      <c r="F355" s="20">
        <f>IF($H355="","",IF(INDEX('Journal'!$D$1:$D$2002,$H355)=$B$1,N(INDEX('Journal'!$F$1:$F$2002,$H355)),N(INDEX('Journal'!$G$1:$G$2002,$H355))))</f>
        <v/>
      </c>
      <c r="G355" s="20">
        <f>IF($H355="","",G354+E355-F355)</f>
        <v/>
      </c>
      <c r="H355" s="18">
        <f t="array" ref="H355">IF($B$1="","",IFERROR(_xlfn.AGGREGATE(15,6,ROW('Journal'!$A$3:$A$2002)/(('Journal'!$D$3:$D$2002=$B$1)+('Journal'!$E$3:$E$2002=$B$1))/('Journal'!$B$3:$B$2002&gt;=$B$2)/('Journal'!$B$3:$B$2002&lt;=$B$3),350),""))</f>
        <v/>
      </c>
    </row>
    <row r="356">
      <c r="A356" s="18">
        <f>IF($H356="","",INDEX('Journal'!$A$1:$A$2002,$H356))</f>
        <v/>
      </c>
      <c r="B356" s="21">
        <f>IF($H356="","",INDEX('Journal'!$B$1:$B$2002,$H356))</f>
        <v/>
      </c>
      <c r="C356" s="5">
        <f>IF($H356="","",INDEX('Journal'!$C$1:$C$2002,$H356)&amp;"")</f>
        <v/>
      </c>
      <c r="D356" s="5">
        <f>IF($H356="","",IF(INDEX('Journal'!$D$1:$D$2002,$H356)=$B$1,INDEX('Journal'!$E$1:$E$2002,$H356),INDEX('Journal'!$D$1:$D$2002,$H356))&amp;"")</f>
        <v/>
      </c>
      <c r="E356" s="20">
        <f>IF($H356="","",IF(INDEX('Journal'!$D$1:$D$2002,$H356)=$B$1,N(INDEX('Journal'!$G$1:$G$2002,$H356)),N(INDEX('Journal'!$F$1:$F$2002,$H356))))</f>
        <v/>
      </c>
      <c r="F356" s="20">
        <f>IF($H356="","",IF(INDEX('Journal'!$D$1:$D$2002,$H356)=$B$1,N(INDEX('Journal'!$F$1:$F$2002,$H356)),N(INDEX('Journal'!$G$1:$G$2002,$H356))))</f>
        <v/>
      </c>
      <c r="G356" s="20">
        <f>IF($H356="","",G355+E356-F356)</f>
        <v/>
      </c>
      <c r="H356" s="18">
        <f t="array" ref="H356">IF($B$1="","",IFERROR(_xlfn.AGGREGATE(15,6,ROW('Journal'!$A$3:$A$2002)/(('Journal'!$D$3:$D$2002=$B$1)+('Journal'!$E$3:$E$2002=$B$1))/('Journal'!$B$3:$B$2002&gt;=$B$2)/('Journal'!$B$3:$B$2002&lt;=$B$3),351),""))</f>
        <v/>
      </c>
    </row>
    <row r="357">
      <c r="A357" s="18">
        <f>IF($H357="","",INDEX('Journal'!$A$1:$A$2002,$H357))</f>
        <v/>
      </c>
      <c r="B357" s="21">
        <f>IF($H357="","",INDEX('Journal'!$B$1:$B$2002,$H357))</f>
        <v/>
      </c>
      <c r="C357" s="5">
        <f>IF($H357="","",INDEX('Journal'!$C$1:$C$2002,$H357)&amp;"")</f>
        <v/>
      </c>
      <c r="D357" s="5">
        <f>IF($H357="","",IF(INDEX('Journal'!$D$1:$D$2002,$H357)=$B$1,INDEX('Journal'!$E$1:$E$2002,$H357),INDEX('Journal'!$D$1:$D$2002,$H357))&amp;"")</f>
        <v/>
      </c>
      <c r="E357" s="20">
        <f>IF($H357="","",IF(INDEX('Journal'!$D$1:$D$2002,$H357)=$B$1,N(INDEX('Journal'!$G$1:$G$2002,$H357)),N(INDEX('Journal'!$F$1:$F$2002,$H357))))</f>
        <v/>
      </c>
      <c r="F357" s="20">
        <f>IF($H357="","",IF(INDEX('Journal'!$D$1:$D$2002,$H357)=$B$1,N(INDEX('Journal'!$F$1:$F$2002,$H357)),N(INDEX('Journal'!$G$1:$G$2002,$H357))))</f>
        <v/>
      </c>
      <c r="G357" s="20">
        <f>IF($H357="","",G356+E357-F357)</f>
        <v/>
      </c>
      <c r="H357" s="18">
        <f t="array" ref="H357">IF($B$1="","",IFERROR(_xlfn.AGGREGATE(15,6,ROW('Journal'!$A$3:$A$2002)/(('Journal'!$D$3:$D$2002=$B$1)+('Journal'!$E$3:$E$2002=$B$1))/('Journal'!$B$3:$B$2002&gt;=$B$2)/('Journal'!$B$3:$B$2002&lt;=$B$3),352),""))</f>
        <v/>
      </c>
    </row>
    <row r="358">
      <c r="A358" s="18">
        <f>IF($H358="","",INDEX('Journal'!$A$1:$A$2002,$H358))</f>
        <v/>
      </c>
      <c r="B358" s="21">
        <f>IF($H358="","",INDEX('Journal'!$B$1:$B$2002,$H358))</f>
        <v/>
      </c>
      <c r="C358" s="5">
        <f>IF($H358="","",INDEX('Journal'!$C$1:$C$2002,$H358)&amp;"")</f>
        <v/>
      </c>
      <c r="D358" s="5">
        <f>IF($H358="","",IF(INDEX('Journal'!$D$1:$D$2002,$H358)=$B$1,INDEX('Journal'!$E$1:$E$2002,$H358),INDEX('Journal'!$D$1:$D$2002,$H358))&amp;"")</f>
        <v/>
      </c>
      <c r="E358" s="20">
        <f>IF($H358="","",IF(INDEX('Journal'!$D$1:$D$2002,$H358)=$B$1,N(INDEX('Journal'!$G$1:$G$2002,$H358)),N(INDEX('Journal'!$F$1:$F$2002,$H358))))</f>
        <v/>
      </c>
      <c r="F358" s="20">
        <f>IF($H358="","",IF(INDEX('Journal'!$D$1:$D$2002,$H358)=$B$1,N(INDEX('Journal'!$F$1:$F$2002,$H358)),N(INDEX('Journal'!$G$1:$G$2002,$H358))))</f>
        <v/>
      </c>
      <c r="G358" s="20">
        <f>IF($H358="","",G357+E358-F358)</f>
        <v/>
      </c>
      <c r="H358" s="18">
        <f t="array" ref="H358">IF($B$1="","",IFERROR(_xlfn.AGGREGATE(15,6,ROW('Journal'!$A$3:$A$2002)/(('Journal'!$D$3:$D$2002=$B$1)+('Journal'!$E$3:$E$2002=$B$1))/('Journal'!$B$3:$B$2002&gt;=$B$2)/('Journal'!$B$3:$B$2002&lt;=$B$3),353),""))</f>
        <v/>
      </c>
    </row>
    <row r="359">
      <c r="A359" s="18">
        <f>IF($H359="","",INDEX('Journal'!$A$1:$A$2002,$H359))</f>
        <v/>
      </c>
      <c r="B359" s="21">
        <f>IF($H359="","",INDEX('Journal'!$B$1:$B$2002,$H359))</f>
        <v/>
      </c>
      <c r="C359" s="5">
        <f>IF($H359="","",INDEX('Journal'!$C$1:$C$2002,$H359)&amp;"")</f>
        <v/>
      </c>
      <c r="D359" s="5">
        <f>IF($H359="","",IF(INDEX('Journal'!$D$1:$D$2002,$H359)=$B$1,INDEX('Journal'!$E$1:$E$2002,$H359),INDEX('Journal'!$D$1:$D$2002,$H359))&amp;"")</f>
        <v/>
      </c>
      <c r="E359" s="20">
        <f>IF($H359="","",IF(INDEX('Journal'!$D$1:$D$2002,$H359)=$B$1,N(INDEX('Journal'!$G$1:$G$2002,$H359)),N(INDEX('Journal'!$F$1:$F$2002,$H359))))</f>
        <v/>
      </c>
      <c r="F359" s="20">
        <f>IF($H359="","",IF(INDEX('Journal'!$D$1:$D$2002,$H359)=$B$1,N(INDEX('Journal'!$F$1:$F$2002,$H359)),N(INDEX('Journal'!$G$1:$G$2002,$H359))))</f>
        <v/>
      </c>
      <c r="G359" s="20">
        <f>IF($H359="","",G358+E359-F359)</f>
        <v/>
      </c>
      <c r="H359" s="18">
        <f t="array" ref="H359">IF($B$1="","",IFERROR(_xlfn.AGGREGATE(15,6,ROW('Journal'!$A$3:$A$2002)/(('Journal'!$D$3:$D$2002=$B$1)+('Journal'!$E$3:$E$2002=$B$1))/('Journal'!$B$3:$B$2002&gt;=$B$2)/('Journal'!$B$3:$B$2002&lt;=$B$3),354),""))</f>
        <v/>
      </c>
    </row>
    <row r="360">
      <c r="A360" s="18">
        <f>IF($H360="","",INDEX('Journal'!$A$1:$A$2002,$H360))</f>
        <v/>
      </c>
      <c r="B360" s="21">
        <f>IF($H360="","",INDEX('Journal'!$B$1:$B$2002,$H360))</f>
        <v/>
      </c>
      <c r="C360" s="5">
        <f>IF($H360="","",INDEX('Journal'!$C$1:$C$2002,$H360)&amp;"")</f>
        <v/>
      </c>
      <c r="D360" s="5">
        <f>IF($H360="","",IF(INDEX('Journal'!$D$1:$D$2002,$H360)=$B$1,INDEX('Journal'!$E$1:$E$2002,$H360),INDEX('Journal'!$D$1:$D$2002,$H360))&amp;"")</f>
        <v/>
      </c>
      <c r="E360" s="20">
        <f>IF($H360="","",IF(INDEX('Journal'!$D$1:$D$2002,$H360)=$B$1,N(INDEX('Journal'!$G$1:$G$2002,$H360)),N(INDEX('Journal'!$F$1:$F$2002,$H360))))</f>
        <v/>
      </c>
      <c r="F360" s="20">
        <f>IF($H360="","",IF(INDEX('Journal'!$D$1:$D$2002,$H360)=$B$1,N(INDEX('Journal'!$F$1:$F$2002,$H360)),N(INDEX('Journal'!$G$1:$G$2002,$H360))))</f>
        <v/>
      </c>
      <c r="G360" s="20">
        <f>IF($H360="","",G359+E360-F360)</f>
        <v/>
      </c>
      <c r="H360" s="18">
        <f t="array" ref="H360">IF($B$1="","",IFERROR(_xlfn.AGGREGATE(15,6,ROW('Journal'!$A$3:$A$2002)/(('Journal'!$D$3:$D$2002=$B$1)+('Journal'!$E$3:$E$2002=$B$1))/('Journal'!$B$3:$B$2002&gt;=$B$2)/('Journal'!$B$3:$B$2002&lt;=$B$3),355),""))</f>
        <v/>
      </c>
    </row>
    <row r="361">
      <c r="A361" s="18">
        <f>IF($H361="","",INDEX('Journal'!$A$1:$A$2002,$H361))</f>
        <v/>
      </c>
      <c r="B361" s="21">
        <f>IF($H361="","",INDEX('Journal'!$B$1:$B$2002,$H361))</f>
        <v/>
      </c>
      <c r="C361" s="5">
        <f>IF($H361="","",INDEX('Journal'!$C$1:$C$2002,$H361)&amp;"")</f>
        <v/>
      </c>
      <c r="D361" s="5">
        <f>IF($H361="","",IF(INDEX('Journal'!$D$1:$D$2002,$H361)=$B$1,INDEX('Journal'!$E$1:$E$2002,$H361),INDEX('Journal'!$D$1:$D$2002,$H361))&amp;"")</f>
        <v/>
      </c>
      <c r="E361" s="20">
        <f>IF($H361="","",IF(INDEX('Journal'!$D$1:$D$2002,$H361)=$B$1,N(INDEX('Journal'!$G$1:$G$2002,$H361)),N(INDEX('Journal'!$F$1:$F$2002,$H361))))</f>
        <v/>
      </c>
      <c r="F361" s="20">
        <f>IF($H361="","",IF(INDEX('Journal'!$D$1:$D$2002,$H361)=$B$1,N(INDEX('Journal'!$F$1:$F$2002,$H361)),N(INDEX('Journal'!$G$1:$G$2002,$H361))))</f>
        <v/>
      </c>
      <c r="G361" s="20">
        <f>IF($H361="","",G360+E361-F361)</f>
        <v/>
      </c>
      <c r="H361" s="18">
        <f t="array" ref="H361">IF($B$1="","",IFERROR(_xlfn.AGGREGATE(15,6,ROW('Journal'!$A$3:$A$2002)/(('Journal'!$D$3:$D$2002=$B$1)+('Journal'!$E$3:$E$2002=$B$1))/('Journal'!$B$3:$B$2002&gt;=$B$2)/('Journal'!$B$3:$B$2002&lt;=$B$3),356),""))</f>
        <v/>
      </c>
    </row>
    <row r="362">
      <c r="A362" s="18">
        <f>IF($H362="","",INDEX('Journal'!$A$1:$A$2002,$H362))</f>
        <v/>
      </c>
      <c r="B362" s="21">
        <f>IF($H362="","",INDEX('Journal'!$B$1:$B$2002,$H362))</f>
        <v/>
      </c>
      <c r="C362" s="5">
        <f>IF($H362="","",INDEX('Journal'!$C$1:$C$2002,$H362)&amp;"")</f>
        <v/>
      </c>
      <c r="D362" s="5">
        <f>IF($H362="","",IF(INDEX('Journal'!$D$1:$D$2002,$H362)=$B$1,INDEX('Journal'!$E$1:$E$2002,$H362),INDEX('Journal'!$D$1:$D$2002,$H362))&amp;"")</f>
        <v/>
      </c>
      <c r="E362" s="20">
        <f>IF($H362="","",IF(INDEX('Journal'!$D$1:$D$2002,$H362)=$B$1,N(INDEX('Journal'!$G$1:$G$2002,$H362)),N(INDEX('Journal'!$F$1:$F$2002,$H362))))</f>
        <v/>
      </c>
      <c r="F362" s="20">
        <f>IF($H362="","",IF(INDEX('Journal'!$D$1:$D$2002,$H362)=$B$1,N(INDEX('Journal'!$F$1:$F$2002,$H362)),N(INDEX('Journal'!$G$1:$G$2002,$H362))))</f>
        <v/>
      </c>
      <c r="G362" s="20">
        <f>IF($H362="","",G361+E362-F362)</f>
        <v/>
      </c>
      <c r="H362" s="18">
        <f t="array" ref="H362">IF($B$1="","",IFERROR(_xlfn.AGGREGATE(15,6,ROW('Journal'!$A$3:$A$2002)/(('Journal'!$D$3:$D$2002=$B$1)+('Journal'!$E$3:$E$2002=$B$1))/('Journal'!$B$3:$B$2002&gt;=$B$2)/('Journal'!$B$3:$B$2002&lt;=$B$3),357),""))</f>
        <v/>
      </c>
    </row>
    <row r="363">
      <c r="A363" s="18">
        <f>IF($H363="","",INDEX('Journal'!$A$1:$A$2002,$H363))</f>
        <v/>
      </c>
      <c r="B363" s="21">
        <f>IF($H363="","",INDEX('Journal'!$B$1:$B$2002,$H363))</f>
        <v/>
      </c>
      <c r="C363" s="5">
        <f>IF($H363="","",INDEX('Journal'!$C$1:$C$2002,$H363)&amp;"")</f>
        <v/>
      </c>
      <c r="D363" s="5">
        <f>IF($H363="","",IF(INDEX('Journal'!$D$1:$D$2002,$H363)=$B$1,INDEX('Journal'!$E$1:$E$2002,$H363),INDEX('Journal'!$D$1:$D$2002,$H363))&amp;"")</f>
        <v/>
      </c>
      <c r="E363" s="20">
        <f>IF($H363="","",IF(INDEX('Journal'!$D$1:$D$2002,$H363)=$B$1,N(INDEX('Journal'!$G$1:$G$2002,$H363)),N(INDEX('Journal'!$F$1:$F$2002,$H363))))</f>
        <v/>
      </c>
      <c r="F363" s="20">
        <f>IF($H363="","",IF(INDEX('Journal'!$D$1:$D$2002,$H363)=$B$1,N(INDEX('Journal'!$F$1:$F$2002,$H363)),N(INDEX('Journal'!$G$1:$G$2002,$H363))))</f>
        <v/>
      </c>
      <c r="G363" s="20">
        <f>IF($H363="","",G362+E363-F363)</f>
        <v/>
      </c>
      <c r="H363" s="18">
        <f t="array" ref="H363">IF($B$1="","",IFERROR(_xlfn.AGGREGATE(15,6,ROW('Journal'!$A$3:$A$2002)/(('Journal'!$D$3:$D$2002=$B$1)+('Journal'!$E$3:$E$2002=$B$1))/('Journal'!$B$3:$B$2002&gt;=$B$2)/('Journal'!$B$3:$B$2002&lt;=$B$3),358),""))</f>
        <v/>
      </c>
    </row>
    <row r="364">
      <c r="A364" s="18">
        <f>IF($H364="","",INDEX('Journal'!$A$1:$A$2002,$H364))</f>
        <v/>
      </c>
      <c r="B364" s="21">
        <f>IF($H364="","",INDEX('Journal'!$B$1:$B$2002,$H364))</f>
        <v/>
      </c>
      <c r="C364" s="5">
        <f>IF($H364="","",INDEX('Journal'!$C$1:$C$2002,$H364)&amp;"")</f>
        <v/>
      </c>
      <c r="D364" s="5">
        <f>IF($H364="","",IF(INDEX('Journal'!$D$1:$D$2002,$H364)=$B$1,INDEX('Journal'!$E$1:$E$2002,$H364),INDEX('Journal'!$D$1:$D$2002,$H364))&amp;"")</f>
        <v/>
      </c>
      <c r="E364" s="20">
        <f>IF($H364="","",IF(INDEX('Journal'!$D$1:$D$2002,$H364)=$B$1,N(INDEX('Journal'!$G$1:$G$2002,$H364)),N(INDEX('Journal'!$F$1:$F$2002,$H364))))</f>
        <v/>
      </c>
      <c r="F364" s="20">
        <f>IF($H364="","",IF(INDEX('Journal'!$D$1:$D$2002,$H364)=$B$1,N(INDEX('Journal'!$F$1:$F$2002,$H364)),N(INDEX('Journal'!$G$1:$G$2002,$H364))))</f>
        <v/>
      </c>
      <c r="G364" s="20">
        <f>IF($H364="","",G363+E364-F364)</f>
        <v/>
      </c>
      <c r="H364" s="18">
        <f t="array" ref="H364">IF($B$1="","",IFERROR(_xlfn.AGGREGATE(15,6,ROW('Journal'!$A$3:$A$2002)/(('Journal'!$D$3:$D$2002=$B$1)+('Journal'!$E$3:$E$2002=$B$1))/('Journal'!$B$3:$B$2002&gt;=$B$2)/('Journal'!$B$3:$B$2002&lt;=$B$3),359),""))</f>
        <v/>
      </c>
    </row>
    <row r="365">
      <c r="A365" s="18">
        <f>IF($H365="","",INDEX('Journal'!$A$1:$A$2002,$H365))</f>
        <v/>
      </c>
      <c r="B365" s="21">
        <f>IF($H365="","",INDEX('Journal'!$B$1:$B$2002,$H365))</f>
        <v/>
      </c>
      <c r="C365" s="5">
        <f>IF($H365="","",INDEX('Journal'!$C$1:$C$2002,$H365)&amp;"")</f>
        <v/>
      </c>
      <c r="D365" s="5">
        <f>IF($H365="","",IF(INDEX('Journal'!$D$1:$D$2002,$H365)=$B$1,INDEX('Journal'!$E$1:$E$2002,$H365),INDEX('Journal'!$D$1:$D$2002,$H365))&amp;"")</f>
        <v/>
      </c>
      <c r="E365" s="20">
        <f>IF($H365="","",IF(INDEX('Journal'!$D$1:$D$2002,$H365)=$B$1,N(INDEX('Journal'!$G$1:$G$2002,$H365)),N(INDEX('Journal'!$F$1:$F$2002,$H365))))</f>
        <v/>
      </c>
      <c r="F365" s="20">
        <f>IF($H365="","",IF(INDEX('Journal'!$D$1:$D$2002,$H365)=$B$1,N(INDEX('Journal'!$F$1:$F$2002,$H365)),N(INDEX('Journal'!$G$1:$G$2002,$H365))))</f>
        <v/>
      </c>
      <c r="G365" s="20">
        <f>IF($H365="","",G364+E365-F365)</f>
        <v/>
      </c>
      <c r="H365" s="18">
        <f t="array" ref="H365">IF($B$1="","",IFERROR(_xlfn.AGGREGATE(15,6,ROW('Journal'!$A$3:$A$2002)/(('Journal'!$D$3:$D$2002=$B$1)+('Journal'!$E$3:$E$2002=$B$1))/('Journal'!$B$3:$B$2002&gt;=$B$2)/('Journal'!$B$3:$B$2002&lt;=$B$3),360),""))</f>
        <v/>
      </c>
    </row>
    <row r="366">
      <c r="A366" s="18">
        <f>IF($H366="","",INDEX('Journal'!$A$1:$A$2002,$H366))</f>
        <v/>
      </c>
      <c r="B366" s="21">
        <f>IF($H366="","",INDEX('Journal'!$B$1:$B$2002,$H366))</f>
        <v/>
      </c>
      <c r="C366" s="5">
        <f>IF($H366="","",INDEX('Journal'!$C$1:$C$2002,$H366)&amp;"")</f>
        <v/>
      </c>
      <c r="D366" s="5">
        <f>IF($H366="","",IF(INDEX('Journal'!$D$1:$D$2002,$H366)=$B$1,INDEX('Journal'!$E$1:$E$2002,$H366),INDEX('Journal'!$D$1:$D$2002,$H366))&amp;"")</f>
        <v/>
      </c>
      <c r="E366" s="20">
        <f>IF($H366="","",IF(INDEX('Journal'!$D$1:$D$2002,$H366)=$B$1,N(INDEX('Journal'!$G$1:$G$2002,$H366)),N(INDEX('Journal'!$F$1:$F$2002,$H366))))</f>
        <v/>
      </c>
      <c r="F366" s="20">
        <f>IF($H366="","",IF(INDEX('Journal'!$D$1:$D$2002,$H366)=$B$1,N(INDEX('Journal'!$F$1:$F$2002,$H366)),N(INDEX('Journal'!$G$1:$G$2002,$H366))))</f>
        <v/>
      </c>
      <c r="G366" s="20">
        <f>IF($H366="","",G365+E366-F366)</f>
        <v/>
      </c>
      <c r="H366" s="18">
        <f t="array" ref="H366">IF($B$1="","",IFERROR(_xlfn.AGGREGATE(15,6,ROW('Journal'!$A$3:$A$2002)/(('Journal'!$D$3:$D$2002=$B$1)+('Journal'!$E$3:$E$2002=$B$1))/('Journal'!$B$3:$B$2002&gt;=$B$2)/('Journal'!$B$3:$B$2002&lt;=$B$3),361),""))</f>
        <v/>
      </c>
    </row>
    <row r="367">
      <c r="A367" s="18">
        <f>IF($H367="","",INDEX('Journal'!$A$1:$A$2002,$H367))</f>
        <v/>
      </c>
      <c r="B367" s="21">
        <f>IF($H367="","",INDEX('Journal'!$B$1:$B$2002,$H367))</f>
        <v/>
      </c>
      <c r="C367" s="5">
        <f>IF($H367="","",INDEX('Journal'!$C$1:$C$2002,$H367)&amp;"")</f>
        <v/>
      </c>
      <c r="D367" s="5">
        <f>IF($H367="","",IF(INDEX('Journal'!$D$1:$D$2002,$H367)=$B$1,INDEX('Journal'!$E$1:$E$2002,$H367),INDEX('Journal'!$D$1:$D$2002,$H367))&amp;"")</f>
        <v/>
      </c>
      <c r="E367" s="20">
        <f>IF($H367="","",IF(INDEX('Journal'!$D$1:$D$2002,$H367)=$B$1,N(INDEX('Journal'!$G$1:$G$2002,$H367)),N(INDEX('Journal'!$F$1:$F$2002,$H367))))</f>
        <v/>
      </c>
      <c r="F367" s="20">
        <f>IF($H367="","",IF(INDEX('Journal'!$D$1:$D$2002,$H367)=$B$1,N(INDEX('Journal'!$F$1:$F$2002,$H367)),N(INDEX('Journal'!$G$1:$G$2002,$H367))))</f>
        <v/>
      </c>
      <c r="G367" s="20">
        <f>IF($H367="","",G366+E367-F367)</f>
        <v/>
      </c>
      <c r="H367" s="18">
        <f t="array" ref="H367">IF($B$1="","",IFERROR(_xlfn.AGGREGATE(15,6,ROW('Journal'!$A$3:$A$2002)/(('Journal'!$D$3:$D$2002=$B$1)+('Journal'!$E$3:$E$2002=$B$1))/('Journal'!$B$3:$B$2002&gt;=$B$2)/('Journal'!$B$3:$B$2002&lt;=$B$3),362),""))</f>
        <v/>
      </c>
    </row>
    <row r="368">
      <c r="A368" s="18">
        <f>IF($H368="","",INDEX('Journal'!$A$1:$A$2002,$H368))</f>
        <v/>
      </c>
      <c r="B368" s="21">
        <f>IF($H368="","",INDEX('Journal'!$B$1:$B$2002,$H368))</f>
        <v/>
      </c>
      <c r="C368" s="5">
        <f>IF($H368="","",INDEX('Journal'!$C$1:$C$2002,$H368)&amp;"")</f>
        <v/>
      </c>
      <c r="D368" s="5">
        <f>IF($H368="","",IF(INDEX('Journal'!$D$1:$D$2002,$H368)=$B$1,INDEX('Journal'!$E$1:$E$2002,$H368),INDEX('Journal'!$D$1:$D$2002,$H368))&amp;"")</f>
        <v/>
      </c>
      <c r="E368" s="20">
        <f>IF($H368="","",IF(INDEX('Journal'!$D$1:$D$2002,$H368)=$B$1,N(INDEX('Journal'!$G$1:$G$2002,$H368)),N(INDEX('Journal'!$F$1:$F$2002,$H368))))</f>
        <v/>
      </c>
      <c r="F368" s="20">
        <f>IF($H368="","",IF(INDEX('Journal'!$D$1:$D$2002,$H368)=$B$1,N(INDEX('Journal'!$F$1:$F$2002,$H368)),N(INDEX('Journal'!$G$1:$G$2002,$H368))))</f>
        <v/>
      </c>
      <c r="G368" s="20">
        <f>IF($H368="","",G367+E368-F368)</f>
        <v/>
      </c>
      <c r="H368" s="18">
        <f t="array" ref="H368">IF($B$1="","",IFERROR(_xlfn.AGGREGATE(15,6,ROW('Journal'!$A$3:$A$2002)/(('Journal'!$D$3:$D$2002=$B$1)+('Journal'!$E$3:$E$2002=$B$1))/('Journal'!$B$3:$B$2002&gt;=$B$2)/('Journal'!$B$3:$B$2002&lt;=$B$3),363),""))</f>
        <v/>
      </c>
    </row>
    <row r="369">
      <c r="A369" s="18">
        <f>IF($H369="","",INDEX('Journal'!$A$1:$A$2002,$H369))</f>
        <v/>
      </c>
      <c r="B369" s="21">
        <f>IF($H369="","",INDEX('Journal'!$B$1:$B$2002,$H369))</f>
        <v/>
      </c>
      <c r="C369" s="5">
        <f>IF($H369="","",INDEX('Journal'!$C$1:$C$2002,$H369)&amp;"")</f>
        <v/>
      </c>
      <c r="D369" s="5">
        <f>IF($H369="","",IF(INDEX('Journal'!$D$1:$D$2002,$H369)=$B$1,INDEX('Journal'!$E$1:$E$2002,$H369),INDEX('Journal'!$D$1:$D$2002,$H369))&amp;"")</f>
        <v/>
      </c>
      <c r="E369" s="20">
        <f>IF($H369="","",IF(INDEX('Journal'!$D$1:$D$2002,$H369)=$B$1,N(INDEX('Journal'!$G$1:$G$2002,$H369)),N(INDEX('Journal'!$F$1:$F$2002,$H369))))</f>
        <v/>
      </c>
      <c r="F369" s="20">
        <f>IF($H369="","",IF(INDEX('Journal'!$D$1:$D$2002,$H369)=$B$1,N(INDEX('Journal'!$F$1:$F$2002,$H369)),N(INDEX('Journal'!$G$1:$G$2002,$H369))))</f>
        <v/>
      </c>
      <c r="G369" s="20">
        <f>IF($H369="","",G368+E369-F369)</f>
        <v/>
      </c>
      <c r="H369" s="18">
        <f t="array" ref="H369">IF($B$1="","",IFERROR(_xlfn.AGGREGATE(15,6,ROW('Journal'!$A$3:$A$2002)/(('Journal'!$D$3:$D$2002=$B$1)+('Journal'!$E$3:$E$2002=$B$1))/('Journal'!$B$3:$B$2002&gt;=$B$2)/('Journal'!$B$3:$B$2002&lt;=$B$3),364),""))</f>
        <v/>
      </c>
    </row>
    <row r="370">
      <c r="A370" s="18">
        <f>IF($H370="","",INDEX('Journal'!$A$1:$A$2002,$H370))</f>
        <v/>
      </c>
      <c r="B370" s="21">
        <f>IF($H370="","",INDEX('Journal'!$B$1:$B$2002,$H370))</f>
        <v/>
      </c>
      <c r="C370" s="5">
        <f>IF($H370="","",INDEX('Journal'!$C$1:$C$2002,$H370)&amp;"")</f>
        <v/>
      </c>
      <c r="D370" s="5">
        <f>IF($H370="","",IF(INDEX('Journal'!$D$1:$D$2002,$H370)=$B$1,INDEX('Journal'!$E$1:$E$2002,$H370),INDEX('Journal'!$D$1:$D$2002,$H370))&amp;"")</f>
        <v/>
      </c>
      <c r="E370" s="20">
        <f>IF($H370="","",IF(INDEX('Journal'!$D$1:$D$2002,$H370)=$B$1,N(INDEX('Journal'!$G$1:$G$2002,$H370)),N(INDEX('Journal'!$F$1:$F$2002,$H370))))</f>
        <v/>
      </c>
      <c r="F370" s="20">
        <f>IF($H370="","",IF(INDEX('Journal'!$D$1:$D$2002,$H370)=$B$1,N(INDEX('Journal'!$F$1:$F$2002,$H370)),N(INDEX('Journal'!$G$1:$G$2002,$H370))))</f>
        <v/>
      </c>
      <c r="G370" s="20">
        <f>IF($H370="","",G369+E370-F370)</f>
        <v/>
      </c>
      <c r="H370" s="18">
        <f t="array" ref="H370">IF($B$1="","",IFERROR(_xlfn.AGGREGATE(15,6,ROW('Journal'!$A$3:$A$2002)/(('Journal'!$D$3:$D$2002=$B$1)+('Journal'!$E$3:$E$2002=$B$1))/('Journal'!$B$3:$B$2002&gt;=$B$2)/('Journal'!$B$3:$B$2002&lt;=$B$3),365),""))</f>
        <v/>
      </c>
    </row>
    <row r="371">
      <c r="A371" s="18">
        <f>IF($H371="","",INDEX('Journal'!$A$1:$A$2002,$H371))</f>
        <v/>
      </c>
      <c r="B371" s="21">
        <f>IF($H371="","",INDEX('Journal'!$B$1:$B$2002,$H371))</f>
        <v/>
      </c>
      <c r="C371" s="5">
        <f>IF($H371="","",INDEX('Journal'!$C$1:$C$2002,$H371)&amp;"")</f>
        <v/>
      </c>
      <c r="D371" s="5">
        <f>IF($H371="","",IF(INDEX('Journal'!$D$1:$D$2002,$H371)=$B$1,INDEX('Journal'!$E$1:$E$2002,$H371),INDEX('Journal'!$D$1:$D$2002,$H371))&amp;"")</f>
        <v/>
      </c>
      <c r="E371" s="20">
        <f>IF($H371="","",IF(INDEX('Journal'!$D$1:$D$2002,$H371)=$B$1,N(INDEX('Journal'!$G$1:$G$2002,$H371)),N(INDEX('Journal'!$F$1:$F$2002,$H371))))</f>
        <v/>
      </c>
      <c r="F371" s="20">
        <f>IF($H371="","",IF(INDEX('Journal'!$D$1:$D$2002,$H371)=$B$1,N(INDEX('Journal'!$F$1:$F$2002,$H371)),N(INDEX('Journal'!$G$1:$G$2002,$H371))))</f>
        <v/>
      </c>
      <c r="G371" s="20">
        <f>IF($H371="","",G370+E371-F371)</f>
        <v/>
      </c>
      <c r="H371" s="18">
        <f t="array" ref="H371">IF($B$1="","",IFERROR(_xlfn.AGGREGATE(15,6,ROW('Journal'!$A$3:$A$2002)/(('Journal'!$D$3:$D$2002=$B$1)+('Journal'!$E$3:$E$2002=$B$1))/('Journal'!$B$3:$B$2002&gt;=$B$2)/('Journal'!$B$3:$B$2002&lt;=$B$3),366),""))</f>
        <v/>
      </c>
    </row>
    <row r="372">
      <c r="A372" s="18">
        <f>IF($H372="","",INDEX('Journal'!$A$1:$A$2002,$H372))</f>
        <v/>
      </c>
      <c r="B372" s="21">
        <f>IF($H372="","",INDEX('Journal'!$B$1:$B$2002,$H372))</f>
        <v/>
      </c>
      <c r="C372" s="5">
        <f>IF($H372="","",INDEX('Journal'!$C$1:$C$2002,$H372)&amp;"")</f>
        <v/>
      </c>
      <c r="D372" s="5">
        <f>IF($H372="","",IF(INDEX('Journal'!$D$1:$D$2002,$H372)=$B$1,INDEX('Journal'!$E$1:$E$2002,$H372),INDEX('Journal'!$D$1:$D$2002,$H372))&amp;"")</f>
        <v/>
      </c>
      <c r="E372" s="20">
        <f>IF($H372="","",IF(INDEX('Journal'!$D$1:$D$2002,$H372)=$B$1,N(INDEX('Journal'!$G$1:$G$2002,$H372)),N(INDEX('Journal'!$F$1:$F$2002,$H372))))</f>
        <v/>
      </c>
      <c r="F372" s="20">
        <f>IF($H372="","",IF(INDEX('Journal'!$D$1:$D$2002,$H372)=$B$1,N(INDEX('Journal'!$F$1:$F$2002,$H372)),N(INDEX('Journal'!$G$1:$G$2002,$H372))))</f>
        <v/>
      </c>
      <c r="G372" s="20">
        <f>IF($H372="","",G371+E372-F372)</f>
        <v/>
      </c>
      <c r="H372" s="18">
        <f t="array" ref="H372">IF($B$1="","",IFERROR(_xlfn.AGGREGATE(15,6,ROW('Journal'!$A$3:$A$2002)/(('Journal'!$D$3:$D$2002=$B$1)+('Journal'!$E$3:$E$2002=$B$1))/('Journal'!$B$3:$B$2002&gt;=$B$2)/('Journal'!$B$3:$B$2002&lt;=$B$3),367),""))</f>
        <v/>
      </c>
    </row>
    <row r="373">
      <c r="A373" s="18">
        <f>IF($H373="","",INDEX('Journal'!$A$1:$A$2002,$H373))</f>
        <v/>
      </c>
      <c r="B373" s="21">
        <f>IF($H373="","",INDEX('Journal'!$B$1:$B$2002,$H373))</f>
        <v/>
      </c>
      <c r="C373" s="5">
        <f>IF($H373="","",INDEX('Journal'!$C$1:$C$2002,$H373)&amp;"")</f>
        <v/>
      </c>
      <c r="D373" s="5">
        <f>IF($H373="","",IF(INDEX('Journal'!$D$1:$D$2002,$H373)=$B$1,INDEX('Journal'!$E$1:$E$2002,$H373),INDEX('Journal'!$D$1:$D$2002,$H373))&amp;"")</f>
        <v/>
      </c>
      <c r="E373" s="20">
        <f>IF($H373="","",IF(INDEX('Journal'!$D$1:$D$2002,$H373)=$B$1,N(INDEX('Journal'!$G$1:$G$2002,$H373)),N(INDEX('Journal'!$F$1:$F$2002,$H373))))</f>
        <v/>
      </c>
      <c r="F373" s="20">
        <f>IF($H373="","",IF(INDEX('Journal'!$D$1:$D$2002,$H373)=$B$1,N(INDEX('Journal'!$F$1:$F$2002,$H373)),N(INDEX('Journal'!$G$1:$G$2002,$H373))))</f>
        <v/>
      </c>
      <c r="G373" s="20">
        <f>IF($H373="","",G372+E373-F373)</f>
        <v/>
      </c>
      <c r="H373" s="18">
        <f t="array" ref="H373">IF($B$1="","",IFERROR(_xlfn.AGGREGATE(15,6,ROW('Journal'!$A$3:$A$2002)/(('Journal'!$D$3:$D$2002=$B$1)+('Journal'!$E$3:$E$2002=$B$1))/('Journal'!$B$3:$B$2002&gt;=$B$2)/('Journal'!$B$3:$B$2002&lt;=$B$3),368),""))</f>
        <v/>
      </c>
    </row>
    <row r="374">
      <c r="A374" s="18">
        <f>IF($H374="","",INDEX('Journal'!$A$1:$A$2002,$H374))</f>
        <v/>
      </c>
      <c r="B374" s="21">
        <f>IF($H374="","",INDEX('Journal'!$B$1:$B$2002,$H374))</f>
        <v/>
      </c>
      <c r="C374" s="5">
        <f>IF($H374="","",INDEX('Journal'!$C$1:$C$2002,$H374)&amp;"")</f>
        <v/>
      </c>
      <c r="D374" s="5">
        <f>IF($H374="","",IF(INDEX('Journal'!$D$1:$D$2002,$H374)=$B$1,INDEX('Journal'!$E$1:$E$2002,$H374),INDEX('Journal'!$D$1:$D$2002,$H374))&amp;"")</f>
        <v/>
      </c>
      <c r="E374" s="20">
        <f>IF($H374="","",IF(INDEX('Journal'!$D$1:$D$2002,$H374)=$B$1,N(INDEX('Journal'!$G$1:$G$2002,$H374)),N(INDEX('Journal'!$F$1:$F$2002,$H374))))</f>
        <v/>
      </c>
      <c r="F374" s="20">
        <f>IF($H374="","",IF(INDEX('Journal'!$D$1:$D$2002,$H374)=$B$1,N(INDEX('Journal'!$F$1:$F$2002,$H374)),N(INDEX('Journal'!$G$1:$G$2002,$H374))))</f>
        <v/>
      </c>
      <c r="G374" s="20">
        <f>IF($H374="","",G373+E374-F374)</f>
        <v/>
      </c>
      <c r="H374" s="18">
        <f t="array" ref="H374">IF($B$1="","",IFERROR(_xlfn.AGGREGATE(15,6,ROW('Journal'!$A$3:$A$2002)/(('Journal'!$D$3:$D$2002=$B$1)+('Journal'!$E$3:$E$2002=$B$1))/('Journal'!$B$3:$B$2002&gt;=$B$2)/('Journal'!$B$3:$B$2002&lt;=$B$3),369),""))</f>
        <v/>
      </c>
    </row>
    <row r="375">
      <c r="A375" s="18">
        <f>IF($H375="","",INDEX('Journal'!$A$1:$A$2002,$H375))</f>
        <v/>
      </c>
      <c r="B375" s="21">
        <f>IF($H375="","",INDEX('Journal'!$B$1:$B$2002,$H375))</f>
        <v/>
      </c>
      <c r="C375" s="5">
        <f>IF($H375="","",INDEX('Journal'!$C$1:$C$2002,$H375)&amp;"")</f>
        <v/>
      </c>
      <c r="D375" s="5">
        <f>IF($H375="","",IF(INDEX('Journal'!$D$1:$D$2002,$H375)=$B$1,INDEX('Journal'!$E$1:$E$2002,$H375),INDEX('Journal'!$D$1:$D$2002,$H375))&amp;"")</f>
        <v/>
      </c>
      <c r="E375" s="20">
        <f>IF($H375="","",IF(INDEX('Journal'!$D$1:$D$2002,$H375)=$B$1,N(INDEX('Journal'!$G$1:$G$2002,$H375)),N(INDEX('Journal'!$F$1:$F$2002,$H375))))</f>
        <v/>
      </c>
      <c r="F375" s="20">
        <f>IF($H375="","",IF(INDEX('Journal'!$D$1:$D$2002,$H375)=$B$1,N(INDEX('Journal'!$F$1:$F$2002,$H375)),N(INDEX('Journal'!$G$1:$G$2002,$H375))))</f>
        <v/>
      </c>
      <c r="G375" s="20">
        <f>IF($H375="","",G374+E375-F375)</f>
        <v/>
      </c>
      <c r="H375" s="18">
        <f t="array" ref="H375">IF($B$1="","",IFERROR(_xlfn.AGGREGATE(15,6,ROW('Journal'!$A$3:$A$2002)/(('Journal'!$D$3:$D$2002=$B$1)+('Journal'!$E$3:$E$2002=$B$1))/('Journal'!$B$3:$B$2002&gt;=$B$2)/('Journal'!$B$3:$B$2002&lt;=$B$3),370),""))</f>
        <v/>
      </c>
    </row>
    <row r="376">
      <c r="A376" s="18">
        <f>IF($H376="","",INDEX('Journal'!$A$1:$A$2002,$H376))</f>
        <v/>
      </c>
      <c r="B376" s="21">
        <f>IF($H376="","",INDEX('Journal'!$B$1:$B$2002,$H376))</f>
        <v/>
      </c>
      <c r="C376" s="5">
        <f>IF($H376="","",INDEX('Journal'!$C$1:$C$2002,$H376)&amp;"")</f>
        <v/>
      </c>
      <c r="D376" s="5">
        <f>IF($H376="","",IF(INDEX('Journal'!$D$1:$D$2002,$H376)=$B$1,INDEX('Journal'!$E$1:$E$2002,$H376),INDEX('Journal'!$D$1:$D$2002,$H376))&amp;"")</f>
        <v/>
      </c>
      <c r="E376" s="20">
        <f>IF($H376="","",IF(INDEX('Journal'!$D$1:$D$2002,$H376)=$B$1,N(INDEX('Journal'!$G$1:$G$2002,$H376)),N(INDEX('Journal'!$F$1:$F$2002,$H376))))</f>
        <v/>
      </c>
      <c r="F376" s="20">
        <f>IF($H376="","",IF(INDEX('Journal'!$D$1:$D$2002,$H376)=$B$1,N(INDEX('Journal'!$F$1:$F$2002,$H376)),N(INDEX('Journal'!$G$1:$G$2002,$H376))))</f>
        <v/>
      </c>
      <c r="G376" s="20">
        <f>IF($H376="","",G375+E376-F376)</f>
        <v/>
      </c>
      <c r="H376" s="18">
        <f t="array" ref="H376">IF($B$1="","",IFERROR(_xlfn.AGGREGATE(15,6,ROW('Journal'!$A$3:$A$2002)/(('Journal'!$D$3:$D$2002=$B$1)+('Journal'!$E$3:$E$2002=$B$1))/('Journal'!$B$3:$B$2002&gt;=$B$2)/('Journal'!$B$3:$B$2002&lt;=$B$3),371),""))</f>
        <v/>
      </c>
    </row>
    <row r="377">
      <c r="A377" s="18">
        <f>IF($H377="","",INDEX('Journal'!$A$1:$A$2002,$H377))</f>
        <v/>
      </c>
      <c r="B377" s="21">
        <f>IF($H377="","",INDEX('Journal'!$B$1:$B$2002,$H377))</f>
        <v/>
      </c>
      <c r="C377" s="5">
        <f>IF($H377="","",INDEX('Journal'!$C$1:$C$2002,$H377)&amp;"")</f>
        <v/>
      </c>
      <c r="D377" s="5">
        <f>IF($H377="","",IF(INDEX('Journal'!$D$1:$D$2002,$H377)=$B$1,INDEX('Journal'!$E$1:$E$2002,$H377),INDEX('Journal'!$D$1:$D$2002,$H377))&amp;"")</f>
        <v/>
      </c>
      <c r="E377" s="20">
        <f>IF($H377="","",IF(INDEX('Journal'!$D$1:$D$2002,$H377)=$B$1,N(INDEX('Journal'!$G$1:$G$2002,$H377)),N(INDEX('Journal'!$F$1:$F$2002,$H377))))</f>
        <v/>
      </c>
      <c r="F377" s="20">
        <f>IF($H377="","",IF(INDEX('Journal'!$D$1:$D$2002,$H377)=$B$1,N(INDEX('Journal'!$F$1:$F$2002,$H377)),N(INDEX('Journal'!$G$1:$G$2002,$H377))))</f>
        <v/>
      </c>
      <c r="G377" s="20">
        <f>IF($H377="","",G376+E377-F377)</f>
        <v/>
      </c>
      <c r="H377" s="18">
        <f t="array" ref="H377">IF($B$1="","",IFERROR(_xlfn.AGGREGATE(15,6,ROW('Journal'!$A$3:$A$2002)/(('Journal'!$D$3:$D$2002=$B$1)+('Journal'!$E$3:$E$2002=$B$1))/('Journal'!$B$3:$B$2002&gt;=$B$2)/('Journal'!$B$3:$B$2002&lt;=$B$3),372),""))</f>
        <v/>
      </c>
    </row>
    <row r="378">
      <c r="A378" s="18">
        <f>IF($H378="","",INDEX('Journal'!$A$1:$A$2002,$H378))</f>
        <v/>
      </c>
      <c r="B378" s="21">
        <f>IF($H378="","",INDEX('Journal'!$B$1:$B$2002,$H378))</f>
        <v/>
      </c>
      <c r="C378" s="5">
        <f>IF($H378="","",INDEX('Journal'!$C$1:$C$2002,$H378)&amp;"")</f>
        <v/>
      </c>
      <c r="D378" s="5">
        <f>IF($H378="","",IF(INDEX('Journal'!$D$1:$D$2002,$H378)=$B$1,INDEX('Journal'!$E$1:$E$2002,$H378),INDEX('Journal'!$D$1:$D$2002,$H378))&amp;"")</f>
        <v/>
      </c>
      <c r="E378" s="20">
        <f>IF($H378="","",IF(INDEX('Journal'!$D$1:$D$2002,$H378)=$B$1,N(INDEX('Journal'!$G$1:$G$2002,$H378)),N(INDEX('Journal'!$F$1:$F$2002,$H378))))</f>
        <v/>
      </c>
      <c r="F378" s="20">
        <f>IF($H378="","",IF(INDEX('Journal'!$D$1:$D$2002,$H378)=$B$1,N(INDEX('Journal'!$F$1:$F$2002,$H378)),N(INDEX('Journal'!$G$1:$G$2002,$H378))))</f>
        <v/>
      </c>
      <c r="G378" s="20">
        <f>IF($H378="","",G377+E378-F378)</f>
        <v/>
      </c>
      <c r="H378" s="18">
        <f t="array" ref="H378">IF($B$1="","",IFERROR(_xlfn.AGGREGATE(15,6,ROW('Journal'!$A$3:$A$2002)/(('Journal'!$D$3:$D$2002=$B$1)+('Journal'!$E$3:$E$2002=$B$1))/('Journal'!$B$3:$B$2002&gt;=$B$2)/('Journal'!$B$3:$B$2002&lt;=$B$3),373),""))</f>
        <v/>
      </c>
    </row>
    <row r="379">
      <c r="A379" s="18">
        <f>IF($H379="","",INDEX('Journal'!$A$1:$A$2002,$H379))</f>
        <v/>
      </c>
      <c r="B379" s="21">
        <f>IF($H379="","",INDEX('Journal'!$B$1:$B$2002,$H379))</f>
        <v/>
      </c>
      <c r="C379" s="5">
        <f>IF($H379="","",INDEX('Journal'!$C$1:$C$2002,$H379)&amp;"")</f>
        <v/>
      </c>
      <c r="D379" s="5">
        <f>IF($H379="","",IF(INDEX('Journal'!$D$1:$D$2002,$H379)=$B$1,INDEX('Journal'!$E$1:$E$2002,$H379),INDEX('Journal'!$D$1:$D$2002,$H379))&amp;"")</f>
        <v/>
      </c>
      <c r="E379" s="20">
        <f>IF($H379="","",IF(INDEX('Journal'!$D$1:$D$2002,$H379)=$B$1,N(INDEX('Journal'!$G$1:$G$2002,$H379)),N(INDEX('Journal'!$F$1:$F$2002,$H379))))</f>
        <v/>
      </c>
      <c r="F379" s="20">
        <f>IF($H379="","",IF(INDEX('Journal'!$D$1:$D$2002,$H379)=$B$1,N(INDEX('Journal'!$F$1:$F$2002,$H379)),N(INDEX('Journal'!$G$1:$G$2002,$H379))))</f>
        <v/>
      </c>
      <c r="G379" s="20">
        <f>IF($H379="","",G378+E379-F379)</f>
        <v/>
      </c>
      <c r="H379" s="18">
        <f t="array" ref="H379">IF($B$1="","",IFERROR(_xlfn.AGGREGATE(15,6,ROW('Journal'!$A$3:$A$2002)/(('Journal'!$D$3:$D$2002=$B$1)+('Journal'!$E$3:$E$2002=$B$1))/('Journal'!$B$3:$B$2002&gt;=$B$2)/('Journal'!$B$3:$B$2002&lt;=$B$3),374),""))</f>
        <v/>
      </c>
    </row>
    <row r="380">
      <c r="A380" s="18">
        <f>IF($H380="","",INDEX('Journal'!$A$1:$A$2002,$H380))</f>
        <v/>
      </c>
      <c r="B380" s="21">
        <f>IF($H380="","",INDEX('Journal'!$B$1:$B$2002,$H380))</f>
        <v/>
      </c>
      <c r="C380" s="5">
        <f>IF($H380="","",INDEX('Journal'!$C$1:$C$2002,$H380)&amp;"")</f>
        <v/>
      </c>
      <c r="D380" s="5">
        <f>IF($H380="","",IF(INDEX('Journal'!$D$1:$D$2002,$H380)=$B$1,INDEX('Journal'!$E$1:$E$2002,$H380),INDEX('Journal'!$D$1:$D$2002,$H380))&amp;"")</f>
        <v/>
      </c>
      <c r="E380" s="20">
        <f>IF($H380="","",IF(INDEX('Journal'!$D$1:$D$2002,$H380)=$B$1,N(INDEX('Journal'!$G$1:$G$2002,$H380)),N(INDEX('Journal'!$F$1:$F$2002,$H380))))</f>
        <v/>
      </c>
      <c r="F380" s="20">
        <f>IF($H380="","",IF(INDEX('Journal'!$D$1:$D$2002,$H380)=$B$1,N(INDEX('Journal'!$F$1:$F$2002,$H380)),N(INDEX('Journal'!$G$1:$G$2002,$H380))))</f>
        <v/>
      </c>
      <c r="G380" s="20">
        <f>IF($H380="","",G379+E380-F380)</f>
        <v/>
      </c>
      <c r="H380" s="18">
        <f t="array" ref="H380">IF($B$1="","",IFERROR(_xlfn.AGGREGATE(15,6,ROW('Journal'!$A$3:$A$2002)/(('Journal'!$D$3:$D$2002=$B$1)+('Journal'!$E$3:$E$2002=$B$1))/('Journal'!$B$3:$B$2002&gt;=$B$2)/('Journal'!$B$3:$B$2002&lt;=$B$3),375),""))</f>
        <v/>
      </c>
    </row>
    <row r="381">
      <c r="A381" s="18">
        <f>IF($H381="","",INDEX('Journal'!$A$1:$A$2002,$H381))</f>
        <v/>
      </c>
      <c r="B381" s="21">
        <f>IF($H381="","",INDEX('Journal'!$B$1:$B$2002,$H381))</f>
        <v/>
      </c>
      <c r="C381" s="5">
        <f>IF($H381="","",INDEX('Journal'!$C$1:$C$2002,$H381)&amp;"")</f>
        <v/>
      </c>
      <c r="D381" s="5">
        <f>IF($H381="","",IF(INDEX('Journal'!$D$1:$D$2002,$H381)=$B$1,INDEX('Journal'!$E$1:$E$2002,$H381),INDEX('Journal'!$D$1:$D$2002,$H381))&amp;"")</f>
        <v/>
      </c>
      <c r="E381" s="20">
        <f>IF($H381="","",IF(INDEX('Journal'!$D$1:$D$2002,$H381)=$B$1,N(INDEX('Journal'!$G$1:$G$2002,$H381)),N(INDEX('Journal'!$F$1:$F$2002,$H381))))</f>
        <v/>
      </c>
      <c r="F381" s="20">
        <f>IF($H381="","",IF(INDEX('Journal'!$D$1:$D$2002,$H381)=$B$1,N(INDEX('Journal'!$F$1:$F$2002,$H381)),N(INDEX('Journal'!$G$1:$G$2002,$H381))))</f>
        <v/>
      </c>
      <c r="G381" s="20">
        <f>IF($H381="","",G380+E381-F381)</f>
        <v/>
      </c>
      <c r="H381" s="18">
        <f t="array" ref="H381">IF($B$1="","",IFERROR(_xlfn.AGGREGATE(15,6,ROW('Journal'!$A$3:$A$2002)/(('Journal'!$D$3:$D$2002=$B$1)+('Journal'!$E$3:$E$2002=$B$1))/('Journal'!$B$3:$B$2002&gt;=$B$2)/('Journal'!$B$3:$B$2002&lt;=$B$3),376),""))</f>
        <v/>
      </c>
    </row>
    <row r="382">
      <c r="A382" s="18">
        <f>IF($H382="","",INDEX('Journal'!$A$1:$A$2002,$H382))</f>
        <v/>
      </c>
      <c r="B382" s="21">
        <f>IF($H382="","",INDEX('Journal'!$B$1:$B$2002,$H382))</f>
        <v/>
      </c>
      <c r="C382" s="5">
        <f>IF($H382="","",INDEX('Journal'!$C$1:$C$2002,$H382)&amp;"")</f>
        <v/>
      </c>
      <c r="D382" s="5">
        <f>IF($H382="","",IF(INDEX('Journal'!$D$1:$D$2002,$H382)=$B$1,INDEX('Journal'!$E$1:$E$2002,$H382),INDEX('Journal'!$D$1:$D$2002,$H382))&amp;"")</f>
        <v/>
      </c>
      <c r="E382" s="20">
        <f>IF($H382="","",IF(INDEX('Journal'!$D$1:$D$2002,$H382)=$B$1,N(INDEX('Journal'!$G$1:$G$2002,$H382)),N(INDEX('Journal'!$F$1:$F$2002,$H382))))</f>
        <v/>
      </c>
      <c r="F382" s="20">
        <f>IF($H382="","",IF(INDEX('Journal'!$D$1:$D$2002,$H382)=$B$1,N(INDEX('Journal'!$F$1:$F$2002,$H382)),N(INDEX('Journal'!$G$1:$G$2002,$H382))))</f>
        <v/>
      </c>
      <c r="G382" s="20">
        <f>IF($H382="","",G381+E382-F382)</f>
        <v/>
      </c>
      <c r="H382" s="18">
        <f t="array" ref="H382">IF($B$1="","",IFERROR(_xlfn.AGGREGATE(15,6,ROW('Journal'!$A$3:$A$2002)/(('Journal'!$D$3:$D$2002=$B$1)+('Journal'!$E$3:$E$2002=$B$1))/('Journal'!$B$3:$B$2002&gt;=$B$2)/('Journal'!$B$3:$B$2002&lt;=$B$3),377),""))</f>
        <v/>
      </c>
    </row>
    <row r="383">
      <c r="A383" s="18">
        <f>IF($H383="","",INDEX('Journal'!$A$1:$A$2002,$H383))</f>
        <v/>
      </c>
      <c r="B383" s="21">
        <f>IF($H383="","",INDEX('Journal'!$B$1:$B$2002,$H383))</f>
        <v/>
      </c>
      <c r="C383" s="5">
        <f>IF($H383="","",INDEX('Journal'!$C$1:$C$2002,$H383)&amp;"")</f>
        <v/>
      </c>
      <c r="D383" s="5">
        <f>IF($H383="","",IF(INDEX('Journal'!$D$1:$D$2002,$H383)=$B$1,INDEX('Journal'!$E$1:$E$2002,$H383),INDEX('Journal'!$D$1:$D$2002,$H383))&amp;"")</f>
        <v/>
      </c>
      <c r="E383" s="20">
        <f>IF($H383="","",IF(INDEX('Journal'!$D$1:$D$2002,$H383)=$B$1,N(INDEX('Journal'!$G$1:$G$2002,$H383)),N(INDEX('Journal'!$F$1:$F$2002,$H383))))</f>
        <v/>
      </c>
      <c r="F383" s="20">
        <f>IF($H383="","",IF(INDEX('Journal'!$D$1:$D$2002,$H383)=$B$1,N(INDEX('Journal'!$F$1:$F$2002,$H383)),N(INDEX('Journal'!$G$1:$G$2002,$H383))))</f>
        <v/>
      </c>
      <c r="G383" s="20">
        <f>IF($H383="","",G382+E383-F383)</f>
        <v/>
      </c>
      <c r="H383" s="18">
        <f t="array" ref="H383">IF($B$1="","",IFERROR(_xlfn.AGGREGATE(15,6,ROW('Journal'!$A$3:$A$2002)/(('Journal'!$D$3:$D$2002=$B$1)+('Journal'!$E$3:$E$2002=$B$1))/('Journal'!$B$3:$B$2002&gt;=$B$2)/('Journal'!$B$3:$B$2002&lt;=$B$3),378),""))</f>
        <v/>
      </c>
    </row>
    <row r="384">
      <c r="A384" s="18">
        <f>IF($H384="","",INDEX('Journal'!$A$1:$A$2002,$H384))</f>
        <v/>
      </c>
      <c r="B384" s="21">
        <f>IF($H384="","",INDEX('Journal'!$B$1:$B$2002,$H384))</f>
        <v/>
      </c>
      <c r="C384" s="5">
        <f>IF($H384="","",INDEX('Journal'!$C$1:$C$2002,$H384)&amp;"")</f>
        <v/>
      </c>
      <c r="D384" s="5">
        <f>IF($H384="","",IF(INDEX('Journal'!$D$1:$D$2002,$H384)=$B$1,INDEX('Journal'!$E$1:$E$2002,$H384),INDEX('Journal'!$D$1:$D$2002,$H384))&amp;"")</f>
        <v/>
      </c>
      <c r="E384" s="20">
        <f>IF($H384="","",IF(INDEX('Journal'!$D$1:$D$2002,$H384)=$B$1,N(INDEX('Journal'!$G$1:$G$2002,$H384)),N(INDEX('Journal'!$F$1:$F$2002,$H384))))</f>
        <v/>
      </c>
      <c r="F384" s="20">
        <f>IF($H384="","",IF(INDEX('Journal'!$D$1:$D$2002,$H384)=$B$1,N(INDEX('Journal'!$F$1:$F$2002,$H384)),N(INDEX('Journal'!$G$1:$G$2002,$H384))))</f>
        <v/>
      </c>
      <c r="G384" s="20">
        <f>IF($H384="","",G383+E384-F384)</f>
        <v/>
      </c>
      <c r="H384" s="18">
        <f t="array" ref="H384">IF($B$1="","",IFERROR(_xlfn.AGGREGATE(15,6,ROW('Journal'!$A$3:$A$2002)/(('Journal'!$D$3:$D$2002=$B$1)+('Journal'!$E$3:$E$2002=$B$1))/('Journal'!$B$3:$B$2002&gt;=$B$2)/('Journal'!$B$3:$B$2002&lt;=$B$3),379),""))</f>
        <v/>
      </c>
    </row>
    <row r="385">
      <c r="A385" s="18">
        <f>IF($H385="","",INDEX('Journal'!$A$1:$A$2002,$H385))</f>
        <v/>
      </c>
      <c r="B385" s="21">
        <f>IF($H385="","",INDEX('Journal'!$B$1:$B$2002,$H385))</f>
        <v/>
      </c>
      <c r="C385" s="5">
        <f>IF($H385="","",INDEX('Journal'!$C$1:$C$2002,$H385)&amp;"")</f>
        <v/>
      </c>
      <c r="D385" s="5">
        <f>IF($H385="","",IF(INDEX('Journal'!$D$1:$D$2002,$H385)=$B$1,INDEX('Journal'!$E$1:$E$2002,$H385),INDEX('Journal'!$D$1:$D$2002,$H385))&amp;"")</f>
        <v/>
      </c>
      <c r="E385" s="20">
        <f>IF($H385="","",IF(INDEX('Journal'!$D$1:$D$2002,$H385)=$B$1,N(INDEX('Journal'!$G$1:$G$2002,$H385)),N(INDEX('Journal'!$F$1:$F$2002,$H385))))</f>
        <v/>
      </c>
      <c r="F385" s="20">
        <f>IF($H385="","",IF(INDEX('Journal'!$D$1:$D$2002,$H385)=$B$1,N(INDEX('Journal'!$F$1:$F$2002,$H385)),N(INDEX('Journal'!$G$1:$G$2002,$H385))))</f>
        <v/>
      </c>
      <c r="G385" s="20">
        <f>IF($H385="","",G384+E385-F385)</f>
        <v/>
      </c>
      <c r="H385" s="18">
        <f t="array" ref="H385">IF($B$1="","",IFERROR(_xlfn.AGGREGATE(15,6,ROW('Journal'!$A$3:$A$2002)/(('Journal'!$D$3:$D$2002=$B$1)+('Journal'!$E$3:$E$2002=$B$1))/('Journal'!$B$3:$B$2002&gt;=$B$2)/('Journal'!$B$3:$B$2002&lt;=$B$3),380),""))</f>
        <v/>
      </c>
    </row>
    <row r="386">
      <c r="A386" s="18">
        <f>IF($H386="","",INDEX('Journal'!$A$1:$A$2002,$H386))</f>
        <v/>
      </c>
      <c r="B386" s="21">
        <f>IF($H386="","",INDEX('Journal'!$B$1:$B$2002,$H386))</f>
        <v/>
      </c>
      <c r="C386" s="5">
        <f>IF($H386="","",INDEX('Journal'!$C$1:$C$2002,$H386)&amp;"")</f>
        <v/>
      </c>
      <c r="D386" s="5">
        <f>IF($H386="","",IF(INDEX('Journal'!$D$1:$D$2002,$H386)=$B$1,INDEX('Journal'!$E$1:$E$2002,$H386),INDEX('Journal'!$D$1:$D$2002,$H386))&amp;"")</f>
        <v/>
      </c>
      <c r="E386" s="20">
        <f>IF($H386="","",IF(INDEX('Journal'!$D$1:$D$2002,$H386)=$B$1,N(INDEX('Journal'!$G$1:$G$2002,$H386)),N(INDEX('Journal'!$F$1:$F$2002,$H386))))</f>
        <v/>
      </c>
      <c r="F386" s="20">
        <f>IF($H386="","",IF(INDEX('Journal'!$D$1:$D$2002,$H386)=$B$1,N(INDEX('Journal'!$F$1:$F$2002,$H386)),N(INDEX('Journal'!$G$1:$G$2002,$H386))))</f>
        <v/>
      </c>
      <c r="G386" s="20">
        <f>IF($H386="","",G385+E386-F386)</f>
        <v/>
      </c>
      <c r="H386" s="18">
        <f t="array" ref="H386">IF($B$1="","",IFERROR(_xlfn.AGGREGATE(15,6,ROW('Journal'!$A$3:$A$2002)/(('Journal'!$D$3:$D$2002=$B$1)+('Journal'!$E$3:$E$2002=$B$1))/('Journal'!$B$3:$B$2002&gt;=$B$2)/('Journal'!$B$3:$B$2002&lt;=$B$3),381),""))</f>
        <v/>
      </c>
    </row>
    <row r="387">
      <c r="A387" s="18">
        <f>IF($H387="","",INDEX('Journal'!$A$1:$A$2002,$H387))</f>
        <v/>
      </c>
      <c r="B387" s="21">
        <f>IF($H387="","",INDEX('Journal'!$B$1:$B$2002,$H387))</f>
        <v/>
      </c>
      <c r="C387" s="5">
        <f>IF($H387="","",INDEX('Journal'!$C$1:$C$2002,$H387)&amp;"")</f>
        <v/>
      </c>
      <c r="D387" s="5">
        <f>IF($H387="","",IF(INDEX('Journal'!$D$1:$D$2002,$H387)=$B$1,INDEX('Journal'!$E$1:$E$2002,$H387),INDEX('Journal'!$D$1:$D$2002,$H387))&amp;"")</f>
        <v/>
      </c>
      <c r="E387" s="20">
        <f>IF($H387="","",IF(INDEX('Journal'!$D$1:$D$2002,$H387)=$B$1,N(INDEX('Journal'!$G$1:$G$2002,$H387)),N(INDEX('Journal'!$F$1:$F$2002,$H387))))</f>
        <v/>
      </c>
      <c r="F387" s="20">
        <f>IF($H387="","",IF(INDEX('Journal'!$D$1:$D$2002,$H387)=$B$1,N(INDEX('Journal'!$F$1:$F$2002,$H387)),N(INDEX('Journal'!$G$1:$G$2002,$H387))))</f>
        <v/>
      </c>
      <c r="G387" s="20">
        <f>IF($H387="","",G386+E387-F387)</f>
        <v/>
      </c>
      <c r="H387" s="18">
        <f t="array" ref="H387">IF($B$1="","",IFERROR(_xlfn.AGGREGATE(15,6,ROW('Journal'!$A$3:$A$2002)/(('Journal'!$D$3:$D$2002=$B$1)+('Journal'!$E$3:$E$2002=$B$1))/('Journal'!$B$3:$B$2002&gt;=$B$2)/('Journal'!$B$3:$B$2002&lt;=$B$3),382),""))</f>
        <v/>
      </c>
    </row>
    <row r="388">
      <c r="A388" s="18">
        <f>IF($H388="","",INDEX('Journal'!$A$1:$A$2002,$H388))</f>
        <v/>
      </c>
      <c r="B388" s="21">
        <f>IF($H388="","",INDEX('Journal'!$B$1:$B$2002,$H388))</f>
        <v/>
      </c>
      <c r="C388" s="5">
        <f>IF($H388="","",INDEX('Journal'!$C$1:$C$2002,$H388)&amp;"")</f>
        <v/>
      </c>
      <c r="D388" s="5">
        <f>IF($H388="","",IF(INDEX('Journal'!$D$1:$D$2002,$H388)=$B$1,INDEX('Journal'!$E$1:$E$2002,$H388),INDEX('Journal'!$D$1:$D$2002,$H388))&amp;"")</f>
        <v/>
      </c>
      <c r="E388" s="20">
        <f>IF($H388="","",IF(INDEX('Journal'!$D$1:$D$2002,$H388)=$B$1,N(INDEX('Journal'!$G$1:$G$2002,$H388)),N(INDEX('Journal'!$F$1:$F$2002,$H388))))</f>
        <v/>
      </c>
      <c r="F388" s="20">
        <f>IF($H388="","",IF(INDEX('Journal'!$D$1:$D$2002,$H388)=$B$1,N(INDEX('Journal'!$F$1:$F$2002,$H388)),N(INDEX('Journal'!$G$1:$G$2002,$H388))))</f>
        <v/>
      </c>
      <c r="G388" s="20">
        <f>IF($H388="","",G387+E388-F388)</f>
        <v/>
      </c>
      <c r="H388" s="18">
        <f t="array" ref="H388">IF($B$1="","",IFERROR(_xlfn.AGGREGATE(15,6,ROW('Journal'!$A$3:$A$2002)/(('Journal'!$D$3:$D$2002=$B$1)+('Journal'!$E$3:$E$2002=$B$1))/('Journal'!$B$3:$B$2002&gt;=$B$2)/('Journal'!$B$3:$B$2002&lt;=$B$3),383),""))</f>
        <v/>
      </c>
    </row>
    <row r="389">
      <c r="A389" s="18">
        <f>IF($H389="","",INDEX('Journal'!$A$1:$A$2002,$H389))</f>
        <v/>
      </c>
      <c r="B389" s="21">
        <f>IF($H389="","",INDEX('Journal'!$B$1:$B$2002,$H389))</f>
        <v/>
      </c>
      <c r="C389" s="5">
        <f>IF($H389="","",INDEX('Journal'!$C$1:$C$2002,$H389)&amp;"")</f>
        <v/>
      </c>
      <c r="D389" s="5">
        <f>IF($H389="","",IF(INDEX('Journal'!$D$1:$D$2002,$H389)=$B$1,INDEX('Journal'!$E$1:$E$2002,$H389),INDEX('Journal'!$D$1:$D$2002,$H389))&amp;"")</f>
        <v/>
      </c>
      <c r="E389" s="20">
        <f>IF($H389="","",IF(INDEX('Journal'!$D$1:$D$2002,$H389)=$B$1,N(INDEX('Journal'!$G$1:$G$2002,$H389)),N(INDEX('Journal'!$F$1:$F$2002,$H389))))</f>
        <v/>
      </c>
      <c r="F389" s="20">
        <f>IF($H389="","",IF(INDEX('Journal'!$D$1:$D$2002,$H389)=$B$1,N(INDEX('Journal'!$F$1:$F$2002,$H389)),N(INDEX('Journal'!$G$1:$G$2002,$H389))))</f>
        <v/>
      </c>
      <c r="G389" s="20">
        <f>IF($H389="","",G388+E389-F389)</f>
        <v/>
      </c>
      <c r="H389" s="18">
        <f t="array" ref="H389">IF($B$1="","",IFERROR(_xlfn.AGGREGATE(15,6,ROW('Journal'!$A$3:$A$2002)/(('Journal'!$D$3:$D$2002=$B$1)+('Journal'!$E$3:$E$2002=$B$1))/('Journal'!$B$3:$B$2002&gt;=$B$2)/('Journal'!$B$3:$B$2002&lt;=$B$3),384),""))</f>
        <v/>
      </c>
    </row>
    <row r="390">
      <c r="A390" s="18">
        <f>IF($H390="","",INDEX('Journal'!$A$1:$A$2002,$H390))</f>
        <v/>
      </c>
      <c r="B390" s="21">
        <f>IF($H390="","",INDEX('Journal'!$B$1:$B$2002,$H390))</f>
        <v/>
      </c>
      <c r="C390" s="5">
        <f>IF($H390="","",INDEX('Journal'!$C$1:$C$2002,$H390)&amp;"")</f>
        <v/>
      </c>
      <c r="D390" s="5">
        <f>IF($H390="","",IF(INDEX('Journal'!$D$1:$D$2002,$H390)=$B$1,INDEX('Journal'!$E$1:$E$2002,$H390),INDEX('Journal'!$D$1:$D$2002,$H390))&amp;"")</f>
        <v/>
      </c>
      <c r="E390" s="20">
        <f>IF($H390="","",IF(INDEX('Journal'!$D$1:$D$2002,$H390)=$B$1,N(INDEX('Journal'!$G$1:$G$2002,$H390)),N(INDEX('Journal'!$F$1:$F$2002,$H390))))</f>
        <v/>
      </c>
      <c r="F390" s="20">
        <f>IF($H390="","",IF(INDEX('Journal'!$D$1:$D$2002,$H390)=$B$1,N(INDEX('Journal'!$F$1:$F$2002,$H390)),N(INDEX('Journal'!$G$1:$G$2002,$H390))))</f>
        <v/>
      </c>
      <c r="G390" s="20">
        <f>IF($H390="","",G389+E390-F390)</f>
        <v/>
      </c>
      <c r="H390" s="18">
        <f t="array" ref="H390">IF($B$1="","",IFERROR(_xlfn.AGGREGATE(15,6,ROW('Journal'!$A$3:$A$2002)/(('Journal'!$D$3:$D$2002=$B$1)+('Journal'!$E$3:$E$2002=$B$1))/('Journal'!$B$3:$B$2002&gt;=$B$2)/('Journal'!$B$3:$B$2002&lt;=$B$3),385),""))</f>
        <v/>
      </c>
    </row>
    <row r="391">
      <c r="A391" s="18">
        <f>IF($H391="","",INDEX('Journal'!$A$1:$A$2002,$H391))</f>
        <v/>
      </c>
      <c r="B391" s="21">
        <f>IF($H391="","",INDEX('Journal'!$B$1:$B$2002,$H391))</f>
        <v/>
      </c>
      <c r="C391" s="5">
        <f>IF($H391="","",INDEX('Journal'!$C$1:$C$2002,$H391)&amp;"")</f>
        <v/>
      </c>
      <c r="D391" s="5">
        <f>IF($H391="","",IF(INDEX('Journal'!$D$1:$D$2002,$H391)=$B$1,INDEX('Journal'!$E$1:$E$2002,$H391),INDEX('Journal'!$D$1:$D$2002,$H391))&amp;"")</f>
        <v/>
      </c>
      <c r="E391" s="20">
        <f>IF($H391="","",IF(INDEX('Journal'!$D$1:$D$2002,$H391)=$B$1,N(INDEX('Journal'!$G$1:$G$2002,$H391)),N(INDEX('Journal'!$F$1:$F$2002,$H391))))</f>
        <v/>
      </c>
      <c r="F391" s="20">
        <f>IF($H391="","",IF(INDEX('Journal'!$D$1:$D$2002,$H391)=$B$1,N(INDEX('Journal'!$F$1:$F$2002,$H391)),N(INDEX('Journal'!$G$1:$G$2002,$H391))))</f>
        <v/>
      </c>
      <c r="G391" s="20">
        <f>IF($H391="","",G390+E391-F391)</f>
        <v/>
      </c>
      <c r="H391" s="18">
        <f t="array" ref="H391">IF($B$1="","",IFERROR(_xlfn.AGGREGATE(15,6,ROW('Journal'!$A$3:$A$2002)/(('Journal'!$D$3:$D$2002=$B$1)+('Journal'!$E$3:$E$2002=$B$1))/('Journal'!$B$3:$B$2002&gt;=$B$2)/('Journal'!$B$3:$B$2002&lt;=$B$3),386),""))</f>
        <v/>
      </c>
    </row>
    <row r="392">
      <c r="A392" s="18">
        <f>IF($H392="","",INDEX('Journal'!$A$1:$A$2002,$H392))</f>
        <v/>
      </c>
      <c r="B392" s="21">
        <f>IF($H392="","",INDEX('Journal'!$B$1:$B$2002,$H392))</f>
        <v/>
      </c>
      <c r="C392" s="5">
        <f>IF($H392="","",INDEX('Journal'!$C$1:$C$2002,$H392)&amp;"")</f>
        <v/>
      </c>
      <c r="D392" s="5">
        <f>IF($H392="","",IF(INDEX('Journal'!$D$1:$D$2002,$H392)=$B$1,INDEX('Journal'!$E$1:$E$2002,$H392),INDEX('Journal'!$D$1:$D$2002,$H392))&amp;"")</f>
        <v/>
      </c>
      <c r="E392" s="20">
        <f>IF($H392="","",IF(INDEX('Journal'!$D$1:$D$2002,$H392)=$B$1,N(INDEX('Journal'!$G$1:$G$2002,$H392)),N(INDEX('Journal'!$F$1:$F$2002,$H392))))</f>
        <v/>
      </c>
      <c r="F392" s="20">
        <f>IF($H392="","",IF(INDEX('Journal'!$D$1:$D$2002,$H392)=$B$1,N(INDEX('Journal'!$F$1:$F$2002,$H392)),N(INDEX('Journal'!$G$1:$G$2002,$H392))))</f>
        <v/>
      </c>
      <c r="G392" s="20">
        <f>IF($H392="","",G391+E392-F392)</f>
        <v/>
      </c>
      <c r="H392" s="18">
        <f t="array" ref="H392">IF($B$1="","",IFERROR(_xlfn.AGGREGATE(15,6,ROW('Journal'!$A$3:$A$2002)/(('Journal'!$D$3:$D$2002=$B$1)+('Journal'!$E$3:$E$2002=$B$1))/('Journal'!$B$3:$B$2002&gt;=$B$2)/('Journal'!$B$3:$B$2002&lt;=$B$3),387),""))</f>
        <v/>
      </c>
    </row>
    <row r="393">
      <c r="A393" s="18">
        <f>IF($H393="","",INDEX('Journal'!$A$1:$A$2002,$H393))</f>
        <v/>
      </c>
      <c r="B393" s="21">
        <f>IF($H393="","",INDEX('Journal'!$B$1:$B$2002,$H393))</f>
        <v/>
      </c>
      <c r="C393" s="5">
        <f>IF($H393="","",INDEX('Journal'!$C$1:$C$2002,$H393)&amp;"")</f>
        <v/>
      </c>
      <c r="D393" s="5">
        <f>IF($H393="","",IF(INDEX('Journal'!$D$1:$D$2002,$H393)=$B$1,INDEX('Journal'!$E$1:$E$2002,$H393),INDEX('Journal'!$D$1:$D$2002,$H393))&amp;"")</f>
        <v/>
      </c>
      <c r="E393" s="20">
        <f>IF($H393="","",IF(INDEX('Journal'!$D$1:$D$2002,$H393)=$B$1,N(INDEX('Journal'!$G$1:$G$2002,$H393)),N(INDEX('Journal'!$F$1:$F$2002,$H393))))</f>
        <v/>
      </c>
      <c r="F393" s="20">
        <f>IF($H393="","",IF(INDEX('Journal'!$D$1:$D$2002,$H393)=$B$1,N(INDEX('Journal'!$F$1:$F$2002,$H393)),N(INDEX('Journal'!$G$1:$G$2002,$H393))))</f>
        <v/>
      </c>
      <c r="G393" s="20">
        <f>IF($H393="","",G392+E393-F393)</f>
        <v/>
      </c>
      <c r="H393" s="18">
        <f t="array" ref="H393">IF($B$1="","",IFERROR(_xlfn.AGGREGATE(15,6,ROW('Journal'!$A$3:$A$2002)/(('Journal'!$D$3:$D$2002=$B$1)+('Journal'!$E$3:$E$2002=$B$1))/('Journal'!$B$3:$B$2002&gt;=$B$2)/('Journal'!$B$3:$B$2002&lt;=$B$3),388),""))</f>
        <v/>
      </c>
    </row>
    <row r="394">
      <c r="A394" s="18">
        <f>IF($H394="","",INDEX('Journal'!$A$1:$A$2002,$H394))</f>
        <v/>
      </c>
      <c r="B394" s="21">
        <f>IF($H394="","",INDEX('Journal'!$B$1:$B$2002,$H394))</f>
        <v/>
      </c>
      <c r="C394" s="5">
        <f>IF($H394="","",INDEX('Journal'!$C$1:$C$2002,$H394)&amp;"")</f>
        <v/>
      </c>
      <c r="D394" s="5">
        <f>IF($H394="","",IF(INDEX('Journal'!$D$1:$D$2002,$H394)=$B$1,INDEX('Journal'!$E$1:$E$2002,$H394),INDEX('Journal'!$D$1:$D$2002,$H394))&amp;"")</f>
        <v/>
      </c>
      <c r="E394" s="20">
        <f>IF($H394="","",IF(INDEX('Journal'!$D$1:$D$2002,$H394)=$B$1,N(INDEX('Journal'!$G$1:$G$2002,$H394)),N(INDEX('Journal'!$F$1:$F$2002,$H394))))</f>
        <v/>
      </c>
      <c r="F394" s="20">
        <f>IF($H394="","",IF(INDEX('Journal'!$D$1:$D$2002,$H394)=$B$1,N(INDEX('Journal'!$F$1:$F$2002,$H394)),N(INDEX('Journal'!$G$1:$G$2002,$H394))))</f>
        <v/>
      </c>
      <c r="G394" s="20">
        <f>IF($H394="","",G393+E394-F394)</f>
        <v/>
      </c>
      <c r="H394" s="18">
        <f t="array" ref="H394">IF($B$1="","",IFERROR(_xlfn.AGGREGATE(15,6,ROW('Journal'!$A$3:$A$2002)/(('Journal'!$D$3:$D$2002=$B$1)+('Journal'!$E$3:$E$2002=$B$1))/('Journal'!$B$3:$B$2002&gt;=$B$2)/('Journal'!$B$3:$B$2002&lt;=$B$3),389),""))</f>
        <v/>
      </c>
    </row>
    <row r="395">
      <c r="A395" s="18">
        <f>IF($H395="","",INDEX('Journal'!$A$1:$A$2002,$H395))</f>
        <v/>
      </c>
      <c r="B395" s="21">
        <f>IF($H395="","",INDEX('Journal'!$B$1:$B$2002,$H395))</f>
        <v/>
      </c>
      <c r="C395" s="5">
        <f>IF($H395="","",INDEX('Journal'!$C$1:$C$2002,$H395)&amp;"")</f>
        <v/>
      </c>
      <c r="D395" s="5">
        <f>IF($H395="","",IF(INDEX('Journal'!$D$1:$D$2002,$H395)=$B$1,INDEX('Journal'!$E$1:$E$2002,$H395),INDEX('Journal'!$D$1:$D$2002,$H395))&amp;"")</f>
        <v/>
      </c>
      <c r="E395" s="20">
        <f>IF($H395="","",IF(INDEX('Journal'!$D$1:$D$2002,$H395)=$B$1,N(INDEX('Journal'!$G$1:$G$2002,$H395)),N(INDEX('Journal'!$F$1:$F$2002,$H395))))</f>
        <v/>
      </c>
      <c r="F395" s="20">
        <f>IF($H395="","",IF(INDEX('Journal'!$D$1:$D$2002,$H395)=$B$1,N(INDEX('Journal'!$F$1:$F$2002,$H395)),N(INDEX('Journal'!$G$1:$G$2002,$H395))))</f>
        <v/>
      </c>
      <c r="G395" s="20">
        <f>IF($H395="","",G394+E395-F395)</f>
        <v/>
      </c>
      <c r="H395" s="18">
        <f t="array" ref="H395">IF($B$1="","",IFERROR(_xlfn.AGGREGATE(15,6,ROW('Journal'!$A$3:$A$2002)/(('Journal'!$D$3:$D$2002=$B$1)+('Journal'!$E$3:$E$2002=$B$1))/('Journal'!$B$3:$B$2002&gt;=$B$2)/('Journal'!$B$3:$B$2002&lt;=$B$3),390),""))</f>
        <v/>
      </c>
    </row>
    <row r="396">
      <c r="A396" s="18">
        <f>IF($H396="","",INDEX('Journal'!$A$1:$A$2002,$H396))</f>
        <v/>
      </c>
      <c r="B396" s="21">
        <f>IF($H396="","",INDEX('Journal'!$B$1:$B$2002,$H396))</f>
        <v/>
      </c>
      <c r="C396" s="5">
        <f>IF($H396="","",INDEX('Journal'!$C$1:$C$2002,$H396)&amp;"")</f>
        <v/>
      </c>
      <c r="D396" s="5">
        <f>IF($H396="","",IF(INDEX('Journal'!$D$1:$D$2002,$H396)=$B$1,INDEX('Journal'!$E$1:$E$2002,$H396),INDEX('Journal'!$D$1:$D$2002,$H396))&amp;"")</f>
        <v/>
      </c>
      <c r="E396" s="20">
        <f>IF($H396="","",IF(INDEX('Journal'!$D$1:$D$2002,$H396)=$B$1,N(INDEX('Journal'!$G$1:$G$2002,$H396)),N(INDEX('Journal'!$F$1:$F$2002,$H396))))</f>
        <v/>
      </c>
      <c r="F396" s="20">
        <f>IF($H396="","",IF(INDEX('Journal'!$D$1:$D$2002,$H396)=$B$1,N(INDEX('Journal'!$F$1:$F$2002,$H396)),N(INDEX('Journal'!$G$1:$G$2002,$H396))))</f>
        <v/>
      </c>
      <c r="G396" s="20">
        <f>IF($H396="","",G395+E396-F396)</f>
        <v/>
      </c>
      <c r="H396" s="18">
        <f t="array" ref="H396">IF($B$1="","",IFERROR(_xlfn.AGGREGATE(15,6,ROW('Journal'!$A$3:$A$2002)/(('Journal'!$D$3:$D$2002=$B$1)+('Journal'!$E$3:$E$2002=$B$1))/('Journal'!$B$3:$B$2002&gt;=$B$2)/('Journal'!$B$3:$B$2002&lt;=$B$3),391),""))</f>
        <v/>
      </c>
    </row>
    <row r="397">
      <c r="A397" s="18">
        <f>IF($H397="","",INDEX('Journal'!$A$1:$A$2002,$H397))</f>
        <v/>
      </c>
      <c r="B397" s="21">
        <f>IF($H397="","",INDEX('Journal'!$B$1:$B$2002,$H397))</f>
        <v/>
      </c>
      <c r="C397" s="5">
        <f>IF($H397="","",INDEX('Journal'!$C$1:$C$2002,$H397)&amp;"")</f>
        <v/>
      </c>
      <c r="D397" s="5">
        <f>IF($H397="","",IF(INDEX('Journal'!$D$1:$D$2002,$H397)=$B$1,INDEX('Journal'!$E$1:$E$2002,$H397),INDEX('Journal'!$D$1:$D$2002,$H397))&amp;"")</f>
        <v/>
      </c>
      <c r="E397" s="20">
        <f>IF($H397="","",IF(INDEX('Journal'!$D$1:$D$2002,$H397)=$B$1,N(INDEX('Journal'!$G$1:$G$2002,$H397)),N(INDEX('Journal'!$F$1:$F$2002,$H397))))</f>
        <v/>
      </c>
      <c r="F397" s="20">
        <f>IF($H397="","",IF(INDEX('Journal'!$D$1:$D$2002,$H397)=$B$1,N(INDEX('Journal'!$F$1:$F$2002,$H397)),N(INDEX('Journal'!$G$1:$G$2002,$H397))))</f>
        <v/>
      </c>
      <c r="G397" s="20">
        <f>IF($H397="","",G396+E397-F397)</f>
        <v/>
      </c>
      <c r="H397" s="18">
        <f t="array" ref="H397">IF($B$1="","",IFERROR(_xlfn.AGGREGATE(15,6,ROW('Journal'!$A$3:$A$2002)/(('Journal'!$D$3:$D$2002=$B$1)+('Journal'!$E$3:$E$2002=$B$1))/('Journal'!$B$3:$B$2002&gt;=$B$2)/('Journal'!$B$3:$B$2002&lt;=$B$3),392),""))</f>
        <v/>
      </c>
    </row>
    <row r="398">
      <c r="A398" s="18">
        <f>IF($H398="","",INDEX('Journal'!$A$1:$A$2002,$H398))</f>
        <v/>
      </c>
      <c r="B398" s="21">
        <f>IF($H398="","",INDEX('Journal'!$B$1:$B$2002,$H398))</f>
        <v/>
      </c>
      <c r="C398" s="5">
        <f>IF($H398="","",INDEX('Journal'!$C$1:$C$2002,$H398)&amp;"")</f>
        <v/>
      </c>
      <c r="D398" s="5">
        <f>IF($H398="","",IF(INDEX('Journal'!$D$1:$D$2002,$H398)=$B$1,INDEX('Journal'!$E$1:$E$2002,$H398),INDEX('Journal'!$D$1:$D$2002,$H398))&amp;"")</f>
        <v/>
      </c>
      <c r="E398" s="20">
        <f>IF($H398="","",IF(INDEX('Journal'!$D$1:$D$2002,$H398)=$B$1,N(INDEX('Journal'!$G$1:$G$2002,$H398)),N(INDEX('Journal'!$F$1:$F$2002,$H398))))</f>
        <v/>
      </c>
      <c r="F398" s="20">
        <f>IF($H398="","",IF(INDEX('Journal'!$D$1:$D$2002,$H398)=$B$1,N(INDEX('Journal'!$F$1:$F$2002,$H398)),N(INDEX('Journal'!$G$1:$G$2002,$H398))))</f>
        <v/>
      </c>
      <c r="G398" s="20">
        <f>IF($H398="","",G397+E398-F398)</f>
        <v/>
      </c>
      <c r="H398" s="18">
        <f t="array" ref="H398">IF($B$1="","",IFERROR(_xlfn.AGGREGATE(15,6,ROW('Journal'!$A$3:$A$2002)/(('Journal'!$D$3:$D$2002=$B$1)+('Journal'!$E$3:$E$2002=$B$1))/('Journal'!$B$3:$B$2002&gt;=$B$2)/('Journal'!$B$3:$B$2002&lt;=$B$3),393),""))</f>
        <v/>
      </c>
    </row>
    <row r="399">
      <c r="A399" s="18">
        <f>IF($H399="","",INDEX('Journal'!$A$1:$A$2002,$H399))</f>
        <v/>
      </c>
      <c r="B399" s="21">
        <f>IF($H399="","",INDEX('Journal'!$B$1:$B$2002,$H399))</f>
        <v/>
      </c>
      <c r="C399" s="5">
        <f>IF($H399="","",INDEX('Journal'!$C$1:$C$2002,$H399)&amp;"")</f>
        <v/>
      </c>
      <c r="D399" s="5">
        <f>IF($H399="","",IF(INDEX('Journal'!$D$1:$D$2002,$H399)=$B$1,INDEX('Journal'!$E$1:$E$2002,$H399),INDEX('Journal'!$D$1:$D$2002,$H399))&amp;"")</f>
        <v/>
      </c>
      <c r="E399" s="20">
        <f>IF($H399="","",IF(INDEX('Journal'!$D$1:$D$2002,$H399)=$B$1,N(INDEX('Journal'!$G$1:$G$2002,$H399)),N(INDEX('Journal'!$F$1:$F$2002,$H399))))</f>
        <v/>
      </c>
      <c r="F399" s="20">
        <f>IF($H399="","",IF(INDEX('Journal'!$D$1:$D$2002,$H399)=$B$1,N(INDEX('Journal'!$F$1:$F$2002,$H399)),N(INDEX('Journal'!$G$1:$G$2002,$H399))))</f>
        <v/>
      </c>
      <c r="G399" s="20">
        <f>IF($H399="","",G398+E399-F399)</f>
        <v/>
      </c>
      <c r="H399" s="18">
        <f t="array" ref="H399">IF($B$1="","",IFERROR(_xlfn.AGGREGATE(15,6,ROW('Journal'!$A$3:$A$2002)/(('Journal'!$D$3:$D$2002=$B$1)+('Journal'!$E$3:$E$2002=$B$1))/('Journal'!$B$3:$B$2002&gt;=$B$2)/('Journal'!$B$3:$B$2002&lt;=$B$3),394),""))</f>
        <v/>
      </c>
    </row>
    <row r="400">
      <c r="A400" s="18">
        <f>IF($H400="","",INDEX('Journal'!$A$1:$A$2002,$H400))</f>
        <v/>
      </c>
      <c r="B400" s="21">
        <f>IF($H400="","",INDEX('Journal'!$B$1:$B$2002,$H400))</f>
        <v/>
      </c>
      <c r="C400" s="5">
        <f>IF($H400="","",INDEX('Journal'!$C$1:$C$2002,$H400)&amp;"")</f>
        <v/>
      </c>
      <c r="D400" s="5">
        <f>IF($H400="","",IF(INDEX('Journal'!$D$1:$D$2002,$H400)=$B$1,INDEX('Journal'!$E$1:$E$2002,$H400),INDEX('Journal'!$D$1:$D$2002,$H400))&amp;"")</f>
        <v/>
      </c>
      <c r="E400" s="20">
        <f>IF($H400="","",IF(INDEX('Journal'!$D$1:$D$2002,$H400)=$B$1,N(INDEX('Journal'!$G$1:$G$2002,$H400)),N(INDEX('Journal'!$F$1:$F$2002,$H400))))</f>
        <v/>
      </c>
      <c r="F400" s="20">
        <f>IF($H400="","",IF(INDEX('Journal'!$D$1:$D$2002,$H400)=$B$1,N(INDEX('Journal'!$F$1:$F$2002,$H400)),N(INDEX('Journal'!$G$1:$G$2002,$H400))))</f>
        <v/>
      </c>
      <c r="G400" s="20">
        <f>IF($H400="","",G399+E400-F400)</f>
        <v/>
      </c>
      <c r="H400" s="18">
        <f t="array" ref="H400">IF($B$1="","",IFERROR(_xlfn.AGGREGATE(15,6,ROW('Journal'!$A$3:$A$2002)/(('Journal'!$D$3:$D$2002=$B$1)+('Journal'!$E$3:$E$2002=$B$1))/('Journal'!$B$3:$B$2002&gt;=$B$2)/('Journal'!$B$3:$B$2002&lt;=$B$3),395),""))</f>
        <v/>
      </c>
    </row>
    <row r="401">
      <c r="A401" s="18">
        <f>IF($H401="","",INDEX('Journal'!$A$1:$A$2002,$H401))</f>
        <v/>
      </c>
      <c r="B401" s="21">
        <f>IF($H401="","",INDEX('Journal'!$B$1:$B$2002,$H401))</f>
        <v/>
      </c>
      <c r="C401" s="5">
        <f>IF($H401="","",INDEX('Journal'!$C$1:$C$2002,$H401)&amp;"")</f>
        <v/>
      </c>
      <c r="D401" s="5">
        <f>IF($H401="","",IF(INDEX('Journal'!$D$1:$D$2002,$H401)=$B$1,INDEX('Journal'!$E$1:$E$2002,$H401),INDEX('Journal'!$D$1:$D$2002,$H401))&amp;"")</f>
        <v/>
      </c>
      <c r="E401" s="20">
        <f>IF($H401="","",IF(INDEX('Journal'!$D$1:$D$2002,$H401)=$B$1,N(INDEX('Journal'!$G$1:$G$2002,$H401)),N(INDEX('Journal'!$F$1:$F$2002,$H401))))</f>
        <v/>
      </c>
      <c r="F401" s="20">
        <f>IF($H401="","",IF(INDEX('Journal'!$D$1:$D$2002,$H401)=$B$1,N(INDEX('Journal'!$F$1:$F$2002,$H401)),N(INDEX('Journal'!$G$1:$G$2002,$H401))))</f>
        <v/>
      </c>
      <c r="G401" s="20">
        <f>IF($H401="","",G400+E401-F401)</f>
        <v/>
      </c>
      <c r="H401" s="18">
        <f t="array" ref="H401">IF($B$1="","",IFERROR(_xlfn.AGGREGATE(15,6,ROW('Journal'!$A$3:$A$2002)/(('Journal'!$D$3:$D$2002=$B$1)+('Journal'!$E$3:$E$2002=$B$1))/('Journal'!$B$3:$B$2002&gt;=$B$2)/('Journal'!$B$3:$B$2002&lt;=$B$3),396),""))</f>
        <v/>
      </c>
    </row>
    <row r="402">
      <c r="A402" s="18">
        <f>IF($H402="","",INDEX('Journal'!$A$1:$A$2002,$H402))</f>
        <v/>
      </c>
      <c r="B402" s="21">
        <f>IF($H402="","",INDEX('Journal'!$B$1:$B$2002,$H402))</f>
        <v/>
      </c>
      <c r="C402" s="5">
        <f>IF($H402="","",INDEX('Journal'!$C$1:$C$2002,$H402)&amp;"")</f>
        <v/>
      </c>
      <c r="D402" s="5">
        <f>IF($H402="","",IF(INDEX('Journal'!$D$1:$D$2002,$H402)=$B$1,INDEX('Journal'!$E$1:$E$2002,$H402),INDEX('Journal'!$D$1:$D$2002,$H402))&amp;"")</f>
        <v/>
      </c>
      <c r="E402" s="20">
        <f>IF($H402="","",IF(INDEX('Journal'!$D$1:$D$2002,$H402)=$B$1,N(INDEX('Journal'!$G$1:$G$2002,$H402)),N(INDEX('Journal'!$F$1:$F$2002,$H402))))</f>
        <v/>
      </c>
      <c r="F402" s="20">
        <f>IF($H402="","",IF(INDEX('Journal'!$D$1:$D$2002,$H402)=$B$1,N(INDEX('Journal'!$F$1:$F$2002,$H402)),N(INDEX('Journal'!$G$1:$G$2002,$H402))))</f>
        <v/>
      </c>
      <c r="G402" s="20">
        <f>IF($H402="","",G401+E402-F402)</f>
        <v/>
      </c>
      <c r="H402" s="18">
        <f t="array" ref="H402">IF($B$1="","",IFERROR(_xlfn.AGGREGATE(15,6,ROW('Journal'!$A$3:$A$2002)/(('Journal'!$D$3:$D$2002=$B$1)+('Journal'!$E$3:$E$2002=$B$1))/('Journal'!$B$3:$B$2002&gt;=$B$2)/('Journal'!$B$3:$B$2002&lt;=$B$3),397),""))</f>
        <v/>
      </c>
    </row>
    <row r="403">
      <c r="A403" s="18">
        <f>IF($H403="","",INDEX('Journal'!$A$1:$A$2002,$H403))</f>
        <v/>
      </c>
      <c r="B403" s="21">
        <f>IF($H403="","",INDEX('Journal'!$B$1:$B$2002,$H403))</f>
        <v/>
      </c>
      <c r="C403" s="5">
        <f>IF($H403="","",INDEX('Journal'!$C$1:$C$2002,$H403)&amp;"")</f>
        <v/>
      </c>
      <c r="D403" s="5">
        <f>IF($H403="","",IF(INDEX('Journal'!$D$1:$D$2002,$H403)=$B$1,INDEX('Journal'!$E$1:$E$2002,$H403),INDEX('Journal'!$D$1:$D$2002,$H403))&amp;"")</f>
        <v/>
      </c>
      <c r="E403" s="20">
        <f>IF($H403="","",IF(INDEX('Journal'!$D$1:$D$2002,$H403)=$B$1,N(INDEX('Journal'!$G$1:$G$2002,$H403)),N(INDEX('Journal'!$F$1:$F$2002,$H403))))</f>
        <v/>
      </c>
      <c r="F403" s="20">
        <f>IF($H403="","",IF(INDEX('Journal'!$D$1:$D$2002,$H403)=$B$1,N(INDEX('Journal'!$F$1:$F$2002,$H403)),N(INDEX('Journal'!$G$1:$G$2002,$H403))))</f>
        <v/>
      </c>
      <c r="G403" s="20">
        <f>IF($H403="","",G402+E403-F403)</f>
        <v/>
      </c>
      <c r="H403" s="18">
        <f t="array" ref="H403">IF($B$1="","",IFERROR(_xlfn.AGGREGATE(15,6,ROW('Journal'!$A$3:$A$2002)/(('Journal'!$D$3:$D$2002=$B$1)+('Journal'!$E$3:$E$2002=$B$1))/('Journal'!$B$3:$B$2002&gt;=$B$2)/('Journal'!$B$3:$B$2002&lt;=$B$3),398),""))</f>
        <v/>
      </c>
    </row>
    <row r="404">
      <c r="A404" s="18">
        <f>IF($H404="","",INDEX('Journal'!$A$1:$A$2002,$H404))</f>
        <v/>
      </c>
      <c r="B404" s="21">
        <f>IF($H404="","",INDEX('Journal'!$B$1:$B$2002,$H404))</f>
        <v/>
      </c>
      <c r="C404" s="5">
        <f>IF($H404="","",INDEX('Journal'!$C$1:$C$2002,$H404)&amp;"")</f>
        <v/>
      </c>
      <c r="D404" s="5">
        <f>IF($H404="","",IF(INDEX('Journal'!$D$1:$D$2002,$H404)=$B$1,INDEX('Journal'!$E$1:$E$2002,$H404),INDEX('Journal'!$D$1:$D$2002,$H404))&amp;"")</f>
        <v/>
      </c>
      <c r="E404" s="20">
        <f>IF($H404="","",IF(INDEX('Journal'!$D$1:$D$2002,$H404)=$B$1,N(INDEX('Journal'!$G$1:$G$2002,$H404)),N(INDEX('Journal'!$F$1:$F$2002,$H404))))</f>
        <v/>
      </c>
      <c r="F404" s="20">
        <f>IF($H404="","",IF(INDEX('Journal'!$D$1:$D$2002,$H404)=$B$1,N(INDEX('Journal'!$F$1:$F$2002,$H404)),N(INDEX('Journal'!$G$1:$G$2002,$H404))))</f>
        <v/>
      </c>
      <c r="G404" s="20">
        <f>IF($H404="","",G403+E404-F404)</f>
        <v/>
      </c>
      <c r="H404" s="18">
        <f t="array" ref="H404">IF($B$1="","",IFERROR(_xlfn.AGGREGATE(15,6,ROW('Journal'!$A$3:$A$2002)/(('Journal'!$D$3:$D$2002=$B$1)+('Journal'!$E$3:$E$2002=$B$1))/('Journal'!$B$3:$B$2002&gt;=$B$2)/('Journal'!$B$3:$B$2002&lt;=$B$3),399),""))</f>
        <v/>
      </c>
    </row>
    <row r="405">
      <c r="A405" s="18">
        <f>IF($H405="","",INDEX('Journal'!$A$1:$A$2002,$H405))</f>
        <v/>
      </c>
      <c r="B405" s="21">
        <f>IF($H405="","",INDEX('Journal'!$B$1:$B$2002,$H405))</f>
        <v/>
      </c>
      <c r="C405" s="5">
        <f>IF($H405="","",INDEX('Journal'!$C$1:$C$2002,$H405)&amp;"")</f>
        <v/>
      </c>
      <c r="D405" s="5">
        <f>IF($H405="","",IF(INDEX('Journal'!$D$1:$D$2002,$H405)=$B$1,INDEX('Journal'!$E$1:$E$2002,$H405),INDEX('Journal'!$D$1:$D$2002,$H405))&amp;"")</f>
        <v/>
      </c>
      <c r="E405" s="20">
        <f>IF($H405="","",IF(INDEX('Journal'!$D$1:$D$2002,$H405)=$B$1,N(INDEX('Journal'!$G$1:$G$2002,$H405)),N(INDEX('Journal'!$F$1:$F$2002,$H405))))</f>
        <v/>
      </c>
      <c r="F405" s="20">
        <f>IF($H405="","",IF(INDEX('Journal'!$D$1:$D$2002,$H405)=$B$1,N(INDEX('Journal'!$F$1:$F$2002,$H405)),N(INDEX('Journal'!$G$1:$G$2002,$H405))))</f>
        <v/>
      </c>
      <c r="G405" s="20">
        <f>IF($H405="","",G404+E405-F405)</f>
        <v/>
      </c>
      <c r="H405" s="18">
        <f t="array" ref="H405">IF($B$1="","",IFERROR(_xlfn.AGGREGATE(15,6,ROW('Journal'!$A$3:$A$2002)/(('Journal'!$D$3:$D$2002=$B$1)+('Journal'!$E$3:$E$2002=$B$1))/('Journal'!$B$3:$B$2002&gt;=$B$2)/('Journal'!$B$3:$B$2002&lt;=$B$3),400),""))</f>
        <v/>
      </c>
    </row>
    <row r="406">
      <c r="A406" s="18">
        <f>IF($H406="","",INDEX('Journal'!$A$1:$A$2002,$H406))</f>
        <v/>
      </c>
      <c r="B406" s="21">
        <f>IF($H406="","",INDEX('Journal'!$B$1:$B$2002,$H406))</f>
        <v/>
      </c>
      <c r="C406" s="5">
        <f>IF($H406="","",INDEX('Journal'!$C$1:$C$2002,$H406)&amp;"")</f>
        <v/>
      </c>
      <c r="D406" s="5">
        <f>IF($H406="","",IF(INDEX('Journal'!$D$1:$D$2002,$H406)=$B$1,INDEX('Journal'!$E$1:$E$2002,$H406),INDEX('Journal'!$D$1:$D$2002,$H406))&amp;"")</f>
        <v/>
      </c>
      <c r="E406" s="20">
        <f>IF($H406="","",IF(INDEX('Journal'!$D$1:$D$2002,$H406)=$B$1,N(INDEX('Journal'!$G$1:$G$2002,$H406)),N(INDEX('Journal'!$F$1:$F$2002,$H406))))</f>
        <v/>
      </c>
      <c r="F406" s="20">
        <f>IF($H406="","",IF(INDEX('Journal'!$D$1:$D$2002,$H406)=$B$1,N(INDEX('Journal'!$F$1:$F$2002,$H406)),N(INDEX('Journal'!$G$1:$G$2002,$H406))))</f>
        <v/>
      </c>
      <c r="G406" s="20">
        <f>IF($H406="","",G405+E406-F406)</f>
        <v/>
      </c>
      <c r="H406" s="18">
        <f t="array" ref="H406">IF($B$1="","",IFERROR(_xlfn.AGGREGATE(15,6,ROW('Journal'!$A$3:$A$2002)/(('Journal'!$D$3:$D$2002=$B$1)+('Journal'!$E$3:$E$2002=$B$1))/('Journal'!$B$3:$B$2002&gt;=$B$2)/('Journal'!$B$3:$B$2002&lt;=$B$3),401),""))</f>
        <v/>
      </c>
    </row>
    <row r="407">
      <c r="A407" s="18">
        <f>IF($H407="","",INDEX('Journal'!$A$1:$A$2002,$H407))</f>
        <v/>
      </c>
      <c r="B407" s="21">
        <f>IF($H407="","",INDEX('Journal'!$B$1:$B$2002,$H407))</f>
        <v/>
      </c>
      <c r="C407" s="5">
        <f>IF($H407="","",INDEX('Journal'!$C$1:$C$2002,$H407)&amp;"")</f>
        <v/>
      </c>
      <c r="D407" s="5">
        <f>IF($H407="","",IF(INDEX('Journal'!$D$1:$D$2002,$H407)=$B$1,INDEX('Journal'!$E$1:$E$2002,$H407),INDEX('Journal'!$D$1:$D$2002,$H407))&amp;"")</f>
        <v/>
      </c>
      <c r="E407" s="20">
        <f>IF($H407="","",IF(INDEX('Journal'!$D$1:$D$2002,$H407)=$B$1,N(INDEX('Journal'!$G$1:$G$2002,$H407)),N(INDEX('Journal'!$F$1:$F$2002,$H407))))</f>
        <v/>
      </c>
      <c r="F407" s="20">
        <f>IF($H407="","",IF(INDEX('Journal'!$D$1:$D$2002,$H407)=$B$1,N(INDEX('Journal'!$F$1:$F$2002,$H407)),N(INDEX('Journal'!$G$1:$G$2002,$H407))))</f>
        <v/>
      </c>
      <c r="G407" s="20">
        <f>IF($H407="","",G406+E407-F407)</f>
        <v/>
      </c>
      <c r="H407" s="18">
        <f t="array" ref="H407">IF($B$1="","",IFERROR(_xlfn.AGGREGATE(15,6,ROW('Journal'!$A$3:$A$2002)/(('Journal'!$D$3:$D$2002=$B$1)+('Journal'!$E$3:$E$2002=$B$1))/('Journal'!$B$3:$B$2002&gt;=$B$2)/('Journal'!$B$3:$B$2002&lt;=$B$3),402),""))</f>
        <v/>
      </c>
    </row>
    <row r="408">
      <c r="A408" s="18">
        <f>IF($H408="","",INDEX('Journal'!$A$1:$A$2002,$H408))</f>
        <v/>
      </c>
      <c r="B408" s="21">
        <f>IF($H408="","",INDEX('Journal'!$B$1:$B$2002,$H408))</f>
        <v/>
      </c>
      <c r="C408" s="5">
        <f>IF($H408="","",INDEX('Journal'!$C$1:$C$2002,$H408)&amp;"")</f>
        <v/>
      </c>
      <c r="D408" s="5">
        <f>IF($H408="","",IF(INDEX('Journal'!$D$1:$D$2002,$H408)=$B$1,INDEX('Journal'!$E$1:$E$2002,$H408),INDEX('Journal'!$D$1:$D$2002,$H408))&amp;"")</f>
        <v/>
      </c>
      <c r="E408" s="20">
        <f>IF($H408="","",IF(INDEX('Journal'!$D$1:$D$2002,$H408)=$B$1,N(INDEX('Journal'!$G$1:$G$2002,$H408)),N(INDEX('Journal'!$F$1:$F$2002,$H408))))</f>
        <v/>
      </c>
      <c r="F408" s="20">
        <f>IF($H408="","",IF(INDEX('Journal'!$D$1:$D$2002,$H408)=$B$1,N(INDEX('Journal'!$F$1:$F$2002,$H408)),N(INDEX('Journal'!$G$1:$G$2002,$H408))))</f>
        <v/>
      </c>
      <c r="G408" s="20">
        <f>IF($H408="","",G407+E408-F408)</f>
        <v/>
      </c>
      <c r="H408" s="18">
        <f t="array" ref="H408">IF($B$1="","",IFERROR(_xlfn.AGGREGATE(15,6,ROW('Journal'!$A$3:$A$2002)/(('Journal'!$D$3:$D$2002=$B$1)+('Journal'!$E$3:$E$2002=$B$1))/('Journal'!$B$3:$B$2002&gt;=$B$2)/('Journal'!$B$3:$B$2002&lt;=$B$3),403),""))</f>
        <v/>
      </c>
    </row>
    <row r="409">
      <c r="A409" s="18">
        <f>IF($H409="","",INDEX('Journal'!$A$1:$A$2002,$H409))</f>
        <v/>
      </c>
      <c r="B409" s="21">
        <f>IF($H409="","",INDEX('Journal'!$B$1:$B$2002,$H409))</f>
        <v/>
      </c>
      <c r="C409" s="5">
        <f>IF($H409="","",INDEX('Journal'!$C$1:$C$2002,$H409)&amp;"")</f>
        <v/>
      </c>
      <c r="D409" s="5">
        <f>IF($H409="","",IF(INDEX('Journal'!$D$1:$D$2002,$H409)=$B$1,INDEX('Journal'!$E$1:$E$2002,$H409),INDEX('Journal'!$D$1:$D$2002,$H409))&amp;"")</f>
        <v/>
      </c>
      <c r="E409" s="20">
        <f>IF($H409="","",IF(INDEX('Journal'!$D$1:$D$2002,$H409)=$B$1,N(INDEX('Journal'!$G$1:$G$2002,$H409)),N(INDEX('Journal'!$F$1:$F$2002,$H409))))</f>
        <v/>
      </c>
      <c r="F409" s="20">
        <f>IF($H409="","",IF(INDEX('Journal'!$D$1:$D$2002,$H409)=$B$1,N(INDEX('Journal'!$F$1:$F$2002,$H409)),N(INDEX('Journal'!$G$1:$G$2002,$H409))))</f>
        <v/>
      </c>
      <c r="G409" s="20">
        <f>IF($H409="","",G408+E409-F409)</f>
        <v/>
      </c>
      <c r="H409" s="18">
        <f t="array" ref="H409">IF($B$1="","",IFERROR(_xlfn.AGGREGATE(15,6,ROW('Journal'!$A$3:$A$2002)/(('Journal'!$D$3:$D$2002=$B$1)+('Journal'!$E$3:$E$2002=$B$1))/('Journal'!$B$3:$B$2002&gt;=$B$2)/('Journal'!$B$3:$B$2002&lt;=$B$3),404),""))</f>
        <v/>
      </c>
    </row>
    <row r="410">
      <c r="A410" s="18">
        <f>IF($H410="","",INDEX('Journal'!$A$1:$A$2002,$H410))</f>
        <v/>
      </c>
      <c r="B410" s="21">
        <f>IF($H410="","",INDEX('Journal'!$B$1:$B$2002,$H410))</f>
        <v/>
      </c>
      <c r="C410" s="5">
        <f>IF($H410="","",INDEX('Journal'!$C$1:$C$2002,$H410)&amp;"")</f>
        <v/>
      </c>
      <c r="D410" s="5">
        <f>IF($H410="","",IF(INDEX('Journal'!$D$1:$D$2002,$H410)=$B$1,INDEX('Journal'!$E$1:$E$2002,$H410),INDEX('Journal'!$D$1:$D$2002,$H410))&amp;"")</f>
        <v/>
      </c>
      <c r="E410" s="20">
        <f>IF($H410="","",IF(INDEX('Journal'!$D$1:$D$2002,$H410)=$B$1,N(INDEX('Journal'!$G$1:$G$2002,$H410)),N(INDEX('Journal'!$F$1:$F$2002,$H410))))</f>
        <v/>
      </c>
      <c r="F410" s="20">
        <f>IF($H410="","",IF(INDEX('Journal'!$D$1:$D$2002,$H410)=$B$1,N(INDEX('Journal'!$F$1:$F$2002,$H410)),N(INDEX('Journal'!$G$1:$G$2002,$H410))))</f>
        <v/>
      </c>
      <c r="G410" s="20">
        <f>IF($H410="","",G409+E410-F410)</f>
        <v/>
      </c>
      <c r="H410" s="18">
        <f t="array" ref="H410">IF($B$1="","",IFERROR(_xlfn.AGGREGATE(15,6,ROW('Journal'!$A$3:$A$2002)/(('Journal'!$D$3:$D$2002=$B$1)+('Journal'!$E$3:$E$2002=$B$1))/('Journal'!$B$3:$B$2002&gt;=$B$2)/('Journal'!$B$3:$B$2002&lt;=$B$3),405),""))</f>
        <v/>
      </c>
    </row>
    <row r="411">
      <c r="A411" s="18">
        <f>IF($H411="","",INDEX('Journal'!$A$1:$A$2002,$H411))</f>
        <v/>
      </c>
      <c r="B411" s="21">
        <f>IF($H411="","",INDEX('Journal'!$B$1:$B$2002,$H411))</f>
        <v/>
      </c>
      <c r="C411" s="5">
        <f>IF($H411="","",INDEX('Journal'!$C$1:$C$2002,$H411)&amp;"")</f>
        <v/>
      </c>
      <c r="D411" s="5">
        <f>IF($H411="","",IF(INDEX('Journal'!$D$1:$D$2002,$H411)=$B$1,INDEX('Journal'!$E$1:$E$2002,$H411),INDEX('Journal'!$D$1:$D$2002,$H411))&amp;"")</f>
        <v/>
      </c>
      <c r="E411" s="20">
        <f>IF($H411="","",IF(INDEX('Journal'!$D$1:$D$2002,$H411)=$B$1,N(INDEX('Journal'!$G$1:$G$2002,$H411)),N(INDEX('Journal'!$F$1:$F$2002,$H411))))</f>
        <v/>
      </c>
      <c r="F411" s="20">
        <f>IF($H411="","",IF(INDEX('Journal'!$D$1:$D$2002,$H411)=$B$1,N(INDEX('Journal'!$F$1:$F$2002,$H411)),N(INDEX('Journal'!$G$1:$G$2002,$H411))))</f>
        <v/>
      </c>
      <c r="G411" s="20">
        <f>IF($H411="","",G410+E411-F411)</f>
        <v/>
      </c>
      <c r="H411" s="18">
        <f t="array" ref="H411">IF($B$1="","",IFERROR(_xlfn.AGGREGATE(15,6,ROW('Journal'!$A$3:$A$2002)/(('Journal'!$D$3:$D$2002=$B$1)+('Journal'!$E$3:$E$2002=$B$1))/('Journal'!$B$3:$B$2002&gt;=$B$2)/('Journal'!$B$3:$B$2002&lt;=$B$3),406),""))</f>
        <v/>
      </c>
    </row>
    <row r="412">
      <c r="A412" s="18">
        <f>IF($H412="","",INDEX('Journal'!$A$1:$A$2002,$H412))</f>
        <v/>
      </c>
      <c r="B412" s="21">
        <f>IF($H412="","",INDEX('Journal'!$B$1:$B$2002,$H412))</f>
        <v/>
      </c>
      <c r="C412" s="5">
        <f>IF($H412="","",INDEX('Journal'!$C$1:$C$2002,$H412)&amp;"")</f>
        <v/>
      </c>
      <c r="D412" s="5">
        <f>IF($H412="","",IF(INDEX('Journal'!$D$1:$D$2002,$H412)=$B$1,INDEX('Journal'!$E$1:$E$2002,$H412),INDEX('Journal'!$D$1:$D$2002,$H412))&amp;"")</f>
        <v/>
      </c>
      <c r="E412" s="20">
        <f>IF($H412="","",IF(INDEX('Journal'!$D$1:$D$2002,$H412)=$B$1,N(INDEX('Journal'!$G$1:$G$2002,$H412)),N(INDEX('Journal'!$F$1:$F$2002,$H412))))</f>
        <v/>
      </c>
      <c r="F412" s="20">
        <f>IF($H412="","",IF(INDEX('Journal'!$D$1:$D$2002,$H412)=$B$1,N(INDEX('Journal'!$F$1:$F$2002,$H412)),N(INDEX('Journal'!$G$1:$G$2002,$H412))))</f>
        <v/>
      </c>
      <c r="G412" s="20">
        <f>IF($H412="","",G411+E412-F412)</f>
        <v/>
      </c>
      <c r="H412" s="18">
        <f t="array" ref="H412">IF($B$1="","",IFERROR(_xlfn.AGGREGATE(15,6,ROW('Journal'!$A$3:$A$2002)/(('Journal'!$D$3:$D$2002=$B$1)+('Journal'!$E$3:$E$2002=$B$1))/('Journal'!$B$3:$B$2002&gt;=$B$2)/('Journal'!$B$3:$B$2002&lt;=$B$3),407),""))</f>
        <v/>
      </c>
    </row>
    <row r="413">
      <c r="A413" s="18">
        <f>IF($H413="","",INDEX('Journal'!$A$1:$A$2002,$H413))</f>
        <v/>
      </c>
      <c r="B413" s="21">
        <f>IF($H413="","",INDEX('Journal'!$B$1:$B$2002,$H413))</f>
        <v/>
      </c>
      <c r="C413" s="5">
        <f>IF($H413="","",INDEX('Journal'!$C$1:$C$2002,$H413)&amp;"")</f>
        <v/>
      </c>
      <c r="D413" s="5">
        <f>IF($H413="","",IF(INDEX('Journal'!$D$1:$D$2002,$H413)=$B$1,INDEX('Journal'!$E$1:$E$2002,$H413),INDEX('Journal'!$D$1:$D$2002,$H413))&amp;"")</f>
        <v/>
      </c>
      <c r="E413" s="20">
        <f>IF($H413="","",IF(INDEX('Journal'!$D$1:$D$2002,$H413)=$B$1,N(INDEX('Journal'!$G$1:$G$2002,$H413)),N(INDEX('Journal'!$F$1:$F$2002,$H413))))</f>
        <v/>
      </c>
      <c r="F413" s="20">
        <f>IF($H413="","",IF(INDEX('Journal'!$D$1:$D$2002,$H413)=$B$1,N(INDEX('Journal'!$F$1:$F$2002,$H413)),N(INDEX('Journal'!$G$1:$G$2002,$H413))))</f>
        <v/>
      </c>
      <c r="G413" s="20">
        <f>IF($H413="","",G412+E413-F413)</f>
        <v/>
      </c>
      <c r="H413" s="18">
        <f t="array" ref="H413">IF($B$1="","",IFERROR(_xlfn.AGGREGATE(15,6,ROW('Journal'!$A$3:$A$2002)/(('Journal'!$D$3:$D$2002=$B$1)+('Journal'!$E$3:$E$2002=$B$1))/('Journal'!$B$3:$B$2002&gt;=$B$2)/('Journal'!$B$3:$B$2002&lt;=$B$3),408),""))</f>
        <v/>
      </c>
    </row>
    <row r="414">
      <c r="A414" s="18">
        <f>IF($H414="","",INDEX('Journal'!$A$1:$A$2002,$H414))</f>
        <v/>
      </c>
      <c r="B414" s="21">
        <f>IF($H414="","",INDEX('Journal'!$B$1:$B$2002,$H414))</f>
        <v/>
      </c>
      <c r="C414" s="5">
        <f>IF($H414="","",INDEX('Journal'!$C$1:$C$2002,$H414)&amp;"")</f>
        <v/>
      </c>
      <c r="D414" s="5">
        <f>IF($H414="","",IF(INDEX('Journal'!$D$1:$D$2002,$H414)=$B$1,INDEX('Journal'!$E$1:$E$2002,$H414),INDEX('Journal'!$D$1:$D$2002,$H414))&amp;"")</f>
        <v/>
      </c>
      <c r="E414" s="20">
        <f>IF($H414="","",IF(INDEX('Journal'!$D$1:$D$2002,$H414)=$B$1,N(INDEX('Journal'!$G$1:$G$2002,$H414)),N(INDEX('Journal'!$F$1:$F$2002,$H414))))</f>
        <v/>
      </c>
      <c r="F414" s="20">
        <f>IF($H414="","",IF(INDEX('Journal'!$D$1:$D$2002,$H414)=$B$1,N(INDEX('Journal'!$F$1:$F$2002,$H414)),N(INDEX('Journal'!$G$1:$G$2002,$H414))))</f>
        <v/>
      </c>
      <c r="G414" s="20">
        <f>IF($H414="","",G413+E414-F414)</f>
        <v/>
      </c>
      <c r="H414" s="18">
        <f t="array" ref="H414">IF($B$1="","",IFERROR(_xlfn.AGGREGATE(15,6,ROW('Journal'!$A$3:$A$2002)/(('Journal'!$D$3:$D$2002=$B$1)+('Journal'!$E$3:$E$2002=$B$1))/('Journal'!$B$3:$B$2002&gt;=$B$2)/('Journal'!$B$3:$B$2002&lt;=$B$3),409),""))</f>
        <v/>
      </c>
    </row>
    <row r="415">
      <c r="A415" s="18">
        <f>IF($H415="","",INDEX('Journal'!$A$1:$A$2002,$H415))</f>
        <v/>
      </c>
      <c r="B415" s="21">
        <f>IF($H415="","",INDEX('Journal'!$B$1:$B$2002,$H415))</f>
        <v/>
      </c>
      <c r="C415" s="5">
        <f>IF($H415="","",INDEX('Journal'!$C$1:$C$2002,$H415)&amp;"")</f>
        <v/>
      </c>
      <c r="D415" s="5">
        <f>IF($H415="","",IF(INDEX('Journal'!$D$1:$D$2002,$H415)=$B$1,INDEX('Journal'!$E$1:$E$2002,$H415),INDEX('Journal'!$D$1:$D$2002,$H415))&amp;"")</f>
        <v/>
      </c>
      <c r="E415" s="20">
        <f>IF($H415="","",IF(INDEX('Journal'!$D$1:$D$2002,$H415)=$B$1,N(INDEX('Journal'!$G$1:$G$2002,$H415)),N(INDEX('Journal'!$F$1:$F$2002,$H415))))</f>
        <v/>
      </c>
      <c r="F415" s="20">
        <f>IF($H415="","",IF(INDEX('Journal'!$D$1:$D$2002,$H415)=$B$1,N(INDEX('Journal'!$F$1:$F$2002,$H415)),N(INDEX('Journal'!$G$1:$G$2002,$H415))))</f>
        <v/>
      </c>
      <c r="G415" s="20">
        <f>IF($H415="","",G414+E415-F415)</f>
        <v/>
      </c>
      <c r="H415" s="18">
        <f t="array" ref="H415">IF($B$1="","",IFERROR(_xlfn.AGGREGATE(15,6,ROW('Journal'!$A$3:$A$2002)/(('Journal'!$D$3:$D$2002=$B$1)+('Journal'!$E$3:$E$2002=$B$1))/('Journal'!$B$3:$B$2002&gt;=$B$2)/('Journal'!$B$3:$B$2002&lt;=$B$3),410),""))</f>
        <v/>
      </c>
    </row>
    <row r="416">
      <c r="A416" s="18">
        <f>IF($H416="","",INDEX('Journal'!$A$1:$A$2002,$H416))</f>
        <v/>
      </c>
      <c r="B416" s="21">
        <f>IF($H416="","",INDEX('Journal'!$B$1:$B$2002,$H416))</f>
        <v/>
      </c>
      <c r="C416" s="5">
        <f>IF($H416="","",INDEX('Journal'!$C$1:$C$2002,$H416)&amp;"")</f>
        <v/>
      </c>
      <c r="D416" s="5">
        <f>IF($H416="","",IF(INDEX('Journal'!$D$1:$D$2002,$H416)=$B$1,INDEX('Journal'!$E$1:$E$2002,$H416),INDEX('Journal'!$D$1:$D$2002,$H416))&amp;"")</f>
        <v/>
      </c>
      <c r="E416" s="20">
        <f>IF($H416="","",IF(INDEX('Journal'!$D$1:$D$2002,$H416)=$B$1,N(INDEX('Journal'!$G$1:$G$2002,$H416)),N(INDEX('Journal'!$F$1:$F$2002,$H416))))</f>
        <v/>
      </c>
      <c r="F416" s="20">
        <f>IF($H416="","",IF(INDEX('Journal'!$D$1:$D$2002,$H416)=$B$1,N(INDEX('Journal'!$F$1:$F$2002,$H416)),N(INDEX('Journal'!$G$1:$G$2002,$H416))))</f>
        <v/>
      </c>
      <c r="G416" s="20">
        <f>IF($H416="","",G415+E416-F416)</f>
        <v/>
      </c>
      <c r="H416" s="18">
        <f t="array" ref="H416">IF($B$1="","",IFERROR(_xlfn.AGGREGATE(15,6,ROW('Journal'!$A$3:$A$2002)/(('Journal'!$D$3:$D$2002=$B$1)+('Journal'!$E$3:$E$2002=$B$1))/('Journal'!$B$3:$B$2002&gt;=$B$2)/('Journal'!$B$3:$B$2002&lt;=$B$3),411),""))</f>
        <v/>
      </c>
    </row>
    <row r="417">
      <c r="A417" s="18">
        <f>IF($H417="","",INDEX('Journal'!$A$1:$A$2002,$H417))</f>
        <v/>
      </c>
      <c r="B417" s="21">
        <f>IF($H417="","",INDEX('Journal'!$B$1:$B$2002,$H417))</f>
        <v/>
      </c>
      <c r="C417" s="5">
        <f>IF($H417="","",INDEX('Journal'!$C$1:$C$2002,$H417)&amp;"")</f>
        <v/>
      </c>
      <c r="D417" s="5">
        <f>IF($H417="","",IF(INDEX('Journal'!$D$1:$D$2002,$H417)=$B$1,INDEX('Journal'!$E$1:$E$2002,$H417),INDEX('Journal'!$D$1:$D$2002,$H417))&amp;"")</f>
        <v/>
      </c>
      <c r="E417" s="20">
        <f>IF($H417="","",IF(INDEX('Journal'!$D$1:$D$2002,$H417)=$B$1,N(INDEX('Journal'!$G$1:$G$2002,$H417)),N(INDEX('Journal'!$F$1:$F$2002,$H417))))</f>
        <v/>
      </c>
      <c r="F417" s="20">
        <f>IF($H417="","",IF(INDEX('Journal'!$D$1:$D$2002,$H417)=$B$1,N(INDEX('Journal'!$F$1:$F$2002,$H417)),N(INDEX('Journal'!$G$1:$G$2002,$H417))))</f>
        <v/>
      </c>
      <c r="G417" s="20">
        <f>IF($H417="","",G416+E417-F417)</f>
        <v/>
      </c>
      <c r="H417" s="18">
        <f t="array" ref="H417">IF($B$1="","",IFERROR(_xlfn.AGGREGATE(15,6,ROW('Journal'!$A$3:$A$2002)/(('Journal'!$D$3:$D$2002=$B$1)+('Journal'!$E$3:$E$2002=$B$1))/('Journal'!$B$3:$B$2002&gt;=$B$2)/('Journal'!$B$3:$B$2002&lt;=$B$3),412),""))</f>
        <v/>
      </c>
    </row>
    <row r="418">
      <c r="A418" s="18">
        <f>IF($H418="","",INDEX('Journal'!$A$1:$A$2002,$H418))</f>
        <v/>
      </c>
      <c r="B418" s="21">
        <f>IF($H418="","",INDEX('Journal'!$B$1:$B$2002,$H418))</f>
        <v/>
      </c>
      <c r="C418" s="5">
        <f>IF($H418="","",INDEX('Journal'!$C$1:$C$2002,$H418)&amp;"")</f>
        <v/>
      </c>
      <c r="D418" s="5">
        <f>IF($H418="","",IF(INDEX('Journal'!$D$1:$D$2002,$H418)=$B$1,INDEX('Journal'!$E$1:$E$2002,$H418),INDEX('Journal'!$D$1:$D$2002,$H418))&amp;"")</f>
        <v/>
      </c>
      <c r="E418" s="20">
        <f>IF($H418="","",IF(INDEX('Journal'!$D$1:$D$2002,$H418)=$B$1,N(INDEX('Journal'!$G$1:$G$2002,$H418)),N(INDEX('Journal'!$F$1:$F$2002,$H418))))</f>
        <v/>
      </c>
      <c r="F418" s="20">
        <f>IF($H418="","",IF(INDEX('Journal'!$D$1:$D$2002,$H418)=$B$1,N(INDEX('Journal'!$F$1:$F$2002,$H418)),N(INDEX('Journal'!$G$1:$G$2002,$H418))))</f>
        <v/>
      </c>
      <c r="G418" s="20">
        <f>IF($H418="","",G417+E418-F418)</f>
        <v/>
      </c>
      <c r="H418" s="18">
        <f t="array" ref="H418">IF($B$1="","",IFERROR(_xlfn.AGGREGATE(15,6,ROW('Journal'!$A$3:$A$2002)/(('Journal'!$D$3:$D$2002=$B$1)+('Journal'!$E$3:$E$2002=$B$1))/('Journal'!$B$3:$B$2002&gt;=$B$2)/('Journal'!$B$3:$B$2002&lt;=$B$3),413),""))</f>
        <v/>
      </c>
    </row>
    <row r="419">
      <c r="A419" s="18">
        <f>IF($H419="","",INDEX('Journal'!$A$1:$A$2002,$H419))</f>
        <v/>
      </c>
      <c r="B419" s="21">
        <f>IF($H419="","",INDEX('Journal'!$B$1:$B$2002,$H419))</f>
        <v/>
      </c>
      <c r="C419" s="5">
        <f>IF($H419="","",INDEX('Journal'!$C$1:$C$2002,$H419)&amp;"")</f>
        <v/>
      </c>
      <c r="D419" s="5">
        <f>IF($H419="","",IF(INDEX('Journal'!$D$1:$D$2002,$H419)=$B$1,INDEX('Journal'!$E$1:$E$2002,$H419),INDEX('Journal'!$D$1:$D$2002,$H419))&amp;"")</f>
        <v/>
      </c>
      <c r="E419" s="20">
        <f>IF($H419="","",IF(INDEX('Journal'!$D$1:$D$2002,$H419)=$B$1,N(INDEX('Journal'!$G$1:$G$2002,$H419)),N(INDEX('Journal'!$F$1:$F$2002,$H419))))</f>
        <v/>
      </c>
      <c r="F419" s="20">
        <f>IF($H419="","",IF(INDEX('Journal'!$D$1:$D$2002,$H419)=$B$1,N(INDEX('Journal'!$F$1:$F$2002,$H419)),N(INDEX('Journal'!$G$1:$G$2002,$H419))))</f>
        <v/>
      </c>
      <c r="G419" s="20">
        <f>IF($H419="","",G418+E419-F419)</f>
        <v/>
      </c>
      <c r="H419" s="18">
        <f t="array" ref="H419">IF($B$1="","",IFERROR(_xlfn.AGGREGATE(15,6,ROW('Journal'!$A$3:$A$2002)/(('Journal'!$D$3:$D$2002=$B$1)+('Journal'!$E$3:$E$2002=$B$1))/('Journal'!$B$3:$B$2002&gt;=$B$2)/('Journal'!$B$3:$B$2002&lt;=$B$3),414),""))</f>
        <v/>
      </c>
    </row>
    <row r="420">
      <c r="A420" s="18">
        <f>IF($H420="","",INDEX('Journal'!$A$1:$A$2002,$H420))</f>
        <v/>
      </c>
      <c r="B420" s="21">
        <f>IF($H420="","",INDEX('Journal'!$B$1:$B$2002,$H420))</f>
        <v/>
      </c>
      <c r="C420" s="5">
        <f>IF($H420="","",INDEX('Journal'!$C$1:$C$2002,$H420)&amp;"")</f>
        <v/>
      </c>
      <c r="D420" s="5">
        <f>IF($H420="","",IF(INDEX('Journal'!$D$1:$D$2002,$H420)=$B$1,INDEX('Journal'!$E$1:$E$2002,$H420),INDEX('Journal'!$D$1:$D$2002,$H420))&amp;"")</f>
        <v/>
      </c>
      <c r="E420" s="20">
        <f>IF($H420="","",IF(INDEX('Journal'!$D$1:$D$2002,$H420)=$B$1,N(INDEX('Journal'!$G$1:$G$2002,$H420)),N(INDEX('Journal'!$F$1:$F$2002,$H420))))</f>
        <v/>
      </c>
      <c r="F420" s="20">
        <f>IF($H420="","",IF(INDEX('Journal'!$D$1:$D$2002,$H420)=$B$1,N(INDEX('Journal'!$F$1:$F$2002,$H420)),N(INDEX('Journal'!$G$1:$G$2002,$H420))))</f>
        <v/>
      </c>
      <c r="G420" s="20">
        <f>IF($H420="","",G419+E420-F420)</f>
        <v/>
      </c>
      <c r="H420" s="18">
        <f t="array" ref="H420">IF($B$1="","",IFERROR(_xlfn.AGGREGATE(15,6,ROW('Journal'!$A$3:$A$2002)/(('Journal'!$D$3:$D$2002=$B$1)+('Journal'!$E$3:$E$2002=$B$1))/('Journal'!$B$3:$B$2002&gt;=$B$2)/('Journal'!$B$3:$B$2002&lt;=$B$3),415),""))</f>
        <v/>
      </c>
    </row>
    <row r="421">
      <c r="A421" s="18">
        <f>IF($H421="","",INDEX('Journal'!$A$1:$A$2002,$H421))</f>
        <v/>
      </c>
      <c r="B421" s="21">
        <f>IF($H421="","",INDEX('Journal'!$B$1:$B$2002,$H421))</f>
        <v/>
      </c>
      <c r="C421" s="5">
        <f>IF($H421="","",INDEX('Journal'!$C$1:$C$2002,$H421)&amp;"")</f>
        <v/>
      </c>
      <c r="D421" s="5">
        <f>IF($H421="","",IF(INDEX('Journal'!$D$1:$D$2002,$H421)=$B$1,INDEX('Journal'!$E$1:$E$2002,$H421),INDEX('Journal'!$D$1:$D$2002,$H421))&amp;"")</f>
        <v/>
      </c>
      <c r="E421" s="20">
        <f>IF($H421="","",IF(INDEX('Journal'!$D$1:$D$2002,$H421)=$B$1,N(INDEX('Journal'!$G$1:$G$2002,$H421)),N(INDEX('Journal'!$F$1:$F$2002,$H421))))</f>
        <v/>
      </c>
      <c r="F421" s="20">
        <f>IF($H421="","",IF(INDEX('Journal'!$D$1:$D$2002,$H421)=$B$1,N(INDEX('Journal'!$F$1:$F$2002,$H421)),N(INDEX('Journal'!$G$1:$G$2002,$H421))))</f>
        <v/>
      </c>
      <c r="G421" s="20">
        <f>IF($H421="","",G420+E421-F421)</f>
        <v/>
      </c>
      <c r="H421" s="18">
        <f t="array" ref="H421">IF($B$1="","",IFERROR(_xlfn.AGGREGATE(15,6,ROW('Journal'!$A$3:$A$2002)/(('Journal'!$D$3:$D$2002=$B$1)+('Journal'!$E$3:$E$2002=$B$1))/('Journal'!$B$3:$B$2002&gt;=$B$2)/('Journal'!$B$3:$B$2002&lt;=$B$3),416),""))</f>
        <v/>
      </c>
    </row>
    <row r="422">
      <c r="A422" s="18">
        <f>IF($H422="","",INDEX('Journal'!$A$1:$A$2002,$H422))</f>
        <v/>
      </c>
      <c r="B422" s="21">
        <f>IF($H422="","",INDEX('Journal'!$B$1:$B$2002,$H422))</f>
        <v/>
      </c>
      <c r="C422" s="5">
        <f>IF($H422="","",INDEX('Journal'!$C$1:$C$2002,$H422)&amp;"")</f>
        <v/>
      </c>
      <c r="D422" s="5">
        <f>IF($H422="","",IF(INDEX('Journal'!$D$1:$D$2002,$H422)=$B$1,INDEX('Journal'!$E$1:$E$2002,$H422),INDEX('Journal'!$D$1:$D$2002,$H422))&amp;"")</f>
        <v/>
      </c>
      <c r="E422" s="20">
        <f>IF($H422="","",IF(INDEX('Journal'!$D$1:$D$2002,$H422)=$B$1,N(INDEX('Journal'!$G$1:$G$2002,$H422)),N(INDEX('Journal'!$F$1:$F$2002,$H422))))</f>
        <v/>
      </c>
      <c r="F422" s="20">
        <f>IF($H422="","",IF(INDEX('Journal'!$D$1:$D$2002,$H422)=$B$1,N(INDEX('Journal'!$F$1:$F$2002,$H422)),N(INDEX('Journal'!$G$1:$G$2002,$H422))))</f>
        <v/>
      </c>
      <c r="G422" s="20">
        <f>IF($H422="","",G421+E422-F422)</f>
        <v/>
      </c>
      <c r="H422" s="18">
        <f t="array" ref="H422">IF($B$1="","",IFERROR(_xlfn.AGGREGATE(15,6,ROW('Journal'!$A$3:$A$2002)/(('Journal'!$D$3:$D$2002=$B$1)+('Journal'!$E$3:$E$2002=$B$1))/('Journal'!$B$3:$B$2002&gt;=$B$2)/('Journal'!$B$3:$B$2002&lt;=$B$3),417),""))</f>
        <v/>
      </c>
    </row>
    <row r="423">
      <c r="A423" s="18">
        <f>IF($H423="","",INDEX('Journal'!$A$1:$A$2002,$H423))</f>
        <v/>
      </c>
      <c r="B423" s="21">
        <f>IF($H423="","",INDEX('Journal'!$B$1:$B$2002,$H423))</f>
        <v/>
      </c>
      <c r="C423" s="5">
        <f>IF($H423="","",INDEX('Journal'!$C$1:$C$2002,$H423)&amp;"")</f>
        <v/>
      </c>
      <c r="D423" s="5">
        <f>IF($H423="","",IF(INDEX('Journal'!$D$1:$D$2002,$H423)=$B$1,INDEX('Journal'!$E$1:$E$2002,$H423),INDEX('Journal'!$D$1:$D$2002,$H423))&amp;"")</f>
        <v/>
      </c>
      <c r="E423" s="20">
        <f>IF($H423="","",IF(INDEX('Journal'!$D$1:$D$2002,$H423)=$B$1,N(INDEX('Journal'!$G$1:$G$2002,$H423)),N(INDEX('Journal'!$F$1:$F$2002,$H423))))</f>
        <v/>
      </c>
      <c r="F423" s="20">
        <f>IF($H423="","",IF(INDEX('Journal'!$D$1:$D$2002,$H423)=$B$1,N(INDEX('Journal'!$F$1:$F$2002,$H423)),N(INDEX('Journal'!$G$1:$G$2002,$H423))))</f>
        <v/>
      </c>
      <c r="G423" s="20">
        <f>IF($H423="","",G422+E423-F423)</f>
        <v/>
      </c>
      <c r="H423" s="18">
        <f t="array" ref="H423">IF($B$1="","",IFERROR(_xlfn.AGGREGATE(15,6,ROW('Journal'!$A$3:$A$2002)/(('Journal'!$D$3:$D$2002=$B$1)+('Journal'!$E$3:$E$2002=$B$1))/('Journal'!$B$3:$B$2002&gt;=$B$2)/('Journal'!$B$3:$B$2002&lt;=$B$3),418),""))</f>
        <v/>
      </c>
    </row>
    <row r="424">
      <c r="A424" s="18">
        <f>IF($H424="","",INDEX('Journal'!$A$1:$A$2002,$H424))</f>
        <v/>
      </c>
      <c r="B424" s="21">
        <f>IF($H424="","",INDEX('Journal'!$B$1:$B$2002,$H424))</f>
        <v/>
      </c>
      <c r="C424" s="5">
        <f>IF($H424="","",INDEX('Journal'!$C$1:$C$2002,$H424)&amp;"")</f>
        <v/>
      </c>
      <c r="D424" s="5">
        <f>IF($H424="","",IF(INDEX('Journal'!$D$1:$D$2002,$H424)=$B$1,INDEX('Journal'!$E$1:$E$2002,$H424),INDEX('Journal'!$D$1:$D$2002,$H424))&amp;"")</f>
        <v/>
      </c>
      <c r="E424" s="20">
        <f>IF($H424="","",IF(INDEX('Journal'!$D$1:$D$2002,$H424)=$B$1,N(INDEX('Journal'!$G$1:$G$2002,$H424)),N(INDEX('Journal'!$F$1:$F$2002,$H424))))</f>
        <v/>
      </c>
      <c r="F424" s="20">
        <f>IF($H424="","",IF(INDEX('Journal'!$D$1:$D$2002,$H424)=$B$1,N(INDEX('Journal'!$F$1:$F$2002,$H424)),N(INDEX('Journal'!$G$1:$G$2002,$H424))))</f>
        <v/>
      </c>
      <c r="G424" s="20">
        <f>IF($H424="","",G423+E424-F424)</f>
        <v/>
      </c>
      <c r="H424" s="18">
        <f t="array" ref="H424">IF($B$1="","",IFERROR(_xlfn.AGGREGATE(15,6,ROW('Journal'!$A$3:$A$2002)/(('Journal'!$D$3:$D$2002=$B$1)+('Journal'!$E$3:$E$2002=$B$1))/('Journal'!$B$3:$B$2002&gt;=$B$2)/('Journal'!$B$3:$B$2002&lt;=$B$3),419),""))</f>
        <v/>
      </c>
    </row>
    <row r="425">
      <c r="A425" s="18">
        <f>IF($H425="","",INDEX('Journal'!$A$1:$A$2002,$H425))</f>
        <v/>
      </c>
      <c r="B425" s="21">
        <f>IF($H425="","",INDEX('Journal'!$B$1:$B$2002,$H425))</f>
        <v/>
      </c>
      <c r="C425" s="5">
        <f>IF($H425="","",INDEX('Journal'!$C$1:$C$2002,$H425)&amp;"")</f>
        <v/>
      </c>
      <c r="D425" s="5">
        <f>IF($H425="","",IF(INDEX('Journal'!$D$1:$D$2002,$H425)=$B$1,INDEX('Journal'!$E$1:$E$2002,$H425),INDEX('Journal'!$D$1:$D$2002,$H425))&amp;"")</f>
        <v/>
      </c>
      <c r="E425" s="20">
        <f>IF($H425="","",IF(INDEX('Journal'!$D$1:$D$2002,$H425)=$B$1,N(INDEX('Journal'!$G$1:$G$2002,$H425)),N(INDEX('Journal'!$F$1:$F$2002,$H425))))</f>
        <v/>
      </c>
      <c r="F425" s="20">
        <f>IF($H425="","",IF(INDEX('Journal'!$D$1:$D$2002,$H425)=$B$1,N(INDEX('Journal'!$F$1:$F$2002,$H425)),N(INDEX('Journal'!$G$1:$G$2002,$H425))))</f>
        <v/>
      </c>
      <c r="G425" s="20">
        <f>IF($H425="","",G424+E425-F425)</f>
        <v/>
      </c>
      <c r="H425" s="18">
        <f t="array" ref="H425">IF($B$1="","",IFERROR(_xlfn.AGGREGATE(15,6,ROW('Journal'!$A$3:$A$2002)/(('Journal'!$D$3:$D$2002=$B$1)+('Journal'!$E$3:$E$2002=$B$1))/('Journal'!$B$3:$B$2002&gt;=$B$2)/('Journal'!$B$3:$B$2002&lt;=$B$3),420),""))</f>
        <v/>
      </c>
    </row>
    <row r="426">
      <c r="A426" s="18">
        <f>IF($H426="","",INDEX('Journal'!$A$1:$A$2002,$H426))</f>
        <v/>
      </c>
      <c r="B426" s="21">
        <f>IF($H426="","",INDEX('Journal'!$B$1:$B$2002,$H426))</f>
        <v/>
      </c>
      <c r="C426" s="5">
        <f>IF($H426="","",INDEX('Journal'!$C$1:$C$2002,$H426)&amp;"")</f>
        <v/>
      </c>
      <c r="D426" s="5">
        <f>IF($H426="","",IF(INDEX('Journal'!$D$1:$D$2002,$H426)=$B$1,INDEX('Journal'!$E$1:$E$2002,$H426),INDEX('Journal'!$D$1:$D$2002,$H426))&amp;"")</f>
        <v/>
      </c>
      <c r="E426" s="20">
        <f>IF($H426="","",IF(INDEX('Journal'!$D$1:$D$2002,$H426)=$B$1,N(INDEX('Journal'!$G$1:$G$2002,$H426)),N(INDEX('Journal'!$F$1:$F$2002,$H426))))</f>
        <v/>
      </c>
      <c r="F426" s="20">
        <f>IF($H426="","",IF(INDEX('Journal'!$D$1:$D$2002,$H426)=$B$1,N(INDEX('Journal'!$F$1:$F$2002,$H426)),N(INDEX('Journal'!$G$1:$G$2002,$H426))))</f>
        <v/>
      </c>
      <c r="G426" s="20">
        <f>IF($H426="","",G425+E426-F426)</f>
        <v/>
      </c>
      <c r="H426" s="18">
        <f t="array" ref="H426">IF($B$1="","",IFERROR(_xlfn.AGGREGATE(15,6,ROW('Journal'!$A$3:$A$2002)/(('Journal'!$D$3:$D$2002=$B$1)+('Journal'!$E$3:$E$2002=$B$1))/('Journal'!$B$3:$B$2002&gt;=$B$2)/('Journal'!$B$3:$B$2002&lt;=$B$3),421),""))</f>
        <v/>
      </c>
    </row>
    <row r="427">
      <c r="A427" s="18">
        <f>IF($H427="","",INDEX('Journal'!$A$1:$A$2002,$H427))</f>
        <v/>
      </c>
      <c r="B427" s="21">
        <f>IF($H427="","",INDEX('Journal'!$B$1:$B$2002,$H427))</f>
        <v/>
      </c>
      <c r="C427" s="5">
        <f>IF($H427="","",INDEX('Journal'!$C$1:$C$2002,$H427)&amp;"")</f>
        <v/>
      </c>
      <c r="D427" s="5">
        <f>IF($H427="","",IF(INDEX('Journal'!$D$1:$D$2002,$H427)=$B$1,INDEX('Journal'!$E$1:$E$2002,$H427),INDEX('Journal'!$D$1:$D$2002,$H427))&amp;"")</f>
        <v/>
      </c>
      <c r="E427" s="20">
        <f>IF($H427="","",IF(INDEX('Journal'!$D$1:$D$2002,$H427)=$B$1,N(INDEX('Journal'!$G$1:$G$2002,$H427)),N(INDEX('Journal'!$F$1:$F$2002,$H427))))</f>
        <v/>
      </c>
      <c r="F427" s="20">
        <f>IF($H427="","",IF(INDEX('Journal'!$D$1:$D$2002,$H427)=$B$1,N(INDEX('Journal'!$F$1:$F$2002,$H427)),N(INDEX('Journal'!$G$1:$G$2002,$H427))))</f>
        <v/>
      </c>
      <c r="G427" s="20">
        <f>IF($H427="","",G426+E427-F427)</f>
        <v/>
      </c>
      <c r="H427" s="18">
        <f t="array" ref="H427">IF($B$1="","",IFERROR(_xlfn.AGGREGATE(15,6,ROW('Journal'!$A$3:$A$2002)/(('Journal'!$D$3:$D$2002=$B$1)+('Journal'!$E$3:$E$2002=$B$1))/('Journal'!$B$3:$B$2002&gt;=$B$2)/('Journal'!$B$3:$B$2002&lt;=$B$3),422),""))</f>
        <v/>
      </c>
    </row>
    <row r="428">
      <c r="A428" s="18">
        <f>IF($H428="","",INDEX('Journal'!$A$1:$A$2002,$H428))</f>
        <v/>
      </c>
      <c r="B428" s="21">
        <f>IF($H428="","",INDEX('Journal'!$B$1:$B$2002,$H428))</f>
        <v/>
      </c>
      <c r="C428" s="5">
        <f>IF($H428="","",INDEX('Journal'!$C$1:$C$2002,$H428)&amp;"")</f>
        <v/>
      </c>
      <c r="D428" s="5">
        <f>IF($H428="","",IF(INDEX('Journal'!$D$1:$D$2002,$H428)=$B$1,INDEX('Journal'!$E$1:$E$2002,$H428),INDEX('Journal'!$D$1:$D$2002,$H428))&amp;"")</f>
        <v/>
      </c>
      <c r="E428" s="20">
        <f>IF($H428="","",IF(INDEX('Journal'!$D$1:$D$2002,$H428)=$B$1,N(INDEX('Journal'!$G$1:$G$2002,$H428)),N(INDEX('Journal'!$F$1:$F$2002,$H428))))</f>
        <v/>
      </c>
      <c r="F428" s="20">
        <f>IF($H428="","",IF(INDEX('Journal'!$D$1:$D$2002,$H428)=$B$1,N(INDEX('Journal'!$F$1:$F$2002,$H428)),N(INDEX('Journal'!$G$1:$G$2002,$H428))))</f>
        <v/>
      </c>
      <c r="G428" s="20">
        <f>IF($H428="","",G427+E428-F428)</f>
        <v/>
      </c>
      <c r="H428" s="18">
        <f t="array" ref="H428">IF($B$1="","",IFERROR(_xlfn.AGGREGATE(15,6,ROW('Journal'!$A$3:$A$2002)/(('Journal'!$D$3:$D$2002=$B$1)+('Journal'!$E$3:$E$2002=$B$1))/('Journal'!$B$3:$B$2002&gt;=$B$2)/('Journal'!$B$3:$B$2002&lt;=$B$3),423),""))</f>
        <v/>
      </c>
    </row>
    <row r="429">
      <c r="A429" s="18">
        <f>IF($H429="","",INDEX('Journal'!$A$1:$A$2002,$H429))</f>
        <v/>
      </c>
      <c r="B429" s="21">
        <f>IF($H429="","",INDEX('Journal'!$B$1:$B$2002,$H429))</f>
        <v/>
      </c>
      <c r="C429" s="5">
        <f>IF($H429="","",INDEX('Journal'!$C$1:$C$2002,$H429)&amp;"")</f>
        <v/>
      </c>
      <c r="D429" s="5">
        <f>IF($H429="","",IF(INDEX('Journal'!$D$1:$D$2002,$H429)=$B$1,INDEX('Journal'!$E$1:$E$2002,$H429),INDEX('Journal'!$D$1:$D$2002,$H429))&amp;"")</f>
        <v/>
      </c>
      <c r="E429" s="20">
        <f>IF($H429="","",IF(INDEX('Journal'!$D$1:$D$2002,$H429)=$B$1,N(INDEX('Journal'!$G$1:$G$2002,$H429)),N(INDEX('Journal'!$F$1:$F$2002,$H429))))</f>
        <v/>
      </c>
      <c r="F429" s="20">
        <f>IF($H429="","",IF(INDEX('Journal'!$D$1:$D$2002,$H429)=$B$1,N(INDEX('Journal'!$F$1:$F$2002,$H429)),N(INDEX('Journal'!$G$1:$G$2002,$H429))))</f>
        <v/>
      </c>
      <c r="G429" s="20">
        <f>IF($H429="","",G428+E429-F429)</f>
        <v/>
      </c>
      <c r="H429" s="18">
        <f t="array" ref="H429">IF($B$1="","",IFERROR(_xlfn.AGGREGATE(15,6,ROW('Journal'!$A$3:$A$2002)/(('Journal'!$D$3:$D$2002=$B$1)+('Journal'!$E$3:$E$2002=$B$1))/('Journal'!$B$3:$B$2002&gt;=$B$2)/('Journal'!$B$3:$B$2002&lt;=$B$3),424),""))</f>
        <v/>
      </c>
    </row>
    <row r="430">
      <c r="A430" s="18">
        <f>IF($H430="","",INDEX('Journal'!$A$1:$A$2002,$H430))</f>
        <v/>
      </c>
      <c r="B430" s="21">
        <f>IF($H430="","",INDEX('Journal'!$B$1:$B$2002,$H430))</f>
        <v/>
      </c>
      <c r="C430" s="5">
        <f>IF($H430="","",INDEX('Journal'!$C$1:$C$2002,$H430)&amp;"")</f>
        <v/>
      </c>
      <c r="D430" s="5">
        <f>IF($H430="","",IF(INDEX('Journal'!$D$1:$D$2002,$H430)=$B$1,INDEX('Journal'!$E$1:$E$2002,$H430),INDEX('Journal'!$D$1:$D$2002,$H430))&amp;"")</f>
        <v/>
      </c>
      <c r="E430" s="20">
        <f>IF($H430="","",IF(INDEX('Journal'!$D$1:$D$2002,$H430)=$B$1,N(INDEX('Journal'!$G$1:$G$2002,$H430)),N(INDEX('Journal'!$F$1:$F$2002,$H430))))</f>
        <v/>
      </c>
      <c r="F430" s="20">
        <f>IF($H430="","",IF(INDEX('Journal'!$D$1:$D$2002,$H430)=$B$1,N(INDEX('Journal'!$F$1:$F$2002,$H430)),N(INDEX('Journal'!$G$1:$G$2002,$H430))))</f>
        <v/>
      </c>
      <c r="G430" s="20">
        <f>IF($H430="","",G429+E430-F430)</f>
        <v/>
      </c>
      <c r="H430" s="18">
        <f t="array" ref="H430">IF($B$1="","",IFERROR(_xlfn.AGGREGATE(15,6,ROW('Journal'!$A$3:$A$2002)/(('Journal'!$D$3:$D$2002=$B$1)+('Journal'!$E$3:$E$2002=$B$1))/('Journal'!$B$3:$B$2002&gt;=$B$2)/('Journal'!$B$3:$B$2002&lt;=$B$3),425),""))</f>
        <v/>
      </c>
    </row>
    <row r="431">
      <c r="A431" s="18">
        <f>IF($H431="","",INDEX('Journal'!$A$1:$A$2002,$H431))</f>
        <v/>
      </c>
      <c r="B431" s="21">
        <f>IF($H431="","",INDEX('Journal'!$B$1:$B$2002,$H431))</f>
        <v/>
      </c>
      <c r="C431" s="5">
        <f>IF($H431="","",INDEX('Journal'!$C$1:$C$2002,$H431)&amp;"")</f>
        <v/>
      </c>
      <c r="D431" s="5">
        <f>IF($H431="","",IF(INDEX('Journal'!$D$1:$D$2002,$H431)=$B$1,INDEX('Journal'!$E$1:$E$2002,$H431),INDEX('Journal'!$D$1:$D$2002,$H431))&amp;"")</f>
        <v/>
      </c>
      <c r="E431" s="20">
        <f>IF($H431="","",IF(INDEX('Journal'!$D$1:$D$2002,$H431)=$B$1,N(INDEX('Journal'!$G$1:$G$2002,$H431)),N(INDEX('Journal'!$F$1:$F$2002,$H431))))</f>
        <v/>
      </c>
      <c r="F431" s="20">
        <f>IF($H431="","",IF(INDEX('Journal'!$D$1:$D$2002,$H431)=$B$1,N(INDEX('Journal'!$F$1:$F$2002,$H431)),N(INDEX('Journal'!$G$1:$G$2002,$H431))))</f>
        <v/>
      </c>
      <c r="G431" s="20">
        <f>IF($H431="","",G430+E431-F431)</f>
        <v/>
      </c>
      <c r="H431" s="18">
        <f t="array" ref="H431">IF($B$1="","",IFERROR(_xlfn.AGGREGATE(15,6,ROW('Journal'!$A$3:$A$2002)/(('Journal'!$D$3:$D$2002=$B$1)+('Journal'!$E$3:$E$2002=$B$1))/('Journal'!$B$3:$B$2002&gt;=$B$2)/('Journal'!$B$3:$B$2002&lt;=$B$3),426),""))</f>
        <v/>
      </c>
    </row>
    <row r="432">
      <c r="A432" s="18">
        <f>IF($H432="","",INDEX('Journal'!$A$1:$A$2002,$H432))</f>
        <v/>
      </c>
      <c r="B432" s="21">
        <f>IF($H432="","",INDEX('Journal'!$B$1:$B$2002,$H432))</f>
        <v/>
      </c>
      <c r="C432" s="5">
        <f>IF($H432="","",INDEX('Journal'!$C$1:$C$2002,$H432)&amp;"")</f>
        <v/>
      </c>
      <c r="D432" s="5">
        <f>IF($H432="","",IF(INDEX('Journal'!$D$1:$D$2002,$H432)=$B$1,INDEX('Journal'!$E$1:$E$2002,$H432),INDEX('Journal'!$D$1:$D$2002,$H432))&amp;"")</f>
        <v/>
      </c>
      <c r="E432" s="20">
        <f>IF($H432="","",IF(INDEX('Journal'!$D$1:$D$2002,$H432)=$B$1,N(INDEX('Journal'!$G$1:$G$2002,$H432)),N(INDEX('Journal'!$F$1:$F$2002,$H432))))</f>
        <v/>
      </c>
      <c r="F432" s="20">
        <f>IF($H432="","",IF(INDEX('Journal'!$D$1:$D$2002,$H432)=$B$1,N(INDEX('Journal'!$F$1:$F$2002,$H432)),N(INDEX('Journal'!$G$1:$G$2002,$H432))))</f>
        <v/>
      </c>
      <c r="G432" s="20">
        <f>IF($H432="","",G431+E432-F432)</f>
        <v/>
      </c>
      <c r="H432" s="18">
        <f t="array" ref="H432">IF($B$1="","",IFERROR(_xlfn.AGGREGATE(15,6,ROW('Journal'!$A$3:$A$2002)/(('Journal'!$D$3:$D$2002=$B$1)+('Journal'!$E$3:$E$2002=$B$1))/('Journal'!$B$3:$B$2002&gt;=$B$2)/('Journal'!$B$3:$B$2002&lt;=$B$3),427),""))</f>
        <v/>
      </c>
    </row>
    <row r="433">
      <c r="A433" s="18">
        <f>IF($H433="","",INDEX('Journal'!$A$1:$A$2002,$H433))</f>
        <v/>
      </c>
      <c r="B433" s="21">
        <f>IF($H433="","",INDEX('Journal'!$B$1:$B$2002,$H433))</f>
        <v/>
      </c>
      <c r="C433" s="5">
        <f>IF($H433="","",INDEX('Journal'!$C$1:$C$2002,$H433)&amp;"")</f>
        <v/>
      </c>
      <c r="D433" s="5">
        <f>IF($H433="","",IF(INDEX('Journal'!$D$1:$D$2002,$H433)=$B$1,INDEX('Journal'!$E$1:$E$2002,$H433),INDEX('Journal'!$D$1:$D$2002,$H433))&amp;"")</f>
        <v/>
      </c>
      <c r="E433" s="20">
        <f>IF($H433="","",IF(INDEX('Journal'!$D$1:$D$2002,$H433)=$B$1,N(INDEX('Journal'!$G$1:$G$2002,$H433)),N(INDEX('Journal'!$F$1:$F$2002,$H433))))</f>
        <v/>
      </c>
      <c r="F433" s="20">
        <f>IF($H433="","",IF(INDEX('Journal'!$D$1:$D$2002,$H433)=$B$1,N(INDEX('Journal'!$F$1:$F$2002,$H433)),N(INDEX('Journal'!$G$1:$G$2002,$H433))))</f>
        <v/>
      </c>
      <c r="G433" s="20">
        <f>IF($H433="","",G432+E433-F433)</f>
        <v/>
      </c>
      <c r="H433" s="18">
        <f t="array" ref="H433">IF($B$1="","",IFERROR(_xlfn.AGGREGATE(15,6,ROW('Journal'!$A$3:$A$2002)/(('Journal'!$D$3:$D$2002=$B$1)+('Journal'!$E$3:$E$2002=$B$1))/('Journal'!$B$3:$B$2002&gt;=$B$2)/('Journal'!$B$3:$B$2002&lt;=$B$3),428),""))</f>
        <v/>
      </c>
    </row>
    <row r="434">
      <c r="A434" s="18">
        <f>IF($H434="","",INDEX('Journal'!$A$1:$A$2002,$H434))</f>
        <v/>
      </c>
      <c r="B434" s="21">
        <f>IF($H434="","",INDEX('Journal'!$B$1:$B$2002,$H434))</f>
        <v/>
      </c>
      <c r="C434" s="5">
        <f>IF($H434="","",INDEX('Journal'!$C$1:$C$2002,$H434)&amp;"")</f>
        <v/>
      </c>
      <c r="D434" s="5">
        <f>IF($H434="","",IF(INDEX('Journal'!$D$1:$D$2002,$H434)=$B$1,INDEX('Journal'!$E$1:$E$2002,$H434),INDEX('Journal'!$D$1:$D$2002,$H434))&amp;"")</f>
        <v/>
      </c>
      <c r="E434" s="20">
        <f>IF($H434="","",IF(INDEX('Journal'!$D$1:$D$2002,$H434)=$B$1,N(INDEX('Journal'!$G$1:$G$2002,$H434)),N(INDEX('Journal'!$F$1:$F$2002,$H434))))</f>
        <v/>
      </c>
      <c r="F434" s="20">
        <f>IF($H434="","",IF(INDEX('Journal'!$D$1:$D$2002,$H434)=$B$1,N(INDEX('Journal'!$F$1:$F$2002,$H434)),N(INDEX('Journal'!$G$1:$G$2002,$H434))))</f>
        <v/>
      </c>
      <c r="G434" s="20">
        <f>IF($H434="","",G433+E434-F434)</f>
        <v/>
      </c>
      <c r="H434" s="18">
        <f t="array" ref="H434">IF($B$1="","",IFERROR(_xlfn.AGGREGATE(15,6,ROW('Journal'!$A$3:$A$2002)/(('Journal'!$D$3:$D$2002=$B$1)+('Journal'!$E$3:$E$2002=$B$1))/('Journal'!$B$3:$B$2002&gt;=$B$2)/('Journal'!$B$3:$B$2002&lt;=$B$3),429),""))</f>
        <v/>
      </c>
    </row>
    <row r="435">
      <c r="A435" s="18">
        <f>IF($H435="","",INDEX('Journal'!$A$1:$A$2002,$H435))</f>
        <v/>
      </c>
      <c r="B435" s="21">
        <f>IF($H435="","",INDEX('Journal'!$B$1:$B$2002,$H435))</f>
        <v/>
      </c>
      <c r="C435" s="5">
        <f>IF($H435="","",INDEX('Journal'!$C$1:$C$2002,$H435)&amp;"")</f>
        <v/>
      </c>
      <c r="D435" s="5">
        <f>IF($H435="","",IF(INDEX('Journal'!$D$1:$D$2002,$H435)=$B$1,INDEX('Journal'!$E$1:$E$2002,$H435),INDEX('Journal'!$D$1:$D$2002,$H435))&amp;"")</f>
        <v/>
      </c>
      <c r="E435" s="20">
        <f>IF($H435="","",IF(INDEX('Journal'!$D$1:$D$2002,$H435)=$B$1,N(INDEX('Journal'!$G$1:$G$2002,$H435)),N(INDEX('Journal'!$F$1:$F$2002,$H435))))</f>
        <v/>
      </c>
      <c r="F435" s="20">
        <f>IF($H435="","",IF(INDEX('Journal'!$D$1:$D$2002,$H435)=$B$1,N(INDEX('Journal'!$F$1:$F$2002,$H435)),N(INDEX('Journal'!$G$1:$G$2002,$H435))))</f>
        <v/>
      </c>
      <c r="G435" s="20">
        <f>IF($H435="","",G434+E435-F435)</f>
        <v/>
      </c>
      <c r="H435" s="18">
        <f t="array" ref="H435">IF($B$1="","",IFERROR(_xlfn.AGGREGATE(15,6,ROW('Journal'!$A$3:$A$2002)/(('Journal'!$D$3:$D$2002=$B$1)+('Journal'!$E$3:$E$2002=$B$1))/('Journal'!$B$3:$B$2002&gt;=$B$2)/('Journal'!$B$3:$B$2002&lt;=$B$3),430),""))</f>
        <v/>
      </c>
    </row>
    <row r="436">
      <c r="A436" s="18">
        <f>IF($H436="","",INDEX('Journal'!$A$1:$A$2002,$H436))</f>
        <v/>
      </c>
      <c r="B436" s="21">
        <f>IF($H436="","",INDEX('Journal'!$B$1:$B$2002,$H436))</f>
        <v/>
      </c>
      <c r="C436" s="5">
        <f>IF($H436="","",INDEX('Journal'!$C$1:$C$2002,$H436)&amp;"")</f>
        <v/>
      </c>
      <c r="D436" s="5">
        <f>IF($H436="","",IF(INDEX('Journal'!$D$1:$D$2002,$H436)=$B$1,INDEX('Journal'!$E$1:$E$2002,$H436),INDEX('Journal'!$D$1:$D$2002,$H436))&amp;"")</f>
        <v/>
      </c>
      <c r="E436" s="20">
        <f>IF($H436="","",IF(INDEX('Journal'!$D$1:$D$2002,$H436)=$B$1,N(INDEX('Journal'!$G$1:$G$2002,$H436)),N(INDEX('Journal'!$F$1:$F$2002,$H436))))</f>
        <v/>
      </c>
      <c r="F436" s="20">
        <f>IF($H436="","",IF(INDEX('Journal'!$D$1:$D$2002,$H436)=$B$1,N(INDEX('Journal'!$F$1:$F$2002,$H436)),N(INDEX('Journal'!$G$1:$G$2002,$H436))))</f>
        <v/>
      </c>
      <c r="G436" s="20">
        <f>IF($H436="","",G435+E436-F436)</f>
        <v/>
      </c>
      <c r="H436" s="18">
        <f t="array" ref="H436">IF($B$1="","",IFERROR(_xlfn.AGGREGATE(15,6,ROW('Journal'!$A$3:$A$2002)/(('Journal'!$D$3:$D$2002=$B$1)+('Journal'!$E$3:$E$2002=$B$1))/('Journal'!$B$3:$B$2002&gt;=$B$2)/('Journal'!$B$3:$B$2002&lt;=$B$3),431),""))</f>
        <v/>
      </c>
    </row>
    <row r="437">
      <c r="A437" s="18">
        <f>IF($H437="","",INDEX('Journal'!$A$1:$A$2002,$H437))</f>
        <v/>
      </c>
      <c r="B437" s="21">
        <f>IF($H437="","",INDEX('Journal'!$B$1:$B$2002,$H437))</f>
        <v/>
      </c>
      <c r="C437" s="5">
        <f>IF($H437="","",INDEX('Journal'!$C$1:$C$2002,$H437)&amp;"")</f>
        <v/>
      </c>
      <c r="D437" s="5">
        <f>IF($H437="","",IF(INDEX('Journal'!$D$1:$D$2002,$H437)=$B$1,INDEX('Journal'!$E$1:$E$2002,$H437),INDEX('Journal'!$D$1:$D$2002,$H437))&amp;"")</f>
        <v/>
      </c>
      <c r="E437" s="20">
        <f>IF($H437="","",IF(INDEX('Journal'!$D$1:$D$2002,$H437)=$B$1,N(INDEX('Journal'!$G$1:$G$2002,$H437)),N(INDEX('Journal'!$F$1:$F$2002,$H437))))</f>
        <v/>
      </c>
      <c r="F437" s="20">
        <f>IF($H437="","",IF(INDEX('Journal'!$D$1:$D$2002,$H437)=$B$1,N(INDEX('Journal'!$F$1:$F$2002,$H437)),N(INDEX('Journal'!$G$1:$G$2002,$H437))))</f>
        <v/>
      </c>
      <c r="G437" s="20">
        <f>IF($H437="","",G436+E437-F437)</f>
        <v/>
      </c>
      <c r="H437" s="18">
        <f t="array" ref="H437">IF($B$1="","",IFERROR(_xlfn.AGGREGATE(15,6,ROW('Journal'!$A$3:$A$2002)/(('Journal'!$D$3:$D$2002=$B$1)+('Journal'!$E$3:$E$2002=$B$1))/('Journal'!$B$3:$B$2002&gt;=$B$2)/('Journal'!$B$3:$B$2002&lt;=$B$3),432),""))</f>
        <v/>
      </c>
    </row>
    <row r="438">
      <c r="A438" s="18">
        <f>IF($H438="","",INDEX('Journal'!$A$1:$A$2002,$H438))</f>
        <v/>
      </c>
      <c r="B438" s="21">
        <f>IF($H438="","",INDEX('Journal'!$B$1:$B$2002,$H438))</f>
        <v/>
      </c>
      <c r="C438" s="5">
        <f>IF($H438="","",INDEX('Journal'!$C$1:$C$2002,$H438)&amp;"")</f>
        <v/>
      </c>
      <c r="D438" s="5">
        <f>IF($H438="","",IF(INDEX('Journal'!$D$1:$D$2002,$H438)=$B$1,INDEX('Journal'!$E$1:$E$2002,$H438),INDEX('Journal'!$D$1:$D$2002,$H438))&amp;"")</f>
        <v/>
      </c>
      <c r="E438" s="20">
        <f>IF($H438="","",IF(INDEX('Journal'!$D$1:$D$2002,$H438)=$B$1,N(INDEX('Journal'!$G$1:$G$2002,$H438)),N(INDEX('Journal'!$F$1:$F$2002,$H438))))</f>
        <v/>
      </c>
      <c r="F438" s="20">
        <f>IF($H438="","",IF(INDEX('Journal'!$D$1:$D$2002,$H438)=$B$1,N(INDEX('Journal'!$F$1:$F$2002,$H438)),N(INDEX('Journal'!$G$1:$G$2002,$H438))))</f>
        <v/>
      </c>
      <c r="G438" s="20">
        <f>IF($H438="","",G437+E438-F438)</f>
        <v/>
      </c>
      <c r="H438" s="18">
        <f t="array" ref="H438">IF($B$1="","",IFERROR(_xlfn.AGGREGATE(15,6,ROW('Journal'!$A$3:$A$2002)/(('Journal'!$D$3:$D$2002=$B$1)+('Journal'!$E$3:$E$2002=$B$1))/('Journal'!$B$3:$B$2002&gt;=$B$2)/('Journal'!$B$3:$B$2002&lt;=$B$3),433),""))</f>
        <v/>
      </c>
    </row>
    <row r="439">
      <c r="A439" s="18">
        <f>IF($H439="","",INDEX('Journal'!$A$1:$A$2002,$H439))</f>
        <v/>
      </c>
      <c r="B439" s="21">
        <f>IF($H439="","",INDEX('Journal'!$B$1:$B$2002,$H439))</f>
        <v/>
      </c>
      <c r="C439" s="5">
        <f>IF($H439="","",INDEX('Journal'!$C$1:$C$2002,$H439)&amp;"")</f>
        <v/>
      </c>
      <c r="D439" s="5">
        <f>IF($H439="","",IF(INDEX('Journal'!$D$1:$D$2002,$H439)=$B$1,INDEX('Journal'!$E$1:$E$2002,$H439),INDEX('Journal'!$D$1:$D$2002,$H439))&amp;"")</f>
        <v/>
      </c>
      <c r="E439" s="20">
        <f>IF($H439="","",IF(INDEX('Journal'!$D$1:$D$2002,$H439)=$B$1,N(INDEX('Journal'!$G$1:$G$2002,$H439)),N(INDEX('Journal'!$F$1:$F$2002,$H439))))</f>
        <v/>
      </c>
      <c r="F439" s="20">
        <f>IF($H439="","",IF(INDEX('Journal'!$D$1:$D$2002,$H439)=$B$1,N(INDEX('Journal'!$F$1:$F$2002,$H439)),N(INDEX('Journal'!$G$1:$G$2002,$H439))))</f>
        <v/>
      </c>
      <c r="G439" s="20">
        <f>IF($H439="","",G438+E439-F439)</f>
        <v/>
      </c>
      <c r="H439" s="18">
        <f t="array" ref="H439">IF($B$1="","",IFERROR(_xlfn.AGGREGATE(15,6,ROW('Journal'!$A$3:$A$2002)/(('Journal'!$D$3:$D$2002=$B$1)+('Journal'!$E$3:$E$2002=$B$1))/('Journal'!$B$3:$B$2002&gt;=$B$2)/('Journal'!$B$3:$B$2002&lt;=$B$3),434),""))</f>
        <v/>
      </c>
    </row>
    <row r="440">
      <c r="A440" s="18">
        <f>IF($H440="","",INDEX('Journal'!$A$1:$A$2002,$H440))</f>
        <v/>
      </c>
      <c r="B440" s="21">
        <f>IF($H440="","",INDEX('Journal'!$B$1:$B$2002,$H440))</f>
        <v/>
      </c>
      <c r="C440" s="5">
        <f>IF($H440="","",INDEX('Journal'!$C$1:$C$2002,$H440)&amp;"")</f>
        <v/>
      </c>
      <c r="D440" s="5">
        <f>IF($H440="","",IF(INDEX('Journal'!$D$1:$D$2002,$H440)=$B$1,INDEX('Journal'!$E$1:$E$2002,$H440),INDEX('Journal'!$D$1:$D$2002,$H440))&amp;"")</f>
        <v/>
      </c>
      <c r="E440" s="20">
        <f>IF($H440="","",IF(INDEX('Journal'!$D$1:$D$2002,$H440)=$B$1,N(INDEX('Journal'!$G$1:$G$2002,$H440)),N(INDEX('Journal'!$F$1:$F$2002,$H440))))</f>
        <v/>
      </c>
      <c r="F440" s="20">
        <f>IF($H440="","",IF(INDEX('Journal'!$D$1:$D$2002,$H440)=$B$1,N(INDEX('Journal'!$F$1:$F$2002,$H440)),N(INDEX('Journal'!$G$1:$G$2002,$H440))))</f>
        <v/>
      </c>
      <c r="G440" s="20">
        <f>IF($H440="","",G439+E440-F440)</f>
        <v/>
      </c>
      <c r="H440" s="18">
        <f t="array" ref="H440">IF($B$1="","",IFERROR(_xlfn.AGGREGATE(15,6,ROW('Journal'!$A$3:$A$2002)/(('Journal'!$D$3:$D$2002=$B$1)+('Journal'!$E$3:$E$2002=$B$1))/('Journal'!$B$3:$B$2002&gt;=$B$2)/('Journal'!$B$3:$B$2002&lt;=$B$3),435),""))</f>
        <v/>
      </c>
    </row>
    <row r="441">
      <c r="A441" s="18">
        <f>IF($H441="","",INDEX('Journal'!$A$1:$A$2002,$H441))</f>
        <v/>
      </c>
      <c r="B441" s="21">
        <f>IF($H441="","",INDEX('Journal'!$B$1:$B$2002,$H441))</f>
        <v/>
      </c>
      <c r="C441" s="5">
        <f>IF($H441="","",INDEX('Journal'!$C$1:$C$2002,$H441)&amp;"")</f>
        <v/>
      </c>
      <c r="D441" s="5">
        <f>IF($H441="","",IF(INDEX('Journal'!$D$1:$D$2002,$H441)=$B$1,INDEX('Journal'!$E$1:$E$2002,$H441),INDEX('Journal'!$D$1:$D$2002,$H441))&amp;"")</f>
        <v/>
      </c>
      <c r="E441" s="20">
        <f>IF($H441="","",IF(INDEX('Journal'!$D$1:$D$2002,$H441)=$B$1,N(INDEX('Journal'!$G$1:$G$2002,$H441)),N(INDEX('Journal'!$F$1:$F$2002,$H441))))</f>
        <v/>
      </c>
      <c r="F441" s="20">
        <f>IF($H441="","",IF(INDEX('Journal'!$D$1:$D$2002,$H441)=$B$1,N(INDEX('Journal'!$F$1:$F$2002,$H441)),N(INDEX('Journal'!$G$1:$G$2002,$H441))))</f>
        <v/>
      </c>
      <c r="G441" s="20">
        <f>IF($H441="","",G440+E441-F441)</f>
        <v/>
      </c>
      <c r="H441" s="18">
        <f t="array" ref="H441">IF($B$1="","",IFERROR(_xlfn.AGGREGATE(15,6,ROW('Journal'!$A$3:$A$2002)/(('Journal'!$D$3:$D$2002=$B$1)+('Journal'!$E$3:$E$2002=$B$1))/('Journal'!$B$3:$B$2002&gt;=$B$2)/('Journal'!$B$3:$B$2002&lt;=$B$3),436),""))</f>
        <v/>
      </c>
    </row>
    <row r="442">
      <c r="A442" s="18">
        <f>IF($H442="","",INDEX('Journal'!$A$1:$A$2002,$H442))</f>
        <v/>
      </c>
      <c r="B442" s="21">
        <f>IF($H442="","",INDEX('Journal'!$B$1:$B$2002,$H442))</f>
        <v/>
      </c>
      <c r="C442" s="5">
        <f>IF($H442="","",INDEX('Journal'!$C$1:$C$2002,$H442)&amp;"")</f>
        <v/>
      </c>
      <c r="D442" s="5">
        <f>IF($H442="","",IF(INDEX('Journal'!$D$1:$D$2002,$H442)=$B$1,INDEX('Journal'!$E$1:$E$2002,$H442),INDEX('Journal'!$D$1:$D$2002,$H442))&amp;"")</f>
        <v/>
      </c>
      <c r="E442" s="20">
        <f>IF($H442="","",IF(INDEX('Journal'!$D$1:$D$2002,$H442)=$B$1,N(INDEX('Journal'!$G$1:$G$2002,$H442)),N(INDEX('Journal'!$F$1:$F$2002,$H442))))</f>
        <v/>
      </c>
      <c r="F442" s="20">
        <f>IF($H442="","",IF(INDEX('Journal'!$D$1:$D$2002,$H442)=$B$1,N(INDEX('Journal'!$F$1:$F$2002,$H442)),N(INDEX('Journal'!$G$1:$G$2002,$H442))))</f>
        <v/>
      </c>
      <c r="G442" s="20">
        <f>IF($H442="","",G441+E442-F442)</f>
        <v/>
      </c>
      <c r="H442" s="18">
        <f t="array" ref="H442">IF($B$1="","",IFERROR(_xlfn.AGGREGATE(15,6,ROW('Journal'!$A$3:$A$2002)/(('Journal'!$D$3:$D$2002=$B$1)+('Journal'!$E$3:$E$2002=$B$1))/('Journal'!$B$3:$B$2002&gt;=$B$2)/('Journal'!$B$3:$B$2002&lt;=$B$3),437),""))</f>
        <v/>
      </c>
    </row>
    <row r="443">
      <c r="A443" s="18">
        <f>IF($H443="","",INDEX('Journal'!$A$1:$A$2002,$H443))</f>
        <v/>
      </c>
      <c r="B443" s="21">
        <f>IF($H443="","",INDEX('Journal'!$B$1:$B$2002,$H443))</f>
        <v/>
      </c>
      <c r="C443" s="5">
        <f>IF($H443="","",INDEX('Journal'!$C$1:$C$2002,$H443)&amp;"")</f>
        <v/>
      </c>
      <c r="D443" s="5">
        <f>IF($H443="","",IF(INDEX('Journal'!$D$1:$D$2002,$H443)=$B$1,INDEX('Journal'!$E$1:$E$2002,$H443),INDEX('Journal'!$D$1:$D$2002,$H443))&amp;"")</f>
        <v/>
      </c>
      <c r="E443" s="20">
        <f>IF($H443="","",IF(INDEX('Journal'!$D$1:$D$2002,$H443)=$B$1,N(INDEX('Journal'!$G$1:$G$2002,$H443)),N(INDEX('Journal'!$F$1:$F$2002,$H443))))</f>
        <v/>
      </c>
      <c r="F443" s="20">
        <f>IF($H443="","",IF(INDEX('Journal'!$D$1:$D$2002,$H443)=$B$1,N(INDEX('Journal'!$F$1:$F$2002,$H443)),N(INDEX('Journal'!$G$1:$G$2002,$H443))))</f>
        <v/>
      </c>
      <c r="G443" s="20">
        <f>IF($H443="","",G442+E443-F443)</f>
        <v/>
      </c>
      <c r="H443" s="18">
        <f t="array" ref="H443">IF($B$1="","",IFERROR(_xlfn.AGGREGATE(15,6,ROW('Journal'!$A$3:$A$2002)/(('Journal'!$D$3:$D$2002=$B$1)+('Journal'!$E$3:$E$2002=$B$1))/('Journal'!$B$3:$B$2002&gt;=$B$2)/('Journal'!$B$3:$B$2002&lt;=$B$3),438),""))</f>
        <v/>
      </c>
    </row>
    <row r="444">
      <c r="A444" s="18">
        <f>IF($H444="","",INDEX('Journal'!$A$1:$A$2002,$H444))</f>
        <v/>
      </c>
      <c r="B444" s="21">
        <f>IF($H444="","",INDEX('Journal'!$B$1:$B$2002,$H444))</f>
        <v/>
      </c>
      <c r="C444" s="5">
        <f>IF($H444="","",INDEX('Journal'!$C$1:$C$2002,$H444)&amp;"")</f>
        <v/>
      </c>
      <c r="D444" s="5">
        <f>IF($H444="","",IF(INDEX('Journal'!$D$1:$D$2002,$H444)=$B$1,INDEX('Journal'!$E$1:$E$2002,$H444),INDEX('Journal'!$D$1:$D$2002,$H444))&amp;"")</f>
        <v/>
      </c>
      <c r="E444" s="20">
        <f>IF($H444="","",IF(INDEX('Journal'!$D$1:$D$2002,$H444)=$B$1,N(INDEX('Journal'!$G$1:$G$2002,$H444)),N(INDEX('Journal'!$F$1:$F$2002,$H444))))</f>
        <v/>
      </c>
      <c r="F444" s="20">
        <f>IF($H444="","",IF(INDEX('Journal'!$D$1:$D$2002,$H444)=$B$1,N(INDEX('Journal'!$F$1:$F$2002,$H444)),N(INDEX('Journal'!$G$1:$G$2002,$H444))))</f>
        <v/>
      </c>
      <c r="G444" s="20">
        <f>IF($H444="","",G443+E444-F444)</f>
        <v/>
      </c>
      <c r="H444" s="18">
        <f t="array" ref="H444">IF($B$1="","",IFERROR(_xlfn.AGGREGATE(15,6,ROW('Journal'!$A$3:$A$2002)/(('Journal'!$D$3:$D$2002=$B$1)+('Journal'!$E$3:$E$2002=$B$1))/('Journal'!$B$3:$B$2002&gt;=$B$2)/('Journal'!$B$3:$B$2002&lt;=$B$3),439),""))</f>
        <v/>
      </c>
    </row>
    <row r="445">
      <c r="A445" s="18">
        <f>IF($H445="","",INDEX('Journal'!$A$1:$A$2002,$H445))</f>
        <v/>
      </c>
      <c r="B445" s="21">
        <f>IF($H445="","",INDEX('Journal'!$B$1:$B$2002,$H445))</f>
        <v/>
      </c>
      <c r="C445" s="5">
        <f>IF($H445="","",INDEX('Journal'!$C$1:$C$2002,$H445)&amp;"")</f>
        <v/>
      </c>
      <c r="D445" s="5">
        <f>IF($H445="","",IF(INDEX('Journal'!$D$1:$D$2002,$H445)=$B$1,INDEX('Journal'!$E$1:$E$2002,$H445),INDEX('Journal'!$D$1:$D$2002,$H445))&amp;"")</f>
        <v/>
      </c>
      <c r="E445" s="20">
        <f>IF($H445="","",IF(INDEX('Journal'!$D$1:$D$2002,$H445)=$B$1,N(INDEX('Journal'!$G$1:$G$2002,$H445)),N(INDEX('Journal'!$F$1:$F$2002,$H445))))</f>
        <v/>
      </c>
      <c r="F445" s="20">
        <f>IF($H445="","",IF(INDEX('Journal'!$D$1:$D$2002,$H445)=$B$1,N(INDEX('Journal'!$F$1:$F$2002,$H445)),N(INDEX('Journal'!$G$1:$G$2002,$H445))))</f>
        <v/>
      </c>
      <c r="G445" s="20">
        <f>IF($H445="","",G444+E445-F445)</f>
        <v/>
      </c>
      <c r="H445" s="18">
        <f t="array" ref="H445">IF($B$1="","",IFERROR(_xlfn.AGGREGATE(15,6,ROW('Journal'!$A$3:$A$2002)/(('Journal'!$D$3:$D$2002=$B$1)+('Journal'!$E$3:$E$2002=$B$1))/('Journal'!$B$3:$B$2002&gt;=$B$2)/('Journal'!$B$3:$B$2002&lt;=$B$3),440),""))</f>
        <v/>
      </c>
    </row>
    <row r="446">
      <c r="A446" s="18">
        <f>IF($H446="","",INDEX('Journal'!$A$1:$A$2002,$H446))</f>
        <v/>
      </c>
      <c r="B446" s="21">
        <f>IF($H446="","",INDEX('Journal'!$B$1:$B$2002,$H446))</f>
        <v/>
      </c>
      <c r="C446" s="5">
        <f>IF($H446="","",INDEX('Journal'!$C$1:$C$2002,$H446)&amp;"")</f>
        <v/>
      </c>
      <c r="D446" s="5">
        <f>IF($H446="","",IF(INDEX('Journal'!$D$1:$D$2002,$H446)=$B$1,INDEX('Journal'!$E$1:$E$2002,$H446),INDEX('Journal'!$D$1:$D$2002,$H446))&amp;"")</f>
        <v/>
      </c>
      <c r="E446" s="20">
        <f>IF($H446="","",IF(INDEX('Journal'!$D$1:$D$2002,$H446)=$B$1,N(INDEX('Journal'!$G$1:$G$2002,$H446)),N(INDEX('Journal'!$F$1:$F$2002,$H446))))</f>
        <v/>
      </c>
      <c r="F446" s="20">
        <f>IF($H446="","",IF(INDEX('Journal'!$D$1:$D$2002,$H446)=$B$1,N(INDEX('Journal'!$F$1:$F$2002,$H446)),N(INDEX('Journal'!$G$1:$G$2002,$H446))))</f>
        <v/>
      </c>
      <c r="G446" s="20">
        <f>IF($H446="","",G445+E446-F446)</f>
        <v/>
      </c>
      <c r="H446" s="18">
        <f t="array" ref="H446">IF($B$1="","",IFERROR(_xlfn.AGGREGATE(15,6,ROW('Journal'!$A$3:$A$2002)/(('Journal'!$D$3:$D$2002=$B$1)+('Journal'!$E$3:$E$2002=$B$1))/('Journal'!$B$3:$B$2002&gt;=$B$2)/('Journal'!$B$3:$B$2002&lt;=$B$3),441),""))</f>
        <v/>
      </c>
    </row>
    <row r="447">
      <c r="A447" s="18">
        <f>IF($H447="","",INDEX('Journal'!$A$1:$A$2002,$H447))</f>
        <v/>
      </c>
      <c r="B447" s="21">
        <f>IF($H447="","",INDEX('Journal'!$B$1:$B$2002,$H447))</f>
        <v/>
      </c>
      <c r="C447" s="5">
        <f>IF($H447="","",INDEX('Journal'!$C$1:$C$2002,$H447)&amp;"")</f>
        <v/>
      </c>
      <c r="D447" s="5">
        <f>IF($H447="","",IF(INDEX('Journal'!$D$1:$D$2002,$H447)=$B$1,INDEX('Journal'!$E$1:$E$2002,$H447),INDEX('Journal'!$D$1:$D$2002,$H447))&amp;"")</f>
        <v/>
      </c>
      <c r="E447" s="20">
        <f>IF($H447="","",IF(INDEX('Journal'!$D$1:$D$2002,$H447)=$B$1,N(INDEX('Journal'!$G$1:$G$2002,$H447)),N(INDEX('Journal'!$F$1:$F$2002,$H447))))</f>
        <v/>
      </c>
      <c r="F447" s="20">
        <f>IF($H447="","",IF(INDEX('Journal'!$D$1:$D$2002,$H447)=$B$1,N(INDEX('Journal'!$F$1:$F$2002,$H447)),N(INDEX('Journal'!$G$1:$G$2002,$H447))))</f>
        <v/>
      </c>
      <c r="G447" s="20">
        <f>IF($H447="","",G446+E447-F447)</f>
        <v/>
      </c>
      <c r="H447" s="18">
        <f t="array" ref="H447">IF($B$1="","",IFERROR(_xlfn.AGGREGATE(15,6,ROW('Journal'!$A$3:$A$2002)/(('Journal'!$D$3:$D$2002=$B$1)+('Journal'!$E$3:$E$2002=$B$1))/('Journal'!$B$3:$B$2002&gt;=$B$2)/('Journal'!$B$3:$B$2002&lt;=$B$3),442),""))</f>
        <v/>
      </c>
    </row>
    <row r="448">
      <c r="A448" s="18">
        <f>IF($H448="","",INDEX('Journal'!$A$1:$A$2002,$H448))</f>
        <v/>
      </c>
      <c r="B448" s="21">
        <f>IF($H448="","",INDEX('Journal'!$B$1:$B$2002,$H448))</f>
        <v/>
      </c>
      <c r="C448" s="5">
        <f>IF($H448="","",INDEX('Journal'!$C$1:$C$2002,$H448)&amp;"")</f>
        <v/>
      </c>
      <c r="D448" s="5">
        <f>IF($H448="","",IF(INDEX('Journal'!$D$1:$D$2002,$H448)=$B$1,INDEX('Journal'!$E$1:$E$2002,$H448),INDEX('Journal'!$D$1:$D$2002,$H448))&amp;"")</f>
        <v/>
      </c>
      <c r="E448" s="20">
        <f>IF($H448="","",IF(INDEX('Journal'!$D$1:$D$2002,$H448)=$B$1,N(INDEX('Journal'!$G$1:$G$2002,$H448)),N(INDEX('Journal'!$F$1:$F$2002,$H448))))</f>
        <v/>
      </c>
      <c r="F448" s="20">
        <f>IF($H448="","",IF(INDEX('Journal'!$D$1:$D$2002,$H448)=$B$1,N(INDEX('Journal'!$F$1:$F$2002,$H448)),N(INDEX('Journal'!$G$1:$G$2002,$H448))))</f>
        <v/>
      </c>
      <c r="G448" s="20">
        <f>IF($H448="","",G447+E448-F448)</f>
        <v/>
      </c>
      <c r="H448" s="18">
        <f t="array" ref="H448">IF($B$1="","",IFERROR(_xlfn.AGGREGATE(15,6,ROW('Journal'!$A$3:$A$2002)/(('Journal'!$D$3:$D$2002=$B$1)+('Journal'!$E$3:$E$2002=$B$1))/('Journal'!$B$3:$B$2002&gt;=$B$2)/('Journal'!$B$3:$B$2002&lt;=$B$3),443),""))</f>
        <v/>
      </c>
    </row>
    <row r="449">
      <c r="A449" s="18">
        <f>IF($H449="","",INDEX('Journal'!$A$1:$A$2002,$H449))</f>
        <v/>
      </c>
      <c r="B449" s="21">
        <f>IF($H449="","",INDEX('Journal'!$B$1:$B$2002,$H449))</f>
        <v/>
      </c>
      <c r="C449" s="5">
        <f>IF($H449="","",INDEX('Journal'!$C$1:$C$2002,$H449)&amp;"")</f>
        <v/>
      </c>
      <c r="D449" s="5">
        <f>IF($H449="","",IF(INDEX('Journal'!$D$1:$D$2002,$H449)=$B$1,INDEX('Journal'!$E$1:$E$2002,$H449),INDEX('Journal'!$D$1:$D$2002,$H449))&amp;"")</f>
        <v/>
      </c>
      <c r="E449" s="20">
        <f>IF($H449="","",IF(INDEX('Journal'!$D$1:$D$2002,$H449)=$B$1,N(INDEX('Journal'!$G$1:$G$2002,$H449)),N(INDEX('Journal'!$F$1:$F$2002,$H449))))</f>
        <v/>
      </c>
      <c r="F449" s="20">
        <f>IF($H449="","",IF(INDEX('Journal'!$D$1:$D$2002,$H449)=$B$1,N(INDEX('Journal'!$F$1:$F$2002,$H449)),N(INDEX('Journal'!$G$1:$G$2002,$H449))))</f>
        <v/>
      </c>
      <c r="G449" s="20">
        <f>IF($H449="","",G448+E449-F449)</f>
        <v/>
      </c>
      <c r="H449" s="18">
        <f t="array" ref="H449">IF($B$1="","",IFERROR(_xlfn.AGGREGATE(15,6,ROW('Journal'!$A$3:$A$2002)/(('Journal'!$D$3:$D$2002=$B$1)+('Journal'!$E$3:$E$2002=$B$1))/('Journal'!$B$3:$B$2002&gt;=$B$2)/('Journal'!$B$3:$B$2002&lt;=$B$3),444),""))</f>
        <v/>
      </c>
    </row>
    <row r="450">
      <c r="A450" s="18">
        <f>IF($H450="","",INDEX('Journal'!$A$1:$A$2002,$H450))</f>
        <v/>
      </c>
      <c r="B450" s="21">
        <f>IF($H450="","",INDEX('Journal'!$B$1:$B$2002,$H450))</f>
        <v/>
      </c>
      <c r="C450" s="5">
        <f>IF($H450="","",INDEX('Journal'!$C$1:$C$2002,$H450)&amp;"")</f>
        <v/>
      </c>
      <c r="D450" s="5">
        <f>IF($H450="","",IF(INDEX('Journal'!$D$1:$D$2002,$H450)=$B$1,INDEX('Journal'!$E$1:$E$2002,$H450),INDEX('Journal'!$D$1:$D$2002,$H450))&amp;"")</f>
        <v/>
      </c>
      <c r="E450" s="20">
        <f>IF($H450="","",IF(INDEX('Journal'!$D$1:$D$2002,$H450)=$B$1,N(INDEX('Journal'!$G$1:$G$2002,$H450)),N(INDEX('Journal'!$F$1:$F$2002,$H450))))</f>
        <v/>
      </c>
      <c r="F450" s="20">
        <f>IF($H450="","",IF(INDEX('Journal'!$D$1:$D$2002,$H450)=$B$1,N(INDEX('Journal'!$F$1:$F$2002,$H450)),N(INDEX('Journal'!$G$1:$G$2002,$H450))))</f>
        <v/>
      </c>
      <c r="G450" s="20">
        <f>IF($H450="","",G449+E450-F450)</f>
        <v/>
      </c>
      <c r="H450" s="18">
        <f t="array" ref="H450">IF($B$1="","",IFERROR(_xlfn.AGGREGATE(15,6,ROW('Journal'!$A$3:$A$2002)/(('Journal'!$D$3:$D$2002=$B$1)+('Journal'!$E$3:$E$2002=$B$1))/('Journal'!$B$3:$B$2002&gt;=$B$2)/('Journal'!$B$3:$B$2002&lt;=$B$3),445),""))</f>
        <v/>
      </c>
    </row>
    <row r="451">
      <c r="A451" s="18">
        <f>IF($H451="","",INDEX('Journal'!$A$1:$A$2002,$H451))</f>
        <v/>
      </c>
      <c r="B451" s="21">
        <f>IF($H451="","",INDEX('Journal'!$B$1:$B$2002,$H451))</f>
        <v/>
      </c>
      <c r="C451" s="5">
        <f>IF($H451="","",INDEX('Journal'!$C$1:$C$2002,$H451)&amp;"")</f>
        <v/>
      </c>
      <c r="D451" s="5">
        <f>IF($H451="","",IF(INDEX('Journal'!$D$1:$D$2002,$H451)=$B$1,INDEX('Journal'!$E$1:$E$2002,$H451),INDEX('Journal'!$D$1:$D$2002,$H451))&amp;"")</f>
        <v/>
      </c>
      <c r="E451" s="20">
        <f>IF($H451="","",IF(INDEX('Journal'!$D$1:$D$2002,$H451)=$B$1,N(INDEX('Journal'!$G$1:$G$2002,$H451)),N(INDEX('Journal'!$F$1:$F$2002,$H451))))</f>
        <v/>
      </c>
      <c r="F451" s="20">
        <f>IF($H451="","",IF(INDEX('Journal'!$D$1:$D$2002,$H451)=$B$1,N(INDEX('Journal'!$F$1:$F$2002,$H451)),N(INDEX('Journal'!$G$1:$G$2002,$H451))))</f>
        <v/>
      </c>
      <c r="G451" s="20">
        <f>IF($H451="","",G450+E451-F451)</f>
        <v/>
      </c>
      <c r="H451" s="18">
        <f t="array" ref="H451">IF($B$1="","",IFERROR(_xlfn.AGGREGATE(15,6,ROW('Journal'!$A$3:$A$2002)/(('Journal'!$D$3:$D$2002=$B$1)+('Journal'!$E$3:$E$2002=$B$1))/('Journal'!$B$3:$B$2002&gt;=$B$2)/('Journal'!$B$3:$B$2002&lt;=$B$3),446),""))</f>
        <v/>
      </c>
    </row>
    <row r="452">
      <c r="A452" s="18">
        <f>IF($H452="","",INDEX('Journal'!$A$1:$A$2002,$H452))</f>
        <v/>
      </c>
      <c r="B452" s="21">
        <f>IF($H452="","",INDEX('Journal'!$B$1:$B$2002,$H452))</f>
        <v/>
      </c>
      <c r="C452" s="5">
        <f>IF($H452="","",INDEX('Journal'!$C$1:$C$2002,$H452)&amp;"")</f>
        <v/>
      </c>
      <c r="D452" s="5">
        <f>IF($H452="","",IF(INDEX('Journal'!$D$1:$D$2002,$H452)=$B$1,INDEX('Journal'!$E$1:$E$2002,$H452),INDEX('Journal'!$D$1:$D$2002,$H452))&amp;"")</f>
        <v/>
      </c>
      <c r="E452" s="20">
        <f>IF($H452="","",IF(INDEX('Journal'!$D$1:$D$2002,$H452)=$B$1,N(INDEX('Journal'!$G$1:$G$2002,$H452)),N(INDEX('Journal'!$F$1:$F$2002,$H452))))</f>
        <v/>
      </c>
      <c r="F452" s="20">
        <f>IF($H452="","",IF(INDEX('Journal'!$D$1:$D$2002,$H452)=$B$1,N(INDEX('Journal'!$F$1:$F$2002,$H452)),N(INDEX('Journal'!$G$1:$G$2002,$H452))))</f>
        <v/>
      </c>
      <c r="G452" s="20">
        <f>IF($H452="","",G451+E452-F452)</f>
        <v/>
      </c>
      <c r="H452" s="18">
        <f t="array" ref="H452">IF($B$1="","",IFERROR(_xlfn.AGGREGATE(15,6,ROW('Journal'!$A$3:$A$2002)/(('Journal'!$D$3:$D$2002=$B$1)+('Journal'!$E$3:$E$2002=$B$1))/('Journal'!$B$3:$B$2002&gt;=$B$2)/('Journal'!$B$3:$B$2002&lt;=$B$3),447),""))</f>
        <v/>
      </c>
    </row>
    <row r="453">
      <c r="A453" s="18">
        <f>IF($H453="","",INDEX('Journal'!$A$1:$A$2002,$H453))</f>
        <v/>
      </c>
      <c r="B453" s="21">
        <f>IF($H453="","",INDEX('Journal'!$B$1:$B$2002,$H453))</f>
        <v/>
      </c>
      <c r="C453" s="5">
        <f>IF($H453="","",INDEX('Journal'!$C$1:$C$2002,$H453)&amp;"")</f>
        <v/>
      </c>
      <c r="D453" s="5">
        <f>IF($H453="","",IF(INDEX('Journal'!$D$1:$D$2002,$H453)=$B$1,INDEX('Journal'!$E$1:$E$2002,$H453),INDEX('Journal'!$D$1:$D$2002,$H453))&amp;"")</f>
        <v/>
      </c>
      <c r="E453" s="20">
        <f>IF($H453="","",IF(INDEX('Journal'!$D$1:$D$2002,$H453)=$B$1,N(INDEX('Journal'!$G$1:$G$2002,$H453)),N(INDEX('Journal'!$F$1:$F$2002,$H453))))</f>
        <v/>
      </c>
      <c r="F453" s="20">
        <f>IF($H453="","",IF(INDEX('Journal'!$D$1:$D$2002,$H453)=$B$1,N(INDEX('Journal'!$F$1:$F$2002,$H453)),N(INDEX('Journal'!$G$1:$G$2002,$H453))))</f>
        <v/>
      </c>
      <c r="G453" s="20">
        <f>IF($H453="","",G452+E453-F453)</f>
        <v/>
      </c>
      <c r="H453" s="18">
        <f t="array" ref="H453">IF($B$1="","",IFERROR(_xlfn.AGGREGATE(15,6,ROW('Journal'!$A$3:$A$2002)/(('Journal'!$D$3:$D$2002=$B$1)+('Journal'!$E$3:$E$2002=$B$1))/('Journal'!$B$3:$B$2002&gt;=$B$2)/('Journal'!$B$3:$B$2002&lt;=$B$3),448),""))</f>
        <v/>
      </c>
    </row>
    <row r="454">
      <c r="A454" s="18">
        <f>IF($H454="","",INDEX('Journal'!$A$1:$A$2002,$H454))</f>
        <v/>
      </c>
      <c r="B454" s="21">
        <f>IF($H454="","",INDEX('Journal'!$B$1:$B$2002,$H454))</f>
        <v/>
      </c>
      <c r="C454" s="5">
        <f>IF($H454="","",INDEX('Journal'!$C$1:$C$2002,$H454)&amp;"")</f>
        <v/>
      </c>
      <c r="D454" s="5">
        <f>IF($H454="","",IF(INDEX('Journal'!$D$1:$D$2002,$H454)=$B$1,INDEX('Journal'!$E$1:$E$2002,$H454),INDEX('Journal'!$D$1:$D$2002,$H454))&amp;"")</f>
        <v/>
      </c>
      <c r="E454" s="20">
        <f>IF($H454="","",IF(INDEX('Journal'!$D$1:$D$2002,$H454)=$B$1,N(INDEX('Journal'!$G$1:$G$2002,$H454)),N(INDEX('Journal'!$F$1:$F$2002,$H454))))</f>
        <v/>
      </c>
      <c r="F454" s="20">
        <f>IF($H454="","",IF(INDEX('Journal'!$D$1:$D$2002,$H454)=$B$1,N(INDEX('Journal'!$F$1:$F$2002,$H454)),N(INDEX('Journal'!$G$1:$G$2002,$H454))))</f>
        <v/>
      </c>
      <c r="G454" s="20">
        <f>IF($H454="","",G453+E454-F454)</f>
        <v/>
      </c>
      <c r="H454" s="18">
        <f t="array" ref="H454">IF($B$1="","",IFERROR(_xlfn.AGGREGATE(15,6,ROW('Journal'!$A$3:$A$2002)/(('Journal'!$D$3:$D$2002=$B$1)+('Journal'!$E$3:$E$2002=$B$1))/('Journal'!$B$3:$B$2002&gt;=$B$2)/('Journal'!$B$3:$B$2002&lt;=$B$3),449),""))</f>
        <v/>
      </c>
    </row>
    <row r="455">
      <c r="A455" s="18">
        <f>IF($H455="","",INDEX('Journal'!$A$1:$A$2002,$H455))</f>
        <v/>
      </c>
      <c r="B455" s="21">
        <f>IF($H455="","",INDEX('Journal'!$B$1:$B$2002,$H455))</f>
        <v/>
      </c>
      <c r="C455" s="5">
        <f>IF($H455="","",INDEX('Journal'!$C$1:$C$2002,$H455)&amp;"")</f>
        <v/>
      </c>
      <c r="D455" s="5">
        <f>IF($H455="","",IF(INDEX('Journal'!$D$1:$D$2002,$H455)=$B$1,INDEX('Journal'!$E$1:$E$2002,$H455),INDEX('Journal'!$D$1:$D$2002,$H455))&amp;"")</f>
        <v/>
      </c>
      <c r="E455" s="20">
        <f>IF($H455="","",IF(INDEX('Journal'!$D$1:$D$2002,$H455)=$B$1,N(INDEX('Journal'!$G$1:$G$2002,$H455)),N(INDEX('Journal'!$F$1:$F$2002,$H455))))</f>
        <v/>
      </c>
      <c r="F455" s="20">
        <f>IF($H455="","",IF(INDEX('Journal'!$D$1:$D$2002,$H455)=$B$1,N(INDEX('Journal'!$F$1:$F$2002,$H455)),N(INDEX('Journal'!$G$1:$G$2002,$H455))))</f>
        <v/>
      </c>
      <c r="G455" s="20">
        <f>IF($H455="","",G454+E455-F455)</f>
        <v/>
      </c>
      <c r="H455" s="18">
        <f t="array" ref="H455">IF($B$1="","",IFERROR(_xlfn.AGGREGATE(15,6,ROW('Journal'!$A$3:$A$2002)/(('Journal'!$D$3:$D$2002=$B$1)+('Journal'!$E$3:$E$2002=$B$1))/('Journal'!$B$3:$B$2002&gt;=$B$2)/('Journal'!$B$3:$B$2002&lt;=$B$3),450),""))</f>
        <v/>
      </c>
    </row>
    <row r="456">
      <c r="A456" s="18">
        <f>IF($H456="","",INDEX('Journal'!$A$1:$A$2002,$H456))</f>
        <v/>
      </c>
      <c r="B456" s="21">
        <f>IF($H456="","",INDEX('Journal'!$B$1:$B$2002,$H456))</f>
        <v/>
      </c>
      <c r="C456" s="5">
        <f>IF($H456="","",INDEX('Journal'!$C$1:$C$2002,$H456)&amp;"")</f>
        <v/>
      </c>
      <c r="D456" s="5">
        <f>IF($H456="","",IF(INDEX('Journal'!$D$1:$D$2002,$H456)=$B$1,INDEX('Journal'!$E$1:$E$2002,$H456),INDEX('Journal'!$D$1:$D$2002,$H456))&amp;"")</f>
        <v/>
      </c>
      <c r="E456" s="20">
        <f>IF($H456="","",IF(INDEX('Journal'!$D$1:$D$2002,$H456)=$B$1,N(INDEX('Journal'!$G$1:$G$2002,$H456)),N(INDEX('Journal'!$F$1:$F$2002,$H456))))</f>
        <v/>
      </c>
      <c r="F456" s="20">
        <f>IF($H456="","",IF(INDEX('Journal'!$D$1:$D$2002,$H456)=$B$1,N(INDEX('Journal'!$F$1:$F$2002,$H456)),N(INDEX('Journal'!$G$1:$G$2002,$H456))))</f>
        <v/>
      </c>
      <c r="G456" s="20">
        <f>IF($H456="","",G455+E456-F456)</f>
        <v/>
      </c>
      <c r="H456" s="18">
        <f t="array" ref="H456">IF($B$1="","",IFERROR(_xlfn.AGGREGATE(15,6,ROW('Journal'!$A$3:$A$2002)/(('Journal'!$D$3:$D$2002=$B$1)+('Journal'!$E$3:$E$2002=$B$1))/('Journal'!$B$3:$B$2002&gt;=$B$2)/('Journal'!$B$3:$B$2002&lt;=$B$3),451),""))</f>
        <v/>
      </c>
    </row>
    <row r="457">
      <c r="A457" s="18">
        <f>IF($H457="","",INDEX('Journal'!$A$1:$A$2002,$H457))</f>
        <v/>
      </c>
      <c r="B457" s="21">
        <f>IF($H457="","",INDEX('Journal'!$B$1:$B$2002,$H457))</f>
        <v/>
      </c>
      <c r="C457" s="5">
        <f>IF($H457="","",INDEX('Journal'!$C$1:$C$2002,$H457)&amp;"")</f>
        <v/>
      </c>
      <c r="D457" s="5">
        <f>IF($H457="","",IF(INDEX('Journal'!$D$1:$D$2002,$H457)=$B$1,INDEX('Journal'!$E$1:$E$2002,$H457),INDEX('Journal'!$D$1:$D$2002,$H457))&amp;"")</f>
        <v/>
      </c>
      <c r="E457" s="20">
        <f>IF($H457="","",IF(INDEX('Journal'!$D$1:$D$2002,$H457)=$B$1,N(INDEX('Journal'!$G$1:$G$2002,$H457)),N(INDEX('Journal'!$F$1:$F$2002,$H457))))</f>
        <v/>
      </c>
      <c r="F457" s="20">
        <f>IF($H457="","",IF(INDEX('Journal'!$D$1:$D$2002,$H457)=$B$1,N(INDEX('Journal'!$F$1:$F$2002,$H457)),N(INDEX('Journal'!$G$1:$G$2002,$H457))))</f>
        <v/>
      </c>
      <c r="G457" s="20">
        <f>IF($H457="","",G456+E457-F457)</f>
        <v/>
      </c>
      <c r="H457" s="18">
        <f t="array" ref="H457">IF($B$1="","",IFERROR(_xlfn.AGGREGATE(15,6,ROW('Journal'!$A$3:$A$2002)/(('Journal'!$D$3:$D$2002=$B$1)+('Journal'!$E$3:$E$2002=$B$1))/('Journal'!$B$3:$B$2002&gt;=$B$2)/('Journal'!$B$3:$B$2002&lt;=$B$3),452),""))</f>
        <v/>
      </c>
    </row>
    <row r="458">
      <c r="A458" s="18">
        <f>IF($H458="","",INDEX('Journal'!$A$1:$A$2002,$H458))</f>
        <v/>
      </c>
      <c r="B458" s="21">
        <f>IF($H458="","",INDEX('Journal'!$B$1:$B$2002,$H458))</f>
        <v/>
      </c>
      <c r="C458" s="5">
        <f>IF($H458="","",INDEX('Journal'!$C$1:$C$2002,$H458)&amp;"")</f>
        <v/>
      </c>
      <c r="D458" s="5">
        <f>IF($H458="","",IF(INDEX('Journal'!$D$1:$D$2002,$H458)=$B$1,INDEX('Journal'!$E$1:$E$2002,$H458),INDEX('Journal'!$D$1:$D$2002,$H458))&amp;"")</f>
        <v/>
      </c>
      <c r="E458" s="20">
        <f>IF($H458="","",IF(INDEX('Journal'!$D$1:$D$2002,$H458)=$B$1,N(INDEX('Journal'!$G$1:$G$2002,$H458)),N(INDEX('Journal'!$F$1:$F$2002,$H458))))</f>
        <v/>
      </c>
      <c r="F458" s="20">
        <f>IF($H458="","",IF(INDEX('Journal'!$D$1:$D$2002,$H458)=$B$1,N(INDEX('Journal'!$F$1:$F$2002,$H458)),N(INDEX('Journal'!$G$1:$G$2002,$H458))))</f>
        <v/>
      </c>
      <c r="G458" s="20">
        <f>IF($H458="","",G457+E458-F458)</f>
        <v/>
      </c>
      <c r="H458" s="18">
        <f t="array" ref="H458">IF($B$1="","",IFERROR(_xlfn.AGGREGATE(15,6,ROW('Journal'!$A$3:$A$2002)/(('Journal'!$D$3:$D$2002=$B$1)+('Journal'!$E$3:$E$2002=$B$1))/('Journal'!$B$3:$B$2002&gt;=$B$2)/('Journal'!$B$3:$B$2002&lt;=$B$3),453),""))</f>
        <v/>
      </c>
    </row>
    <row r="459">
      <c r="A459" s="18">
        <f>IF($H459="","",INDEX('Journal'!$A$1:$A$2002,$H459))</f>
        <v/>
      </c>
      <c r="B459" s="21">
        <f>IF($H459="","",INDEX('Journal'!$B$1:$B$2002,$H459))</f>
        <v/>
      </c>
      <c r="C459" s="5">
        <f>IF($H459="","",INDEX('Journal'!$C$1:$C$2002,$H459)&amp;"")</f>
        <v/>
      </c>
      <c r="D459" s="5">
        <f>IF($H459="","",IF(INDEX('Journal'!$D$1:$D$2002,$H459)=$B$1,INDEX('Journal'!$E$1:$E$2002,$H459),INDEX('Journal'!$D$1:$D$2002,$H459))&amp;"")</f>
        <v/>
      </c>
      <c r="E459" s="20">
        <f>IF($H459="","",IF(INDEX('Journal'!$D$1:$D$2002,$H459)=$B$1,N(INDEX('Journal'!$G$1:$G$2002,$H459)),N(INDEX('Journal'!$F$1:$F$2002,$H459))))</f>
        <v/>
      </c>
      <c r="F459" s="20">
        <f>IF($H459="","",IF(INDEX('Journal'!$D$1:$D$2002,$H459)=$B$1,N(INDEX('Journal'!$F$1:$F$2002,$H459)),N(INDEX('Journal'!$G$1:$G$2002,$H459))))</f>
        <v/>
      </c>
      <c r="G459" s="20">
        <f>IF($H459="","",G458+E459-F459)</f>
        <v/>
      </c>
      <c r="H459" s="18">
        <f t="array" ref="H459">IF($B$1="","",IFERROR(_xlfn.AGGREGATE(15,6,ROW('Journal'!$A$3:$A$2002)/(('Journal'!$D$3:$D$2002=$B$1)+('Journal'!$E$3:$E$2002=$B$1))/('Journal'!$B$3:$B$2002&gt;=$B$2)/('Journal'!$B$3:$B$2002&lt;=$B$3),454),""))</f>
        <v/>
      </c>
    </row>
    <row r="460">
      <c r="A460" s="18">
        <f>IF($H460="","",INDEX('Journal'!$A$1:$A$2002,$H460))</f>
        <v/>
      </c>
      <c r="B460" s="21">
        <f>IF($H460="","",INDEX('Journal'!$B$1:$B$2002,$H460))</f>
        <v/>
      </c>
      <c r="C460" s="5">
        <f>IF($H460="","",INDEX('Journal'!$C$1:$C$2002,$H460)&amp;"")</f>
        <v/>
      </c>
      <c r="D460" s="5">
        <f>IF($H460="","",IF(INDEX('Journal'!$D$1:$D$2002,$H460)=$B$1,INDEX('Journal'!$E$1:$E$2002,$H460),INDEX('Journal'!$D$1:$D$2002,$H460))&amp;"")</f>
        <v/>
      </c>
      <c r="E460" s="20">
        <f>IF($H460="","",IF(INDEX('Journal'!$D$1:$D$2002,$H460)=$B$1,N(INDEX('Journal'!$G$1:$G$2002,$H460)),N(INDEX('Journal'!$F$1:$F$2002,$H460))))</f>
        <v/>
      </c>
      <c r="F460" s="20">
        <f>IF($H460="","",IF(INDEX('Journal'!$D$1:$D$2002,$H460)=$B$1,N(INDEX('Journal'!$F$1:$F$2002,$H460)),N(INDEX('Journal'!$G$1:$G$2002,$H460))))</f>
        <v/>
      </c>
      <c r="G460" s="20">
        <f>IF($H460="","",G459+E460-F460)</f>
        <v/>
      </c>
      <c r="H460" s="18">
        <f t="array" ref="H460">IF($B$1="","",IFERROR(_xlfn.AGGREGATE(15,6,ROW('Journal'!$A$3:$A$2002)/(('Journal'!$D$3:$D$2002=$B$1)+('Journal'!$E$3:$E$2002=$B$1))/('Journal'!$B$3:$B$2002&gt;=$B$2)/('Journal'!$B$3:$B$2002&lt;=$B$3),455),""))</f>
        <v/>
      </c>
    </row>
    <row r="461">
      <c r="A461" s="18">
        <f>IF($H461="","",INDEX('Journal'!$A$1:$A$2002,$H461))</f>
        <v/>
      </c>
      <c r="B461" s="21">
        <f>IF($H461="","",INDEX('Journal'!$B$1:$B$2002,$H461))</f>
        <v/>
      </c>
      <c r="C461" s="5">
        <f>IF($H461="","",INDEX('Journal'!$C$1:$C$2002,$H461)&amp;"")</f>
        <v/>
      </c>
      <c r="D461" s="5">
        <f>IF($H461="","",IF(INDEX('Journal'!$D$1:$D$2002,$H461)=$B$1,INDEX('Journal'!$E$1:$E$2002,$H461),INDEX('Journal'!$D$1:$D$2002,$H461))&amp;"")</f>
        <v/>
      </c>
      <c r="E461" s="20">
        <f>IF($H461="","",IF(INDEX('Journal'!$D$1:$D$2002,$H461)=$B$1,N(INDEX('Journal'!$G$1:$G$2002,$H461)),N(INDEX('Journal'!$F$1:$F$2002,$H461))))</f>
        <v/>
      </c>
      <c r="F461" s="20">
        <f>IF($H461="","",IF(INDEX('Journal'!$D$1:$D$2002,$H461)=$B$1,N(INDEX('Journal'!$F$1:$F$2002,$H461)),N(INDEX('Journal'!$G$1:$G$2002,$H461))))</f>
        <v/>
      </c>
      <c r="G461" s="20">
        <f>IF($H461="","",G460+E461-F461)</f>
        <v/>
      </c>
      <c r="H461" s="18">
        <f t="array" ref="H461">IF($B$1="","",IFERROR(_xlfn.AGGREGATE(15,6,ROW('Journal'!$A$3:$A$2002)/(('Journal'!$D$3:$D$2002=$B$1)+('Journal'!$E$3:$E$2002=$B$1))/('Journal'!$B$3:$B$2002&gt;=$B$2)/('Journal'!$B$3:$B$2002&lt;=$B$3),456),""))</f>
        <v/>
      </c>
    </row>
    <row r="462">
      <c r="A462" s="18">
        <f>IF($H462="","",INDEX('Journal'!$A$1:$A$2002,$H462))</f>
        <v/>
      </c>
      <c r="B462" s="21">
        <f>IF($H462="","",INDEX('Journal'!$B$1:$B$2002,$H462))</f>
        <v/>
      </c>
      <c r="C462" s="5">
        <f>IF($H462="","",INDEX('Journal'!$C$1:$C$2002,$H462)&amp;"")</f>
        <v/>
      </c>
      <c r="D462" s="5">
        <f>IF($H462="","",IF(INDEX('Journal'!$D$1:$D$2002,$H462)=$B$1,INDEX('Journal'!$E$1:$E$2002,$H462),INDEX('Journal'!$D$1:$D$2002,$H462))&amp;"")</f>
        <v/>
      </c>
      <c r="E462" s="20">
        <f>IF($H462="","",IF(INDEX('Journal'!$D$1:$D$2002,$H462)=$B$1,N(INDEX('Journal'!$G$1:$G$2002,$H462)),N(INDEX('Journal'!$F$1:$F$2002,$H462))))</f>
        <v/>
      </c>
      <c r="F462" s="20">
        <f>IF($H462="","",IF(INDEX('Journal'!$D$1:$D$2002,$H462)=$B$1,N(INDEX('Journal'!$F$1:$F$2002,$H462)),N(INDEX('Journal'!$G$1:$G$2002,$H462))))</f>
        <v/>
      </c>
      <c r="G462" s="20">
        <f>IF($H462="","",G461+E462-F462)</f>
        <v/>
      </c>
      <c r="H462" s="18">
        <f t="array" ref="H462">IF($B$1="","",IFERROR(_xlfn.AGGREGATE(15,6,ROW('Journal'!$A$3:$A$2002)/(('Journal'!$D$3:$D$2002=$B$1)+('Journal'!$E$3:$E$2002=$B$1))/('Journal'!$B$3:$B$2002&gt;=$B$2)/('Journal'!$B$3:$B$2002&lt;=$B$3),457),""))</f>
        <v/>
      </c>
    </row>
    <row r="463">
      <c r="A463" s="18">
        <f>IF($H463="","",INDEX('Journal'!$A$1:$A$2002,$H463))</f>
        <v/>
      </c>
      <c r="B463" s="21">
        <f>IF($H463="","",INDEX('Journal'!$B$1:$B$2002,$H463))</f>
        <v/>
      </c>
      <c r="C463" s="5">
        <f>IF($H463="","",INDEX('Journal'!$C$1:$C$2002,$H463)&amp;"")</f>
        <v/>
      </c>
      <c r="D463" s="5">
        <f>IF($H463="","",IF(INDEX('Journal'!$D$1:$D$2002,$H463)=$B$1,INDEX('Journal'!$E$1:$E$2002,$H463),INDEX('Journal'!$D$1:$D$2002,$H463))&amp;"")</f>
        <v/>
      </c>
      <c r="E463" s="20">
        <f>IF($H463="","",IF(INDEX('Journal'!$D$1:$D$2002,$H463)=$B$1,N(INDEX('Journal'!$G$1:$G$2002,$H463)),N(INDEX('Journal'!$F$1:$F$2002,$H463))))</f>
        <v/>
      </c>
      <c r="F463" s="20">
        <f>IF($H463="","",IF(INDEX('Journal'!$D$1:$D$2002,$H463)=$B$1,N(INDEX('Journal'!$F$1:$F$2002,$H463)),N(INDEX('Journal'!$G$1:$G$2002,$H463))))</f>
        <v/>
      </c>
      <c r="G463" s="20">
        <f>IF($H463="","",G462+E463-F463)</f>
        <v/>
      </c>
      <c r="H463" s="18">
        <f t="array" ref="H463">IF($B$1="","",IFERROR(_xlfn.AGGREGATE(15,6,ROW('Journal'!$A$3:$A$2002)/(('Journal'!$D$3:$D$2002=$B$1)+('Journal'!$E$3:$E$2002=$B$1))/('Journal'!$B$3:$B$2002&gt;=$B$2)/('Journal'!$B$3:$B$2002&lt;=$B$3),458),""))</f>
        <v/>
      </c>
    </row>
    <row r="464">
      <c r="A464" s="18">
        <f>IF($H464="","",INDEX('Journal'!$A$1:$A$2002,$H464))</f>
        <v/>
      </c>
      <c r="B464" s="21">
        <f>IF($H464="","",INDEX('Journal'!$B$1:$B$2002,$H464))</f>
        <v/>
      </c>
      <c r="C464" s="5">
        <f>IF($H464="","",INDEX('Journal'!$C$1:$C$2002,$H464)&amp;"")</f>
        <v/>
      </c>
      <c r="D464" s="5">
        <f>IF($H464="","",IF(INDEX('Journal'!$D$1:$D$2002,$H464)=$B$1,INDEX('Journal'!$E$1:$E$2002,$H464),INDEX('Journal'!$D$1:$D$2002,$H464))&amp;"")</f>
        <v/>
      </c>
      <c r="E464" s="20">
        <f>IF($H464="","",IF(INDEX('Journal'!$D$1:$D$2002,$H464)=$B$1,N(INDEX('Journal'!$G$1:$G$2002,$H464)),N(INDEX('Journal'!$F$1:$F$2002,$H464))))</f>
        <v/>
      </c>
      <c r="F464" s="20">
        <f>IF($H464="","",IF(INDEX('Journal'!$D$1:$D$2002,$H464)=$B$1,N(INDEX('Journal'!$F$1:$F$2002,$H464)),N(INDEX('Journal'!$G$1:$G$2002,$H464))))</f>
        <v/>
      </c>
      <c r="G464" s="20">
        <f>IF($H464="","",G463+E464-F464)</f>
        <v/>
      </c>
      <c r="H464" s="18">
        <f t="array" ref="H464">IF($B$1="","",IFERROR(_xlfn.AGGREGATE(15,6,ROW('Journal'!$A$3:$A$2002)/(('Journal'!$D$3:$D$2002=$B$1)+('Journal'!$E$3:$E$2002=$B$1))/('Journal'!$B$3:$B$2002&gt;=$B$2)/('Journal'!$B$3:$B$2002&lt;=$B$3),459),""))</f>
        <v/>
      </c>
    </row>
    <row r="465">
      <c r="A465" s="18">
        <f>IF($H465="","",INDEX('Journal'!$A$1:$A$2002,$H465))</f>
        <v/>
      </c>
      <c r="B465" s="21">
        <f>IF($H465="","",INDEX('Journal'!$B$1:$B$2002,$H465))</f>
        <v/>
      </c>
      <c r="C465" s="5">
        <f>IF($H465="","",INDEX('Journal'!$C$1:$C$2002,$H465)&amp;"")</f>
        <v/>
      </c>
      <c r="D465" s="5">
        <f>IF($H465="","",IF(INDEX('Journal'!$D$1:$D$2002,$H465)=$B$1,INDEX('Journal'!$E$1:$E$2002,$H465),INDEX('Journal'!$D$1:$D$2002,$H465))&amp;"")</f>
        <v/>
      </c>
      <c r="E465" s="20">
        <f>IF($H465="","",IF(INDEX('Journal'!$D$1:$D$2002,$H465)=$B$1,N(INDEX('Journal'!$G$1:$G$2002,$H465)),N(INDEX('Journal'!$F$1:$F$2002,$H465))))</f>
        <v/>
      </c>
      <c r="F465" s="20">
        <f>IF($H465="","",IF(INDEX('Journal'!$D$1:$D$2002,$H465)=$B$1,N(INDEX('Journal'!$F$1:$F$2002,$H465)),N(INDEX('Journal'!$G$1:$G$2002,$H465))))</f>
        <v/>
      </c>
      <c r="G465" s="20">
        <f>IF($H465="","",G464+E465-F465)</f>
        <v/>
      </c>
      <c r="H465" s="18">
        <f t="array" ref="H465">IF($B$1="","",IFERROR(_xlfn.AGGREGATE(15,6,ROW('Journal'!$A$3:$A$2002)/(('Journal'!$D$3:$D$2002=$B$1)+('Journal'!$E$3:$E$2002=$B$1))/('Journal'!$B$3:$B$2002&gt;=$B$2)/('Journal'!$B$3:$B$2002&lt;=$B$3),460),""))</f>
        <v/>
      </c>
    </row>
    <row r="466">
      <c r="A466" s="18">
        <f>IF($H466="","",INDEX('Journal'!$A$1:$A$2002,$H466))</f>
        <v/>
      </c>
      <c r="B466" s="21">
        <f>IF($H466="","",INDEX('Journal'!$B$1:$B$2002,$H466))</f>
        <v/>
      </c>
      <c r="C466" s="5">
        <f>IF($H466="","",INDEX('Journal'!$C$1:$C$2002,$H466)&amp;"")</f>
        <v/>
      </c>
      <c r="D466" s="5">
        <f>IF($H466="","",IF(INDEX('Journal'!$D$1:$D$2002,$H466)=$B$1,INDEX('Journal'!$E$1:$E$2002,$H466),INDEX('Journal'!$D$1:$D$2002,$H466))&amp;"")</f>
        <v/>
      </c>
      <c r="E466" s="20">
        <f>IF($H466="","",IF(INDEX('Journal'!$D$1:$D$2002,$H466)=$B$1,N(INDEX('Journal'!$G$1:$G$2002,$H466)),N(INDEX('Journal'!$F$1:$F$2002,$H466))))</f>
        <v/>
      </c>
      <c r="F466" s="20">
        <f>IF($H466="","",IF(INDEX('Journal'!$D$1:$D$2002,$H466)=$B$1,N(INDEX('Journal'!$F$1:$F$2002,$H466)),N(INDEX('Journal'!$G$1:$G$2002,$H466))))</f>
        <v/>
      </c>
      <c r="G466" s="20">
        <f>IF($H466="","",G465+E466-F466)</f>
        <v/>
      </c>
      <c r="H466" s="18">
        <f t="array" ref="H466">IF($B$1="","",IFERROR(_xlfn.AGGREGATE(15,6,ROW('Journal'!$A$3:$A$2002)/(('Journal'!$D$3:$D$2002=$B$1)+('Journal'!$E$3:$E$2002=$B$1))/('Journal'!$B$3:$B$2002&gt;=$B$2)/('Journal'!$B$3:$B$2002&lt;=$B$3),461),""))</f>
        <v/>
      </c>
    </row>
    <row r="467">
      <c r="A467" s="18">
        <f>IF($H467="","",INDEX('Journal'!$A$1:$A$2002,$H467))</f>
        <v/>
      </c>
      <c r="B467" s="21">
        <f>IF($H467="","",INDEX('Journal'!$B$1:$B$2002,$H467))</f>
        <v/>
      </c>
      <c r="C467" s="5">
        <f>IF($H467="","",INDEX('Journal'!$C$1:$C$2002,$H467)&amp;"")</f>
        <v/>
      </c>
      <c r="D467" s="5">
        <f>IF($H467="","",IF(INDEX('Journal'!$D$1:$D$2002,$H467)=$B$1,INDEX('Journal'!$E$1:$E$2002,$H467),INDEX('Journal'!$D$1:$D$2002,$H467))&amp;"")</f>
        <v/>
      </c>
      <c r="E467" s="20">
        <f>IF($H467="","",IF(INDEX('Journal'!$D$1:$D$2002,$H467)=$B$1,N(INDEX('Journal'!$G$1:$G$2002,$H467)),N(INDEX('Journal'!$F$1:$F$2002,$H467))))</f>
        <v/>
      </c>
      <c r="F467" s="20">
        <f>IF($H467="","",IF(INDEX('Journal'!$D$1:$D$2002,$H467)=$B$1,N(INDEX('Journal'!$F$1:$F$2002,$H467)),N(INDEX('Journal'!$G$1:$G$2002,$H467))))</f>
        <v/>
      </c>
      <c r="G467" s="20">
        <f>IF($H467="","",G466+E467-F467)</f>
        <v/>
      </c>
      <c r="H467" s="18">
        <f t="array" ref="H467">IF($B$1="","",IFERROR(_xlfn.AGGREGATE(15,6,ROW('Journal'!$A$3:$A$2002)/(('Journal'!$D$3:$D$2002=$B$1)+('Journal'!$E$3:$E$2002=$B$1))/('Journal'!$B$3:$B$2002&gt;=$B$2)/('Journal'!$B$3:$B$2002&lt;=$B$3),462),""))</f>
        <v/>
      </c>
    </row>
    <row r="468">
      <c r="A468" s="18">
        <f>IF($H468="","",INDEX('Journal'!$A$1:$A$2002,$H468))</f>
        <v/>
      </c>
      <c r="B468" s="21">
        <f>IF($H468="","",INDEX('Journal'!$B$1:$B$2002,$H468))</f>
        <v/>
      </c>
      <c r="C468" s="5">
        <f>IF($H468="","",INDEX('Journal'!$C$1:$C$2002,$H468)&amp;"")</f>
        <v/>
      </c>
      <c r="D468" s="5">
        <f>IF($H468="","",IF(INDEX('Journal'!$D$1:$D$2002,$H468)=$B$1,INDEX('Journal'!$E$1:$E$2002,$H468),INDEX('Journal'!$D$1:$D$2002,$H468))&amp;"")</f>
        <v/>
      </c>
      <c r="E468" s="20">
        <f>IF($H468="","",IF(INDEX('Journal'!$D$1:$D$2002,$H468)=$B$1,N(INDEX('Journal'!$G$1:$G$2002,$H468)),N(INDEX('Journal'!$F$1:$F$2002,$H468))))</f>
        <v/>
      </c>
      <c r="F468" s="20">
        <f>IF($H468="","",IF(INDEX('Journal'!$D$1:$D$2002,$H468)=$B$1,N(INDEX('Journal'!$F$1:$F$2002,$H468)),N(INDEX('Journal'!$G$1:$G$2002,$H468))))</f>
        <v/>
      </c>
      <c r="G468" s="20">
        <f>IF($H468="","",G467+E468-F468)</f>
        <v/>
      </c>
      <c r="H468" s="18">
        <f t="array" ref="H468">IF($B$1="","",IFERROR(_xlfn.AGGREGATE(15,6,ROW('Journal'!$A$3:$A$2002)/(('Journal'!$D$3:$D$2002=$B$1)+('Journal'!$E$3:$E$2002=$B$1))/('Journal'!$B$3:$B$2002&gt;=$B$2)/('Journal'!$B$3:$B$2002&lt;=$B$3),463),""))</f>
        <v/>
      </c>
    </row>
    <row r="469">
      <c r="A469" s="18">
        <f>IF($H469="","",INDEX('Journal'!$A$1:$A$2002,$H469))</f>
        <v/>
      </c>
      <c r="B469" s="21">
        <f>IF($H469="","",INDEX('Journal'!$B$1:$B$2002,$H469))</f>
        <v/>
      </c>
      <c r="C469" s="5">
        <f>IF($H469="","",INDEX('Journal'!$C$1:$C$2002,$H469)&amp;"")</f>
        <v/>
      </c>
      <c r="D469" s="5">
        <f>IF($H469="","",IF(INDEX('Journal'!$D$1:$D$2002,$H469)=$B$1,INDEX('Journal'!$E$1:$E$2002,$H469),INDEX('Journal'!$D$1:$D$2002,$H469))&amp;"")</f>
        <v/>
      </c>
      <c r="E469" s="20">
        <f>IF($H469="","",IF(INDEX('Journal'!$D$1:$D$2002,$H469)=$B$1,N(INDEX('Journal'!$G$1:$G$2002,$H469)),N(INDEX('Journal'!$F$1:$F$2002,$H469))))</f>
        <v/>
      </c>
      <c r="F469" s="20">
        <f>IF($H469="","",IF(INDEX('Journal'!$D$1:$D$2002,$H469)=$B$1,N(INDEX('Journal'!$F$1:$F$2002,$H469)),N(INDEX('Journal'!$G$1:$G$2002,$H469))))</f>
        <v/>
      </c>
      <c r="G469" s="20">
        <f>IF($H469="","",G468+E469-F469)</f>
        <v/>
      </c>
      <c r="H469" s="18">
        <f t="array" ref="H469">IF($B$1="","",IFERROR(_xlfn.AGGREGATE(15,6,ROW('Journal'!$A$3:$A$2002)/(('Journal'!$D$3:$D$2002=$B$1)+('Journal'!$E$3:$E$2002=$B$1))/('Journal'!$B$3:$B$2002&gt;=$B$2)/('Journal'!$B$3:$B$2002&lt;=$B$3),464),""))</f>
        <v/>
      </c>
    </row>
    <row r="470">
      <c r="A470" s="18">
        <f>IF($H470="","",INDEX('Journal'!$A$1:$A$2002,$H470))</f>
        <v/>
      </c>
      <c r="B470" s="21">
        <f>IF($H470="","",INDEX('Journal'!$B$1:$B$2002,$H470))</f>
        <v/>
      </c>
      <c r="C470" s="5">
        <f>IF($H470="","",INDEX('Journal'!$C$1:$C$2002,$H470)&amp;"")</f>
        <v/>
      </c>
      <c r="D470" s="5">
        <f>IF($H470="","",IF(INDEX('Journal'!$D$1:$D$2002,$H470)=$B$1,INDEX('Journal'!$E$1:$E$2002,$H470),INDEX('Journal'!$D$1:$D$2002,$H470))&amp;"")</f>
        <v/>
      </c>
      <c r="E470" s="20">
        <f>IF($H470="","",IF(INDEX('Journal'!$D$1:$D$2002,$H470)=$B$1,N(INDEX('Journal'!$G$1:$G$2002,$H470)),N(INDEX('Journal'!$F$1:$F$2002,$H470))))</f>
        <v/>
      </c>
      <c r="F470" s="20">
        <f>IF($H470="","",IF(INDEX('Journal'!$D$1:$D$2002,$H470)=$B$1,N(INDEX('Journal'!$F$1:$F$2002,$H470)),N(INDEX('Journal'!$G$1:$G$2002,$H470))))</f>
        <v/>
      </c>
      <c r="G470" s="20">
        <f>IF($H470="","",G469+E470-F470)</f>
        <v/>
      </c>
      <c r="H470" s="18">
        <f t="array" ref="H470">IF($B$1="","",IFERROR(_xlfn.AGGREGATE(15,6,ROW('Journal'!$A$3:$A$2002)/(('Journal'!$D$3:$D$2002=$B$1)+('Journal'!$E$3:$E$2002=$B$1))/('Journal'!$B$3:$B$2002&gt;=$B$2)/('Journal'!$B$3:$B$2002&lt;=$B$3),465),""))</f>
        <v/>
      </c>
    </row>
    <row r="471">
      <c r="A471" s="18">
        <f>IF($H471="","",INDEX('Journal'!$A$1:$A$2002,$H471))</f>
        <v/>
      </c>
      <c r="B471" s="21">
        <f>IF($H471="","",INDEX('Journal'!$B$1:$B$2002,$H471))</f>
        <v/>
      </c>
      <c r="C471" s="5">
        <f>IF($H471="","",INDEX('Journal'!$C$1:$C$2002,$H471)&amp;"")</f>
        <v/>
      </c>
      <c r="D471" s="5">
        <f>IF($H471="","",IF(INDEX('Journal'!$D$1:$D$2002,$H471)=$B$1,INDEX('Journal'!$E$1:$E$2002,$H471),INDEX('Journal'!$D$1:$D$2002,$H471))&amp;"")</f>
        <v/>
      </c>
      <c r="E471" s="20">
        <f>IF($H471="","",IF(INDEX('Journal'!$D$1:$D$2002,$H471)=$B$1,N(INDEX('Journal'!$G$1:$G$2002,$H471)),N(INDEX('Journal'!$F$1:$F$2002,$H471))))</f>
        <v/>
      </c>
      <c r="F471" s="20">
        <f>IF($H471="","",IF(INDEX('Journal'!$D$1:$D$2002,$H471)=$B$1,N(INDEX('Journal'!$F$1:$F$2002,$H471)),N(INDEX('Journal'!$G$1:$G$2002,$H471))))</f>
        <v/>
      </c>
      <c r="G471" s="20">
        <f>IF($H471="","",G470+E471-F471)</f>
        <v/>
      </c>
      <c r="H471" s="18">
        <f t="array" ref="H471">IF($B$1="","",IFERROR(_xlfn.AGGREGATE(15,6,ROW('Journal'!$A$3:$A$2002)/(('Journal'!$D$3:$D$2002=$B$1)+('Journal'!$E$3:$E$2002=$B$1))/('Journal'!$B$3:$B$2002&gt;=$B$2)/('Journal'!$B$3:$B$2002&lt;=$B$3),466),""))</f>
        <v/>
      </c>
    </row>
    <row r="472">
      <c r="A472" s="18">
        <f>IF($H472="","",INDEX('Journal'!$A$1:$A$2002,$H472))</f>
        <v/>
      </c>
      <c r="B472" s="21">
        <f>IF($H472="","",INDEX('Journal'!$B$1:$B$2002,$H472))</f>
        <v/>
      </c>
      <c r="C472" s="5">
        <f>IF($H472="","",INDEX('Journal'!$C$1:$C$2002,$H472)&amp;"")</f>
        <v/>
      </c>
      <c r="D472" s="5">
        <f>IF($H472="","",IF(INDEX('Journal'!$D$1:$D$2002,$H472)=$B$1,INDEX('Journal'!$E$1:$E$2002,$H472),INDEX('Journal'!$D$1:$D$2002,$H472))&amp;"")</f>
        <v/>
      </c>
      <c r="E472" s="20">
        <f>IF($H472="","",IF(INDEX('Journal'!$D$1:$D$2002,$H472)=$B$1,N(INDEX('Journal'!$G$1:$G$2002,$H472)),N(INDEX('Journal'!$F$1:$F$2002,$H472))))</f>
        <v/>
      </c>
      <c r="F472" s="20">
        <f>IF($H472="","",IF(INDEX('Journal'!$D$1:$D$2002,$H472)=$B$1,N(INDEX('Journal'!$F$1:$F$2002,$H472)),N(INDEX('Journal'!$G$1:$G$2002,$H472))))</f>
        <v/>
      </c>
      <c r="G472" s="20">
        <f>IF($H472="","",G471+E472-F472)</f>
        <v/>
      </c>
      <c r="H472" s="18">
        <f t="array" ref="H472">IF($B$1="","",IFERROR(_xlfn.AGGREGATE(15,6,ROW('Journal'!$A$3:$A$2002)/(('Journal'!$D$3:$D$2002=$B$1)+('Journal'!$E$3:$E$2002=$B$1))/('Journal'!$B$3:$B$2002&gt;=$B$2)/('Journal'!$B$3:$B$2002&lt;=$B$3),467),""))</f>
        <v/>
      </c>
    </row>
    <row r="473">
      <c r="A473" s="18">
        <f>IF($H473="","",INDEX('Journal'!$A$1:$A$2002,$H473))</f>
        <v/>
      </c>
      <c r="B473" s="21">
        <f>IF($H473="","",INDEX('Journal'!$B$1:$B$2002,$H473))</f>
        <v/>
      </c>
      <c r="C473" s="5">
        <f>IF($H473="","",INDEX('Journal'!$C$1:$C$2002,$H473)&amp;"")</f>
        <v/>
      </c>
      <c r="D473" s="5">
        <f>IF($H473="","",IF(INDEX('Journal'!$D$1:$D$2002,$H473)=$B$1,INDEX('Journal'!$E$1:$E$2002,$H473),INDEX('Journal'!$D$1:$D$2002,$H473))&amp;"")</f>
        <v/>
      </c>
      <c r="E473" s="20">
        <f>IF($H473="","",IF(INDEX('Journal'!$D$1:$D$2002,$H473)=$B$1,N(INDEX('Journal'!$G$1:$G$2002,$H473)),N(INDEX('Journal'!$F$1:$F$2002,$H473))))</f>
        <v/>
      </c>
      <c r="F473" s="20">
        <f>IF($H473="","",IF(INDEX('Journal'!$D$1:$D$2002,$H473)=$B$1,N(INDEX('Journal'!$F$1:$F$2002,$H473)),N(INDEX('Journal'!$G$1:$G$2002,$H473))))</f>
        <v/>
      </c>
      <c r="G473" s="20">
        <f>IF($H473="","",G472+E473-F473)</f>
        <v/>
      </c>
      <c r="H473" s="18">
        <f t="array" ref="H473">IF($B$1="","",IFERROR(_xlfn.AGGREGATE(15,6,ROW('Journal'!$A$3:$A$2002)/(('Journal'!$D$3:$D$2002=$B$1)+('Journal'!$E$3:$E$2002=$B$1))/('Journal'!$B$3:$B$2002&gt;=$B$2)/('Journal'!$B$3:$B$2002&lt;=$B$3),468),""))</f>
        <v/>
      </c>
    </row>
    <row r="474">
      <c r="A474" s="18">
        <f>IF($H474="","",INDEX('Journal'!$A$1:$A$2002,$H474))</f>
        <v/>
      </c>
      <c r="B474" s="21">
        <f>IF($H474="","",INDEX('Journal'!$B$1:$B$2002,$H474))</f>
        <v/>
      </c>
      <c r="C474" s="5">
        <f>IF($H474="","",INDEX('Journal'!$C$1:$C$2002,$H474)&amp;"")</f>
        <v/>
      </c>
      <c r="D474" s="5">
        <f>IF($H474="","",IF(INDEX('Journal'!$D$1:$D$2002,$H474)=$B$1,INDEX('Journal'!$E$1:$E$2002,$H474),INDEX('Journal'!$D$1:$D$2002,$H474))&amp;"")</f>
        <v/>
      </c>
      <c r="E474" s="20">
        <f>IF($H474="","",IF(INDEX('Journal'!$D$1:$D$2002,$H474)=$B$1,N(INDEX('Journal'!$G$1:$G$2002,$H474)),N(INDEX('Journal'!$F$1:$F$2002,$H474))))</f>
        <v/>
      </c>
      <c r="F474" s="20">
        <f>IF($H474="","",IF(INDEX('Journal'!$D$1:$D$2002,$H474)=$B$1,N(INDEX('Journal'!$F$1:$F$2002,$H474)),N(INDEX('Journal'!$G$1:$G$2002,$H474))))</f>
        <v/>
      </c>
      <c r="G474" s="20">
        <f>IF($H474="","",G473+E474-F474)</f>
        <v/>
      </c>
      <c r="H474" s="18">
        <f t="array" ref="H474">IF($B$1="","",IFERROR(_xlfn.AGGREGATE(15,6,ROW('Journal'!$A$3:$A$2002)/(('Journal'!$D$3:$D$2002=$B$1)+('Journal'!$E$3:$E$2002=$B$1))/('Journal'!$B$3:$B$2002&gt;=$B$2)/('Journal'!$B$3:$B$2002&lt;=$B$3),469),""))</f>
        <v/>
      </c>
    </row>
    <row r="475">
      <c r="A475" s="18">
        <f>IF($H475="","",INDEX('Journal'!$A$1:$A$2002,$H475))</f>
        <v/>
      </c>
      <c r="B475" s="21">
        <f>IF($H475="","",INDEX('Journal'!$B$1:$B$2002,$H475))</f>
        <v/>
      </c>
      <c r="C475" s="5">
        <f>IF($H475="","",INDEX('Journal'!$C$1:$C$2002,$H475)&amp;"")</f>
        <v/>
      </c>
      <c r="D475" s="5">
        <f>IF($H475="","",IF(INDEX('Journal'!$D$1:$D$2002,$H475)=$B$1,INDEX('Journal'!$E$1:$E$2002,$H475),INDEX('Journal'!$D$1:$D$2002,$H475))&amp;"")</f>
        <v/>
      </c>
      <c r="E475" s="20">
        <f>IF($H475="","",IF(INDEX('Journal'!$D$1:$D$2002,$H475)=$B$1,N(INDEX('Journal'!$G$1:$G$2002,$H475)),N(INDEX('Journal'!$F$1:$F$2002,$H475))))</f>
        <v/>
      </c>
      <c r="F475" s="20">
        <f>IF($H475="","",IF(INDEX('Journal'!$D$1:$D$2002,$H475)=$B$1,N(INDEX('Journal'!$F$1:$F$2002,$H475)),N(INDEX('Journal'!$G$1:$G$2002,$H475))))</f>
        <v/>
      </c>
      <c r="G475" s="20">
        <f>IF($H475="","",G474+E475-F475)</f>
        <v/>
      </c>
      <c r="H475" s="18">
        <f t="array" ref="H475">IF($B$1="","",IFERROR(_xlfn.AGGREGATE(15,6,ROW('Journal'!$A$3:$A$2002)/(('Journal'!$D$3:$D$2002=$B$1)+('Journal'!$E$3:$E$2002=$B$1))/('Journal'!$B$3:$B$2002&gt;=$B$2)/('Journal'!$B$3:$B$2002&lt;=$B$3),470),""))</f>
        <v/>
      </c>
    </row>
    <row r="476">
      <c r="A476" s="18">
        <f>IF($H476="","",INDEX('Journal'!$A$1:$A$2002,$H476))</f>
        <v/>
      </c>
      <c r="B476" s="21">
        <f>IF($H476="","",INDEX('Journal'!$B$1:$B$2002,$H476))</f>
        <v/>
      </c>
      <c r="C476" s="5">
        <f>IF($H476="","",INDEX('Journal'!$C$1:$C$2002,$H476)&amp;"")</f>
        <v/>
      </c>
      <c r="D476" s="5">
        <f>IF($H476="","",IF(INDEX('Journal'!$D$1:$D$2002,$H476)=$B$1,INDEX('Journal'!$E$1:$E$2002,$H476),INDEX('Journal'!$D$1:$D$2002,$H476))&amp;"")</f>
        <v/>
      </c>
      <c r="E476" s="20">
        <f>IF($H476="","",IF(INDEX('Journal'!$D$1:$D$2002,$H476)=$B$1,N(INDEX('Journal'!$G$1:$G$2002,$H476)),N(INDEX('Journal'!$F$1:$F$2002,$H476))))</f>
        <v/>
      </c>
      <c r="F476" s="20">
        <f>IF($H476="","",IF(INDEX('Journal'!$D$1:$D$2002,$H476)=$B$1,N(INDEX('Journal'!$F$1:$F$2002,$H476)),N(INDEX('Journal'!$G$1:$G$2002,$H476))))</f>
        <v/>
      </c>
      <c r="G476" s="20">
        <f>IF($H476="","",G475+E476-F476)</f>
        <v/>
      </c>
      <c r="H476" s="18">
        <f t="array" ref="H476">IF($B$1="","",IFERROR(_xlfn.AGGREGATE(15,6,ROW('Journal'!$A$3:$A$2002)/(('Journal'!$D$3:$D$2002=$B$1)+('Journal'!$E$3:$E$2002=$B$1))/('Journal'!$B$3:$B$2002&gt;=$B$2)/('Journal'!$B$3:$B$2002&lt;=$B$3),471),""))</f>
        <v/>
      </c>
    </row>
    <row r="477">
      <c r="A477" s="18">
        <f>IF($H477="","",INDEX('Journal'!$A$1:$A$2002,$H477))</f>
        <v/>
      </c>
      <c r="B477" s="21">
        <f>IF($H477="","",INDEX('Journal'!$B$1:$B$2002,$H477))</f>
        <v/>
      </c>
      <c r="C477" s="5">
        <f>IF($H477="","",INDEX('Journal'!$C$1:$C$2002,$H477)&amp;"")</f>
        <v/>
      </c>
      <c r="D477" s="5">
        <f>IF($H477="","",IF(INDEX('Journal'!$D$1:$D$2002,$H477)=$B$1,INDEX('Journal'!$E$1:$E$2002,$H477),INDEX('Journal'!$D$1:$D$2002,$H477))&amp;"")</f>
        <v/>
      </c>
      <c r="E477" s="20">
        <f>IF($H477="","",IF(INDEX('Journal'!$D$1:$D$2002,$H477)=$B$1,N(INDEX('Journal'!$G$1:$G$2002,$H477)),N(INDEX('Journal'!$F$1:$F$2002,$H477))))</f>
        <v/>
      </c>
      <c r="F477" s="20">
        <f>IF($H477="","",IF(INDEX('Journal'!$D$1:$D$2002,$H477)=$B$1,N(INDEX('Journal'!$F$1:$F$2002,$H477)),N(INDEX('Journal'!$G$1:$G$2002,$H477))))</f>
        <v/>
      </c>
      <c r="G477" s="20">
        <f>IF($H477="","",G476+E477-F477)</f>
        <v/>
      </c>
      <c r="H477" s="18">
        <f t="array" ref="H477">IF($B$1="","",IFERROR(_xlfn.AGGREGATE(15,6,ROW('Journal'!$A$3:$A$2002)/(('Journal'!$D$3:$D$2002=$B$1)+('Journal'!$E$3:$E$2002=$B$1))/('Journal'!$B$3:$B$2002&gt;=$B$2)/('Journal'!$B$3:$B$2002&lt;=$B$3),472),""))</f>
        <v/>
      </c>
    </row>
    <row r="478">
      <c r="A478" s="18">
        <f>IF($H478="","",INDEX('Journal'!$A$1:$A$2002,$H478))</f>
        <v/>
      </c>
      <c r="B478" s="21">
        <f>IF($H478="","",INDEX('Journal'!$B$1:$B$2002,$H478))</f>
        <v/>
      </c>
      <c r="C478" s="5">
        <f>IF($H478="","",INDEX('Journal'!$C$1:$C$2002,$H478)&amp;"")</f>
        <v/>
      </c>
      <c r="D478" s="5">
        <f>IF($H478="","",IF(INDEX('Journal'!$D$1:$D$2002,$H478)=$B$1,INDEX('Journal'!$E$1:$E$2002,$H478),INDEX('Journal'!$D$1:$D$2002,$H478))&amp;"")</f>
        <v/>
      </c>
      <c r="E478" s="20">
        <f>IF($H478="","",IF(INDEX('Journal'!$D$1:$D$2002,$H478)=$B$1,N(INDEX('Journal'!$G$1:$G$2002,$H478)),N(INDEX('Journal'!$F$1:$F$2002,$H478))))</f>
        <v/>
      </c>
      <c r="F478" s="20">
        <f>IF($H478="","",IF(INDEX('Journal'!$D$1:$D$2002,$H478)=$B$1,N(INDEX('Journal'!$F$1:$F$2002,$H478)),N(INDEX('Journal'!$G$1:$G$2002,$H478))))</f>
        <v/>
      </c>
      <c r="G478" s="20">
        <f>IF($H478="","",G477+E478-F478)</f>
        <v/>
      </c>
      <c r="H478" s="18">
        <f t="array" ref="H478">IF($B$1="","",IFERROR(_xlfn.AGGREGATE(15,6,ROW('Journal'!$A$3:$A$2002)/(('Journal'!$D$3:$D$2002=$B$1)+('Journal'!$E$3:$E$2002=$B$1))/('Journal'!$B$3:$B$2002&gt;=$B$2)/('Journal'!$B$3:$B$2002&lt;=$B$3),473),""))</f>
        <v/>
      </c>
    </row>
    <row r="479">
      <c r="A479" s="18">
        <f>IF($H479="","",INDEX('Journal'!$A$1:$A$2002,$H479))</f>
        <v/>
      </c>
      <c r="B479" s="21">
        <f>IF($H479="","",INDEX('Journal'!$B$1:$B$2002,$H479))</f>
        <v/>
      </c>
      <c r="C479" s="5">
        <f>IF($H479="","",INDEX('Journal'!$C$1:$C$2002,$H479)&amp;"")</f>
        <v/>
      </c>
      <c r="D479" s="5">
        <f>IF($H479="","",IF(INDEX('Journal'!$D$1:$D$2002,$H479)=$B$1,INDEX('Journal'!$E$1:$E$2002,$H479),INDEX('Journal'!$D$1:$D$2002,$H479))&amp;"")</f>
        <v/>
      </c>
      <c r="E479" s="20">
        <f>IF($H479="","",IF(INDEX('Journal'!$D$1:$D$2002,$H479)=$B$1,N(INDEX('Journal'!$G$1:$G$2002,$H479)),N(INDEX('Journal'!$F$1:$F$2002,$H479))))</f>
        <v/>
      </c>
      <c r="F479" s="20">
        <f>IF($H479="","",IF(INDEX('Journal'!$D$1:$D$2002,$H479)=$B$1,N(INDEX('Journal'!$F$1:$F$2002,$H479)),N(INDEX('Journal'!$G$1:$G$2002,$H479))))</f>
        <v/>
      </c>
      <c r="G479" s="20">
        <f>IF($H479="","",G478+E479-F479)</f>
        <v/>
      </c>
      <c r="H479" s="18">
        <f t="array" ref="H479">IF($B$1="","",IFERROR(_xlfn.AGGREGATE(15,6,ROW('Journal'!$A$3:$A$2002)/(('Journal'!$D$3:$D$2002=$B$1)+('Journal'!$E$3:$E$2002=$B$1))/('Journal'!$B$3:$B$2002&gt;=$B$2)/('Journal'!$B$3:$B$2002&lt;=$B$3),474),""))</f>
        <v/>
      </c>
    </row>
    <row r="480">
      <c r="A480" s="18">
        <f>IF($H480="","",INDEX('Journal'!$A$1:$A$2002,$H480))</f>
        <v/>
      </c>
      <c r="B480" s="21">
        <f>IF($H480="","",INDEX('Journal'!$B$1:$B$2002,$H480))</f>
        <v/>
      </c>
      <c r="C480" s="5">
        <f>IF($H480="","",INDEX('Journal'!$C$1:$C$2002,$H480)&amp;"")</f>
        <v/>
      </c>
      <c r="D480" s="5">
        <f>IF($H480="","",IF(INDEX('Journal'!$D$1:$D$2002,$H480)=$B$1,INDEX('Journal'!$E$1:$E$2002,$H480),INDEX('Journal'!$D$1:$D$2002,$H480))&amp;"")</f>
        <v/>
      </c>
      <c r="E480" s="20">
        <f>IF($H480="","",IF(INDEX('Journal'!$D$1:$D$2002,$H480)=$B$1,N(INDEX('Journal'!$G$1:$G$2002,$H480)),N(INDEX('Journal'!$F$1:$F$2002,$H480))))</f>
        <v/>
      </c>
      <c r="F480" s="20">
        <f>IF($H480="","",IF(INDEX('Journal'!$D$1:$D$2002,$H480)=$B$1,N(INDEX('Journal'!$F$1:$F$2002,$H480)),N(INDEX('Journal'!$G$1:$G$2002,$H480))))</f>
        <v/>
      </c>
      <c r="G480" s="20">
        <f>IF($H480="","",G479+E480-F480)</f>
        <v/>
      </c>
      <c r="H480" s="18">
        <f t="array" ref="H480">IF($B$1="","",IFERROR(_xlfn.AGGREGATE(15,6,ROW('Journal'!$A$3:$A$2002)/(('Journal'!$D$3:$D$2002=$B$1)+('Journal'!$E$3:$E$2002=$B$1))/('Journal'!$B$3:$B$2002&gt;=$B$2)/('Journal'!$B$3:$B$2002&lt;=$B$3),475),""))</f>
        <v/>
      </c>
    </row>
    <row r="481">
      <c r="A481" s="18">
        <f>IF($H481="","",INDEX('Journal'!$A$1:$A$2002,$H481))</f>
        <v/>
      </c>
      <c r="B481" s="21">
        <f>IF($H481="","",INDEX('Journal'!$B$1:$B$2002,$H481))</f>
        <v/>
      </c>
      <c r="C481" s="5">
        <f>IF($H481="","",INDEX('Journal'!$C$1:$C$2002,$H481)&amp;"")</f>
        <v/>
      </c>
      <c r="D481" s="5">
        <f>IF($H481="","",IF(INDEX('Journal'!$D$1:$D$2002,$H481)=$B$1,INDEX('Journal'!$E$1:$E$2002,$H481),INDEX('Journal'!$D$1:$D$2002,$H481))&amp;"")</f>
        <v/>
      </c>
      <c r="E481" s="20">
        <f>IF($H481="","",IF(INDEX('Journal'!$D$1:$D$2002,$H481)=$B$1,N(INDEX('Journal'!$G$1:$G$2002,$H481)),N(INDEX('Journal'!$F$1:$F$2002,$H481))))</f>
        <v/>
      </c>
      <c r="F481" s="20">
        <f>IF($H481="","",IF(INDEX('Journal'!$D$1:$D$2002,$H481)=$B$1,N(INDEX('Journal'!$F$1:$F$2002,$H481)),N(INDEX('Journal'!$G$1:$G$2002,$H481))))</f>
        <v/>
      </c>
      <c r="G481" s="20">
        <f>IF($H481="","",G480+E481-F481)</f>
        <v/>
      </c>
      <c r="H481" s="18">
        <f t="array" ref="H481">IF($B$1="","",IFERROR(_xlfn.AGGREGATE(15,6,ROW('Journal'!$A$3:$A$2002)/(('Journal'!$D$3:$D$2002=$B$1)+('Journal'!$E$3:$E$2002=$B$1))/('Journal'!$B$3:$B$2002&gt;=$B$2)/('Journal'!$B$3:$B$2002&lt;=$B$3),476),""))</f>
        <v/>
      </c>
    </row>
    <row r="482">
      <c r="A482" s="18">
        <f>IF($H482="","",INDEX('Journal'!$A$1:$A$2002,$H482))</f>
        <v/>
      </c>
      <c r="B482" s="21">
        <f>IF($H482="","",INDEX('Journal'!$B$1:$B$2002,$H482))</f>
        <v/>
      </c>
      <c r="C482" s="5">
        <f>IF($H482="","",INDEX('Journal'!$C$1:$C$2002,$H482)&amp;"")</f>
        <v/>
      </c>
      <c r="D482" s="5">
        <f>IF($H482="","",IF(INDEX('Journal'!$D$1:$D$2002,$H482)=$B$1,INDEX('Journal'!$E$1:$E$2002,$H482),INDEX('Journal'!$D$1:$D$2002,$H482))&amp;"")</f>
        <v/>
      </c>
      <c r="E482" s="20">
        <f>IF($H482="","",IF(INDEX('Journal'!$D$1:$D$2002,$H482)=$B$1,N(INDEX('Journal'!$G$1:$G$2002,$H482)),N(INDEX('Journal'!$F$1:$F$2002,$H482))))</f>
        <v/>
      </c>
      <c r="F482" s="20">
        <f>IF($H482="","",IF(INDEX('Journal'!$D$1:$D$2002,$H482)=$B$1,N(INDEX('Journal'!$F$1:$F$2002,$H482)),N(INDEX('Journal'!$G$1:$G$2002,$H482))))</f>
        <v/>
      </c>
      <c r="G482" s="20">
        <f>IF($H482="","",G481+E482-F482)</f>
        <v/>
      </c>
      <c r="H482" s="18">
        <f t="array" ref="H482">IF($B$1="","",IFERROR(_xlfn.AGGREGATE(15,6,ROW('Journal'!$A$3:$A$2002)/(('Journal'!$D$3:$D$2002=$B$1)+('Journal'!$E$3:$E$2002=$B$1))/('Journal'!$B$3:$B$2002&gt;=$B$2)/('Journal'!$B$3:$B$2002&lt;=$B$3),477),""))</f>
        <v/>
      </c>
    </row>
    <row r="483">
      <c r="A483" s="18">
        <f>IF($H483="","",INDEX('Journal'!$A$1:$A$2002,$H483))</f>
        <v/>
      </c>
      <c r="B483" s="21">
        <f>IF($H483="","",INDEX('Journal'!$B$1:$B$2002,$H483))</f>
        <v/>
      </c>
      <c r="C483" s="5">
        <f>IF($H483="","",INDEX('Journal'!$C$1:$C$2002,$H483)&amp;"")</f>
        <v/>
      </c>
      <c r="D483" s="5">
        <f>IF($H483="","",IF(INDEX('Journal'!$D$1:$D$2002,$H483)=$B$1,INDEX('Journal'!$E$1:$E$2002,$H483),INDEX('Journal'!$D$1:$D$2002,$H483))&amp;"")</f>
        <v/>
      </c>
      <c r="E483" s="20">
        <f>IF($H483="","",IF(INDEX('Journal'!$D$1:$D$2002,$H483)=$B$1,N(INDEX('Journal'!$G$1:$G$2002,$H483)),N(INDEX('Journal'!$F$1:$F$2002,$H483))))</f>
        <v/>
      </c>
      <c r="F483" s="20">
        <f>IF($H483="","",IF(INDEX('Journal'!$D$1:$D$2002,$H483)=$B$1,N(INDEX('Journal'!$F$1:$F$2002,$H483)),N(INDEX('Journal'!$G$1:$G$2002,$H483))))</f>
        <v/>
      </c>
      <c r="G483" s="20">
        <f>IF($H483="","",G482+E483-F483)</f>
        <v/>
      </c>
      <c r="H483" s="18">
        <f t="array" ref="H483">IF($B$1="","",IFERROR(_xlfn.AGGREGATE(15,6,ROW('Journal'!$A$3:$A$2002)/(('Journal'!$D$3:$D$2002=$B$1)+('Journal'!$E$3:$E$2002=$B$1))/('Journal'!$B$3:$B$2002&gt;=$B$2)/('Journal'!$B$3:$B$2002&lt;=$B$3),478),""))</f>
        <v/>
      </c>
    </row>
    <row r="484">
      <c r="A484" s="18">
        <f>IF($H484="","",INDEX('Journal'!$A$1:$A$2002,$H484))</f>
        <v/>
      </c>
      <c r="B484" s="21">
        <f>IF($H484="","",INDEX('Journal'!$B$1:$B$2002,$H484))</f>
        <v/>
      </c>
      <c r="C484" s="5">
        <f>IF($H484="","",INDEX('Journal'!$C$1:$C$2002,$H484)&amp;"")</f>
        <v/>
      </c>
      <c r="D484" s="5">
        <f>IF($H484="","",IF(INDEX('Journal'!$D$1:$D$2002,$H484)=$B$1,INDEX('Journal'!$E$1:$E$2002,$H484),INDEX('Journal'!$D$1:$D$2002,$H484))&amp;"")</f>
        <v/>
      </c>
      <c r="E484" s="20">
        <f>IF($H484="","",IF(INDEX('Journal'!$D$1:$D$2002,$H484)=$B$1,N(INDEX('Journal'!$G$1:$G$2002,$H484)),N(INDEX('Journal'!$F$1:$F$2002,$H484))))</f>
        <v/>
      </c>
      <c r="F484" s="20">
        <f>IF($H484="","",IF(INDEX('Journal'!$D$1:$D$2002,$H484)=$B$1,N(INDEX('Journal'!$F$1:$F$2002,$H484)),N(INDEX('Journal'!$G$1:$G$2002,$H484))))</f>
        <v/>
      </c>
      <c r="G484" s="20">
        <f>IF($H484="","",G483+E484-F484)</f>
        <v/>
      </c>
      <c r="H484" s="18">
        <f t="array" ref="H484">IF($B$1="","",IFERROR(_xlfn.AGGREGATE(15,6,ROW('Journal'!$A$3:$A$2002)/(('Journal'!$D$3:$D$2002=$B$1)+('Journal'!$E$3:$E$2002=$B$1))/('Journal'!$B$3:$B$2002&gt;=$B$2)/('Journal'!$B$3:$B$2002&lt;=$B$3),479),""))</f>
        <v/>
      </c>
    </row>
    <row r="485">
      <c r="A485" s="18">
        <f>IF($H485="","",INDEX('Journal'!$A$1:$A$2002,$H485))</f>
        <v/>
      </c>
      <c r="B485" s="21">
        <f>IF($H485="","",INDEX('Journal'!$B$1:$B$2002,$H485))</f>
        <v/>
      </c>
      <c r="C485" s="5">
        <f>IF($H485="","",INDEX('Journal'!$C$1:$C$2002,$H485)&amp;"")</f>
        <v/>
      </c>
      <c r="D485" s="5">
        <f>IF($H485="","",IF(INDEX('Journal'!$D$1:$D$2002,$H485)=$B$1,INDEX('Journal'!$E$1:$E$2002,$H485),INDEX('Journal'!$D$1:$D$2002,$H485))&amp;"")</f>
        <v/>
      </c>
      <c r="E485" s="20">
        <f>IF($H485="","",IF(INDEX('Journal'!$D$1:$D$2002,$H485)=$B$1,N(INDEX('Journal'!$G$1:$G$2002,$H485)),N(INDEX('Journal'!$F$1:$F$2002,$H485))))</f>
        <v/>
      </c>
      <c r="F485" s="20">
        <f>IF($H485="","",IF(INDEX('Journal'!$D$1:$D$2002,$H485)=$B$1,N(INDEX('Journal'!$F$1:$F$2002,$H485)),N(INDEX('Journal'!$G$1:$G$2002,$H485))))</f>
        <v/>
      </c>
      <c r="G485" s="20">
        <f>IF($H485="","",G484+E485-F485)</f>
        <v/>
      </c>
      <c r="H485" s="18">
        <f t="array" ref="H485">IF($B$1="","",IFERROR(_xlfn.AGGREGATE(15,6,ROW('Journal'!$A$3:$A$2002)/(('Journal'!$D$3:$D$2002=$B$1)+('Journal'!$E$3:$E$2002=$B$1))/('Journal'!$B$3:$B$2002&gt;=$B$2)/('Journal'!$B$3:$B$2002&lt;=$B$3),480),""))</f>
        <v/>
      </c>
    </row>
    <row r="486">
      <c r="A486" s="18">
        <f>IF($H486="","",INDEX('Journal'!$A$1:$A$2002,$H486))</f>
        <v/>
      </c>
      <c r="B486" s="21">
        <f>IF($H486="","",INDEX('Journal'!$B$1:$B$2002,$H486))</f>
        <v/>
      </c>
      <c r="C486" s="5">
        <f>IF($H486="","",INDEX('Journal'!$C$1:$C$2002,$H486)&amp;"")</f>
        <v/>
      </c>
      <c r="D486" s="5">
        <f>IF($H486="","",IF(INDEX('Journal'!$D$1:$D$2002,$H486)=$B$1,INDEX('Journal'!$E$1:$E$2002,$H486),INDEX('Journal'!$D$1:$D$2002,$H486))&amp;"")</f>
        <v/>
      </c>
      <c r="E486" s="20">
        <f>IF($H486="","",IF(INDEX('Journal'!$D$1:$D$2002,$H486)=$B$1,N(INDEX('Journal'!$G$1:$G$2002,$H486)),N(INDEX('Journal'!$F$1:$F$2002,$H486))))</f>
        <v/>
      </c>
      <c r="F486" s="20">
        <f>IF($H486="","",IF(INDEX('Journal'!$D$1:$D$2002,$H486)=$B$1,N(INDEX('Journal'!$F$1:$F$2002,$H486)),N(INDEX('Journal'!$G$1:$G$2002,$H486))))</f>
        <v/>
      </c>
      <c r="G486" s="20">
        <f>IF($H486="","",G485+E486-F486)</f>
        <v/>
      </c>
      <c r="H486" s="18">
        <f t="array" ref="H486">IF($B$1="","",IFERROR(_xlfn.AGGREGATE(15,6,ROW('Journal'!$A$3:$A$2002)/(('Journal'!$D$3:$D$2002=$B$1)+('Journal'!$E$3:$E$2002=$B$1))/('Journal'!$B$3:$B$2002&gt;=$B$2)/('Journal'!$B$3:$B$2002&lt;=$B$3),481),""))</f>
        <v/>
      </c>
    </row>
    <row r="487">
      <c r="A487" s="18">
        <f>IF($H487="","",INDEX('Journal'!$A$1:$A$2002,$H487))</f>
        <v/>
      </c>
      <c r="B487" s="21">
        <f>IF($H487="","",INDEX('Journal'!$B$1:$B$2002,$H487))</f>
        <v/>
      </c>
      <c r="C487" s="5">
        <f>IF($H487="","",INDEX('Journal'!$C$1:$C$2002,$H487)&amp;"")</f>
        <v/>
      </c>
      <c r="D487" s="5">
        <f>IF($H487="","",IF(INDEX('Journal'!$D$1:$D$2002,$H487)=$B$1,INDEX('Journal'!$E$1:$E$2002,$H487),INDEX('Journal'!$D$1:$D$2002,$H487))&amp;"")</f>
        <v/>
      </c>
      <c r="E487" s="20">
        <f>IF($H487="","",IF(INDEX('Journal'!$D$1:$D$2002,$H487)=$B$1,N(INDEX('Journal'!$G$1:$G$2002,$H487)),N(INDEX('Journal'!$F$1:$F$2002,$H487))))</f>
        <v/>
      </c>
      <c r="F487" s="20">
        <f>IF($H487="","",IF(INDEX('Journal'!$D$1:$D$2002,$H487)=$B$1,N(INDEX('Journal'!$F$1:$F$2002,$H487)),N(INDEX('Journal'!$G$1:$G$2002,$H487))))</f>
        <v/>
      </c>
      <c r="G487" s="20">
        <f>IF($H487="","",G486+E487-F487)</f>
        <v/>
      </c>
      <c r="H487" s="18">
        <f t="array" ref="H487">IF($B$1="","",IFERROR(_xlfn.AGGREGATE(15,6,ROW('Journal'!$A$3:$A$2002)/(('Journal'!$D$3:$D$2002=$B$1)+('Journal'!$E$3:$E$2002=$B$1))/('Journal'!$B$3:$B$2002&gt;=$B$2)/('Journal'!$B$3:$B$2002&lt;=$B$3),482),""))</f>
        <v/>
      </c>
    </row>
    <row r="488">
      <c r="A488" s="18">
        <f>IF($H488="","",INDEX('Journal'!$A$1:$A$2002,$H488))</f>
        <v/>
      </c>
      <c r="B488" s="21">
        <f>IF($H488="","",INDEX('Journal'!$B$1:$B$2002,$H488))</f>
        <v/>
      </c>
      <c r="C488" s="5">
        <f>IF($H488="","",INDEX('Journal'!$C$1:$C$2002,$H488)&amp;"")</f>
        <v/>
      </c>
      <c r="D488" s="5">
        <f>IF($H488="","",IF(INDEX('Journal'!$D$1:$D$2002,$H488)=$B$1,INDEX('Journal'!$E$1:$E$2002,$H488),INDEX('Journal'!$D$1:$D$2002,$H488))&amp;"")</f>
        <v/>
      </c>
      <c r="E488" s="20">
        <f>IF($H488="","",IF(INDEX('Journal'!$D$1:$D$2002,$H488)=$B$1,N(INDEX('Journal'!$G$1:$G$2002,$H488)),N(INDEX('Journal'!$F$1:$F$2002,$H488))))</f>
        <v/>
      </c>
      <c r="F488" s="20">
        <f>IF($H488="","",IF(INDEX('Journal'!$D$1:$D$2002,$H488)=$B$1,N(INDEX('Journal'!$F$1:$F$2002,$H488)),N(INDEX('Journal'!$G$1:$G$2002,$H488))))</f>
        <v/>
      </c>
      <c r="G488" s="20">
        <f>IF($H488="","",G487+E488-F488)</f>
        <v/>
      </c>
      <c r="H488" s="18">
        <f t="array" ref="H488">IF($B$1="","",IFERROR(_xlfn.AGGREGATE(15,6,ROW('Journal'!$A$3:$A$2002)/(('Journal'!$D$3:$D$2002=$B$1)+('Journal'!$E$3:$E$2002=$B$1))/('Journal'!$B$3:$B$2002&gt;=$B$2)/('Journal'!$B$3:$B$2002&lt;=$B$3),483),""))</f>
        <v/>
      </c>
    </row>
    <row r="489">
      <c r="A489" s="18">
        <f>IF($H489="","",INDEX('Journal'!$A$1:$A$2002,$H489))</f>
        <v/>
      </c>
      <c r="B489" s="21">
        <f>IF($H489="","",INDEX('Journal'!$B$1:$B$2002,$H489))</f>
        <v/>
      </c>
      <c r="C489" s="5">
        <f>IF($H489="","",INDEX('Journal'!$C$1:$C$2002,$H489)&amp;"")</f>
        <v/>
      </c>
      <c r="D489" s="5">
        <f>IF($H489="","",IF(INDEX('Journal'!$D$1:$D$2002,$H489)=$B$1,INDEX('Journal'!$E$1:$E$2002,$H489),INDEX('Journal'!$D$1:$D$2002,$H489))&amp;"")</f>
        <v/>
      </c>
      <c r="E489" s="20">
        <f>IF($H489="","",IF(INDEX('Journal'!$D$1:$D$2002,$H489)=$B$1,N(INDEX('Journal'!$G$1:$G$2002,$H489)),N(INDEX('Journal'!$F$1:$F$2002,$H489))))</f>
        <v/>
      </c>
      <c r="F489" s="20">
        <f>IF($H489="","",IF(INDEX('Journal'!$D$1:$D$2002,$H489)=$B$1,N(INDEX('Journal'!$F$1:$F$2002,$H489)),N(INDEX('Journal'!$G$1:$G$2002,$H489))))</f>
        <v/>
      </c>
      <c r="G489" s="20">
        <f>IF($H489="","",G488+E489-F489)</f>
        <v/>
      </c>
      <c r="H489" s="18">
        <f t="array" ref="H489">IF($B$1="","",IFERROR(_xlfn.AGGREGATE(15,6,ROW('Journal'!$A$3:$A$2002)/(('Journal'!$D$3:$D$2002=$B$1)+('Journal'!$E$3:$E$2002=$B$1))/('Journal'!$B$3:$B$2002&gt;=$B$2)/('Journal'!$B$3:$B$2002&lt;=$B$3),484),""))</f>
        <v/>
      </c>
    </row>
    <row r="490">
      <c r="A490" s="18">
        <f>IF($H490="","",INDEX('Journal'!$A$1:$A$2002,$H490))</f>
        <v/>
      </c>
      <c r="B490" s="21">
        <f>IF($H490="","",INDEX('Journal'!$B$1:$B$2002,$H490))</f>
        <v/>
      </c>
      <c r="C490" s="5">
        <f>IF($H490="","",INDEX('Journal'!$C$1:$C$2002,$H490)&amp;"")</f>
        <v/>
      </c>
      <c r="D490" s="5">
        <f>IF($H490="","",IF(INDEX('Journal'!$D$1:$D$2002,$H490)=$B$1,INDEX('Journal'!$E$1:$E$2002,$H490),INDEX('Journal'!$D$1:$D$2002,$H490))&amp;"")</f>
        <v/>
      </c>
      <c r="E490" s="20">
        <f>IF($H490="","",IF(INDEX('Journal'!$D$1:$D$2002,$H490)=$B$1,N(INDEX('Journal'!$G$1:$G$2002,$H490)),N(INDEX('Journal'!$F$1:$F$2002,$H490))))</f>
        <v/>
      </c>
      <c r="F490" s="20">
        <f>IF($H490="","",IF(INDEX('Journal'!$D$1:$D$2002,$H490)=$B$1,N(INDEX('Journal'!$F$1:$F$2002,$H490)),N(INDEX('Journal'!$G$1:$G$2002,$H490))))</f>
        <v/>
      </c>
      <c r="G490" s="20">
        <f>IF($H490="","",G489+E490-F490)</f>
        <v/>
      </c>
      <c r="H490" s="18">
        <f t="array" ref="H490">IF($B$1="","",IFERROR(_xlfn.AGGREGATE(15,6,ROW('Journal'!$A$3:$A$2002)/(('Journal'!$D$3:$D$2002=$B$1)+('Journal'!$E$3:$E$2002=$B$1))/('Journal'!$B$3:$B$2002&gt;=$B$2)/('Journal'!$B$3:$B$2002&lt;=$B$3),485),""))</f>
        <v/>
      </c>
    </row>
    <row r="491">
      <c r="A491" s="18">
        <f>IF($H491="","",INDEX('Journal'!$A$1:$A$2002,$H491))</f>
        <v/>
      </c>
      <c r="B491" s="21">
        <f>IF($H491="","",INDEX('Journal'!$B$1:$B$2002,$H491))</f>
        <v/>
      </c>
      <c r="C491" s="5">
        <f>IF($H491="","",INDEX('Journal'!$C$1:$C$2002,$H491)&amp;"")</f>
        <v/>
      </c>
      <c r="D491" s="5">
        <f>IF($H491="","",IF(INDEX('Journal'!$D$1:$D$2002,$H491)=$B$1,INDEX('Journal'!$E$1:$E$2002,$H491),INDEX('Journal'!$D$1:$D$2002,$H491))&amp;"")</f>
        <v/>
      </c>
      <c r="E491" s="20">
        <f>IF($H491="","",IF(INDEX('Journal'!$D$1:$D$2002,$H491)=$B$1,N(INDEX('Journal'!$G$1:$G$2002,$H491)),N(INDEX('Journal'!$F$1:$F$2002,$H491))))</f>
        <v/>
      </c>
      <c r="F491" s="20">
        <f>IF($H491="","",IF(INDEX('Journal'!$D$1:$D$2002,$H491)=$B$1,N(INDEX('Journal'!$F$1:$F$2002,$H491)),N(INDEX('Journal'!$G$1:$G$2002,$H491))))</f>
        <v/>
      </c>
      <c r="G491" s="20">
        <f>IF($H491="","",G490+E491-F491)</f>
        <v/>
      </c>
      <c r="H491" s="18">
        <f t="array" ref="H491">IF($B$1="","",IFERROR(_xlfn.AGGREGATE(15,6,ROW('Journal'!$A$3:$A$2002)/(('Journal'!$D$3:$D$2002=$B$1)+('Journal'!$E$3:$E$2002=$B$1))/('Journal'!$B$3:$B$2002&gt;=$B$2)/('Journal'!$B$3:$B$2002&lt;=$B$3),486),""))</f>
        <v/>
      </c>
    </row>
    <row r="492">
      <c r="A492" s="18">
        <f>IF($H492="","",INDEX('Journal'!$A$1:$A$2002,$H492))</f>
        <v/>
      </c>
      <c r="B492" s="21">
        <f>IF($H492="","",INDEX('Journal'!$B$1:$B$2002,$H492))</f>
        <v/>
      </c>
      <c r="C492" s="5">
        <f>IF($H492="","",INDEX('Journal'!$C$1:$C$2002,$H492)&amp;"")</f>
        <v/>
      </c>
      <c r="D492" s="5">
        <f>IF($H492="","",IF(INDEX('Journal'!$D$1:$D$2002,$H492)=$B$1,INDEX('Journal'!$E$1:$E$2002,$H492),INDEX('Journal'!$D$1:$D$2002,$H492))&amp;"")</f>
        <v/>
      </c>
      <c r="E492" s="20">
        <f>IF($H492="","",IF(INDEX('Journal'!$D$1:$D$2002,$H492)=$B$1,N(INDEX('Journal'!$G$1:$G$2002,$H492)),N(INDEX('Journal'!$F$1:$F$2002,$H492))))</f>
        <v/>
      </c>
      <c r="F492" s="20">
        <f>IF($H492="","",IF(INDEX('Journal'!$D$1:$D$2002,$H492)=$B$1,N(INDEX('Journal'!$F$1:$F$2002,$H492)),N(INDEX('Journal'!$G$1:$G$2002,$H492))))</f>
        <v/>
      </c>
      <c r="G492" s="20">
        <f>IF($H492="","",G491+E492-F492)</f>
        <v/>
      </c>
      <c r="H492" s="18">
        <f t="array" ref="H492">IF($B$1="","",IFERROR(_xlfn.AGGREGATE(15,6,ROW('Journal'!$A$3:$A$2002)/(('Journal'!$D$3:$D$2002=$B$1)+('Journal'!$E$3:$E$2002=$B$1))/('Journal'!$B$3:$B$2002&gt;=$B$2)/('Journal'!$B$3:$B$2002&lt;=$B$3),487),""))</f>
        <v/>
      </c>
    </row>
    <row r="493">
      <c r="A493" s="18">
        <f>IF($H493="","",INDEX('Journal'!$A$1:$A$2002,$H493))</f>
        <v/>
      </c>
      <c r="B493" s="21">
        <f>IF($H493="","",INDEX('Journal'!$B$1:$B$2002,$H493))</f>
        <v/>
      </c>
      <c r="C493" s="5">
        <f>IF($H493="","",INDEX('Journal'!$C$1:$C$2002,$H493)&amp;"")</f>
        <v/>
      </c>
      <c r="D493" s="5">
        <f>IF($H493="","",IF(INDEX('Journal'!$D$1:$D$2002,$H493)=$B$1,INDEX('Journal'!$E$1:$E$2002,$H493),INDEX('Journal'!$D$1:$D$2002,$H493))&amp;"")</f>
        <v/>
      </c>
      <c r="E493" s="20">
        <f>IF($H493="","",IF(INDEX('Journal'!$D$1:$D$2002,$H493)=$B$1,N(INDEX('Journal'!$G$1:$G$2002,$H493)),N(INDEX('Journal'!$F$1:$F$2002,$H493))))</f>
        <v/>
      </c>
      <c r="F493" s="20">
        <f>IF($H493="","",IF(INDEX('Journal'!$D$1:$D$2002,$H493)=$B$1,N(INDEX('Journal'!$F$1:$F$2002,$H493)),N(INDEX('Journal'!$G$1:$G$2002,$H493))))</f>
        <v/>
      </c>
      <c r="G493" s="20">
        <f>IF($H493="","",G492+E493-F493)</f>
        <v/>
      </c>
      <c r="H493" s="18">
        <f t="array" ref="H493">IF($B$1="","",IFERROR(_xlfn.AGGREGATE(15,6,ROW('Journal'!$A$3:$A$2002)/(('Journal'!$D$3:$D$2002=$B$1)+('Journal'!$E$3:$E$2002=$B$1))/('Journal'!$B$3:$B$2002&gt;=$B$2)/('Journal'!$B$3:$B$2002&lt;=$B$3),488),""))</f>
        <v/>
      </c>
    </row>
    <row r="494">
      <c r="A494" s="18">
        <f>IF($H494="","",INDEX('Journal'!$A$1:$A$2002,$H494))</f>
        <v/>
      </c>
      <c r="B494" s="21">
        <f>IF($H494="","",INDEX('Journal'!$B$1:$B$2002,$H494))</f>
        <v/>
      </c>
      <c r="C494" s="5">
        <f>IF($H494="","",INDEX('Journal'!$C$1:$C$2002,$H494)&amp;"")</f>
        <v/>
      </c>
      <c r="D494" s="5">
        <f>IF($H494="","",IF(INDEX('Journal'!$D$1:$D$2002,$H494)=$B$1,INDEX('Journal'!$E$1:$E$2002,$H494),INDEX('Journal'!$D$1:$D$2002,$H494))&amp;"")</f>
        <v/>
      </c>
      <c r="E494" s="20">
        <f>IF($H494="","",IF(INDEX('Journal'!$D$1:$D$2002,$H494)=$B$1,N(INDEX('Journal'!$G$1:$G$2002,$H494)),N(INDEX('Journal'!$F$1:$F$2002,$H494))))</f>
        <v/>
      </c>
      <c r="F494" s="20">
        <f>IF($H494="","",IF(INDEX('Journal'!$D$1:$D$2002,$H494)=$B$1,N(INDEX('Journal'!$F$1:$F$2002,$H494)),N(INDEX('Journal'!$G$1:$G$2002,$H494))))</f>
        <v/>
      </c>
      <c r="G494" s="20">
        <f>IF($H494="","",G493+E494-F494)</f>
        <v/>
      </c>
      <c r="H494" s="18">
        <f t="array" ref="H494">IF($B$1="","",IFERROR(_xlfn.AGGREGATE(15,6,ROW('Journal'!$A$3:$A$2002)/(('Journal'!$D$3:$D$2002=$B$1)+('Journal'!$E$3:$E$2002=$B$1))/('Journal'!$B$3:$B$2002&gt;=$B$2)/('Journal'!$B$3:$B$2002&lt;=$B$3),489),""))</f>
        <v/>
      </c>
    </row>
    <row r="495">
      <c r="A495" s="18">
        <f>IF($H495="","",INDEX('Journal'!$A$1:$A$2002,$H495))</f>
        <v/>
      </c>
      <c r="B495" s="21">
        <f>IF($H495="","",INDEX('Journal'!$B$1:$B$2002,$H495))</f>
        <v/>
      </c>
      <c r="C495" s="5">
        <f>IF($H495="","",INDEX('Journal'!$C$1:$C$2002,$H495)&amp;"")</f>
        <v/>
      </c>
      <c r="D495" s="5">
        <f>IF($H495="","",IF(INDEX('Journal'!$D$1:$D$2002,$H495)=$B$1,INDEX('Journal'!$E$1:$E$2002,$H495),INDEX('Journal'!$D$1:$D$2002,$H495))&amp;"")</f>
        <v/>
      </c>
      <c r="E495" s="20">
        <f>IF($H495="","",IF(INDEX('Journal'!$D$1:$D$2002,$H495)=$B$1,N(INDEX('Journal'!$G$1:$G$2002,$H495)),N(INDEX('Journal'!$F$1:$F$2002,$H495))))</f>
        <v/>
      </c>
      <c r="F495" s="20">
        <f>IF($H495="","",IF(INDEX('Journal'!$D$1:$D$2002,$H495)=$B$1,N(INDEX('Journal'!$F$1:$F$2002,$H495)),N(INDEX('Journal'!$G$1:$G$2002,$H495))))</f>
        <v/>
      </c>
      <c r="G495" s="20">
        <f>IF($H495="","",G494+E495-F495)</f>
        <v/>
      </c>
      <c r="H495" s="18">
        <f t="array" ref="H495">IF($B$1="","",IFERROR(_xlfn.AGGREGATE(15,6,ROW('Journal'!$A$3:$A$2002)/(('Journal'!$D$3:$D$2002=$B$1)+('Journal'!$E$3:$E$2002=$B$1))/('Journal'!$B$3:$B$2002&gt;=$B$2)/('Journal'!$B$3:$B$2002&lt;=$B$3),490),""))</f>
        <v/>
      </c>
    </row>
    <row r="496">
      <c r="A496" s="18">
        <f>IF($H496="","",INDEX('Journal'!$A$1:$A$2002,$H496))</f>
        <v/>
      </c>
      <c r="B496" s="21">
        <f>IF($H496="","",INDEX('Journal'!$B$1:$B$2002,$H496))</f>
        <v/>
      </c>
      <c r="C496" s="5">
        <f>IF($H496="","",INDEX('Journal'!$C$1:$C$2002,$H496)&amp;"")</f>
        <v/>
      </c>
      <c r="D496" s="5">
        <f>IF($H496="","",IF(INDEX('Journal'!$D$1:$D$2002,$H496)=$B$1,INDEX('Journal'!$E$1:$E$2002,$H496),INDEX('Journal'!$D$1:$D$2002,$H496))&amp;"")</f>
        <v/>
      </c>
      <c r="E496" s="20">
        <f>IF($H496="","",IF(INDEX('Journal'!$D$1:$D$2002,$H496)=$B$1,N(INDEX('Journal'!$G$1:$G$2002,$H496)),N(INDEX('Journal'!$F$1:$F$2002,$H496))))</f>
        <v/>
      </c>
      <c r="F496" s="20">
        <f>IF($H496="","",IF(INDEX('Journal'!$D$1:$D$2002,$H496)=$B$1,N(INDEX('Journal'!$F$1:$F$2002,$H496)),N(INDEX('Journal'!$G$1:$G$2002,$H496))))</f>
        <v/>
      </c>
      <c r="G496" s="20">
        <f>IF($H496="","",G495+E496-F496)</f>
        <v/>
      </c>
      <c r="H496" s="18">
        <f t="array" ref="H496">IF($B$1="","",IFERROR(_xlfn.AGGREGATE(15,6,ROW('Journal'!$A$3:$A$2002)/(('Journal'!$D$3:$D$2002=$B$1)+('Journal'!$E$3:$E$2002=$B$1))/('Journal'!$B$3:$B$2002&gt;=$B$2)/('Journal'!$B$3:$B$2002&lt;=$B$3),491),""))</f>
        <v/>
      </c>
    </row>
    <row r="497">
      <c r="A497" s="18">
        <f>IF($H497="","",INDEX('Journal'!$A$1:$A$2002,$H497))</f>
        <v/>
      </c>
      <c r="B497" s="21">
        <f>IF($H497="","",INDEX('Journal'!$B$1:$B$2002,$H497))</f>
        <v/>
      </c>
      <c r="C497" s="5">
        <f>IF($H497="","",INDEX('Journal'!$C$1:$C$2002,$H497)&amp;"")</f>
        <v/>
      </c>
      <c r="D497" s="5">
        <f>IF($H497="","",IF(INDEX('Journal'!$D$1:$D$2002,$H497)=$B$1,INDEX('Journal'!$E$1:$E$2002,$H497),INDEX('Journal'!$D$1:$D$2002,$H497))&amp;"")</f>
        <v/>
      </c>
      <c r="E497" s="20">
        <f>IF($H497="","",IF(INDEX('Journal'!$D$1:$D$2002,$H497)=$B$1,N(INDEX('Journal'!$G$1:$G$2002,$H497)),N(INDEX('Journal'!$F$1:$F$2002,$H497))))</f>
        <v/>
      </c>
      <c r="F497" s="20">
        <f>IF($H497="","",IF(INDEX('Journal'!$D$1:$D$2002,$H497)=$B$1,N(INDEX('Journal'!$F$1:$F$2002,$H497)),N(INDEX('Journal'!$G$1:$G$2002,$H497))))</f>
        <v/>
      </c>
      <c r="G497" s="20">
        <f>IF($H497="","",G496+E497-F497)</f>
        <v/>
      </c>
      <c r="H497" s="18">
        <f t="array" ref="H497">IF($B$1="","",IFERROR(_xlfn.AGGREGATE(15,6,ROW('Journal'!$A$3:$A$2002)/(('Journal'!$D$3:$D$2002=$B$1)+('Journal'!$E$3:$E$2002=$B$1))/('Journal'!$B$3:$B$2002&gt;=$B$2)/('Journal'!$B$3:$B$2002&lt;=$B$3),492),""))</f>
        <v/>
      </c>
    </row>
    <row r="498">
      <c r="A498" s="18">
        <f>IF($H498="","",INDEX('Journal'!$A$1:$A$2002,$H498))</f>
        <v/>
      </c>
      <c r="B498" s="21">
        <f>IF($H498="","",INDEX('Journal'!$B$1:$B$2002,$H498))</f>
        <v/>
      </c>
      <c r="C498" s="5">
        <f>IF($H498="","",INDEX('Journal'!$C$1:$C$2002,$H498)&amp;"")</f>
        <v/>
      </c>
      <c r="D498" s="5">
        <f>IF($H498="","",IF(INDEX('Journal'!$D$1:$D$2002,$H498)=$B$1,INDEX('Journal'!$E$1:$E$2002,$H498),INDEX('Journal'!$D$1:$D$2002,$H498))&amp;"")</f>
        <v/>
      </c>
      <c r="E498" s="20">
        <f>IF($H498="","",IF(INDEX('Journal'!$D$1:$D$2002,$H498)=$B$1,N(INDEX('Journal'!$G$1:$G$2002,$H498)),N(INDEX('Journal'!$F$1:$F$2002,$H498))))</f>
        <v/>
      </c>
      <c r="F498" s="20">
        <f>IF($H498="","",IF(INDEX('Journal'!$D$1:$D$2002,$H498)=$B$1,N(INDEX('Journal'!$F$1:$F$2002,$H498)),N(INDEX('Journal'!$G$1:$G$2002,$H498))))</f>
        <v/>
      </c>
      <c r="G498" s="20">
        <f>IF($H498="","",G497+E498-F498)</f>
        <v/>
      </c>
      <c r="H498" s="18">
        <f t="array" ref="H498">IF($B$1="","",IFERROR(_xlfn.AGGREGATE(15,6,ROW('Journal'!$A$3:$A$2002)/(('Journal'!$D$3:$D$2002=$B$1)+('Journal'!$E$3:$E$2002=$B$1))/('Journal'!$B$3:$B$2002&gt;=$B$2)/('Journal'!$B$3:$B$2002&lt;=$B$3),493),""))</f>
        <v/>
      </c>
    </row>
    <row r="499">
      <c r="A499" s="18">
        <f>IF($H499="","",INDEX('Journal'!$A$1:$A$2002,$H499))</f>
        <v/>
      </c>
      <c r="B499" s="21">
        <f>IF($H499="","",INDEX('Journal'!$B$1:$B$2002,$H499))</f>
        <v/>
      </c>
      <c r="C499" s="5">
        <f>IF($H499="","",INDEX('Journal'!$C$1:$C$2002,$H499)&amp;"")</f>
        <v/>
      </c>
      <c r="D499" s="5">
        <f>IF($H499="","",IF(INDEX('Journal'!$D$1:$D$2002,$H499)=$B$1,INDEX('Journal'!$E$1:$E$2002,$H499),INDEX('Journal'!$D$1:$D$2002,$H499))&amp;"")</f>
        <v/>
      </c>
      <c r="E499" s="20">
        <f>IF($H499="","",IF(INDEX('Journal'!$D$1:$D$2002,$H499)=$B$1,N(INDEX('Journal'!$G$1:$G$2002,$H499)),N(INDEX('Journal'!$F$1:$F$2002,$H499))))</f>
        <v/>
      </c>
      <c r="F499" s="20">
        <f>IF($H499="","",IF(INDEX('Journal'!$D$1:$D$2002,$H499)=$B$1,N(INDEX('Journal'!$F$1:$F$2002,$H499)),N(INDEX('Journal'!$G$1:$G$2002,$H499))))</f>
        <v/>
      </c>
      <c r="G499" s="20">
        <f>IF($H499="","",G498+E499-F499)</f>
        <v/>
      </c>
      <c r="H499" s="18">
        <f t="array" ref="H499">IF($B$1="","",IFERROR(_xlfn.AGGREGATE(15,6,ROW('Journal'!$A$3:$A$2002)/(('Journal'!$D$3:$D$2002=$B$1)+('Journal'!$E$3:$E$2002=$B$1))/('Journal'!$B$3:$B$2002&gt;=$B$2)/('Journal'!$B$3:$B$2002&lt;=$B$3),494),""))</f>
        <v/>
      </c>
    </row>
    <row r="500">
      <c r="A500" s="18">
        <f>IF($H500="","",INDEX('Journal'!$A$1:$A$2002,$H500))</f>
        <v/>
      </c>
      <c r="B500" s="21">
        <f>IF($H500="","",INDEX('Journal'!$B$1:$B$2002,$H500))</f>
        <v/>
      </c>
      <c r="C500" s="5">
        <f>IF($H500="","",INDEX('Journal'!$C$1:$C$2002,$H500)&amp;"")</f>
        <v/>
      </c>
      <c r="D500" s="5">
        <f>IF($H500="","",IF(INDEX('Journal'!$D$1:$D$2002,$H500)=$B$1,INDEX('Journal'!$E$1:$E$2002,$H500),INDEX('Journal'!$D$1:$D$2002,$H500))&amp;"")</f>
        <v/>
      </c>
      <c r="E500" s="20">
        <f>IF($H500="","",IF(INDEX('Journal'!$D$1:$D$2002,$H500)=$B$1,N(INDEX('Journal'!$G$1:$G$2002,$H500)),N(INDEX('Journal'!$F$1:$F$2002,$H500))))</f>
        <v/>
      </c>
      <c r="F500" s="20">
        <f>IF($H500="","",IF(INDEX('Journal'!$D$1:$D$2002,$H500)=$B$1,N(INDEX('Journal'!$F$1:$F$2002,$H500)),N(INDEX('Journal'!$G$1:$G$2002,$H500))))</f>
        <v/>
      </c>
      <c r="G500" s="20">
        <f>IF($H500="","",G499+E500-F500)</f>
        <v/>
      </c>
      <c r="H500" s="18">
        <f t="array" ref="H500">IF($B$1="","",IFERROR(_xlfn.AGGREGATE(15,6,ROW('Journal'!$A$3:$A$2002)/(('Journal'!$D$3:$D$2002=$B$1)+('Journal'!$E$3:$E$2002=$B$1))/('Journal'!$B$3:$B$2002&gt;=$B$2)/('Journal'!$B$3:$B$2002&lt;=$B$3),495),""))</f>
        <v/>
      </c>
    </row>
    <row r="501">
      <c r="A501" s="18">
        <f>IF($H501="","",INDEX('Journal'!$A$1:$A$2002,$H501))</f>
        <v/>
      </c>
      <c r="B501" s="21">
        <f>IF($H501="","",INDEX('Journal'!$B$1:$B$2002,$H501))</f>
        <v/>
      </c>
      <c r="C501" s="5">
        <f>IF($H501="","",INDEX('Journal'!$C$1:$C$2002,$H501)&amp;"")</f>
        <v/>
      </c>
      <c r="D501" s="5">
        <f>IF($H501="","",IF(INDEX('Journal'!$D$1:$D$2002,$H501)=$B$1,INDEX('Journal'!$E$1:$E$2002,$H501),INDEX('Journal'!$D$1:$D$2002,$H501))&amp;"")</f>
        <v/>
      </c>
      <c r="E501" s="20">
        <f>IF($H501="","",IF(INDEX('Journal'!$D$1:$D$2002,$H501)=$B$1,N(INDEX('Journal'!$G$1:$G$2002,$H501)),N(INDEX('Journal'!$F$1:$F$2002,$H501))))</f>
        <v/>
      </c>
      <c r="F501" s="20">
        <f>IF($H501="","",IF(INDEX('Journal'!$D$1:$D$2002,$H501)=$B$1,N(INDEX('Journal'!$F$1:$F$2002,$H501)),N(INDEX('Journal'!$G$1:$G$2002,$H501))))</f>
        <v/>
      </c>
      <c r="G501" s="20">
        <f>IF($H501="","",G500+E501-F501)</f>
        <v/>
      </c>
      <c r="H501" s="18">
        <f t="array" ref="H501">IF($B$1="","",IFERROR(_xlfn.AGGREGATE(15,6,ROW('Journal'!$A$3:$A$2002)/(('Journal'!$D$3:$D$2002=$B$1)+('Journal'!$E$3:$E$2002=$B$1))/('Journal'!$B$3:$B$2002&gt;=$B$2)/('Journal'!$B$3:$B$2002&lt;=$B$3),496),""))</f>
        <v/>
      </c>
    </row>
    <row r="502">
      <c r="A502" s="18">
        <f>IF($H502="","",INDEX('Journal'!$A$1:$A$2002,$H502))</f>
        <v/>
      </c>
      <c r="B502" s="21">
        <f>IF($H502="","",INDEX('Journal'!$B$1:$B$2002,$H502))</f>
        <v/>
      </c>
      <c r="C502" s="5">
        <f>IF($H502="","",INDEX('Journal'!$C$1:$C$2002,$H502)&amp;"")</f>
        <v/>
      </c>
      <c r="D502" s="5">
        <f>IF($H502="","",IF(INDEX('Journal'!$D$1:$D$2002,$H502)=$B$1,INDEX('Journal'!$E$1:$E$2002,$H502),INDEX('Journal'!$D$1:$D$2002,$H502))&amp;"")</f>
        <v/>
      </c>
      <c r="E502" s="20">
        <f>IF($H502="","",IF(INDEX('Journal'!$D$1:$D$2002,$H502)=$B$1,N(INDEX('Journal'!$G$1:$G$2002,$H502)),N(INDEX('Journal'!$F$1:$F$2002,$H502))))</f>
        <v/>
      </c>
      <c r="F502" s="20">
        <f>IF($H502="","",IF(INDEX('Journal'!$D$1:$D$2002,$H502)=$B$1,N(INDEX('Journal'!$F$1:$F$2002,$H502)),N(INDEX('Journal'!$G$1:$G$2002,$H502))))</f>
        <v/>
      </c>
      <c r="G502" s="20">
        <f>IF($H502="","",G501+E502-F502)</f>
        <v/>
      </c>
      <c r="H502" s="18">
        <f t="array" ref="H502">IF($B$1="","",IFERROR(_xlfn.AGGREGATE(15,6,ROW('Journal'!$A$3:$A$2002)/(('Journal'!$D$3:$D$2002=$B$1)+('Journal'!$E$3:$E$2002=$B$1))/('Journal'!$B$3:$B$2002&gt;=$B$2)/('Journal'!$B$3:$B$2002&lt;=$B$3),497),""))</f>
        <v/>
      </c>
    </row>
    <row r="503">
      <c r="A503" s="18">
        <f>IF($H503="","",INDEX('Journal'!$A$1:$A$2002,$H503))</f>
        <v/>
      </c>
      <c r="B503" s="21">
        <f>IF($H503="","",INDEX('Journal'!$B$1:$B$2002,$H503))</f>
        <v/>
      </c>
      <c r="C503" s="5">
        <f>IF($H503="","",INDEX('Journal'!$C$1:$C$2002,$H503)&amp;"")</f>
        <v/>
      </c>
      <c r="D503" s="5">
        <f>IF($H503="","",IF(INDEX('Journal'!$D$1:$D$2002,$H503)=$B$1,INDEX('Journal'!$E$1:$E$2002,$H503),INDEX('Journal'!$D$1:$D$2002,$H503))&amp;"")</f>
        <v/>
      </c>
      <c r="E503" s="20">
        <f>IF($H503="","",IF(INDEX('Journal'!$D$1:$D$2002,$H503)=$B$1,N(INDEX('Journal'!$G$1:$G$2002,$H503)),N(INDEX('Journal'!$F$1:$F$2002,$H503))))</f>
        <v/>
      </c>
      <c r="F503" s="20">
        <f>IF($H503="","",IF(INDEX('Journal'!$D$1:$D$2002,$H503)=$B$1,N(INDEX('Journal'!$F$1:$F$2002,$H503)),N(INDEX('Journal'!$G$1:$G$2002,$H503))))</f>
        <v/>
      </c>
      <c r="G503" s="20">
        <f>IF($H503="","",G502+E503-F503)</f>
        <v/>
      </c>
      <c r="H503" s="18">
        <f t="array" ref="H503">IF($B$1="","",IFERROR(_xlfn.AGGREGATE(15,6,ROW('Journal'!$A$3:$A$2002)/(('Journal'!$D$3:$D$2002=$B$1)+('Journal'!$E$3:$E$2002=$B$1))/('Journal'!$B$3:$B$2002&gt;=$B$2)/('Journal'!$B$3:$B$2002&lt;=$B$3),498),""))</f>
        <v/>
      </c>
    </row>
    <row r="504">
      <c r="A504" s="18">
        <f>IF($H504="","",INDEX('Journal'!$A$1:$A$2002,$H504))</f>
        <v/>
      </c>
      <c r="B504" s="21">
        <f>IF($H504="","",INDEX('Journal'!$B$1:$B$2002,$H504))</f>
        <v/>
      </c>
      <c r="C504" s="5">
        <f>IF($H504="","",INDEX('Journal'!$C$1:$C$2002,$H504)&amp;"")</f>
        <v/>
      </c>
      <c r="D504" s="5">
        <f>IF($H504="","",IF(INDEX('Journal'!$D$1:$D$2002,$H504)=$B$1,INDEX('Journal'!$E$1:$E$2002,$H504),INDEX('Journal'!$D$1:$D$2002,$H504))&amp;"")</f>
        <v/>
      </c>
      <c r="E504" s="20">
        <f>IF($H504="","",IF(INDEX('Journal'!$D$1:$D$2002,$H504)=$B$1,N(INDEX('Journal'!$G$1:$G$2002,$H504)),N(INDEX('Journal'!$F$1:$F$2002,$H504))))</f>
        <v/>
      </c>
      <c r="F504" s="20">
        <f>IF($H504="","",IF(INDEX('Journal'!$D$1:$D$2002,$H504)=$B$1,N(INDEX('Journal'!$F$1:$F$2002,$H504)),N(INDEX('Journal'!$G$1:$G$2002,$H504))))</f>
        <v/>
      </c>
      <c r="G504" s="20">
        <f>IF($H504="","",G503+E504-F504)</f>
        <v/>
      </c>
      <c r="H504" s="18">
        <f t="array" ref="H504">IF($B$1="","",IFERROR(_xlfn.AGGREGATE(15,6,ROW('Journal'!$A$3:$A$2002)/(('Journal'!$D$3:$D$2002=$B$1)+('Journal'!$E$3:$E$2002=$B$1))/('Journal'!$B$3:$B$2002&gt;=$B$2)/('Journal'!$B$3:$B$2002&lt;=$B$3),499),""))</f>
        <v/>
      </c>
    </row>
    <row r="505">
      <c r="A505" s="18">
        <f>IF($H505="","",INDEX('Journal'!$A$1:$A$2002,$H505))</f>
        <v/>
      </c>
      <c r="B505" s="21">
        <f>IF($H505="","",INDEX('Journal'!$B$1:$B$2002,$H505))</f>
        <v/>
      </c>
      <c r="C505" s="5">
        <f>IF($H505="","",INDEX('Journal'!$C$1:$C$2002,$H505)&amp;"")</f>
        <v/>
      </c>
      <c r="D505" s="5">
        <f>IF($H505="","",IF(INDEX('Journal'!$D$1:$D$2002,$H505)=$B$1,INDEX('Journal'!$E$1:$E$2002,$H505),INDEX('Journal'!$D$1:$D$2002,$H505))&amp;"")</f>
        <v/>
      </c>
      <c r="E505" s="20">
        <f>IF($H505="","",IF(INDEX('Journal'!$D$1:$D$2002,$H505)=$B$1,N(INDEX('Journal'!$G$1:$G$2002,$H505)),N(INDEX('Journal'!$F$1:$F$2002,$H505))))</f>
        <v/>
      </c>
      <c r="F505" s="20">
        <f>IF($H505="","",IF(INDEX('Journal'!$D$1:$D$2002,$H505)=$B$1,N(INDEX('Journal'!$F$1:$F$2002,$H505)),N(INDEX('Journal'!$G$1:$G$2002,$H505))))</f>
        <v/>
      </c>
      <c r="G505" s="20">
        <f>IF($H505="","",G504+E505-F505)</f>
        <v/>
      </c>
      <c r="H505" s="18">
        <f t="array" ref="H505">IF($B$1="","",IFERROR(_xlfn.AGGREGATE(15,6,ROW('Journal'!$A$3:$A$2002)/(('Journal'!$D$3:$D$2002=$B$1)+('Journal'!$E$3:$E$2002=$B$1))/('Journal'!$B$3:$B$2002&gt;=$B$2)/('Journal'!$B$3:$B$2002&lt;=$B$3),500),""))</f>
        <v/>
      </c>
    </row>
    <row r="506">
      <c r="A506" s="18">
        <f>IF($H506="","",INDEX('Journal'!$A$1:$A$2002,$H506))</f>
        <v/>
      </c>
      <c r="B506" s="21">
        <f>IF($H506="","",INDEX('Journal'!$B$1:$B$2002,$H506))</f>
        <v/>
      </c>
      <c r="C506" s="5">
        <f>IF($H506="","",INDEX('Journal'!$C$1:$C$2002,$H506)&amp;"")</f>
        <v/>
      </c>
      <c r="D506" s="5">
        <f>IF($H506="","",IF(INDEX('Journal'!$D$1:$D$2002,$H506)=$B$1,INDEX('Journal'!$E$1:$E$2002,$H506),INDEX('Journal'!$D$1:$D$2002,$H506))&amp;"")</f>
        <v/>
      </c>
      <c r="E506" s="20">
        <f>IF($H506="","",IF(INDEX('Journal'!$D$1:$D$2002,$H506)=$B$1,N(INDEX('Journal'!$G$1:$G$2002,$H506)),N(INDEX('Journal'!$F$1:$F$2002,$H506))))</f>
        <v/>
      </c>
      <c r="F506" s="20">
        <f>IF($H506="","",IF(INDEX('Journal'!$D$1:$D$2002,$H506)=$B$1,N(INDEX('Journal'!$F$1:$F$2002,$H506)),N(INDEX('Journal'!$G$1:$G$2002,$H506))))</f>
        <v/>
      </c>
      <c r="G506" s="20">
        <f>IF($H506="","",G505+E506-F506)</f>
        <v/>
      </c>
      <c r="H506" s="18">
        <f t="array" ref="H506">IF($B$1="","",IFERROR(_xlfn.AGGREGATE(15,6,ROW('Journal'!$A$3:$A$2002)/(('Journal'!$D$3:$D$2002=$B$1)+('Journal'!$E$3:$E$2002=$B$1))/('Journal'!$B$3:$B$2002&gt;=$B$2)/('Journal'!$B$3:$B$2002&lt;=$B$3),501),""))</f>
        <v/>
      </c>
    </row>
    <row r="507">
      <c r="A507" s="18">
        <f>IF($H507="","",INDEX('Journal'!$A$1:$A$2002,$H507))</f>
        <v/>
      </c>
      <c r="B507" s="21">
        <f>IF($H507="","",INDEX('Journal'!$B$1:$B$2002,$H507))</f>
        <v/>
      </c>
      <c r="C507" s="5">
        <f>IF($H507="","",INDEX('Journal'!$C$1:$C$2002,$H507)&amp;"")</f>
        <v/>
      </c>
      <c r="D507" s="5">
        <f>IF($H507="","",IF(INDEX('Journal'!$D$1:$D$2002,$H507)=$B$1,INDEX('Journal'!$E$1:$E$2002,$H507),INDEX('Journal'!$D$1:$D$2002,$H507))&amp;"")</f>
        <v/>
      </c>
      <c r="E507" s="20">
        <f>IF($H507="","",IF(INDEX('Journal'!$D$1:$D$2002,$H507)=$B$1,N(INDEX('Journal'!$G$1:$G$2002,$H507)),N(INDEX('Journal'!$F$1:$F$2002,$H507))))</f>
        <v/>
      </c>
      <c r="F507" s="20">
        <f>IF($H507="","",IF(INDEX('Journal'!$D$1:$D$2002,$H507)=$B$1,N(INDEX('Journal'!$F$1:$F$2002,$H507)),N(INDEX('Journal'!$G$1:$G$2002,$H507))))</f>
        <v/>
      </c>
      <c r="G507" s="20">
        <f>IF($H507="","",G506+E507-F507)</f>
        <v/>
      </c>
      <c r="H507" s="18">
        <f t="array" ref="H507">IF($B$1="","",IFERROR(_xlfn.AGGREGATE(15,6,ROW('Journal'!$A$3:$A$2002)/(('Journal'!$D$3:$D$2002=$B$1)+('Journal'!$E$3:$E$2002=$B$1))/('Journal'!$B$3:$B$2002&gt;=$B$2)/('Journal'!$B$3:$B$2002&lt;=$B$3),502),""))</f>
        <v/>
      </c>
    </row>
    <row r="508">
      <c r="A508" s="18">
        <f>IF($H508="","",INDEX('Journal'!$A$1:$A$2002,$H508))</f>
        <v/>
      </c>
      <c r="B508" s="21">
        <f>IF($H508="","",INDEX('Journal'!$B$1:$B$2002,$H508))</f>
        <v/>
      </c>
      <c r="C508" s="5">
        <f>IF($H508="","",INDEX('Journal'!$C$1:$C$2002,$H508)&amp;"")</f>
        <v/>
      </c>
      <c r="D508" s="5">
        <f>IF($H508="","",IF(INDEX('Journal'!$D$1:$D$2002,$H508)=$B$1,INDEX('Journal'!$E$1:$E$2002,$H508),INDEX('Journal'!$D$1:$D$2002,$H508))&amp;"")</f>
        <v/>
      </c>
      <c r="E508" s="20">
        <f>IF($H508="","",IF(INDEX('Journal'!$D$1:$D$2002,$H508)=$B$1,N(INDEX('Journal'!$G$1:$G$2002,$H508)),N(INDEX('Journal'!$F$1:$F$2002,$H508))))</f>
        <v/>
      </c>
      <c r="F508" s="20">
        <f>IF($H508="","",IF(INDEX('Journal'!$D$1:$D$2002,$H508)=$B$1,N(INDEX('Journal'!$F$1:$F$2002,$H508)),N(INDEX('Journal'!$G$1:$G$2002,$H508))))</f>
        <v/>
      </c>
      <c r="G508" s="20">
        <f>IF($H508="","",G507+E508-F508)</f>
        <v/>
      </c>
      <c r="H508" s="18">
        <f t="array" ref="H508">IF($B$1="","",IFERROR(_xlfn.AGGREGATE(15,6,ROW('Journal'!$A$3:$A$2002)/(('Journal'!$D$3:$D$2002=$B$1)+('Journal'!$E$3:$E$2002=$B$1))/('Journal'!$B$3:$B$2002&gt;=$B$2)/('Journal'!$B$3:$B$2002&lt;=$B$3),503),""))</f>
        <v/>
      </c>
    </row>
    <row r="509">
      <c r="A509" s="18">
        <f>IF($H509="","",INDEX('Journal'!$A$1:$A$2002,$H509))</f>
        <v/>
      </c>
      <c r="B509" s="21">
        <f>IF($H509="","",INDEX('Journal'!$B$1:$B$2002,$H509))</f>
        <v/>
      </c>
      <c r="C509" s="5">
        <f>IF($H509="","",INDEX('Journal'!$C$1:$C$2002,$H509)&amp;"")</f>
        <v/>
      </c>
      <c r="D509" s="5">
        <f>IF($H509="","",IF(INDEX('Journal'!$D$1:$D$2002,$H509)=$B$1,INDEX('Journal'!$E$1:$E$2002,$H509),INDEX('Journal'!$D$1:$D$2002,$H509))&amp;"")</f>
        <v/>
      </c>
      <c r="E509" s="20">
        <f>IF($H509="","",IF(INDEX('Journal'!$D$1:$D$2002,$H509)=$B$1,N(INDEX('Journal'!$G$1:$G$2002,$H509)),N(INDEX('Journal'!$F$1:$F$2002,$H509))))</f>
        <v/>
      </c>
      <c r="F509" s="20">
        <f>IF($H509="","",IF(INDEX('Journal'!$D$1:$D$2002,$H509)=$B$1,N(INDEX('Journal'!$F$1:$F$2002,$H509)),N(INDEX('Journal'!$G$1:$G$2002,$H509))))</f>
        <v/>
      </c>
      <c r="G509" s="20">
        <f>IF($H509="","",G508+E509-F509)</f>
        <v/>
      </c>
      <c r="H509" s="18">
        <f t="array" ref="H509">IF($B$1="","",IFERROR(_xlfn.AGGREGATE(15,6,ROW('Journal'!$A$3:$A$2002)/(('Journal'!$D$3:$D$2002=$B$1)+('Journal'!$E$3:$E$2002=$B$1))/('Journal'!$B$3:$B$2002&gt;=$B$2)/('Journal'!$B$3:$B$2002&lt;=$B$3),504),""))</f>
        <v/>
      </c>
    </row>
    <row r="510">
      <c r="A510" s="18">
        <f>IF($H510="","",INDEX('Journal'!$A$1:$A$2002,$H510))</f>
        <v/>
      </c>
      <c r="B510" s="21">
        <f>IF($H510="","",INDEX('Journal'!$B$1:$B$2002,$H510))</f>
        <v/>
      </c>
      <c r="C510" s="5">
        <f>IF($H510="","",INDEX('Journal'!$C$1:$C$2002,$H510)&amp;"")</f>
        <v/>
      </c>
      <c r="D510" s="5">
        <f>IF($H510="","",IF(INDEX('Journal'!$D$1:$D$2002,$H510)=$B$1,INDEX('Journal'!$E$1:$E$2002,$H510),INDEX('Journal'!$D$1:$D$2002,$H510))&amp;"")</f>
        <v/>
      </c>
      <c r="E510" s="20">
        <f>IF($H510="","",IF(INDEX('Journal'!$D$1:$D$2002,$H510)=$B$1,N(INDEX('Journal'!$G$1:$G$2002,$H510)),N(INDEX('Journal'!$F$1:$F$2002,$H510))))</f>
        <v/>
      </c>
      <c r="F510" s="20">
        <f>IF($H510="","",IF(INDEX('Journal'!$D$1:$D$2002,$H510)=$B$1,N(INDEX('Journal'!$F$1:$F$2002,$H510)),N(INDEX('Journal'!$G$1:$G$2002,$H510))))</f>
        <v/>
      </c>
      <c r="G510" s="20">
        <f>IF($H510="","",G509+E510-F510)</f>
        <v/>
      </c>
      <c r="H510" s="18">
        <f t="array" ref="H510">IF($B$1="","",IFERROR(_xlfn.AGGREGATE(15,6,ROW('Journal'!$A$3:$A$2002)/(('Journal'!$D$3:$D$2002=$B$1)+('Journal'!$E$3:$E$2002=$B$1))/('Journal'!$B$3:$B$2002&gt;=$B$2)/('Journal'!$B$3:$B$2002&lt;=$B$3),505),""))</f>
        <v/>
      </c>
    </row>
    <row r="511">
      <c r="A511" s="18">
        <f>IF($H511="","",INDEX('Journal'!$A$1:$A$2002,$H511))</f>
        <v/>
      </c>
      <c r="B511" s="21">
        <f>IF($H511="","",INDEX('Journal'!$B$1:$B$2002,$H511))</f>
        <v/>
      </c>
      <c r="C511" s="5">
        <f>IF($H511="","",INDEX('Journal'!$C$1:$C$2002,$H511)&amp;"")</f>
        <v/>
      </c>
      <c r="D511" s="5">
        <f>IF($H511="","",IF(INDEX('Journal'!$D$1:$D$2002,$H511)=$B$1,INDEX('Journal'!$E$1:$E$2002,$H511),INDEX('Journal'!$D$1:$D$2002,$H511))&amp;"")</f>
        <v/>
      </c>
      <c r="E511" s="20">
        <f>IF($H511="","",IF(INDEX('Journal'!$D$1:$D$2002,$H511)=$B$1,N(INDEX('Journal'!$G$1:$G$2002,$H511)),N(INDEX('Journal'!$F$1:$F$2002,$H511))))</f>
        <v/>
      </c>
      <c r="F511" s="20">
        <f>IF($H511="","",IF(INDEX('Journal'!$D$1:$D$2002,$H511)=$B$1,N(INDEX('Journal'!$F$1:$F$2002,$H511)),N(INDEX('Journal'!$G$1:$G$2002,$H511))))</f>
        <v/>
      </c>
      <c r="G511" s="20">
        <f>IF($H511="","",G510+E511-F511)</f>
        <v/>
      </c>
      <c r="H511" s="18">
        <f t="array" ref="H511">IF($B$1="","",IFERROR(_xlfn.AGGREGATE(15,6,ROW('Journal'!$A$3:$A$2002)/(('Journal'!$D$3:$D$2002=$B$1)+('Journal'!$E$3:$E$2002=$B$1))/('Journal'!$B$3:$B$2002&gt;=$B$2)/('Journal'!$B$3:$B$2002&lt;=$B$3),506),""))</f>
        <v/>
      </c>
    </row>
    <row r="512">
      <c r="A512" s="18">
        <f>IF($H512="","",INDEX('Journal'!$A$1:$A$2002,$H512))</f>
        <v/>
      </c>
      <c r="B512" s="21">
        <f>IF($H512="","",INDEX('Journal'!$B$1:$B$2002,$H512))</f>
        <v/>
      </c>
      <c r="C512" s="5">
        <f>IF($H512="","",INDEX('Journal'!$C$1:$C$2002,$H512)&amp;"")</f>
        <v/>
      </c>
      <c r="D512" s="5">
        <f>IF($H512="","",IF(INDEX('Journal'!$D$1:$D$2002,$H512)=$B$1,INDEX('Journal'!$E$1:$E$2002,$H512),INDEX('Journal'!$D$1:$D$2002,$H512))&amp;"")</f>
        <v/>
      </c>
      <c r="E512" s="20">
        <f>IF($H512="","",IF(INDEX('Journal'!$D$1:$D$2002,$H512)=$B$1,N(INDEX('Journal'!$G$1:$G$2002,$H512)),N(INDEX('Journal'!$F$1:$F$2002,$H512))))</f>
        <v/>
      </c>
      <c r="F512" s="20">
        <f>IF($H512="","",IF(INDEX('Journal'!$D$1:$D$2002,$H512)=$B$1,N(INDEX('Journal'!$F$1:$F$2002,$H512)),N(INDEX('Journal'!$G$1:$G$2002,$H512))))</f>
        <v/>
      </c>
      <c r="G512" s="20">
        <f>IF($H512="","",G511+E512-F512)</f>
        <v/>
      </c>
      <c r="H512" s="18">
        <f t="array" ref="H512">IF($B$1="","",IFERROR(_xlfn.AGGREGATE(15,6,ROW('Journal'!$A$3:$A$2002)/(('Journal'!$D$3:$D$2002=$B$1)+('Journal'!$E$3:$E$2002=$B$1))/('Journal'!$B$3:$B$2002&gt;=$B$2)/('Journal'!$B$3:$B$2002&lt;=$B$3),507),""))</f>
        <v/>
      </c>
    </row>
    <row r="513">
      <c r="A513" s="18">
        <f>IF($H513="","",INDEX('Journal'!$A$1:$A$2002,$H513))</f>
        <v/>
      </c>
      <c r="B513" s="21">
        <f>IF($H513="","",INDEX('Journal'!$B$1:$B$2002,$H513))</f>
        <v/>
      </c>
      <c r="C513" s="5">
        <f>IF($H513="","",INDEX('Journal'!$C$1:$C$2002,$H513)&amp;"")</f>
        <v/>
      </c>
      <c r="D513" s="5">
        <f>IF($H513="","",IF(INDEX('Journal'!$D$1:$D$2002,$H513)=$B$1,INDEX('Journal'!$E$1:$E$2002,$H513),INDEX('Journal'!$D$1:$D$2002,$H513))&amp;"")</f>
        <v/>
      </c>
      <c r="E513" s="20">
        <f>IF($H513="","",IF(INDEX('Journal'!$D$1:$D$2002,$H513)=$B$1,N(INDEX('Journal'!$G$1:$G$2002,$H513)),N(INDEX('Journal'!$F$1:$F$2002,$H513))))</f>
        <v/>
      </c>
      <c r="F513" s="20">
        <f>IF($H513="","",IF(INDEX('Journal'!$D$1:$D$2002,$H513)=$B$1,N(INDEX('Journal'!$F$1:$F$2002,$H513)),N(INDEX('Journal'!$G$1:$G$2002,$H513))))</f>
        <v/>
      </c>
      <c r="G513" s="20">
        <f>IF($H513="","",G512+E513-F513)</f>
        <v/>
      </c>
      <c r="H513" s="18">
        <f t="array" ref="H513">IF($B$1="","",IFERROR(_xlfn.AGGREGATE(15,6,ROW('Journal'!$A$3:$A$2002)/(('Journal'!$D$3:$D$2002=$B$1)+('Journal'!$E$3:$E$2002=$B$1))/('Journal'!$B$3:$B$2002&gt;=$B$2)/('Journal'!$B$3:$B$2002&lt;=$B$3),508),""))</f>
        <v/>
      </c>
    </row>
    <row r="514">
      <c r="A514" s="18">
        <f>IF($H514="","",INDEX('Journal'!$A$1:$A$2002,$H514))</f>
        <v/>
      </c>
      <c r="B514" s="21">
        <f>IF($H514="","",INDEX('Journal'!$B$1:$B$2002,$H514))</f>
        <v/>
      </c>
      <c r="C514" s="5">
        <f>IF($H514="","",INDEX('Journal'!$C$1:$C$2002,$H514)&amp;"")</f>
        <v/>
      </c>
      <c r="D514" s="5">
        <f>IF($H514="","",IF(INDEX('Journal'!$D$1:$D$2002,$H514)=$B$1,INDEX('Journal'!$E$1:$E$2002,$H514),INDEX('Journal'!$D$1:$D$2002,$H514))&amp;"")</f>
        <v/>
      </c>
      <c r="E514" s="20">
        <f>IF($H514="","",IF(INDEX('Journal'!$D$1:$D$2002,$H514)=$B$1,N(INDEX('Journal'!$G$1:$G$2002,$H514)),N(INDEX('Journal'!$F$1:$F$2002,$H514))))</f>
        <v/>
      </c>
      <c r="F514" s="20">
        <f>IF($H514="","",IF(INDEX('Journal'!$D$1:$D$2002,$H514)=$B$1,N(INDEX('Journal'!$F$1:$F$2002,$H514)),N(INDEX('Journal'!$G$1:$G$2002,$H514))))</f>
        <v/>
      </c>
      <c r="G514" s="20">
        <f>IF($H514="","",G513+E514-F514)</f>
        <v/>
      </c>
      <c r="H514" s="18">
        <f t="array" ref="H514">IF($B$1="","",IFERROR(_xlfn.AGGREGATE(15,6,ROW('Journal'!$A$3:$A$2002)/(('Journal'!$D$3:$D$2002=$B$1)+('Journal'!$E$3:$E$2002=$B$1))/('Journal'!$B$3:$B$2002&gt;=$B$2)/('Journal'!$B$3:$B$2002&lt;=$B$3),509),""))</f>
        <v/>
      </c>
    </row>
    <row r="515">
      <c r="A515" s="18">
        <f>IF($H515="","",INDEX('Journal'!$A$1:$A$2002,$H515))</f>
        <v/>
      </c>
      <c r="B515" s="21">
        <f>IF($H515="","",INDEX('Journal'!$B$1:$B$2002,$H515))</f>
        <v/>
      </c>
      <c r="C515" s="5">
        <f>IF($H515="","",INDEX('Journal'!$C$1:$C$2002,$H515)&amp;"")</f>
        <v/>
      </c>
      <c r="D515" s="5">
        <f>IF($H515="","",IF(INDEX('Journal'!$D$1:$D$2002,$H515)=$B$1,INDEX('Journal'!$E$1:$E$2002,$H515),INDEX('Journal'!$D$1:$D$2002,$H515))&amp;"")</f>
        <v/>
      </c>
      <c r="E515" s="20">
        <f>IF($H515="","",IF(INDEX('Journal'!$D$1:$D$2002,$H515)=$B$1,N(INDEX('Journal'!$G$1:$G$2002,$H515)),N(INDEX('Journal'!$F$1:$F$2002,$H515))))</f>
        <v/>
      </c>
      <c r="F515" s="20">
        <f>IF($H515="","",IF(INDEX('Journal'!$D$1:$D$2002,$H515)=$B$1,N(INDEX('Journal'!$F$1:$F$2002,$H515)),N(INDEX('Journal'!$G$1:$G$2002,$H515))))</f>
        <v/>
      </c>
      <c r="G515" s="20">
        <f>IF($H515="","",G514+E515-F515)</f>
        <v/>
      </c>
      <c r="H515" s="18">
        <f t="array" ref="H515">IF($B$1="","",IFERROR(_xlfn.AGGREGATE(15,6,ROW('Journal'!$A$3:$A$2002)/(('Journal'!$D$3:$D$2002=$B$1)+('Journal'!$E$3:$E$2002=$B$1))/('Journal'!$B$3:$B$2002&gt;=$B$2)/('Journal'!$B$3:$B$2002&lt;=$B$3),510),""))</f>
        <v/>
      </c>
    </row>
    <row r="516">
      <c r="A516" s="18">
        <f>IF($H516="","",INDEX('Journal'!$A$1:$A$2002,$H516))</f>
        <v/>
      </c>
      <c r="B516" s="21">
        <f>IF($H516="","",INDEX('Journal'!$B$1:$B$2002,$H516))</f>
        <v/>
      </c>
      <c r="C516" s="5">
        <f>IF($H516="","",INDEX('Journal'!$C$1:$C$2002,$H516)&amp;"")</f>
        <v/>
      </c>
      <c r="D516" s="5">
        <f>IF($H516="","",IF(INDEX('Journal'!$D$1:$D$2002,$H516)=$B$1,INDEX('Journal'!$E$1:$E$2002,$H516),INDEX('Journal'!$D$1:$D$2002,$H516))&amp;"")</f>
        <v/>
      </c>
      <c r="E516" s="20">
        <f>IF($H516="","",IF(INDEX('Journal'!$D$1:$D$2002,$H516)=$B$1,N(INDEX('Journal'!$G$1:$G$2002,$H516)),N(INDEX('Journal'!$F$1:$F$2002,$H516))))</f>
        <v/>
      </c>
      <c r="F516" s="20">
        <f>IF($H516="","",IF(INDEX('Journal'!$D$1:$D$2002,$H516)=$B$1,N(INDEX('Journal'!$F$1:$F$2002,$H516)),N(INDEX('Journal'!$G$1:$G$2002,$H516))))</f>
        <v/>
      </c>
      <c r="G516" s="20">
        <f>IF($H516="","",G515+E516-F516)</f>
        <v/>
      </c>
      <c r="H516" s="18">
        <f t="array" ref="H516">IF($B$1="","",IFERROR(_xlfn.AGGREGATE(15,6,ROW('Journal'!$A$3:$A$2002)/(('Journal'!$D$3:$D$2002=$B$1)+('Journal'!$E$3:$E$2002=$B$1))/('Journal'!$B$3:$B$2002&gt;=$B$2)/('Journal'!$B$3:$B$2002&lt;=$B$3),511),""))</f>
        <v/>
      </c>
    </row>
    <row r="517">
      <c r="A517" s="18">
        <f>IF($H517="","",INDEX('Journal'!$A$1:$A$2002,$H517))</f>
        <v/>
      </c>
      <c r="B517" s="21">
        <f>IF($H517="","",INDEX('Journal'!$B$1:$B$2002,$H517))</f>
        <v/>
      </c>
      <c r="C517" s="5">
        <f>IF($H517="","",INDEX('Journal'!$C$1:$C$2002,$H517)&amp;"")</f>
        <v/>
      </c>
      <c r="D517" s="5">
        <f>IF($H517="","",IF(INDEX('Journal'!$D$1:$D$2002,$H517)=$B$1,INDEX('Journal'!$E$1:$E$2002,$H517),INDEX('Journal'!$D$1:$D$2002,$H517))&amp;"")</f>
        <v/>
      </c>
      <c r="E517" s="20">
        <f>IF($H517="","",IF(INDEX('Journal'!$D$1:$D$2002,$H517)=$B$1,N(INDEX('Journal'!$G$1:$G$2002,$H517)),N(INDEX('Journal'!$F$1:$F$2002,$H517))))</f>
        <v/>
      </c>
      <c r="F517" s="20">
        <f>IF($H517="","",IF(INDEX('Journal'!$D$1:$D$2002,$H517)=$B$1,N(INDEX('Journal'!$F$1:$F$2002,$H517)),N(INDEX('Journal'!$G$1:$G$2002,$H517))))</f>
        <v/>
      </c>
      <c r="G517" s="20">
        <f>IF($H517="","",G516+E517-F517)</f>
        <v/>
      </c>
      <c r="H517" s="18">
        <f t="array" ref="H517">IF($B$1="","",IFERROR(_xlfn.AGGREGATE(15,6,ROW('Journal'!$A$3:$A$2002)/(('Journal'!$D$3:$D$2002=$B$1)+('Journal'!$E$3:$E$2002=$B$1))/('Journal'!$B$3:$B$2002&gt;=$B$2)/('Journal'!$B$3:$B$2002&lt;=$B$3),512),""))</f>
        <v/>
      </c>
    </row>
    <row r="518">
      <c r="A518" s="18">
        <f>IF($H518="","",INDEX('Journal'!$A$1:$A$2002,$H518))</f>
        <v/>
      </c>
      <c r="B518" s="21">
        <f>IF($H518="","",INDEX('Journal'!$B$1:$B$2002,$H518))</f>
        <v/>
      </c>
      <c r="C518" s="5">
        <f>IF($H518="","",INDEX('Journal'!$C$1:$C$2002,$H518)&amp;"")</f>
        <v/>
      </c>
      <c r="D518" s="5">
        <f>IF($H518="","",IF(INDEX('Journal'!$D$1:$D$2002,$H518)=$B$1,INDEX('Journal'!$E$1:$E$2002,$H518),INDEX('Journal'!$D$1:$D$2002,$H518))&amp;"")</f>
        <v/>
      </c>
      <c r="E518" s="20">
        <f>IF($H518="","",IF(INDEX('Journal'!$D$1:$D$2002,$H518)=$B$1,N(INDEX('Journal'!$G$1:$G$2002,$H518)),N(INDEX('Journal'!$F$1:$F$2002,$H518))))</f>
        <v/>
      </c>
      <c r="F518" s="20">
        <f>IF($H518="","",IF(INDEX('Journal'!$D$1:$D$2002,$H518)=$B$1,N(INDEX('Journal'!$F$1:$F$2002,$H518)),N(INDEX('Journal'!$G$1:$G$2002,$H518))))</f>
        <v/>
      </c>
      <c r="G518" s="20">
        <f>IF($H518="","",G517+E518-F518)</f>
        <v/>
      </c>
      <c r="H518" s="18">
        <f t="array" ref="H518">IF($B$1="","",IFERROR(_xlfn.AGGREGATE(15,6,ROW('Journal'!$A$3:$A$2002)/(('Journal'!$D$3:$D$2002=$B$1)+('Journal'!$E$3:$E$2002=$B$1))/('Journal'!$B$3:$B$2002&gt;=$B$2)/('Journal'!$B$3:$B$2002&lt;=$B$3),513),""))</f>
        <v/>
      </c>
    </row>
    <row r="519">
      <c r="A519" s="18">
        <f>IF($H519="","",INDEX('Journal'!$A$1:$A$2002,$H519))</f>
        <v/>
      </c>
      <c r="B519" s="21">
        <f>IF($H519="","",INDEX('Journal'!$B$1:$B$2002,$H519))</f>
        <v/>
      </c>
      <c r="C519" s="5">
        <f>IF($H519="","",INDEX('Journal'!$C$1:$C$2002,$H519)&amp;"")</f>
        <v/>
      </c>
      <c r="D519" s="5">
        <f>IF($H519="","",IF(INDEX('Journal'!$D$1:$D$2002,$H519)=$B$1,INDEX('Journal'!$E$1:$E$2002,$H519),INDEX('Journal'!$D$1:$D$2002,$H519))&amp;"")</f>
        <v/>
      </c>
      <c r="E519" s="20">
        <f>IF($H519="","",IF(INDEX('Journal'!$D$1:$D$2002,$H519)=$B$1,N(INDEX('Journal'!$G$1:$G$2002,$H519)),N(INDEX('Journal'!$F$1:$F$2002,$H519))))</f>
        <v/>
      </c>
      <c r="F519" s="20">
        <f>IF($H519="","",IF(INDEX('Journal'!$D$1:$D$2002,$H519)=$B$1,N(INDEX('Journal'!$F$1:$F$2002,$H519)),N(INDEX('Journal'!$G$1:$G$2002,$H519))))</f>
        <v/>
      </c>
      <c r="G519" s="20">
        <f>IF($H519="","",G518+E519-F519)</f>
        <v/>
      </c>
      <c r="H519" s="18">
        <f t="array" ref="H519">IF($B$1="","",IFERROR(_xlfn.AGGREGATE(15,6,ROW('Journal'!$A$3:$A$2002)/(('Journal'!$D$3:$D$2002=$B$1)+('Journal'!$E$3:$E$2002=$B$1))/('Journal'!$B$3:$B$2002&gt;=$B$2)/('Journal'!$B$3:$B$2002&lt;=$B$3),514),""))</f>
        <v/>
      </c>
    </row>
    <row r="520">
      <c r="A520" s="18">
        <f>IF($H520="","",INDEX('Journal'!$A$1:$A$2002,$H520))</f>
        <v/>
      </c>
      <c r="B520" s="21">
        <f>IF($H520="","",INDEX('Journal'!$B$1:$B$2002,$H520))</f>
        <v/>
      </c>
      <c r="C520" s="5">
        <f>IF($H520="","",INDEX('Journal'!$C$1:$C$2002,$H520)&amp;"")</f>
        <v/>
      </c>
      <c r="D520" s="5">
        <f>IF($H520="","",IF(INDEX('Journal'!$D$1:$D$2002,$H520)=$B$1,INDEX('Journal'!$E$1:$E$2002,$H520),INDEX('Journal'!$D$1:$D$2002,$H520))&amp;"")</f>
        <v/>
      </c>
      <c r="E520" s="20">
        <f>IF($H520="","",IF(INDEX('Journal'!$D$1:$D$2002,$H520)=$B$1,N(INDEX('Journal'!$G$1:$G$2002,$H520)),N(INDEX('Journal'!$F$1:$F$2002,$H520))))</f>
        <v/>
      </c>
      <c r="F520" s="20">
        <f>IF($H520="","",IF(INDEX('Journal'!$D$1:$D$2002,$H520)=$B$1,N(INDEX('Journal'!$F$1:$F$2002,$H520)),N(INDEX('Journal'!$G$1:$G$2002,$H520))))</f>
        <v/>
      </c>
      <c r="G520" s="20">
        <f>IF($H520="","",G519+E520-F520)</f>
        <v/>
      </c>
      <c r="H520" s="18">
        <f t="array" ref="H520">IF($B$1="","",IFERROR(_xlfn.AGGREGATE(15,6,ROW('Journal'!$A$3:$A$2002)/(('Journal'!$D$3:$D$2002=$B$1)+('Journal'!$E$3:$E$2002=$B$1))/('Journal'!$B$3:$B$2002&gt;=$B$2)/('Journal'!$B$3:$B$2002&lt;=$B$3),515),""))</f>
        <v/>
      </c>
    </row>
    <row r="521">
      <c r="A521" s="18">
        <f>IF($H521="","",INDEX('Journal'!$A$1:$A$2002,$H521))</f>
        <v/>
      </c>
      <c r="B521" s="21">
        <f>IF($H521="","",INDEX('Journal'!$B$1:$B$2002,$H521))</f>
        <v/>
      </c>
      <c r="C521" s="5">
        <f>IF($H521="","",INDEX('Journal'!$C$1:$C$2002,$H521)&amp;"")</f>
        <v/>
      </c>
      <c r="D521" s="5">
        <f>IF($H521="","",IF(INDEX('Journal'!$D$1:$D$2002,$H521)=$B$1,INDEX('Journal'!$E$1:$E$2002,$H521),INDEX('Journal'!$D$1:$D$2002,$H521))&amp;"")</f>
        <v/>
      </c>
      <c r="E521" s="20">
        <f>IF($H521="","",IF(INDEX('Journal'!$D$1:$D$2002,$H521)=$B$1,N(INDEX('Journal'!$G$1:$G$2002,$H521)),N(INDEX('Journal'!$F$1:$F$2002,$H521))))</f>
        <v/>
      </c>
      <c r="F521" s="20">
        <f>IF($H521="","",IF(INDEX('Journal'!$D$1:$D$2002,$H521)=$B$1,N(INDEX('Journal'!$F$1:$F$2002,$H521)),N(INDEX('Journal'!$G$1:$G$2002,$H521))))</f>
        <v/>
      </c>
      <c r="G521" s="20">
        <f>IF($H521="","",G520+E521-F521)</f>
        <v/>
      </c>
      <c r="H521" s="18">
        <f t="array" ref="H521">IF($B$1="","",IFERROR(_xlfn.AGGREGATE(15,6,ROW('Journal'!$A$3:$A$2002)/(('Journal'!$D$3:$D$2002=$B$1)+('Journal'!$E$3:$E$2002=$B$1))/('Journal'!$B$3:$B$2002&gt;=$B$2)/('Journal'!$B$3:$B$2002&lt;=$B$3),516),""))</f>
        <v/>
      </c>
    </row>
    <row r="522">
      <c r="A522" s="18">
        <f>IF($H522="","",INDEX('Journal'!$A$1:$A$2002,$H522))</f>
        <v/>
      </c>
      <c r="B522" s="21">
        <f>IF($H522="","",INDEX('Journal'!$B$1:$B$2002,$H522))</f>
        <v/>
      </c>
      <c r="C522" s="5">
        <f>IF($H522="","",INDEX('Journal'!$C$1:$C$2002,$H522)&amp;"")</f>
        <v/>
      </c>
      <c r="D522" s="5">
        <f>IF($H522="","",IF(INDEX('Journal'!$D$1:$D$2002,$H522)=$B$1,INDEX('Journal'!$E$1:$E$2002,$H522),INDEX('Journal'!$D$1:$D$2002,$H522))&amp;"")</f>
        <v/>
      </c>
      <c r="E522" s="20">
        <f>IF($H522="","",IF(INDEX('Journal'!$D$1:$D$2002,$H522)=$B$1,N(INDEX('Journal'!$G$1:$G$2002,$H522)),N(INDEX('Journal'!$F$1:$F$2002,$H522))))</f>
        <v/>
      </c>
      <c r="F522" s="20">
        <f>IF($H522="","",IF(INDEX('Journal'!$D$1:$D$2002,$H522)=$B$1,N(INDEX('Journal'!$F$1:$F$2002,$H522)),N(INDEX('Journal'!$G$1:$G$2002,$H522))))</f>
        <v/>
      </c>
      <c r="G522" s="20">
        <f>IF($H522="","",G521+E522-F522)</f>
        <v/>
      </c>
      <c r="H522" s="18">
        <f t="array" ref="H522">IF($B$1="","",IFERROR(_xlfn.AGGREGATE(15,6,ROW('Journal'!$A$3:$A$2002)/(('Journal'!$D$3:$D$2002=$B$1)+('Journal'!$E$3:$E$2002=$B$1))/('Journal'!$B$3:$B$2002&gt;=$B$2)/('Journal'!$B$3:$B$2002&lt;=$B$3),517),""))</f>
        <v/>
      </c>
    </row>
    <row r="523">
      <c r="A523" s="18">
        <f>IF($H523="","",INDEX('Journal'!$A$1:$A$2002,$H523))</f>
        <v/>
      </c>
      <c r="B523" s="21">
        <f>IF($H523="","",INDEX('Journal'!$B$1:$B$2002,$H523))</f>
        <v/>
      </c>
      <c r="C523" s="5">
        <f>IF($H523="","",INDEX('Journal'!$C$1:$C$2002,$H523)&amp;"")</f>
        <v/>
      </c>
      <c r="D523" s="5">
        <f>IF($H523="","",IF(INDEX('Journal'!$D$1:$D$2002,$H523)=$B$1,INDEX('Journal'!$E$1:$E$2002,$H523),INDEX('Journal'!$D$1:$D$2002,$H523))&amp;"")</f>
        <v/>
      </c>
      <c r="E523" s="20">
        <f>IF($H523="","",IF(INDEX('Journal'!$D$1:$D$2002,$H523)=$B$1,N(INDEX('Journal'!$G$1:$G$2002,$H523)),N(INDEX('Journal'!$F$1:$F$2002,$H523))))</f>
        <v/>
      </c>
      <c r="F523" s="20">
        <f>IF($H523="","",IF(INDEX('Journal'!$D$1:$D$2002,$H523)=$B$1,N(INDEX('Journal'!$F$1:$F$2002,$H523)),N(INDEX('Journal'!$G$1:$G$2002,$H523))))</f>
        <v/>
      </c>
      <c r="G523" s="20">
        <f>IF($H523="","",G522+E523-F523)</f>
        <v/>
      </c>
      <c r="H523" s="18">
        <f t="array" ref="H523">IF($B$1="","",IFERROR(_xlfn.AGGREGATE(15,6,ROW('Journal'!$A$3:$A$2002)/(('Journal'!$D$3:$D$2002=$B$1)+('Journal'!$E$3:$E$2002=$B$1))/('Journal'!$B$3:$B$2002&gt;=$B$2)/('Journal'!$B$3:$B$2002&lt;=$B$3),518),""))</f>
        <v/>
      </c>
    </row>
    <row r="524">
      <c r="A524" s="18">
        <f>IF($H524="","",INDEX('Journal'!$A$1:$A$2002,$H524))</f>
        <v/>
      </c>
      <c r="B524" s="21">
        <f>IF($H524="","",INDEX('Journal'!$B$1:$B$2002,$H524))</f>
        <v/>
      </c>
      <c r="C524" s="5">
        <f>IF($H524="","",INDEX('Journal'!$C$1:$C$2002,$H524)&amp;"")</f>
        <v/>
      </c>
      <c r="D524" s="5">
        <f>IF($H524="","",IF(INDEX('Journal'!$D$1:$D$2002,$H524)=$B$1,INDEX('Journal'!$E$1:$E$2002,$H524),INDEX('Journal'!$D$1:$D$2002,$H524))&amp;"")</f>
        <v/>
      </c>
      <c r="E524" s="20">
        <f>IF($H524="","",IF(INDEX('Journal'!$D$1:$D$2002,$H524)=$B$1,N(INDEX('Journal'!$G$1:$G$2002,$H524)),N(INDEX('Journal'!$F$1:$F$2002,$H524))))</f>
        <v/>
      </c>
      <c r="F524" s="20">
        <f>IF($H524="","",IF(INDEX('Journal'!$D$1:$D$2002,$H524)=$B$1,N(INDEX('Journal'!$F$1:$F$2002,$H524)),N(INDEX('Journal'!$G$1:$G$2002,$H524))))</f>
        <v/>
      </c>
      <c r="G524" s="20">
        <f>IF($H524="","",G523+E524-F524)</f>
        <v/>
      </c>
      <c r="H524" s="18">
        <f t="array" ref="H524">IF($B$1="","",IFERROR(_xlfn.AGGREGATE(15,6,ROW('Journal'!$A$3:$A$2002)/(('Journal'!$D$3:$D$2002=$B$1)+('Journal'!$E$3:$E$2002=$B$1))/('Journal'!$B$3:$B$2002&gt;=$B$2)/('Journal'!$B$3:$B$2002&lt;=$B$3),519),""))</f>
        <v/>
      </c>
    </row>
    <row r="525">
      <c r="A525" s="18">
        <f>IF($H525="","",INDEX('Journal'!$A$1:$A$2002,$H525))</f>
        <v/>
      </c>
      <c r="B525" s="21">
        <f>IF($H525="","",INDEX('Journal'!$B$1:$B$2002,$H525))</f>
        <v/>
      </c>
      <c r="C525" s="5">
        <f>IF($H525="","",INDEX('Journal'!$C$1:$C$2002,$H525)&amp;"")</f>
        <v/>
      </c>
      <c r="D525" s="5">
        <f>IF($H525="","",IF(INDEX('Journal'!$D$1:$D$2002,$H525)=$B$1,INDEX('Journal'!$E$1:$E$2002,$H525),INDEX('Journal'!$D$1:$D$2002,$H525))&amp;"")</f>
        <v/>
      </c>
      <c r="E525" s="20">
        <f>IF($H525="","",IF(INDEX('Journal'!$D$1:$D$2002,$H525)=$B$1,N(INDEX('Journal'!$G$1:$G$2002,$H525)),N(INDEX('Journal'!$F$1:$F$2002,$H525))))</f>
        <v/>
      </c>
      <c r="F525" s="20">
        <f>IF($H525="","",IF(INDEX('Journal'!$D$1:$D$2002,$H525)=$B$1,N(INDEX('Journal'!$F$1:$F$2002,$H525)),N(INDEX('Journal'!$G$1:$G$2002,$H525))))</f>
        <v/>
      </c>
      <c r="G525" s="20">
        <f>IF($H525="","",G524+E525-F525)</f>
        <v/>
      </c>
      <c r="H525" s="18">
        <f t="array" ref="H525">IF($B$1="","",IFERROR(_xlfn.AGGREGATE(15,6,ROW('Journal'!$A$3:$A$2002)/(('Journal'!$D$3:$D$2002=$B$1)+('Journal'!$E$3:$E$2002=$B$1))/('Journal'!$B$3:$B$2002&gt;=$B$2)/('Journal'!$B$3:$B$2002&lt;=$B$3),520),""))</f>
        <v/>
      </c>
    </row>
    <row r="526">
      <c r="A526" s="18">
        <f>IF($H526="","",INDEX('Journal'!$A$1:$A$2002,$H526))</f>
        <v/>
      </c>
      <c r="B526" s="21">
        <f>IF($H526="","",INDEX('Journal'!$B$1:$B$2002,$H526))</f>
        <v/>
      </c>
      <c r="C526" s="5">
        <f>IF($H526="","",INDEX('Journal'!$C$1:$C$2002,$H526)&amp;"")</f>
        <v/>
      </c>
      <c r="D526" s="5">
        <f>IF($H526="","",IF(INDEX('Journal'!$D$1:$D$2002,$H526)=$B$1,INDEX('Journal'!$E$1:$E$2002,$H526),INDEX('Journal'!$D$1:$D$2002,$H526))&amp;"")</f>
        <v/>
      </c>
      <c r="E526" s="20">
        <f>IF($H526="","",IF(INDEX('Journal'!$D$1:$D$2002,$H526)=$B$1,N(INDEX('Journal'!$G$1:$G$2002,$H526)),N(INDEX('Journal'!$F$1:$F$2002,$H526))))</f>
        <v/>
      </c>
      <c r="F526" s="20">
        <f>IF($H526="","",IF(INDEX('Journal'!$D$1:$D$2002,$H526)=$B$1,N(INDEX('Journal'!$F$1:$F$2002,$H526)),N(INDEX('Journal'!$G$1:$G$2002,$H526))))</f>
        <v/>
      </c>
      <c r="G526" s="20">
        <f>IF($H526="","",G525+E526-F526)</f>
        <v/>
      </c>
      <c r="H526" s="18">
        <f t="array" ref="H526">IF($B$1="","",IFERROR(_xlfn.AGGREGATE(15,6,ROW('Journal'!$A$3:$A$2002)/(('Journal'!$D$3:$D$2002=$B$1)+('Journal'!$E$3:$E$2002=$B$1))/('Journal'!$B$3:$B$2002&gt;=$B$2)/('Journal'!$B$3:$B$2002&lt;=$B$3),521),""))</f>
        <v/>
      </c>
    </row>
    <row r="527">
      <c r="A527" s="18">
        <f>IF($H527="","",INDEX('Journal'!$A$1:$A$2002,$H527))</f>
        <v/>
      </c>
      <c r="B527" s="21">
        <f>IF($H527="","",INDEX('Journal'!$B$1:$B$2002,$H527))</f>
        <v/>
      </c>
      <c r="C527" s="5">
        <f>IF($H527="","",INDEX('Journal'!$C$1:$C$2002,$H527)&amp;"")</f>
        <v/>
      </c>
      <c r="D527" s="5">
        <f>IF($H527="","",IF(INDEX('Journal'!$D$1:$D$2002,$H527)=$B$1,INDEX('Journal'!$E$1:$E$2002,$H527),INDEX('Journal'!$D$1:$D$2002,$H527))&amp;"")</f>
        <v/>
      </c>
      <c r="E527" s="20">
        <f>IF($H527="","",IF(INDEX('Journal'!$D$1:$D$2002,$H527)=$B$1,N(INDEX('Journal'!$G$1:$G$2002,$H527)),N(INDEX('Journal'!$F$1:$F$2002,$H527))))</f>
        <v/>
      </c>
      <c r="F527" s="20">
        <f>IF($H527="","",IF(INDEX('Journal'!$D$1:$D$2002,$H527)=$B$1,N(INDEX('Journal'!$F$1:$F$2002,$H527)),N(INDEX('Journal'!$G$1:$G$2002,$H527))))</f>
        <v/>
      </c>
      <c r="G527" s="20">
        <f>IF($H527="","",G526+E527-F527)</f>
        <v/>
      </c>
      <c r="H527" s="18">
        <f t="array" ref="H527">IF($B$1="","",IFERROR(_xlfn.AGGREGATE(15,6,ROW('Journal'!$A$3:$A$2002)/(('Journal'!$D$3:$D$2002=$B$1)+('Journal'!$E$3:$E$2002=$B$1))/('Journal'!$B$3:$B$2002&gt;=$B$2)/('Journal'!$B$3:$B$2002&lt;=$B$3),522),""))</f>
        <v/>
      </c>
    </row>
    <row r="528">
      <c r="A528" s="18">
        <f>IF($H528="","",INDEX('Journal'!$A$1:$A$2002,$H528))</f>
        <v/>
      </c>
      <c r="B528" s="21">
        <f>IF($H528="","",INDEX('Journal'!$B$1:$B$2002,$H528))</f>
        <v/>
      </c>
      <c r="C528" s="5">
        <f>IF($H528="","",INDEX('Journal'!$C$1:$C$2002,$H528)&amp;"")</f>
        <v/>
      </c>
      <c r="D528" s="5">
        <f>IF($H528="","",IF(INDEX('Journal'!$D$1:$D$2002,$H528)=$B$1,INDEX('Journal'!$E$1:$E$2002,$H528),INDEX('Journal'!$D$1:$D$2002,$H528))&amp;"")</f>
        <v/>
      </c>
      <c r="E528" s="20">
        <f>IF($H528="","",IF(INDEX('Journal'!$D$1:$D$2002,$H528)=$B$1,N(INDEX('Journal'!$G$1:$G$2002,$H528)),N(INDEX('Journal'!$F$1:$F$2002,$H528))))</f>
        <v/>
      </c>
      <c r="F528" s="20">
        <f>IF($H528="","",IF(INDEX('Journal'!$D$1:$D$2002,$H528)=$B$1,N(INDEX('Journal'!$F$1:$F$2002,$H528)),N(INDEX('Journal'!$G$1:$G$2002,$H528))))</f>
        <v/>
      </c>
      <c r="G528" s="20">
        <f>IF($H528="","",G527+E528-F528)</f>
        <v/>
      </c>
      <c r="H528" s="18">
        <f t="array" ref="H528">IF($B$1="","",IFERROR(_xlfn.AGGREGATE(15,6,ROW('Journal'!$A$3:$A$2002)/(('Journal'!$D$3:$D$2002=$B$1)+('Journal'!$E$3:$E$2002=$B$1))/('Journal'!$B$3:$B$2002&gt;=$B$2)/('Journal'!$B$3:$B$2002&lt;=$B$3),523),""))</f>
        <v/>
      </c>
    </row>
    <row r="529">
      <c r="A529" s="18">
        <f>IF($H529="","",INDEX('Journal'!$A$1:$A$2002,$H529))</f>
        <v/>
      </c>
      <c r="B529" s="21">
        <f>IF($H529="","",INDEX('Journal'!$B$1:$B$2002,$H529))</f>
        <v/>
      </c>
      <c r="C529" s="5">
        <f>IF($H529="","",INDEX('Journal'!$C$1:$C$2002,$H529)&amp;"")</f>
        <v/>
      </c>
      <c r="D529" s="5">
        <f>IF($H529="","",IF(INDEX('Journal'!$D$1:$D$2002,$H529)=$B$1,INDEX('Journal'!$E$1:$E$2002,$H529),INDEX('Journal'!$D$1:$D$2002,$H529))&amp;"")</f>
        <v/>
      </c>
      <c r="E529" s="20">
        <f>IF($H529="","",IF(INDEX('Journal'!$D$1:$D$2002,$H529)=$B$1,N(INDEX('Journal'!$G$1:$G$2002,$H529)),N(INDEX('Journal'!$F$1:$F$2002,$H529))))</f>
        <v/>
      </c>
      <c r="F529" s="20">
        <f>IF($H529="","",IF(INDEX('Journal'!$D$1:$D$2002,$H529)=$B$1,N(INDEX('Journal'!$F$1:$F$2002,$H529)),N(INDEX('Journal'!$G$1:$G$2002,$H529))))</f>
        <v/>
      </c>
      <c r="G529" s="20">
        <f>IF($H529="","",G528+E529-F529)</f>
        <v/>
      </c>
      <c r="H529" s="18">
        <f t="array" ref="H529">IF($B$1="","",IFERROR(_xlfn.AGGREGATE(15,6,ROW('Journal'!$A$3:$A$2002)/(('Journal'!$D$3:$D$2002=$B$1)+('Journal'!$E$3:$E$2002=$B$1))/('Journal'!$B$3:$B$2002&gt;=$B$2)/('Journal'!$B$3:$B$2002&lt;=$B$3),524),""))</f>
        <v/>
      </c>
    </row>
    <row r="530">
      <c r="A530" s="18">
        <f>IF($H530="","",INDEX('Journal'!$A$1:$A$2002,$H530))</f>
        <v/>
      </c>
      <c r="B530" s="21">
        <f>IF($H530="","",INDEX('Journal'!$B$1:$B$2002,$H530))</f>
        <v/>
      </c>
      <c r="C530" s="5">
        <f>IF($H530="","",INDEX('Journal'!$C$1:$C$2002,$H530)&amp;"")</f>
        <v/>
      </c>
      <c r="D530" s="5">
        <f>IF($H530="","",IF(INDEX('Journal'!$D$1:$D$2002,$H530)=$B$1,INDEX('Journal'!$E$1:$E$2002,$H530),INDEX('Journal'!$D$1:$D$2002,$H530))&amp;"")</f>
        <v/>
      </c>
      <c r="E530" s="20">
        <f>IF($H530="","",IF(INDEX('Journal'!$D$1:$D$2002,$H530)=$B$1,N(INDEX('Journal'!$G$1:$G$2002,$H530)),N(INDEX('Journal'!$F$1:$F$2002,$H530))))</f>
        <v/>
      </c>
      <c r="F530" s="20">
        <f>IF($H530="","",IF(INDEX('Journal'!$D$1:$D$2002,$H530)=$B$1,N(INDEX('Journal'!$F$1:$F$2002,$H530)),N(INDEX('Journal'!$G$1:$G$2002,$H530))))</f>
        <v/>
      </c>
      <c r="G530" s="20">
        <f>IF($H530="","",G529+E530-F530)</f>
        <v/>
      </c>
      <c r="H530" s="18">
        <f t="array" ref="H530">IF($B$1="","",IFERROR(_xlfn.AGGREGATE(15,6,ROW('Journal'!$A$3:$A$2002)/(('Journal'!$D$3:$D$2002=$B$1)+('Journal'!$E$3:$E$2002=$B$1))/('Journal'!$B$3:$B$2002&gt;=$B$2)/('Journal'!$B$3:$B$2002&lt;=$B$3),525),""))</f>
        <v/>
      </c>
    </row>
    <row r="531">
      <c r="A531" s="18">
        <f>IF($H531="","",INDEX('Journal'!$A$1:$A$2002,$H531))</f>
        <v/>
      </c>
      <c r="B531" s="21">
        <f>IF($H531="","",INDEX('Journal'!$B$1:$B$2002,$H531))</f>
        <v/>
      </c>
      <c r="C531" s="5">
        <f>IF($H531="","",INDEX('Journal'!$C$1:$C$2002,$H531)&amp;"")</f>
        <v/>
      </c>
      <c r="D531" s="5">
        <f>IF($H531="","",IF(INDEX('Journal'!$D$1:$D$2002,$H531)=$B$1,INDEX('Journal'!$E$1:$E$2002,$H531),INDEX('Journal'!$D$1:$D$2002,$H531))&amp;"")</f>
        <v/>
      </c>
      <c r="E531" s="20">
        <f>IF($H531="","",IF(INDEX('Journal'!$D$1:$D$2002,$H531)=$B$1,N(INDEX('Journal'!$G$1:$G$2002,$H531)),N(INDEX('Journal'!$F$1:$F$2002,$H531))))</f>
        <v/>
      </c>
      <c r="F531" s="20">
        <f>IF($H531="","",IF(INDEX('Journal'!$D$1:$D$2002,$H531)=$B$1,N(INDEX('Journal'!$F$1:$F$2002,$H531)),N(INDEX('Journal'!$G$1:$G$2002,$H531))))</f>
        <v/>
      </c>
      <c r="G531" s="20">
        <f>IF($H531="","",G530+E531-F531)</f>
        <v/>
      </c>
      <c r="H531" s="18">
        <f t="array" ref="H531">IF($B$1="","",IFERROR(_xlfn.AGGREGATE(15,6,ROW('Journal'!$A$3:$A$2002)/(('Journal'!$D$3:$D$2002=$B$1)+('Journal'!$E$3:$E$2002=$B$1))/('Journal'!$B$3:$B$2002&gt;=$B$2)/('Journal'!$B$3:$B$2002&lt;=$B$3),526),""))</f>
        <v/>
      </c>
    </row>
    <row r="532">
      <c r="A532" s="18">
        <f>IF($H532="","",INDEX('Journal'!$A$1:$A$2002,$H532))</f>
        <v/>
      </c>
      <c r="B532" s="21">
        <f>IF($H532="","",INDEX('Journal'!$B$1:$B$2002,$H532))</f>
        <v/>
      </c>
      <c r="C532" s="5">
        <f>IF($H532="","",INDEX('Journal'!$C$1:$C$2002,$H532)&amp;"")</f>
        <v/>
      </c>
      <c r="D532" s="5">
        <f>IF($H532="","",IF(INDEX('Journal'!$D$1:$D$2002,$H532)=$B$1,INDEX('Journal'!$E$1:$E$2002,$H532),INDEX('Journal'!$D$1:$D$2002,$H532))&amp;"")</f>
        <v/>
      </c>
      <c r="E532" s="20">
        <f>IF($H532="","",IF(INDEX('Journal'!$D$1:$D$2002,$H532)=$B$1,N(INDEX('Journal'!$G$1:$G$2002,$H532)),N(INDEX('Journal'!$F$1:$F$2002,$H532))))</f>
        <v/>
      </c>
      <c r="F532" s="20">
        <f>IF($H532="","",IF(INDEX('Journal'!$D$1:$D$2002,$H532)=$B$1,N(INDEX('Journal'!$F$1:$F$2002,$H532)),N(INDEX('Journal'!$G$1:$G$2002,$H532))))</f>
        <v/>
      </c>
      <c r="G532" s="20">
        <f>IF($H532="","",G531+E532-F532)</f>
        <v/>
      </c>
      <c r="H532" s="18">
        <f t="array" ref="H532">IF($B$1="","",IFERROR(_xlfn.AGGREGATE(15,6,ROW('Journal'!$A$3:$A$2002)/(('Journal'!$D$3:$D$2002=$B$1)+('Journal'!$E$3:$E$2002=$B$1))/('Journal'!$B$3:$B$2002&gt;=$B$2)/('Journal'!$B$3:$B$2002&lt;=$B$3),527),""))</f>
        <v/>
      </c>
    </row>
    <row r="533">
      <c r="A533" s="18">
        <f>IF($H533="","",INDEX('Journal'!$A$1:$A$2002,$H533))</f>
        <v/>
      </c>
      <c r="B533" s="21">
        <f>IF($H533="","",INDEX('Journal'!$B$1:$B$2002,$H533))</f>
        <v/>
      </c>
      <c r="C533" s="5">
        <f>IF($H533="","",INDEX('Journal'!$C$1:$C$2002,$H533)&amp;"")</f>
        <v/>
      </c>
      <c r="D533" s="5">
        <f>IF($H533="","",IF(INDEX('Journal'!$D$1:$D$2002,$H533)=$B$1,INDEX('Journal'!$E$1:$E$2002,$H533),INDEX('Journal'!$D$1:$D$2002,$H533))&amp;"")</f>
        <v/>
      </c>
      <c r="E533" s="20">
        <f>IF($H533="","",IF(INDEX('Journal'!$D$1:$D$2002,$H533)=$B$1,N(INDEX('Journal'!$G$1:$G$2002,$H533)),N(INDEX('Journal'!$F$1:$F$2002,$H533))))</f>
        <v/>
      </c>
      <c r="F533" s="20">
        <f>IF($H533="","",IF(INDEX('Journal'!$D$1:$D$2002,$H533)=$B$1,N(INDEX('Journal'!$F$1:$F$2002,$H533)),N(INDEX('Journal'!$G$1:$G$2002,$H533))))</f>
        <v/>
      </c>
      <c r="G533" s="20">
        <f>IF($H533="","",G532+E533-F533)</f>
        <v/>
      </c>
      <c r="H533" s="18">
        <f t="array" ref="H533">IF($B$1="","",IFERROR(_xlfn.AGGREGATE(15,6,ROW('Journal'!$A$3:$A$2002)/(('Journal'!$D$3:$D$2002=$B$1)+('Journal'!$E$3:$E$2002=$B$1))/('Journal'!$B$3:$B$2002&gt;=$B$2)/('Journal'!$B$3:$B$2002&lt;=$B$3),528),""))</f>
        <v/>
      </c>
    </row>
    <row r="534">
      <c r="A534" s="18">
        <f>IF($H534="","",INDEX('Journal'!$A$1:$A$2002,$H534))</f>
        <v/>
      </c>
      <c r="B534" s="21">
        <f>IF($H534="","",INDEX('Journal'!$B$1:$B$2002,$H534))</f>
        <v/>
      </c>
      <c r="C534" s="5">
        <f>IF($H534="","",INDEX('Journal'!$C$1:$C$2002,$H534)&amp;"")</f>
        <v/>
      </c>
      <c r="D534" s="5">
        <f>IF($H534="","",IF(INDEX('Journal'!$D$1:$D$2002,$H534)=$B$1,INDEX('Journal'!$E$1:$E$2002,$H534),INDEX('Journal'!$D$1:$D$2002,$H534))&amp;"")</f>
        <v/>
      </c>
      <c r="E534" s="20">
        <f>IF($H534="","",IF(INDEX('Journal'!$D$1:$D$2002,$H534)=$B$1,N(INDEX('Journal'!$G$1:$G$2002,$H534)),N(INDEX('Journal'!$F$1:$F$2002,$H534))))</f>
        <v/>
      </c>
      <c r="F534" s="20">
        <f>IF($H534="","",IF(INDEX('Journal'!$D$1:$D$2002,$H534)=$B$1,N(INDEX('Journal'!$F$1:$F$2002,$H534)),N(INDEX('Journal'!$G$1:$G$2002,$H534))))</f>
        <v/>
      </c>
      <c r="G534" s="20">
        <f>IF($H534="","",G533+E534-F534)</f>
        <v/>
      </c>
      <c r="H534" s="18">
        <f t="array" ref="H534">IF($B$1="","",IFERROR(_xlfn.AGGREGATE(15,6,ROW('Journal'!$A$3:$A$2002)/(('Journal'!$D$3:$D$2002=$B$1)+('Journal'!$E$3:$E$2002=$B$1))/('Journal'!$B$3:$B$2002&gt;=$B$2)/('Journal'!$B$3:$B$2002&lt;=$B$3),529),""))</f>
        <v/>
      </c>
    </row>
    <row r="535">
      <c r="A535" s="18">
        <f>IF($H535="","",INDEX('Journal'!$A$1:$A$2002,$H535))</f>
        <v/>
      </c>
      <c r="B535" s="21">
        <f>IF($H535="","",INDEX('Journal'!$B$1:$B$2002,$H535))</f>
        <v/>
      </c>
      <c r="C535" s="5">
        <f>IF($H535="","",INDEX('Journal'!$C$1:$C$2002,$H535)&amp;"")</f>
        <v/>
      </c>
      <c r="D535" s="5">
        <f>IF($H535="","",IF(INDEX('Journal'!$D$1:$D$2002,$H535)=$B$1,INDEX('Journal'!$E$1:$E$2002,$H535),INDEX('Journal'!$D$1:$D$2002,$H535))&amp;"")</f>
        <v/>
      </c>
      <c r="E535" s="20">
        <f>IF($H535="","",IF(INDEX('Journal'!$D$1:$D$2002,$H535)=$B$1,N(INDEX('Journal'!$G$1:$G$2002,$H535)),N(INDEX('Journal'!$F$1:$F$2002,$H535))))</f>
        <v/>
      </c>
      <c r="F535" s="20">
        <f>IF($H535="","",IF(INDEX('Journal'!$D$1:$D$2002,$H535)=$B$1,N(INDEX('Journal'!$F$1:$F$2002,$H535)),N(INDEX('Journal'!$G$1:$G$2002,$H535))))</f>
        <v/>
      </c>
      <c r="G535" s="20">
        <f>IF($H535="","",G534+E535-F535)</f>
        <v/>
      </c>
      <c r="H535" s="18">
        <f t="array" ref="H535">IF($B$1="","",IFERROR(_xlfn.AGGREGATE(15,6,ROW('Journal'!$A$3:$A$2002)/(('Journal'!$D$3:$D$2002=$B$1)+('Journal'!$E$3:$E$2002=$B$1))/('Journal'!$B$3:$B$2002&gt;=$B$2)/('Journal'!$B$3:$B$2002&lt;=$B$3),530),""))</f>
        <v/>
      </c>
    </row>
    <row r="536">
      <c r="A536" s="18">
        <f>IF($H536="","",INDEX('Journal'!$A$1:$A$2002,$H536))</f>
        <v/>
      </c>
      <c r="B536" s="21">
        <f>IF($H536="","",INDEX('Journal'!$B$1:$B$2002,$H536))</f>
        <v/>
      </c>
      <c r="C536" s="5">
        <f>IF($H536="","",INDEX('Journal'!$C$1:$C$2002,$H536)&amp;"")</f>
        <v/>
      </c>
      <c r="D536" s="5">
        <f>IF($H536="","",IF(INDEX('Journal'!$D$1:$D$2002,$H536)=$B$1,INDEX('Journal'!$E$1:$E$2002,$H536),INDEX('Journal'!$D$1:$D$2002,$H536))&amp;"")</f>
        <v/>
      </c>
      <c r="E536" s="20">
        <f>IF($H536="","",IF(INDEX('Journal'!$D$1:$D$2002,$H536)=$B$1,N(INDEX('Journal'!$G$1:$G$2002,$H536)),N(INDEX('Journal'!$F$1:$F$2002,$H536))))</f>
        <v/>
      </c>
      <c r="F536" s="20">
        <f>IF($H536="","",IF(INDEX('Journal'!$D$1:$D$2002,$H536)=$B$1,N(INDEX('Journal'!$F$1:$F$2002,$H536)),N(INDEX('Journal'!$G$1:$G$2002,$H536))))</f>
        <v/>
      </c>
      <c r="G536" s="20">
        <f>IF($H536="","",G535+E536-F536)</f>
        <v/>
      </c>
      <c r="H536" s="18">
        <f t="array" ref="H536">IF($B$1="","",IFERROR(_xlfn.AGGREGATE(15,6,ROW('Journal'!$A$3:$A$2002)/(('Journal'!$D$3:$D$2002=$B$1)+('Journal'!$E$3:$E$2002=$B$1))/('Journal'!$B$3:$B$2002&gt;=$B$2)/('Journal'!$B$3:$B$2002&lt;=$B$3),531),""))</f>
        <v/>
      </c>
    </row>
    <row r="537">
      <c r="A537" s="18">
        <f>IF($H537="","",INDEX('Journal'!$A$1:$A$2002,$H537))</f>
        <v/>
      </c>
      <c r="B537" s="21">
        <f>IF($H537="","",INDEX('Journal'!$B$1:$B$2002,$H537))</f>
        <v/>
      </c>
      <c r="C537" s="5">
        <f>IF($H537="","",INDEX('Journal'!$C$1:$C$2002,$H537)&amp;"")</f>
        <v/>
      </c>
      <c r="D537" s="5">
        <f>IF($H537="","",IF(INDEX('Journal'!$D$1:$D$2002,$H537)=$B$1,INDEX('Journal'!$E$1:$E$2002,$H537),INDEX('Journal'!$D$1:$D$2002,$H537))&amp;"")</f>
        <v/>
      </c>
      <c r="E537" s="20">
        <f>IF($H537="","",IF(INDEX('Journal'!$D$1:$D$2002,$H537)=$B$1,N(INDEX('Journal'!$G$1:$G$2002,$H537)),N(INDEX('Journal'!$F$1:$F$2002,$H537))))</f>
        <v/>
      </c>
      <c r="F537" s="20">
        <f>IF($H537="","",IF(INDEX('Journal'!$D$1:$D$2002,$H537)=$B$1,N(INDEX('Journal'!$F$1:$F$2002,$H537)),N(INDEX('Journal'!$G$1:$G$2002,$H537))))</f>
        <v/>
      </c>
      <c r="G537" s="20">
        <f>IF($H537="","",G536+E537-F537)</f>
        <v/>
      </c>
      <c r="H537" s="18">
        <f t="array" ref="H537">IF($B$1="","",IFERROR(_xlfn.AGGREGATE(15,6,ROW('Journal'!$A$3:$A$2002)/(('Journal'!$D$3:$D$2002=$B$1)+('Journal'!$E$3:$E$2002=$B$1))/('Journal'!$B$3:$B$2002&gt;=$B$2)/('Journal'!$B$3:$B$2002&lt;=$B$3),532),""))</f>
        <v/>
      </c>
    </row>
    <row r="538">
      <c r="A538" s="18">
        <f>IF($H538="","",INDEX('Journal'!$A$1:$A$2002,$H538))</f>
        <v/>
      </c>
      <c r="B538" s="21">
        <f>IF($H538="","",INDEX('Journal'!$B$1:$B$2002,$H538))</f>
        <v/>
      </c>
      <c r="C538" s="5">
        <f>IF($H538="","",INDEX('Journal'!$C$1:$C$2002,$H538)&amp;"")</f>
        <v/>
      </c>
      <c r="D538" s="5">
        <f>IF($H538="","",IF(INDEX('Journal'!$D$1:$D$2002,$H538)=$B$1,INDEX('Journal'!$E$1:$E$2002,$H538),INDEX('Journal'!$D$1:$D$2002,$H538))&amp;"")</f>
        <v/>
      </c>
      <c r="E538" s="20">
        <f>IF($H538="","",IF(INDEX('Journal'!$D$1:$D$2002,$H538)=$B$1,N(INDEX('Journal'!$G$1:$G$2002,$H538)),N(INDEX('Journal'!$F$1:$F$2002,$H538))))</f>
        <v/>
      </c>
      <c r="F538" s="20">
        <f>IF($H538="","",IF(INDEX('Journal'!$D$1:$D$2002,$H538)=$B$1,N(INDEX('Journal'!$F$1:$F$2002,$H538)),N(INDEX('Journal'!$G$1:$G$2002,$H538))))</f>
        <v/>
      </c>
      <c r="G538" s="20">
        <f>IF($H538="","",G537+E538-F538)</f>
        <v/>
      </c>
      <c r="H538" s="18">
        <f t="array" ref="H538">IF($B$1="","",IFERROR(_xlfn.AGGREGATE(15,6,ROW('Journal'!$A$3:$A$2002)/(('Journal'!$D$3:$D$2002=$B$1)+('Journal'!$E$3:$E$2002=$B$1))/('Journal'!$B$3:$B$2002&gt;=$B$2)/('Journal'!$B$3:$B$2002&lt;=$B$3),533),""))</f>
        <v/>
      </c>
    </row>
    <row r="539">
      <c r="A539" s="18">
        <f>IF($H539="","",INDEX('Journal'!$A$1:$A$2002,$H539))</f>
        <v/>
      </c>
      <c r="B539" s="21">
        <f>IF($H539="","",INDEX('Journal'!$B$1:$B$2002,$H539))</f>
        <v/>
      </c>
      <c r="C539" s="5">
        <f>IF($H539="","",INDEX('Journal'!$C$1:$C$2002,$H539)&amp;"")</f>
        <v/>
      </c>
      <c r="D539" s="5">
        <f>IF($H539="","",IF(INDEX('Journal'!$D$1:$D$2002,$H539)=$B$1,INDEX('Journal'!$E$1:$E$2002,$H539),INDEX('Journal'!$D$1:$D$2002,$H539))&amp;"")</f>
        <v/>
      </c>
      <c r="E539" s="20">
        <f>IF($H539="","",IF(INDEX('Journal'!$D$1:$D$2002,$H539)=$B$1,N(INDEX('Journal'!$G$1:$G$2002,$H539)),N(INDEX('Journal'!$F$1:$F$2002,$H539))))</f>
        <v/>
      </c>
      <c r="F539" s="20">
        <f>IF($H539="","",IF(INDEX('Journal'!$D$1:$D$2002,$H539)=$B$1,N(INDEX('Journal'!$F$1:$F$2002,$H539)),N(INDEX('Journal'!$G$1:$G$2002,$H539))))</f>
        <v/>
      </c>
      <c r="G539" s="20">
        <f>IF($H539="","",G538+E539-F539)</f>
        <v/>
      </c>
      <c r="H539" s="18">
        <f t="array" ref="H539">IF($B$1="","",IFERROR(_xlfn.AGGREGATE(15,6,ROW('Journal'!$A$3:$A$2002)/(('Journal'!$D$3:$D$2002=$B$1)+('Journal'!$E$3:$E$2002=$B$1))/('Journal'!$B$3:$B$2002&gt;=$B$2)/('Journal'!$B$3:$B$2002&lt;=$B$3),534),""))</f>
        <v/>
      </c>
    </row>
    <row r="540">
      <c r="A540" s="18">
        <f>IF($H540="","",INDEX('Journal'!$A$1:$A$2002,$H540))</f>
        <v/>
      </c>
      <c r="B540" s="21">
        <f>IF($H540="","",INDEX('Journal'!$B$1:$B$2002,$H540))</f>
        <v/>
      </c>
      <c r="C540" s="5">
        <f>IF($H540="","",INDEX('Journal'!$C$1:$C$2002,$H540)&amp;"")</f>
        <v/>
      </c>
      <c r="D540" s="5">
        <f>IF($H540="","",IF(INDEX('Journal'!$D$1:$D$2002,$H540)=$B$1,INDEX('Journal'!$E$1:$E$2002,$H540),INDEX('Journal'!$D$1:$D$2002,$H540))&amp;"")</f>
        <v/>
      </c>
      <c r="E540" s="20">
        <f>IF($H540="","",IF(INDEX('Journal'!$D$1:$D$2002,$H540)=$B$1,N(INDEX('Journal'!$G$1:$G$2002,$H540)),N(INDEX('Journal'!$F$1:$F$2002,$H540))))</f>
        <v/>
      </c>
      <c r="F540" s="20">
        <f>IF($H540="","",IF(INDEX('Journal'!$D$1:$D$2002,$H540)=$B$1,N(INDEX('Journal'!$F$1:$F$2002,$H540)),N(INDEX('Journal'!$G$1:$G$2002,$H540))))</f>
        <v/>
      </c>
      <c r="G540" s="20">
        <f>IF($H540="","",G539+E540-F540)</f>
        <v/>
      </c>
      <c r="H540" s="18">
        <f t="array" ref="H540">IF($B$1="","",IFERROR(_xlfn.AGGREGATE(15,6,ROW('Journal'!$A$3:$A$2002)/(('Journal'!$D$3:$D$2002=$B$1)+('Journal'!$E$3:$E$2002=$B$1))/('Journal'!$B$3:$B$2002&gt;=$B$2)/('Journal'!$B$3:$B$2002&lt;=$B$3),535),""))</f>
        <v/>
      </c>
    </row>
    <row r="541">
      <c r="A541" s="18">
        <f>IF($H541="","",INDEX('Journal'!$A$1:$A$2002,$H541))</f>
        <v/>
      </c>
      <c r="B541" s="21">
        <f>IF($H541="","",INDEX('Journal'!$B$1:$B$2002,$H541))</f>
        <v/>
      </c>
      <c r="C541" s="5">
        <f>IF($H541="","",INDEX('Journal'!$C$1:$C$2002,$H541)&amp;"")</f>
        <v/>
      </c>
      <c r="D541" s="5">
        <f>IF($H541="","",IF(INDEX('Journal'!$D$1:$D$2002,$H541)=$B$1,INDEX('Journal'!$E$1:$E$2002,$H541),INDEX('Journal'!$D$1:$D$2002,$H541))&amp;"")</f>
        <v/>
      </c>
      <c r="E541" s="20">
        <f>IF($H541="","",IF(INDEX('Journal'!$D$1:$D$2002,$H541)=$B$1,N(INDEX('Journal'!$G$1:$G$2002,$H541)),N(INDEX('Journal'!$F$1:$F$2002,$H541))))</f>
        <v/>
      </c>
      <c r="F541" s="20">
        <f>IF($H541="","",IF(INDEX('Journal'!$D$1:$D$2002,$H541)=$B$1,N(INDEX('Journal'!$F$1:$F$2002,$H541)),N(INDEX('Journal'!$G$1:$G$2002,$H541))))</f>
        <v/>
      </c>
      <c r="G541" s="20">
        <f>IF($H541="","",G540+E541-F541)</f>
        <v/>
      </c>
      <c r="H541" s="18">
        <f t="array" ref="H541">IF($B$1="","",IFERROR(_xlfn.AGGREGATE(15,6,ROW('Journal'!$A$3:$A$2002)/(('Journal'!$D$3:$D$2002=$B$1)+('Journal'!$E$3:$E$2002=$B$1))/('Journal'!$B$3:$B$2002&gt;=$B$2)/('Journal'!$B$3:$B$2002&lt;=$B$3),536),""))</f>
        <v/>
      </c>
    </row>
    <row r="542">
      <c r="A542" s="18">
        <f>IF($H542="","",INDEX('Journal'!$A$1:$A$2002,$H542))</f>
        <v/>
      </c>
      <c r="B542" s="21">
        <f>IF($H542="","",INDEX('Journal'!$B$1:$B$2002,$H542))</f>
        <v/>
      </c>
      <c r="C542" s="5">
        <f>IF($H542="","",INDEX('Journal'!$C$1:$C$2002,$H542)&amp;"")</f>
        <v/>
      </c>
      <c r="D542" s="5">
        <f>IF($H542="","",IF(INDEX('Journal'!$D$1:$D$2002,$H542)=$B$1,INDEX('Journal'!$E$1:$E$2002,$H542),INDEX('Journal'!$D$1:$D$2002,$H542))&amp;"")</f>
        <v/>
      </c>
      <c r="E542" s="20">
        <f>IF($H542="","",IF(INDEX('Journal'!$D$1:$D$2002,$H542)=$B$1,N(INDEX('Journal'!$G$1:$G$2002,$H542)),N(INDEX('Journal'!$F$1:$F$2002,$H542))))</f>
        <v/>
      </c>
      <c r="F542" s="20">
        <f>IF($H542="","",IF(INDEX('Journal'!$D$1:$D$2002,$H542)=$B$1,N(INDEX('Journal'!$F$1:$F$2002,$H542)),N(INDEX('Journal'!$G$1:$G$2002,$H542))))</f>
        <v/>
      </c>
      <c r="G542" s="20">
        <f>IF($H542="","",G541+E542-F542)</f>
        <v/>
      </c>
      <c r="H542" s="18">
        <f t="array" ref="H542">IF($B$1="","",IFERROR(_xlfn.AGGREGATE(15,6,ROW('Journal'!$A$3:$A$2002)/(('Journal'!$D$3:$D$2002=$B$1)+('Journal'!$E$3:$E$2002=$B$1))/('Journal'!$B$3:$B$2002&gt;=$B$2)/('Journal'!$B$3:$B$2002&lt;=$B$3),537),""))</f>
        <v/>
      </c>
    </row>
    <row r="543">
      <c r="A543" s="18">
        <f>IF($H543="","",INDEX('Journal'!$A$1:$A$2002,$H543))</f>
        <v/>
      </c>
      <c r="B543" s="21">
        <f>IF($H543="","",INDEX('Journal'!$B$1:$B$2002,$H543))</f>
        <v/>
      </c>
      <c r="C543" s="5">
        <f>IF($H543="","",INDEX('Journal'!$C$1:$C$2002,$H543)&amp;"")</f>
        <v/>
      </c>
      <c r="D543" s="5">
        <f>IF($H543="","",IF(INDEX('Journal'!$D$1:$D$2002,$H543)=$B$1,INDEX('Journal'!$E$1:$E$2002,$H543),INDEX('Journal'!$D$1:$D$2002,$H543))&amp;"")</f>
        <v/>
      </c>
      <c r="E543" s="20">
        <f>IF($H543="","",IF(INDEX('Journal'!$D$1:$D$2002,$H543)=$B$1,N(INDEX('Journal'!$G$1:$G$2002,$H543)),N(INDEX('Journal'!$F$1:$F$2002,$H543))))</f>
        <v/>
      </c>
      <c r="F543" s="20">
        <f>IF($H543="","",IF(INDEX('Journal'!$D$1:$D$2002,$H543)=$B$1,N(INDEX('Journal'!$F$1:$F$2002,$H543)),N(INDEX('Journal'!$G$1:$G$2002,$H543))))</f>
        <v/>
      </c>
      <c r="G543" s="20">
        <f>IF($H543="","",G542+E543-F543)</f>
        <v/>
      </c>
      <c r="H543" s="18">
        <f t="array" ref="H543">IF($B$1="","",IFERROR(_xlfn.AGGREGATE(15,6,ROW('Journal'!$A$3:$A$2002)/(('Journal'!$D$3:$D$2002=$B$1)+('Journal'!$E$3:$E$2002=$B$1))/('Journal'!$B$3:$B$2002&gt;=$B$2)/('Journal'!$B$3:$B$2002&lt;=$B$3),538),""))</f>
        <v/>
      </c>
    </row>
    <row r="544">
      <c r="A544" s="18">
        <f>IF($H544="","",INDEX('Journal'!$A$1:$A$2002,$H544))</f>
        <v/>
      </c>
      <c r="B544" s="21">
        <f>IF($H544="","",INDEX('Journal'!$B$1:$B$2002,$H544))</f>
        <v/>
      </c>
      <c r="C544" s="5">
        <f>IF($H544="","",INDEX('Journal'!$C$1:$C$2002,$H544)&amp;"")</f>
        <v/>
      </c>
      <c r="D544" s="5">
        <f>IF($H544="","",IF(INDEX('Journal'!$D$1:$D$2002,$H544)=$B$1,INDEX('Journal'!$E$1:$E$2002,$H544),INDEX('Journal'!$D$1:$D$2002,$H544))&amp;"")</f>
        <v/>
      </c>
      <c r="E544" s="20">
        <f>IF($H544="","",IF(INDEX('Journal'!$D$1:$D$2002,$H544)=$B$1,N(INDEX('Journal'!$G$1:$G$2002,$H544)),N(INDEX('Journal'!$F$1:$F$2002,$H544))))</f>
        <v/>
      </c>
      <c r="F544" s="20">
        <f>IF($H544="","",IF(INDEX('Journal'!$D$1:$D$2002,$H544)=$B$1,N(INDEX('Journal'!$F$1:$F$2002,$H544)),N(INDEX('Journal'!$G$1:$G$2002,$H544))))</f>
        <v/>
      </c>
      <c r="G544" s="20">
        <f>IF($H544="","",G543+E544-F544)</f>
        <v/>
      </c>
      <c r="H544" s="18">
        <f t="array" ref="H544">IF($B$1="","",IFERROR(_xlfn.AGGREGATE(15,6,ROW('Journal'!$A$3:$A$2002)/(('Journal'!$D$3:$D$2002=$B$1)+('Journal'!$E$3:$E$2002=$B$1))/('Journal'!$B$3:$B$2002&gt;=$B$2)/('Journal'!$B$3:$B$2002&lt;=$B$3),539),""))</f>
        <v/>
      </c>
    </row>
    <row r="545">
      <c r="A545" s="18">
        <f>IF($H545="","",INDEX('Journal'!$A$1:$A$2002,$H545))</f>
        <v/>
      </c>
      <c r="B545" s="21">
        <f>IF($H545="","",INDEX('Journal'!$B$1:$B$2002,$H545))</f>
        <v/>
      </c>
      <c r="C545" s="5">
        <f>IF($H545="","",INDEX('Journal'!$C$1:$C$2002,$H545)&amp;"")</f>
        <v/>
      </c>
      <c r="D545" s="5">
        <f>IF($H545="","",IF(INDEX('Journal'!$D$1:$D$2002,$H545)=$B$1,INDEX('Journal'!$E$1:$E$2002,$H545),INDEX('Journal'!$D$1:$D$2002,$H545))&amp;"")</f>
        <v/>
      </c>
      <c r="E545" s="20">
        <f>IF($H545="","",IF(INDEX('Journal'!$D$1:$D$2002,$H545)=$B$1,N(INDEX('Journal'!$G$1:$G$2002,$H545)),N(INDEX('Journal'!$F$1:$F$2002,$H545))))</f>
        <v/>
      </c>
      <c r="F545" s="20">
        <f>IF($H545="","",IF(INDEX('Journal'!$D$1:$D$2002,$H545)=$B$1,N(INDEX('Journal'!$F$1:$F$2002,$H545)),N(INDEX('Journal'!$G$1:$G$2002,$H545))))</f>
        <v/>
      </c>
      <c r="G545" s="20">
        <f>IF($H545="","",G544+E545-F545)</f>
        <v/>
      </c>
      <c r="H545" s="18">
        <f t="array" ref="H545">IF($B$1="","",IFERROR(_xlfn.AGGREGATE(15,6,ROW('Journal'!$A$3:$A$2002)/(('Journal'!$D$3:$D$2002=$B$1)+('Journal'!$E$3:$E$2002=$B$1))/('Journal'!$B$3:$B$2002&gt;=$B$2)/('Journal'!$B$3:$B$2002&lt;=$B$3),540),""))</f>
        <v/>
      </c>
    </row>
    <row r="546">
      <c r="A546" s="18">
        <f>IF($H546="","",INDEX('Journal'!$A$1:$A$2002,$H546))</f>
        <v/>
      </c>
      <c r="B546" s="21">
        <f>IF($H546="","",INDEX('Journal'!$B$1:$B$2002,$H546))</f>
        <v/>
      </c>
      <c r="C546" s="5">
        <f>IF($H546="","",INDEX('Journal'!$C$1:$C$2002,$H546)&amp;"")</f>
        <v/>
      </c>
      <c r="D546" s="5">
        <f>IF($H546="","",IF(INDEX('Journal'!$D$1:$D$2002,$H546)=$B$1,INDEX('Journal'!$E$1:$E$2002,$H546),INDEX('Journal'!$D$1:$D$2002,$H546))&amp;"")</f>
        <v/>
      </c>
      <c r="E546" s="20">
        <f>IF($H546="","",IF(INDEX('Journal'!$D$1:$D$2002,$H546)=$B$1,N(INDEX('Journal'!$G$1:$G$2002,$H546)),N(INDEX('Journal'!$F$1:$F$2002,$H546))))</f>
        <v/>
      </c>
      <c r="F546" s="20">
        <f>IF($H546="","",IF(INDEX('Journal'!$D$1:$D$2002,$H546)=$B$1,N(INDEX('Journal'!$F$1:$F$2002,$H546)),N(INDEX('Journal'!$G$1:$G$2002,$H546))))</f>
        <v/>
      </c>
      <c r="G546" s="20">
        <f>IF($H546="","",G545+E546-F546)</f>
        <v/>
      </c>
      <c r="H546" s="18">
        <f t="array" ref="H546">IF($B$1="","",IFERROR(_xlfn.AGGREGATE(15,6,ROW('Journal'!$A$3:$A$2002)/(('Journal'!$D$3:$D$2002=$B$1)+('Journal'!$E$3:$E$2002=$B$1))/('Journal'!$B$3:$B$2002&gt;=$B$2)/('Journal'!$B$3:$B$2002&lt;=$B$3),541),""))</f>
        <v/>
      </c>
    </row>
    <row r="547">
      <c r="A547" s="18">
        <f>IF($H547="","",INDEX('Journal'!$A$1:$A$2002,$H547))</f>
        <v/>
      </c>
      <c r="B547" s="21">
        <f>IF($H547="","",INDEX('Journal'!$B$1:$B$2002,$H547))</f>
        <v/>
      </c>
      <c r="C547" s="5">
        <f>IF($H547="","",INDEX('Journal'!$C$1:$C$2002,$H547)&amp;"")</f>
        <v/>
      </c>
      <c r="D547" s="5">
        <f>IF($H547="","",IF(INDEX('Journal'!$D$1:$D$2002,$H547)=$B$1,INDEX('Journal'!$E$1:$E$2002,$H547),INDEX('Journal'!$D$1:$D$2002,$H547))&amp;"")</f>
        <v/>
      </c>
      <c r="E547" s="20">
        <f>IF($H547="","",IF(INDEX('Journal'!$D$1:$D$2002,$H547)=$B$1,N(INDEX('Journal'!$G$1:$G$2002,$H547)),N(INDEX('Journal'!$F$1:$F$2002,$H547))))</f>
        <v/>
      </c>
      <c r="F547" s="20">
        <f>IF($H547="","",IF(INDEX('Journal'!$D$1:$D$2002,$H547)=$B$1,N(INDEX('Journal'!$F$1:$F$2002,$H547)),N(INDEX('Journal'!$G$1:$G$2002,$H547))))</f>
        <v/>
      </c>
      <c r="G547" s="20">
        <f>IF($H547="","",G546+E547-F547)</f>
        <v/>
      </c>
      <c r="H547" s="18">
        <f t="array" ref="H547">IF($B$1="","",IFERROR(_xlfn.AGGREGATE(15,6,ROW('Journal'!$A$3:$A$2002)/(('Journal'!$D$3:$D$2002=$B$1)+('Journal'!$E$3:$E$2002=$B$1))/('Journal'!$B$3:$B$2002&gt;=$B$2)/('Journal'!$B$3:$B$2002&lt;=$B$3),542),""))</f>
        <v/>
      </c>
    </row>
    <row r="548">
      <c r="A548" s="18">
        <f>IF($H548="","",INDEX('Journal'!$A$1:$A$2002,$H548))</f>
        <v/>
      </c>
      <c r="B548" s="21">
        <f>IF($H548="","",INDEX('Journal'!$B$1:$B$2002,$H548))</f>
        <v/>
      </c>
      <c r="C548" s="5">
        <f>IF($H548="","",INDEX('Journal'!$C$1:$C$2002,$H548)&amp;"")</f>
        <v/>
      </c>
      <c r="D548" s="5">
        <f>IF($H548="","",IF(INDEX('Journal'!$D$1:$D$2002,$H548)=$B$1,INDEX('Journal'!$E$1:$E$2002,$H548),INDEX('Journal'!$D$1:$D$2002,$H548))&amp;"")</f>
        <v/>
      </c>
      <c r="E548" s="20">
        <f>IF($H548="","",IF(INDEX('Journal'!$D$1:$D$2002,$H548)=$B$1,N(INDEX('Journal'!$G$1:$G$2002,$H548)),N(INDEX('Journal'!$F$1:$F$2002,$H548))))</f>
        <v/>
      </c>
      <c r="F548" s="20">
        <f>IF($H548="","",IF(INDEX('Journal'!$D$1:$D$2002,$H548)=$B$1,N(INDEX('Journal'!$F$1:$F$2002,$H548)),N(INDEX('Journal'!$G$1:$G$2002,$H548))))</f>
        <v/>
      </c>
      <c r="G548" s="20">
        <f>IF($H548="","",G547+E548-F548)</f>
        <v/>
      </c>
      <c r="H548" s="18">
        <f t="array" ref="H548">IF($B$1="","",IFERROR(_xlfn.AGGREGATE(15,6,ROW('Journal'!$A$3:$A$2002)/(('Journal'!$D$3:$D$2002=$B$1)+('Journal'!$E$3:$E$2002=$B$1))/('Journal'!$B$3:$B$2002&gt;=$B$2)/('Journal'!$B$3:$B$2002&lt;=$B$3),543),""))</f>
        <v/>
      </c>
    </row>
    <row r="549">
      <c r="A549" s="18">
        <f>IF($H549="","",INDEX('Journal'!$A$1:$A$2002,$H549))</f>
        <v/>
      </c>
      <c r="B549" s="21">
        <f>IF($H549="","",INDEX('Journal'!$B$1:$B$2002,$H549))</f>
        <v/>
      </c>
      <c r="C549" s="5">
        <f>IF($H549="","",INDEX('Journal'!$C$1:$C$2002,$H549)&amp;"")</f>
        <v/>
      </c>
      <c r="D549" s="5">
        <f>IF($H549="","",IF(INDEX('Journal'!$D$1:$D$2002,$H549)=$B$1,INDEX('Journal'!$E$1:$E$2002,$H549),INDEX('Journal'!$D$1:$D$2002,$H549))&amp;"")</f>
        <v/>
      </c>
      <c r="E549" s="20">
        <f>IF($H549="","",IF(INDEX('Journal'!$D$1:$D$2002,$H549)=$B$1,N(INDEX('Journal'!$G$1:$G$2002,$H549)),N(INDEX('Journal'!$F$1:$F$2002,$H549))))</f>
        <v/>
      </c>
      <c r="F549" s="20">
        <f>IF($H549="","",IF(INDEX('Journal'!$D$1:$D$2002,$H549)=$B$1,N(INDEX('Journal'!$F$1:$F$2002,$H549)),N(INDEX('Journal'!$G$1:$G$2002,$H549))))</f>
        <v/>
      </c>
      <c r="G549" s="20">
        <f>IF($H549="","",G548+E549-F549)</f>
        <v/>
      </c>
      <c r="H549" s="18">
        <f t="array" ref="H549">IF($B$1="","",IFERROR(_xlfn.AGGREGATE(15,6,ROW('Journal'!$A$3:$A$2002)/(('Journal'!$D$3:$D$2002=$B$1)+('Journal'!$E$3:$E$2002=$B$1))/('Journal'!$B$3:$B$2002&gt;=$B$2)/('Journal'!$B$3:$B$2002&lt;=$B$3),544),""))</f>
        <v/>
      </c>
    </row>
    <row r="550">
      <c r="A550" s="18">
        <f>IF($H550="","",INDEX('Journal'!$A$1:$A$2002,$H550))</f>
        <v/>
      </c>
      <c r="B550" s="21">
        <f>IF($H550="","",INDEX('Journal'!$B$1:$B$2002,$H550))</f>
        <v/>
      </c>
      <c r="C550" s="5">
        <f>IF($H550="","",INDEX('Journal'!$C$1:$C$2002,$H550)&amp;"")</f>
        <v/>
      </c>
      <c r="D550" s="5">
        <f>IF($H550="","",IF(INDEX('Journal'!$D$1:$D$2002,$H550)=$B$1,INDEX('Journal'!$E$1:$E$2002,$H550),INDEX('Journal'!$D$1:$D$2002,$H550))&amp;"")</f>
        <v/>
      </c>
      <c r="E550" s="20">
        <f>IF($H550="","",IF(INDEX('Journal'!$D$1:$D$2002,$H550)=$B$1,N(INDEX('Journal'!$G$1:$G$2002,$H550)),N(INDEX('Journal'!$F$1:$F$2002,$H550))))</f>
        <v/>
      </c>
      <c r="F550" s="20">
        <f>IF($H550="","",IF(INDEX('Journal'!$D$1:$D$2002,$H550)=$B$1,N(INDEX('Journal'!$F$1:$F$2002,$H550)),N(INDEX('Journal'!$G$1:$G$2002,$H550))))</f>
        <v/>
      </c>
      <c r="G550" s="20">
        <f>IF($H550="","",G549+E550-F550)</f>
        <v/>
      </c>
      <c r="H550" s="18">
        <f t="array" ref="H550">IF($B$1="","",IFERROR(_xlfn.AGGREGATE(15,6,ROW('Journal'!$A$3:$A$2002)/(('Journal'!$D$3:$D$2002=$B$1)+('Journal'!$E$3:$E$2002=$B$1))/('Journal'!$B$3:$B$2002&gt;=$B$2)/('Journal'!$B$3:$B$2002&lt;=$B$3),545),""))</f>
        <v/>
      </c>
    </row>
    <row r="551">
      <c r="A551" s="18">
        <f>IF($H551="","",INDEX('Journal'!$A$1:$A$2002,$H551))</f>
        <v/>
      </c>
      <c r="B551" s="21">
        <f>IF($H551="","",INDEX('Journal'!$B$1:$B$2002,$H551))</f>
        <v/>
      </c>
      <c r="C551" s="5">
        <f>IF($H551="","",INDEX('Journal'!$C$1:$C$2002,$H551)&amp;"")</f>
        <v/>
      </c>
      <c r="D551" s="5">
        <f>IF($H551="","",IF(INDEX('Journal'!$D$1:$D$2002,$H551)=$B$1,INDEX('Journal'!$E$1:$E$2002,$H551),INDEX('Journal'!$D$1:$D$2002,$H551))&amp;"")</f>
        <v/>
      </c>
      <c r="E551" s="20">
        <f>IF($H551="","",IF(INDEX('Journal'!$D$1:$D$2002,$H551)=$B$1,N(INDEX('Journal'!$G$1:$G$2002,$H551)),N(INDEX('Journal'!$F$1:$F$2002,$H551))))</f>
        <v/>
      </c>
      <c r="F551" s="20">
        <f>IF($H551="","",IF(INDEX('Journal'!$D$1:$D$2002,$H551)=$B$1,N(INDEX('Journal'!$F$1:$F$2002,$H551)),N(INDEX('Journal'!$G$1:$G$2002,$H551))))</f>
        <v/>
      </c>
      <c r="G551" s="20">
        <f>IF($H551="","",G550+E551-F551)</f>
        <v/>
      </c>
      <c r="H551" s="18">
        <f t="array" ref="H551">IF($B$1="","",IFERROR(_xlfn.AGGREGATE(15,6,ROW('Journal'!$A$3:$A$2002)/(('Journal'!$D$3:$D$2002=$B$1)+('Journal'!$E$3:$E$2002=$B$1))/('Journal'!$B$3:$B$2002&gt;=$B$2)/('Journal'!$B$3:$B$2002&lt;=$B$3),546),""))</f>
        <v/>
      </c>
    </row>
    <row r="552">
      <c r="A552" s="18">
        <f>IF($H552="","",INDEX('Journal'!$A$1:$A$2002,$H552))</f>
        <v/>
      </c>
      <c r="B552" s="21">
        <f>IF($H552="","",INDEX('Journal'!$B$1:$B$2002,$H552))</f>
        <v/>
      </c>
      <c r="C552" s="5">
        <f>IF($H552="","",INDEX('Journal'!$C$1:$C$2002,$H552)&amp;"")</f>
        <v/>
      </c>
      <c r="D552" s="5">
        <f>IF($H552="","",IF(INDEX('Journal'!$D$1:$D$2002,$H552)=$B$1,INDEX('Journal'!$E$1:$E$2002,$H552),INDEX('Journal'!$D$1:$D$2002,$H552))&amp;"")</f>
        <v/>
      </c>
      <c r="E552" s="20">
        <f>IF($H552="","",IF(INDEX('Journal'!$D$1:$D$2002,$H552)=$B$1,N(INDEX('Journal'!$G$1:$G$2002,$H552)),N(INDEX('Journal'!$F$1:$F$2002,$H552))))</f>
        <v/>
      </c>
      <c r="F552" s="20">
        <f>IF($H552="","",IF(INDEX('Journal'!$D$1:$D$2002,$H552)=$B$1,N(INDEX('Journal'!$F$1:$F$2002,$H552)),N(INDEX('Journal'!$G$1:$G$2002,$H552))))</f>
        <v/>
      </c>
      <c r="G552" s="20">
        <f>IF($H552="","",G551+E552-F552)</f>
        <v/>
      </c>
      <c r="H552" s="18">
        <f t="array" ref="H552">IF($B$1="","",IFERROR(_xlfn.AGGREGATE(15,6,ROW('Journal'!$A$3:$A$2002)/(('Journal'!$D$3:$D$2002=$B$1)+('Journal'!$E$3:$E$2002=$B$1))/('Journal'!$B$3:$B$2002&gt;=$B$2)/('Journal'!$B$3:$B$2002&lt;=$B$3),547),""))</f>
        <v/>
      </c>
    </row>
    <row r="553">
      <c r="A553" s="18">
        <f>IF($H553="","",INDEX('Journal'!$A$1:$A$2002,$H553))</f>
        <v/>
      </c>
      <c r="B553" s="21">
        <f>IF($H553="","",INDEX('Journal'!$B$1:$B$2002,$H553))</f>
        <v/>
      </c>
      <c r="C553" s="5">
        <f>IF($H553="","",INDEX('Journal'!$C$1:$C$2002,$H553)&amp;"")</f>
        <v/>
      </c>
      <c r="D553" s="5">
        <f>IF($H553="","",IF(INDEX('Journal'!$D$1:$D$2002,$H553)=$B$1,INDEX('Journal'!$E$1:$E$2002,$H553),INDEX('Journal'!$D$1:$D$2002,$H553))&amp;"")</f>
        <v/>
      </c>
      <c r="E553" s="20">
        <f>IF($H553="","",IF(INDEX('Journal'!$D$1:$D$2002,$H553)=$B$1,N(INDEX('Journal'!$G$1:$G$2002,$H553)),N(INDEX('Journal'!$F$1:$F$2002,$H553))))</f>
        <v/>
      </c>
      <c r="F553" s="20">
        <f>IF($H553="","",IF(INDEX('Journal'!$D$1:$D$2002,$H553)=$B$1,N(INDEX('Journal'!$F$1:$F$2002,$H553)),N(INDEX('Journal'!$G$1:$G$2002,$H553))))</f>
        <v/>
      </c>
      <c r="G553" s="20">
        <f>IF($H553="","",G552+E553-F553)</f>
        <v/>
      </c>
      <c r="H553" s="18">
        <f t="array" ref="H553">IF($B$1="","",IFERROR(_xlfn.AGGREGATE(15,6,ROW('Journal'!$A$3:$A$2002)/(('Journal'!$D$3:$D$2002=$B$1)+('Journal'!$E$3:$E$2002=$B$1))/('Journal'!$B$3:$B$2002&gt;=$B$2)/('Journal'!$B$3:$B$2002&lt;=$B$3),548),""))</f>
        <v/>
      </c>
    </row>
    <row r="554">
      <c r="A554" s="18">
        <f>IF($H554="","",INDEX('Journal'!$A$1:$A$2002,$H554))</f>
        <v/>
      </c>
      <c r="B554" s="21">
        <f>IF($H554="","",INDEX('Journal'!$B$1:$B$2002,$H554))</f>
        <v/>
      </c>
      <c r="C554" s="5">
        <f>IF($H554="","",INDEX('Journal'!$C$1:$C$2002,$H554)&amp;"")</f>
        <v/>
      </c>
      <c r="D554" s="5">
        <f>IF($H554="","",IF(INDEX('Journal'!$D$1:$D$2002,$H554)=$B$1,INDEX('Journal'!$E$1:$E$2002,$H554),INDEX('Journal'!$D$1:$D$2002,$H554))&amp;"")</f>
        <v/>
      </c>
      <c r="E554" s="20">
        <f>IF($H554="","",IF(INDEX('Journal'!$D$1:$D$2002,$H554)=$B$1,N(INDEX('Journal'!$G$1:$G$2002,$H554)),N(INDEX('Journal'!$F$1:$F$2002,$H554))))</f>
        <v/>
      </c>
      <c r="F554" s="20">
        <f>IF($H554="","",IF(INDEX('Journal'!$D$1:$D$2002,$H554)=$B$1,N(INDEX('Journal'!$F$1:$F$2002,$H554)),N(INDEX('Journal'!$G$1:$G$2002,$H554))))</f>
        <v/>
      </c>
      <c r="G554" s="20">
        <f>IF($H554="","",G553+E554-F554)</f>
        <v/>
      </c>
      <c r="H554" s="18">
        <f t="array" ref="H554">IF($B$1="","",IFERROR(_xlfn.AGGREGATE(15,6,ROW('Journal'!$A$3:$A$2002)/(('Journal'!$D$3:$D$2002=$B$1)+('Journal'!$E$3:$E$2002=$B$1))/('Journal'!$B$3:$B$2002&gt;=$B$2)/('Journal'!$B$3:$B$2002&lt;=$B$3),549),""))</f>
        <v/>
      </c>
    </row>
    <row r="555">
      <c r="A555" s="18">
        <f>IF($H555="","",INDEX('Journal'!$A$1:$A$2002,$H555))</f>
        <v/>
      </c>
      <c r="B555" s="21">
        <f>IF($H555="","",INDEX('Journal'!$B$1:$B$2002,$H555))</f>
        <v/>
      </c>
      <c r="C555" s="5">
        <f>IF($H555="","",INDEX('Journal'!$C$1:$C$2002,$H555)&amp;"")</f>
        <v/>
      </c>
      <c r="D555" s="5">
        <f>IF($H555="","",IF(INDEX('Journal'!$D$1:$D$2002,$H555)=$B$1,INDEX('Journal'!$E$1:$E$2002,$H555),INDEX('Journal'!$D$1:$D$2002,$H555))&amp;"")</f>
        <v/>
      </c>
      <c r="E555" s="20">
        <f>IF($H555="","",IF(INDEX('Journal'!$D$1:$D$2002,$H555)=$B$1,N(INDEX('Journal'!$G$1:$G$2002,$H555)),N(INDEX('Journal'!$F$1:$F$2002,$H555))))</f>
        <v/>
      </c>
      <c r="F555" s="20">
        <f>IF($H555="","",IF(INDEX('Journal'!$D$1:$D$2002,$H555)=$B$1,N(INDEX('Journal'!$F$1:$F$2002,$H555)),N(INDEX('Journal'!$G$1:$G$2002,$H555))))</f>
        <v/>
      </c>
      <c r="G555" s="20">
        <f>IF($H555="","",G554+E555-F555)</f>
        <v/>
      </c>
      <c r="H555" s="18">
        <f t="array" ref="H555">IF($B$1="","",IFERROR(_xlfn.AGGREGATE(15,6,ROW('Journal'!$A$3:$A$2002)/(('Journal'!$D$3:$D$2002=$B$1)+('Journal'!$E$3:$E$2002=$B$1))/('Journal'!$B$3:$B$2002&gt;=$B$2)/('Journal'!$B$3:$B$2002&lt;=$B$3),550),""))</f>
        <v/>
      </c>
    </row>
    <row r="556">
      <c r="A556" s="18">
        <f>IF($H556="","",INDEX('Journal'!$A$1:$A$2002,$H556))</f>
        <v/>
      </c>
      <c r="B556" s="21">
        <f>IF($H556="","",INDEX('Journal'!$B$1:$B$2002,$H556))</f>
        <v/>
      </c>
      <c r="C556" s="5">
        <f>IF($H556="","",INDEX('Journal'!$C$1:$C$2002,$H556)&amp;"")</f>
        <v/>
      </c>
      <c r="D556" s="5">
        <f>IF($H556="","",IF(INDEX('Journal'!$D$1:$D$2002,$H556)=$B$1,INDEX('Journal'!$E$1:$E$2002,$H556),INDEX('Journal'!$D$1:$D$2002,$H556))&amp;"")</f>
        <v/>
      </c>
      <c r="E556" s="20">
        <f>IF($H556="","",IF(INDEX('Journal'!$D$1:$D$2002,$H556)=$B$1,N(INDEX('Journal'!$G$1:$G$2002,$H556)),N(INDEX('Journal'!$F$1:$F$2002,$H556))))</f>
        <v/>
      </c>
      <c r="F556" s="20">
        <f>IF($H556="","",IF(INDEX('Journal'!$D$1:$D$2002,$H556)=$B$1,N(INDEX('Journal'!$F$1:$F$2002,$H556)),N(INDEX('Journal'!$G$1:$G$2002,$H556))))</f>
        <v/>
      </c>
      <c r="G556" s="20">
        <f>IF($H556="","",G555+E556-F556)</f>
        <v/>
      </c>
      <c r="H556" s="18">
        <f t="array" ref="H556">IF($B$1="","",IFERROR(_xlfn.AGGREGATE(15,6,ROW('Journal'!$A$3:$A$2002)/(('Journal'!$D$3:$D$2002=$B$1)+('Journal'!$E$3:$E$2002=$B$1))/('Journal'!$B$3:$B$2002&gt;=$B$2)/('Journal'!$B$3:$B$2002&lt;=$B$3),551),""))</f>
        <v/>
      </c>
    </row>
    <row r="557">
      <c r="A557" s="18">
        <f>IF($H557="","",INDEX('Journal'!$A$1:$A$2002,$H557))</f>
        <v/>
      </c>
      <c r="B557" s="21">
        <f>IF($H557="","",INDEX('Journal'!$B$1:$B$2002,$H557))</f>
        <v/>
      </c>
      <c r="C557" s="5">
        <f>IF($H557="","",INDEX('Journal'!$C$1:$C$2002,$H557)&amp;"")</f>
        <v/>
      </c>
      <c r="D557" s="5">
        <f>IF($H557="","",IF(INDEX('Journal'!$D$1:$D$2002,$H557)=$B$1,INDEX('Journal'!$E$1:$E$2002,$H557),INDEX('Journal'!$D$1:$D$2002,$H557))&amp;"")</f>
        <v/>
      </c>
      <c r="E557" s="20">
        <f>IF($H557="","",IF(INDEX('Journal'!$D$1:$D$2002,$H557)=$B$1,N(INDEX('Journal'!$G$1:$G$2002,$H557)),N(INDEX('Journal'!$F$1:$F$2002,$H557))))</f>
        <v/>
      </c>
      <c r="F557" s="20">
        <f>IF($H557="","",IF(INDEX('Journal'!$D$1:$D$2002,$H557)=$B$1,N(INDEX('Journal'!$F$1:$F$2002,$H557)),N(INDEX('Journal'!$G$1:$G$2002,$H557))))</f>
        <v/>
      </c>
      <c r="G557" s="20">
        <f>IF($H557="","",G556+E557-F557)</f>
        <v/>
      </c>
      <c r="H557" s="18">
        <f t="array" ref="H557">IF($B$1="","",IFERROR(_xlfn.AGGREGATE(15,6,ROW('Journal'!$A$3:$A$2002)/(('Journal'!$D$3:$D$2002=$B$1)+('Journal'!$E$3:$E$2002=$B$1))/('Journal'!$B$3:$B$2002&gt;=$B$2)/('Journal'!$B$3:$B$2002&lt;=$B$3),552),""))</f>
        <v/>
      </c>
    </row>
    <row r="558">
      <c r="A558" s="18">
        <f>IF($H558="","",INDEX('Journal'!$A$1:$A$2002,$H558))</f>
        <v/>
      </c>
      <c r="B558" s="21">
        <f>IF($H558="","",INDEX('Journal'!$B$1:$B$2002,$H558))</f>
        <v/>
      </c>
      <c r="C558" s="5">
        <f>IF($H558="","",INDEX('Journal'!$C$1:$C$2002,$H558)&amp;"")</f>
        <v/>
      </c>
      <c r="D558" s="5">
        <f>IF($H558="","",IF(INDEX('Journal'!$D$1:$D$2002,$H558)=$B$1,INDEX('Journal'!$E$1:$E$2002,$H558),INDEX('Journal'!$D$1:$D$2002,$H558))&amp;"")</f>
        <v/>
      </c>
      <c r="E558" s="20">
        <f>IF($H558="","",IF(INDEX('Journal'!$D$1:$D$2002,$H558)=$B$1,N(INDEX('Journal'!$G$1:$G$2002,$H558)),N(INDEX('Journal'!$F$1:$F$2002,$H558))))</f>
        <v/>
      </c>
      <c r="F558" s="20">
        <f>IF($H558="","",IF(INDEX('Journal'!$D$1:$D$2002,$H558)=$B$1,N(INDEX('Journal'!$F$1:$F$2002,$H558)),N(INDEX('Journal'!$G$1:$G$2002,$H558))))</f>
        <v/>
      </c>
      <c r="G558" s="20">
        <f>IF($H558="","",G557+E558-F558)</f>
        <v/>
      </c>
      <c r="H558" s="18">
        <f t="array" ref="H558">IF($B$1="","",IFERROR(_xlfn.AGGREGATE(15,6,ROW('Journal'!$A$3:$A$2002)/(('Journal'!$D$3:$D$2002=$B$1)+('Journal'!$E$3:$E$2002=$B$1))/('Journal'!$B$3:$B$2002&gt;=$B$2)/('Journal'!$B$3:$B$2002&lt;=$B$3),553),""))</f>
        <v/>
      </c>
    </row>
    <row r="559">
      <c r="A559" s="18">
        <f>IF($H559="","",INDEX('Journal'!$A$1:$A$2002,$H559))</f>
        <v/>
      </c>
      <c r="B559" s="21">
        <f>IF($H559="","",INDEX('Journal'!$B$1:$B$2002,$H559))</f>
        <v/>
      </c>
      <c r="C559" s="5">
        <f>IF($H559="","",INDEX('Journal'!$C$1:$C$2002,$H559)&amp;"")</f>
        <v/>
      </c>
      <c r="D559" s="5">
        <f>IF($H559="","",IF(INDEX('Journal'!$D$1:$D$2002,$H559)=$B$1,INDEX('Journal'!$E$1:$E$2002,$H559),INDEX('Journal'!$D$1:$D$2002,$H559))&amp;"")</f>
        <v/>
      </c>
      <c r="E559" s="20">
        <f>IF($H559="","",IF(INDEX('Journal'!$D$1:$D$2002,$H559)=$B$1,N(INDEX('Journal'!$G$1:$G$2002,$H559)),N(INDEX('Journal'!$F$1:$F$2002,$H559))))</f>
        <v/>
      </c>
      <c r="F559" s="20">
        <f>IF($H559="","",IF(INDEX('Journal'!$D$1:$D$2002,$H559)=$B$1,N(INDEX('Journal'!$F$1:$F$2002,$H559)),N(INDEX('Journal'!$G$1:$G$2002,$H559))))</f>
        <v/>
      </c>
      <c r="G559" s="20">
        <f>IF($H559="","",G558+E559-F559)</f>
        <v/>
      </c>
      <c r="H559" s="18">
        <f t="array" ref="H559">IF($B$1="","",IFERROR(_xlfn.AGGREGATE(15,6,ROW('Journal'!$A$3:$A$2002)/(('Journal'!$D$3:$D$2002=$B$1)+('Journal'!$E$3:$E$2002=$B$1))/('Journal'!$B$3:$B$2002&gt;=$B$2)/('Journal'!$B$3:$B$2002&lt;=$B$3),554),""))</f>
        <v/>
      </c>
    </row>
    <row r="560">
      <c r="A560" s="18">
        <f>IF($H560="","",INDEX('Journal'!$A$1:$A$2002,$H560))</f>
        <v/>
      </c>
      <c r="B560" s="21">
        <f>IF($H560="","",INDEX('Journal'!$B$1:$B$2002,$H560))</f>
        <v/>
      </c>
      <c r="C560" s="5">
        <f>IF($H560="","",INDEX('Journal'!$C$1:$C$2002,$H560)&amp;"")</f>
        <v/>
      </c>
      <c r="D560" s="5">
        <f>IF($H560="","",IF(INDEX('Journal'!$D$1:$D$2002,$H560)=$B$1,INDEX('Journal'!$E$1:$E$2002,$H560),INDEX('Journal'!$D$1:$D$2002,$H560))&amp;"")</f>
        <v/>
      </c>
      <c r="E560" s="20">
        <f>IF($H560="","",IF(INDEX('Journal'!$D$1:$D$2002,$H560)=$B$1,N(INDEX('Journal'!$G$1:$G$2002,$H560)),N(INDEX('Journal'!$F$1:$F$2002,$H560))))</f>
        <v/>
      </c>
      <c r="F560" s="20">
        <f>IF($H560="","",IF(INDEX('Journal'!$D$1:$D$2002,$H560)=$B$1,N(INDEX('Journal'!$F$1:$F$2002,$H560)),N(INDEX('Journal'!$G$1:$G$2002,$H560))))</f>
        <v/>
      </c>
      <c r="G560" s="20">
        <f>IF($H560="","",G559+E560-F560)</f>
        <v/>
      </c>
      <c r="H560" s="18">
        <f t="array" ref="H560">IF($B$1="","",IFERROR(_xlfn.AGGREGATE(15,6,ROW('Journal'!$A$3:$A$2002)/(('Journal'!$D$3:$D$2002=$B$1)+('Journal'!$E$3:$E$2002=$B$1))/('Journal'!$B$3:$B$2002&gt;=$B$2)/('Journal'!$B$3:$B$2002&lt;=$B$3),555),""))</f>
        <v/>
      </c>
    </row>
    <row r="561">
      <c r="A561" s="18">
        <f>IF($H561="","",INDEX('Journal'!$A$1:$A$2002,$H561))</f>
        <v/>
      </c>
      <c r="B561" s="21">
        <f>IF($H561="","",INDEX('Journal'!$B$1:$B$2002,$H561))</f>
        <v/>
      </c>
      <c r="C561" s="5">
        <f>IF($H561="","",INDEX('Journal'!$C$1:$C$2002,$H561)&amp;"")</f>
        <v/>
      </c>
      <c r="D561" s="5">
        <f>IF($H561="","",IF(INDEX('Journal'!$D$1:$D$2002,$H561)=$B$1,INDEX('Journal'!$E$1:$E$2002,$H561),INDEX('Journal'!$D$1:$D$2002,$H561))&amp;"")</f>
        <v/>
      </c>
      <c r="E561" s="20">
        <f>IF($H561="","",IF(INDEX('Journal'!$D$1:$D$2002,$H561)=$B$1,N(INDEX('Journal'!$G$1:$G$2002,$H561)),N(INDEX('Journal'!$F$1:$F$2002,$H561))))</f>
        <v/>
      </c>
      <c r="F561" s="20">
        <f>IF($H561="","",IF(INDEX('Journal'!$D$1:$D$2002,$H561)=$B$1,N(INDEX('Journal'!$F$1:$F$2002,$H561)),N(INDEX('Journal'!$G$1:$G$2002,$H561))))</f>
        <v/>
      </c>
      <c r="G561" s="20">
        <f>IF($H561="","",G560+E561-F561)</f>
        <v/>
      </c>
      <c r="H561" s="18">
        <f t="array" ref="H561">IF($B$1="","",IFERROR(_xlfn.AGGREGATE(15,6,ROW('Journal'!$A$3:$A$2002)/(('Journal'!$D$3:$D$2002=$B$1)+('Journal'!$E$3:$E$2002=$B$1))/('Journal'!$B$3:$B$2002&gt;=$B$2)/('Journal'!$B$3:$B$2002&lt;=$B$3),556),""))</f>
        <v/>
      </c>
    </row>
    <row r="562">
      <c r="A562" s="18">
        <f>IF($H562="","",INDEX('Journal'!$A$1:$A$2002,$H562))</f>
        <v/>
      </c>
      <c r="B562" s="21">
        <f>IF($H562="","",INDEX('Journal'!$B$1:$B$2002,$H562))</f>
        <v/>
      </c>
      <c r="C562" s="5">
        <f>IF($H562="","",INDEX('Journal'!$C$1:$C$2002,$H562)&amp;"")</f>
        <v/>
      </c>
      <c r="D562" s="5">
        <f>IF($H562="","",IF(INDEX('Journal'!$D$1:$D$2002,$H562)=$B$1,INDEX('Journal'!$E$1:$E$2002,$H562),INDEX('Journal'!$D$1:$D$2002,$H562))&amp;"")</f>
        <v/>
      </c>
      <c r="E562" s="20">
        <f>IF($H562="","",IF(INDEX('Journal'!$D$1:$D$2002,$H562)=$B$1,N(INDEX('Journal'!$G$1:$G$2002,$H562)),N(INDEX('Journal'!$F$1:$F$2002,$H562))))</f>
        <v/>
      </c>
      <c r="F562" s="20">
        <f>IF($H562="","",IF(INDEX('Journal'!$D$1:$D$2002,$H562)=$B$1,N(INDEX('Journal'!$F$1:$F$2002,$H562)),N(INDEX('Journal'!$G$1:$G$2002,$H562))))</f>
        <v/>
      </c>
      <c r="G562" s="20">
        <f>IF($H562="","",G561+E562-F562)</f>
        <v/>
      </c>
      <c r="H562" s="18">
        <f t="array" ref="H562">IF($B$1="","",IFERROR(_xlfn.AGGREGATE(15,6,ROW('Journal'!$A$3:$A$2002)/(('Journal'!$D$3:$D$2002=$B$1)+('Journal'!$E$3:$E$2002=$B$1))/('Journal'!$B$3:$B$2002&gt;=$B$2)/('Journal'!$B$3:$B$2002&lt;=$B$3),557),""))</f>
        <v/>
      </c>
    </row>
    <row r="563">
      <c r="A563" s="18">
        <f>IF($H563="","",INDEX('Journal'!$A$1:$A$2002,$H563))</f>
        <v/>
      </c>
      <c r="B563" s="21">
        <f>IF($H563="","",INDEX('Journal'!$B$1:$B$2002,$H563))</f>
        <v/>
      </c>
      <c r="C563" s="5">
        <f>IF($H563="","",INDEX('Journal'!$C$1:$C$2002,$H563)&amp;"")</f>
        <v/>
      </c>
      <c r="D563" s="5">
        <f>IF($H563="","",IF(INDEX('Journal'!$D$1:$D$2002,$H563)=$B$1,INDEX('Journal'!$E$1:$E$2002,$H563),INDEX('Journal'!$D$1:$D$2002,$H563))&amp;"")</f>
        <v/>
      </c>
      <c r="E563" s="20">
        <f>IF($H563="","",IF(INDEX('Journal'!$D$1:$D$2002,$H563)=$B$1,N(INDEX('Journal'!$G$1:$G$2002,$H563)),N(INDEX('Journal'!$F$1:$F$2002,$H563))))</f>
        <v/>
      </c>
      <c r="F563" s="20">
        <f>IF($H563="","",IF(INDEX('Journal'!$D$1:$D$2002,$H563)=$B$1,N(INDEX('Journal'!$F$1:$F$2002,$H563)),N(INDEX('Journal'!$G$1:$G$2002,$H563))))</f>
        <v/>
      </c>
      <c r="G563" s="20">
        <f>IF($H563="","",G562+E563-F563)</f>
        <v/>
      </c>
      <c r="H563" s="18">
        <f t="array" ref="H563">IF($B$1="","",IFERROR(_xlfn.AGGREGATE(15,6,ROW('Journal'!$A$3:$A$2002)/(('Journal'!$D$3:$D$2002=$B$1)+('Journal'!$E$3:$E$2002=$B$1))/('Journal'!$B$3:$B$2002&gt;=$B$2)/('Journal'!$B$3:$B$2002&lt;=$B$3),558),""))</f>
        <v/>
      </c>
    </row>
    <row r="564">
      <c r="A564" s="18">
        <f>IF($H564="","",INDEX('Journal'!$A$1:$A$2002,$H564))</f>
        <v/>
      </c>
      <c r="B564" s="21">
        <f>IF($H564="","",INDEX('Journal'!$B$1:$B$2002,$H564))</f>
        <v/>
      </c>
      <c r="C564" s="5">
        <f>IF($H564="","",INDEX('Journal'!$C$1:$C$2002,$H564)&amp;"")</f>
        <v/>
      </c>
      <c r="D564" s="5">
        <f>IF($H564="","",IF(INDEX('Journal'!$D$1:$D$2002,$H564)=$B$1,INDEX('Journal'!$E$1:$E$2002,$H564),INDEX('Journal'!$D$1:$D$2002,$H564))&amp;"")</f>
        <v/>
      </c>
      <c r="E564" s="20">
        <f>IF($H564="","",IF(INDEX('Journal'!$D$1:$D$2002,$H564)=$B$1,N(INDEX('Journal'!$G$1:$G$2002,$H564)),N(INDEX('Journal'!$F$1:$F$2002,$H564))))</f>
        <v/>
      </c>
      <c r="F564" s="20">
        <f>IF($H564="","",IF(INDEX('Journal'!$D$1:$D$2002,$H564)=$B$1,N(INDEX('Journal'!$F$1:$F$2002,$H564)),N(INDEX('Journal'!$G$1:$G$2002,$H564))))</f>
        <v/>
      </c>
      <c r="G564" s="20">
        <f>IF($H564="","",G563+E564-F564)</f>
        <v/>
      </c>
      <c r="H564" s="18">
        <f t="array" ref="H564">IF($B$1="","",IFERROR(_xlfn.AGGREGATE(15,6,ROW('Journal'!$A$3:$A$2002)/(('Journal'!$D$3:$D$2002=$B$1)+('Journal'!$E$3:$E$2002=$B$1))/('Journal'!$B$3:$B$2002&gt;=$B$2)/('Journal'!$B$3:$B$2002&lt;=$B$3),559),""))</f>
        <v/>
      </c>
    </row>
    <row r="565">
      <c r="A565" s="18">
        <f>IF($H565="","",INDEX('Journal'!$A$1:$A$2002,$H565))</f>
        <v/>
      </c>
      <c r="B565" s="21">
        <f>IF($H565="","",INDEX('Journal'!$B$1:$B$2002,$H565))</f>
        <v/>
      </c>
      <c r="C565" s="5">
        <f>IF($H565="","",INDEX('Journal'!$C$1:$C$2002,$H565)&amp;"")</f>
        <v/>
      </c>
      <c r="D565" s="5">
        <f>IF($H565="","",IF(INDEX('Journal'!$D$1:$D$2002,$H565)=$B$1,INDEX('Journal'!$E$1:$E$2002,$H565),INDEX('Journal'!$D$1:$D$2002,$H565))&amp;"")</f>
        <v/>
      </c>
      <c r="E565" s="20">
        <f>IF($H565="","",IF(INDEX('Journal'!$D$1:$D$2002,$H565)=$B$1,N(INDEX('Journal'!$G$1:$G$2002,$H565)),N(INDEX('Journal'!$F$1:$F$2002,$H565))))</f>
        <v/>
      </c>
      <c r="F565" s="20">
        <f>IF($H565="","",IF(INDEX('Journal'!$D$1:$D$2002,$H565)=$B$1,N(INDEX('Journal'!$F$1:$F$2002,$H565)),N(INDEX('Journal'!$G$1:$G$2002,$H565))))</f>
        <v/>
      </c>
      <c r="G565" s="20">
        <f>IF($H565="","",G564+E565-F565)</f>
        <v/>
      </c>
      <c r="H565" s="18">
        <f t="array" ref="H565">IF($B$1="","",IFERROR(_xlfn.AGGREGATE(15,6,ROW('Journal'!$A$3:$A$2002)/(('Journal'!$D$3:$D$2002=$B$1)+('Journal'!$E$3:$E$2002=$B$1))/('Journal'!$B$3:$B$2002&gt;=$B$2)/('Journal'!$B$3:$B$2002&lt;=$B$3),560),""))</f>
        <v/>
      </c>
    </row>
    <row r="566">
      <c r="A566" s="18">
        <f>IF($H566="","",INDEX('Journal'!$A$1:$A$2002,$H566))</f>
        <v/>
      </c>
      <c r="B566" s="21">
        <f>IF($H566="","",INDEX('Journal'!$B$1:$B$2002,$H566))</f>
        <v/>
      </c>
      <c r="C566" s="5">
        <f>IF($H566="","",INDEX('Journal'!$C$1:$C$2002,$H566)&amp;"")</f>
        <v/>
      </c>
      <c r="D566" s="5">
        <f>IF($H566="","",IF(INDEX('Journal'!$D$1:$D$2002,$H566)=$B$1,INDEX('Journal'!$E$1:$E$2002,$H566),INDEX('Journal'!$D$1:$D$2002,$H566))&amp;"")</f>
        <v/>
      </c>
      <c r="E566" s="20">
        <f>IF($H566="","",IF(INDEX('Journal'!$D$1:$D$2002,$H566)=$B$1,N(INDEX('Journal'!$G$1:$G$2002,$H566)),N(INDEX('Journal'!$F$1:$F$2002,$H566))))</f>
        <v/>
      </c>
      <c r="F566" s="20">
        <f>IF($H566="","",IF(INDEX('Journal'!$D$1:$D$2002,$H566)=$B$1,N(INDEX('Journal'!$F$1:$F$2002,$H566)),N(INDEX('Journal'!$G$1:$G$2002,$H566))))</f>
        <v/>
      </c>
      <c r="G566" s="20">
        <f>IF($H566="","",G565+E566-F566)</f>
        <v/>
      </c>
      <c r="H566" s="18">
        <f t="array" ref="H566">IF($B$1="","",IFERROR(_xlfn.AGGREGATE(15,6,ROW('Journal'!$A$3:$A$2002)/(('Journal'!$D$3:$D$2002=$B$1)+('Journal'!$E$3:$E$2002=$B$1))/('Journal'!$B$3:$B$2002&gt;=$B$2)/('Journal'!$B$3:$B$2002&lt;=$B$3),561),""))</f>
        <v/>
      </c>
    </row>
    <row r="567">
      <c r="A567" s="18">
        <f>IF($H567="","",INDEX('Journal'!$A$1:$A$2002,$H567))</f>
        <v/>
      </c>
      <c r="B567" s="21">
        <f>IF($H567="","",INDEX('Journal'!$B$1:$B$2002,$H567))</f>
        <v/>
      </c>
      <c r="C567" s="5">
        <f>IF($H567="","",INDEX('Journal'!$C$1:$C$2002,$H567)&amp;"")</f>
        <v/>
      </c>
      <c r="D567" s="5">
        <f>IF($H567="","",IF(INDEX('Journal'!$D$1:$D$2002,$H567)=$B$1,INDEX('Journal'!$E$1:$E$2002,$H567),INDEX('Journal'!$D$1:$D$2002,$H567))&amp;"")</f>
        <v/>
      </c>
      <c r="E567" s="20">
        <f>IF($H567="","",IF(INDEX('Journal'!$D$1:$D$2002,$H567)=$B$1,N(INDEX('Journal'!$G$1:$G$2002,$H567)),N(INDEX('Journal'!$F$1:$F$2002,$H567))))</f>
        <v/>
      </c>
      <c r="F567" s="20">
        <f>IF($H567="","",IF(INDEX('Journal'!$D$1:$D$2002,$H567)=$B$1,N(INDEX('Journal'!$F$1:$F$2002,$H567)),N(INDEX('Journal'!$G$1:$G$2002,$H567))))</f>
        <v/>
      </c>
      <c r="G567" s="20">
        <f>IF($H567="","",G566+E567-F567)</f>
        <v/>
      </c>
      <c r="H567" s="18">
        <f t="array" ref="H567">IF($B$1="","",IFERROR(_xlfn.AGGREGATE(15,6,ROW('Journal'!$A$3:$A$2002)/(('Journal'!$D$3:$D$2002=$B$1)+('Journal'!$E$3:$E$2002=$B$1))/('Journal'!$B$3:$B$2002&gt;=$B$2)/('Journal'!$B$3:$B$2002&lt;=$B$3),562),""))</f>
        <v/>
      </c>
    </row>
    <row r="568">
      <c r="A568" s="18">
        <f>IF($H568="","",INDEX('Journal'!$A$1:$A$2002,$H568))</f>
        <v/>
      </c>
      <c r="B568" s="21">
        <f>IF($H568="","",INDEX('Journal'!$B$1:$B$2002,$H568))</f>
        <v/>
      </c>
      <c r="C568" s="5">
        <f>IF($H568="","",INDEX('Journal'!$C$1:$C$2002,$H568)&amp;"")</f>
        <v/>
      </c>
      <c r="D568" s="5">
        <f>IF($H568="","",IF(INDEX('Journal'!$D$1:$D$2002,$H568)=$B$1,INDEX('Journal'!$E$1:$E$2002,$H568),INDEX('Journal'!$D$1:$D$2002,$H568))&amp;"")</f>
        <v/>
      </c>
      <c r="E568" s="20">
        <f>IF($H568="","",IF(INDEX('Journal'!$D$1:$D$2002,$H568)=$B$1,N(INDEX('Journal'!$G$1:$G$2002,$H568)),N(INDEX('Journal'!$F$1:$F$2002,$H568))))</f>
        <v/>
      </c>
      <c r="F568" s="20">
        <f>IF($H568="","",IF(INDEX('Journal'!$D$1:$D$2002,$H568)=$B$1,N(INDEX('Journal'!$F$1:$F$2002,$H568)),N(INDEX('Journal'!$G$1:$G$2002,$H568))))</f>
        <v/>
      </c>
      <c r="G568" s="20">
        <f>IF($H568="","",G567+E568-F568)</f>
        <v/>
      </c>
      <c r="H568" s="18">
        <f t="array" ref="H568">IF($B$1="","",IFERROR(_xlfn.AGGREGATE(15,6,ROW('Journal'!$A$3:$A$2002)/(('Journal'!$D$3:$D$2002=$B$1)+('Journal'!$E$3:$E$2002=$B$1))/('Journal'!$B$3:$B$2002&gt;=$B$2)/('Journal'!$B$3:$B$2002&lt;=$B$3),563),""))</f>
        <v/>
      </c>
    </row>
    <row r="569">
      <c r="A569" s="18">
        <f>IF($H569="","",INDEX('Journal'!$A$1:$A$2002,$H569))</f>
        <v/>
      </c>
      <c r="B569" s="21">
        <f>IF($H569="","",INDEX('Journal'!$B$1:$B$2002,$H569))</f>
        <v/>
      </c>
      <c r="C569" s="5">
        <f>IF($H569="","",INDEX('Journal'!$C$1:$C$2002,$H569)&amp;"")</f>
        <v/>
      </c>
      <c r="D569" s="5">
        <f>IF($H569="","",IF(INDEX('Journal'!$D$1:$D$2002,$H569)=$B$1,INDEX('Journal'!$E$1:$E$2002,$H569),INDEX('Journal'!$D$1:$D$2002,$H569))&amp;"")</f>
        <v/>
      </c>
      <c r="E569" s="20">
        <f>IF($H569="","",IF(INDEX('Journal'!$D$1:$D$2002,$H569)=$B$1,N(INDEX('Journal'!$G$1:$G$2002,$H569)),N(INDEX('Journal'!$F$1:$F$2002,$H569))))</f>
        <v/>
      </c>
      <c r="F569" s="20">
        <f>IF($H569="","",IF(INDEX('Journal'!$D$1:$D$2002,$H569)=$B$1,N(INDEX('Journal'!$F$1:$F$2002,$H569)),N(INDEX('Journal'!$G$1:$G$2002,$H569))))</f>
        <v/>
      </c>
      <c r="G569" s="20">
        <f>IF($H569="","",G568+E569-F569)</f>
        <v/>
      </c>
      <c r="H569" s="18">
        <f t="array" ref="H569">IF($B$1="","",IFERROR(_xlfn.AGGREGATE(15,6,ROW('Journal'!$A$3:$A$2002)/(('Journal'!$D$3:$D$2002=$B$1)+('Journal'!$E$3:$E$2002=$B$1))/('Journal'!$B$3:$B$2002&gt;=$B$2)/('Journal'!$B$3:$B$2002&lt;=$B$3),564),""))</f>
        <v/>
      </c>
    </row>
    <row r="570">
      <c r="A570" s="18">
        <f>IF($H570="","",INDEX('Journal'!$A$1:$A$2002,$H570))</f>
        <v/>
      </c>
      <c r="B570" s="21">
        <f>IF($H570="","",INDEX('Journal'!$B$1:$B$2002,$H570))</f>
        <v/>
      </c>
      <c r="C570" s="5">
        <f>IF($H570="","",INDEX('Journal'!$C$1:$C$2002,$H570)&amp;"")</f>
        <v/>
      </c>
      <c r="D570" s="5">
        <f>IF($H570="","",IF(INDEX('Journal'!$D$1:$D$2002,$H570)=$B$1,INDEX('Journal'!$E$1:$E$2002,$H570),INDEX('Journal'!$D$1:$D$2002,$H570))&amp;"")</f>
        <v/>
      </c>
      <c r="E570" s="20">
        <f>IF($H570="","",IF(INDEX('Journal'!$D$1:$D$2002,$H570)=$B$1,N(INDEX('Journal'!$G$1:$G$2002,$H570)),N(INDEX('Journal'!$F$1:$F$2002,$H570))))</f>
        <v/>
      </c>
      <c r="F570" s="20">
        <f>IF($H570="","",IF(INDEX('Journal'!$D$1:$D$2002,$H570)=$B$1,N(INDEX('Journal'!$F$1:$F$2002,$H570)),N(INDEX('Journal'!$G$1:$G$2002,$H570))))</f>
        <v/>
      </c>
      <c r="G570" s="20">
        <f>IF($H570="","",G569+E570-F570)</f>
        <v/>
      </c>
      <c r="H570" s="18">
        <f t="array" ref="H570">IF($B$1="","",IFERROR(_xlfn.AGGREGATE(15,6,ROW('Journal'!$A$3:$A$2002)/(('Journal'!$D$3:$D$2002=$B$1)+('Journal'!$E$3:$E$2002=$B$1))/('Journal'!$B$3:$B$2002&gt;=$B$2)/('Journal'!$B$3:$B$2002&lt;=$B$3),565),""))</f>
        <v/>
      </c>
    </row>
    <row r="571">
      <c r="A571" s="18">
        <f>IF($H571="","",INDEX('Journal'!$A$1:$A$2002,$H571))</f>
        <v/>
      </c>
      <c r="B571" s="21">
        <f>IF($H571="","",INDEX('Journal'!$B$1:$B$2002,$H571))</f>
        <v/>
      </c>
      <c r="C571" s="5">
        <f>IF($H571="","",INDEX('Journal'!$C$1:$C$2002,$H571)&amp;"")</f>
        <v/>
      </c>
      <c r="D571" s="5">
        <f>IF($H571="","",IF(INDEX('Journal'!$D$1:$D$2002,$H571)=$B$1,INDEX('Journal'!$E$1:$E$2002,$H571),INDEX('Journal'!$D$1:$D$2002,$H571))&amp;"")</f>
        <v/>
      </c>
      <c r="E571" s="20">
        <f>IF($H571="","",IF(INDEX('Journal'!$D$1:$D$2002,$H571)=$B$1,N(INDEX('Journal'!$G$1:$G$2002,$H571)),N(INDEX('Journal'!$F$1:$F$2002,$H571))))</f>
        <v/>
      </c>
      <c r="F571" s="20">
        <f>IF($H571="","",IF(INDEX('Journal'!$D$1:$D$2002,$H571)=$B$1,N(INDEX('Journal'!$F$1:$F$2002,$H571)),N(INDEX('Journal'!$G$1:$G$2002,$H571))))</f>
        <v/>
      </c>
      <c r="G571" s="20">
        <f>IF($H571="","",G570+E571-F571)</f>
        <v/>
      </c>
      <c r="H571" s="18">
        <f t="array" ref="H571">IF($B$1="","",IFERROR(_xlfn.AGGREGATE(15,6,ROW('Journal'!$A$3:$A$2002)/(('Journal'!$D$3:$D$2002=$B$1)+('Journal'!$E$3:$E$2002=$B$1))/('Journal'!$B$3:$B$2002&gt;=$B$2)/('Journal'!$B$3:$B$2002&lt;=$B$3),566),""))</f>
        <v/>
      </c>
    </row>
    <row r="572">
      <c r="A572" s="18">
        <f>IF($H572="","",INDEX('Journal'!$A$1:$A$2002,$H572))</f>
        <v/>
      </c>
      <c r="B572" s="21">
        <f>IF($H572="","",INDEX('Journal'!$B$1:$B$2002,$H572))</f>
        <v/>
      </c>
      <c r="C572" s="5">
        <f>IF($H572="","",INDEX('Journal'!$C$1:$C$2002,$H572)&amp;"")</f>
        <v/>
      </c>
      <c r="D572" s="5">
        <f>IF($H572="","",IF(INDEX('Journal'!$D$1:$D$2002,$H572)=$B$1,INDEX('Journal'!$E$1:$E$2002,$H572),INDEX('Journal'!$D$1:$D$2002,$H572))&amp;"")</f>
        <v/>
      </c>
      <c r="E572" s="20">
        <f>IF($H572="","",IF(INDEX('Journal'!$D$1:$D$2002,$H572)=$B$1,N(INDEX('Journal'!$G$1:$G$2002,$H572)),N(INDEX('Journal'!$F$1:$F$2002,$H572))))</f>
        <v/>
      </c>
      <c r="F572" s="20">
        <f>IF($H572="","",IF(INDEX('Journal'!$D$1:$D$2002,$H572)=$B$1,N(INDEX('Journal'!$F$1:$F$2002,$H572)),N(INDEX('Journal'!$G$1:$G$2002,$H572))))</f>
        <v/>
      </c>
      <c r="G572" s="20">
        <f>IF($H572="","",G571+E572-F572)</f>
        <v/>
      </c>
      <c r="H572" s="18">
        <f t="array" ref="H572">IF($B$1="","",IFERROR(_xlfn.AGGREGATE(15,6,ROW('Journal'!$A$3:$A$2002)/(('Journal'!$D$3:$D$2002=$B$1)+('Journal'!$E$3:$E$2002=$B$1))/('Journal'!$B$3:$B$2002&gt;=$B$2)/('Journal'!$B$3:$B$2002&lt;=$B$3),567),""))</f>
        <v/>
      </c>
    </row>
    <row r="573">
      <c r="A573" s="18">
        <f>IF($H573="","",INDEX('Journal'!$A$1:$A$2002,$H573))</f>
        <v/>
      </c>
      <c r="B573" s="21">
        <f>IF($H573="","",INDEX('Journal'!$B$1:$B$2002,$H573))</f>
        <v/>
      </c>
      <c r="C573" s="5">
        <f>IF($H573="","",INDEX('Journal'!$C$1:$C$2002,$H573)&amp;"")</f>
        <v/>
      </c>
      <c r="D573" s="5">
        <f>IF($H573="","",IF(INDEX('Journal'!$D$1:$D$2002,$H573)=$B$1,INDEX('Journal'!$E$1:$E$2002,$H573),INDEX('Journal'!$D$1:$D$2002,$H573))&amp;"")</f>
        <v/>
      </c>
      <c r="E573" s="20">
        <f>IF($H573="","",IF(INDEX('Journal'!$D$1:$D$2002,$H573)=$B$1,N(INDEX('Journal'!$G$1:$G$2002,$H573)),N(INDEX('Journal'!$F$1:$F$2002,$H573))))</f>
        <v/>
      </c>
      <c r="F573" s="20">
        <f>IF($H573="","",IF(INDEX('Journal'!$D$1:$D$2002,$H573)=$B$1,N(INDEX('Journal'!$F$1:$F$2002,$H573)),N(INDEX('Journal'!$G$1:$G$2002,$H573))))</f>
        <v/>
      </c>
      <c r="G573" s="20">
        <f>IF($H573="","",G572+E573-F573)</f>
        <v/>
      </c>
      <c r="H573" s="18">
        <f t="array" ref="H573">IF($B$1="","",IFERROR(_xlfn.AGGREGATE(15,6,ROW('Journal'!$A$3:$A$2002)/(('Journal'!$D$3:$D$2002=$B$1)+('Journal'!$E$3:$E$2002=$B$1))/('Journal'!$B$3:$B$2002&gt;=$B$2)/('Journal'!$B$3:$B$2002&lt;=$B$3),568),""))</f>
        <v/>
      </c>
    </row>
    <row r="574">
      <c r="A574" s="18">
        <f>IF($H574="","",INDEX('Journal'!$A$1:$A$2002,$H574))</f>
        <v/>
      </c>
      <c r="B574" s="21">
        <f>IF($H574="","",INDEX('Journal'!$B$1:$B$2002,$H574))</f>
        <v/>
      </c>
      <c r="C574" s="5">
        <f>IF($H574="","",INDEX('Journal'!$C$1:$C$2002,$H574)&amp;"")</f>
        <v/>
      </c>
      <c r="D574" s="5">
        <f>IF($H574="","",IF(INDEX('Journal'!$D$1:$D$2002,$H574)=$B$1,INDEX('Journal'!$E$1:$E$2002,$H574),INDEX('Journal'!$D$1:$D$2002,$H574))&amp;"")</f>
        <v/>
      </c>
      <c r="E574" s="20">
        <f>IF($H574="","",IF(INDEX('Journal'!$D$1:$D$2002,$H574)=$B$1,N(INDEX('Journal'!$G$1:$G$2002,$H574)),N(INDEX('Journal'!$F$1:$F$2002,$H574))))</f>
        <v/>
      </c>
      <c r="F574" s="20">
        <f>IF($H574="","",IF(INDEX('Journal'!$D$1:$D$2002,$H574)=$B$1,N(INDEX('Journal'!$F$1:$F$2002,$H574)),N(INDEX('Journal'!$G$1:$G$2002,$H574))))</f>
        <v/>
      </c>
      <c r="G574" s="20">
        <f>IF($H574="","",G573+E574-F574)</f>
        <v/>
      </c>
      <c r="H574" s="18">
        <f t="array" ref="H574">IF($B$1="","",IFERROR(_xlfn.AGGREGATE(15,6,ROW('Journal'!$A$3:$A$2002)/(('Journal'!$D$3:$D$2002=$B$1)+('Journal'!$E$3:$E$2002=$B$1))/('Journal'!$B$3:$B$2002&gt;=$B$2)/('Journal'!$B$3:$B$2002&lt;=$B$3),569),""))</f>
        <v/>
      </c>
    </row>
    <row r="575">
      <c r="A575" s="18">
        <f>IF($H575="","",INDEX('Journal'!$A$1:$A$2002,$H575))</f>
        <v/>
      </c>
      <c r="B575" s="21">
        <f>IF($H575="","",INDEX('Journal'!$B$1:$B$2002,$H575))</f>
        <v/>
      </c>
      <c r="C575" s="5">
        <f>IF($H575="","",INDEX('Journal'!$C$1:$C$2002,$H575)&amp;"")</f>
        <v/>
      </c>
      <c r="D575" s="5">
        <f>IF($H575="","",IF(INDEX('Journal'!$D$1:$D$2002,$H575)=$B$1,INDEX('Journal'!$E$1:$E$2002,$H575),INDEX('Journal'!$D$1:$D$2002,$H575))&amp;"")</f>
        <v/>
      </c>
      <c r="E575" s="20">
        <f>IF($H575="","",IF(INDEX('Journal'!$D$1:$D$2002,$H575)=$B$1,N(INDEX('Journal'!$G$1:$G$2002,$H575)),N(INDEX('Journal'!$F$1:$F$2002,$H575))))</f>
        <v/>
      </c>
      <c r="F575" s="20">
        <f>IF($H575="","",IF(INDEX('Journal'!$D$1:$D$2002,$H575)=$B$1,N(INDEX('Journal'!$F$1:$F$2002,$H575)),N(INDEX('Journal'!$G$1:$G$2002,$H575))))</f>
        <v/>
      </c>
      <c r="G575" s="20">
        <f>IF($H575="","",G574+E575-F575)</f>
        <v/>
      </c>
      <c r="H575" s="18">
        <f t="array" ref="H575">IF($B$1="","",IFERROR(_xlfn.AGGREGATE(15,6,ROW('Journal'!$A$3:$A$2002)/(('Journal'!$D$3:$D$2002=$B$1)+('Journal'!$E$3:$E$2002=$B$1))/('Journal'!$B$3:$B$2002&gt;=$B$2)/('Journal'!$B$3:$B$2002&lt;=$B$3),570),""))</f>
        <v/>
      </c>
    </row>
    <row r="576">
      <c r="A576" s="18">
        <f>IF($H576="","",INDEX('Journal'!$A$1:$A$2002,$H576))</f>
        <v/>
      </c>
      <c r="B576" s="21">
        <f>IF($H576="","",INDEX('Journal'!$B$1:$B$2002,$H576))</f>
        <v/>
      </c>
      <c r="C576" s="5">
        <f>IF($H576="","",INDEX('Journal'!$C$1:$C$2002,$H576)&amp;"")</f>
        <v/>
      </c>
      <c r="D576" s="5">
        <f>IF($H576="","",IF(INDEX('Journal'!$D$1:$D$2002,$H576)=$B$1,INDEX('Journal'!$E$1:$E$2002,$H576),INDEX('Journal'!$D$1:$D$2002,$H576))&amp;"")</f>
        <v/>
      </c>
      <c r="E576" s="20">
        <f>IF($H576="","",IF(INDEX('Journal'!$D$1:$D$2002,$H576)=$B$1,N(INDEX('Journal'!$G$1:$G$2002,$H576)),N(INDEX('Journal'!$F$1:$F$2002,$H576))))</f>
        <v/>
      </c>
      <c r="F576" s="20">
        <f>IF($H576="","",IF(INDEX('Journal'!$D$1:$D$2002,$H576)=$B$1,N(INDEX('Journal'!$F$1:$F$2002,$H576)),N(INDEX('Journal'!$G$1:$G$2002,$H576))))</f>
        <v/>
      </c>
      <c r="G576" s="20">
        <f>IF($H576="","",G575+E576-F576)</f>
        <v/>
      </c>
      <c r="H576" s="18">
        <f t="array" ref="H576">IF($B$1="","",IFERROR(_xlfn.AGGREGATE(15,6,ROW('Journal'!$A$3:$A$2002)/(('Journal'!$D$3:$D$2002=$B$1)+('Journal'!$E$3:$E$2002=$B$1))/('Journal'!$B$3:$B$2002&gt;=$B$2)/('Journal'!$B$3:$B$2002&lt;=$B$3),571),""))</f>
        <v/>
      </c>
    </row>
    <row r="577">
      <c r="A577" s="18">
        <f>IF($H577="","",INDEX('Journal'!$A$1:$A$2002,$H577))</f>
        <v/>
      </c>
      <c r="B577" s="21">
        <f>IF($H577="","",INDEX('Journal'!$B$1:$B$2002,$H577))</f>
        <v/>
      </c>
      <c r="C577" s="5">
        <f>IF($H577="","",INDEX('Journal'!$C$1:$C$2002,$H577)&amp;"")</f>
        <v/>
      </c>
      <c r="D577" s="5">
        <f>IF($H577="","",IF(INDEX('Journal'!$D$1:$D$2002,$H577)=$B$1,INDEX('Journal'!$E$1:$E$2002,$H577),INDEX('Journal'!$D$1:$D$2002,$H577))&amp;"")</f>
        <v/>
      </c>
      <c r="E577" s="20">
        <f>IF($H577="","",IF(INDEX('Journal'!$D$1:$D$2002,$H577)=$B$1,N(INDEX('Journal'!$G$1:$G$2002,$H577)),N(INDEX('Journal'!$F$1:$F$2002,$H577))))</f>
        <v/>
      </c>
      <c r="F577" s="20">
        <f>IF($H577="","",IF(INDEX('Journal'!$D$1:$D$2002,$H577)=$B$1,N(INDEX('Journal'!$F$1:$F$2002,$H577)),N(INDEX('Journal'!$G$1:$G$2002,$H577))))</f>
        <v/>
      </c>
      <c r="G577" s="20">
        <f>IF($H577="","",G576+E577-F577)</f>
        <v/>
      </c>
      <c r="H577" s="18">
        <f t="array" ref="H577">IF($B$1="","",IFERROR(_xlfn.AGGREGATE(15,6,ROW('Journal'!$A$3:$A$2002)/(('Journal'!$D$3:$D$2002=$B$1)+('Journal'!$E$3:$E$2002=$B$1))/('Journal'!$B$3:$B$2002&gt;=$B$2)/('Journal'!$B$3:$B$2002&lt;=$B$3),572),""))</f>
        <v/>
      </c>
    </row>
    <row r="578">
      <c r="A578" s="18">
        <f>IF($H578="","",INDEX('Journal'!$A$1:$A$2002,$H578))</f>
        <v/>
      </c>
      <c r="B578" s="21">
        <f>IF($H578="","",INDEX('Journal'!$B$1:$B$2002,$H578))</f>
        <v/>
      </c>
      <c r="C578" s="5">
        <f>IF($H578="","",INDEX('Journal'!$C$1:$C$2002,$H578)&amp;"")</f>
        <v/>
      </c>
      <c r="D578" s="5">
        <f>IF($H578="","",IF(INDEX('Journal'!$D$1:$D$2002,$H578)=$B$1,INDEX('Journal'!$E$1:$E$2002,$H578),INDEX('Journal'!$D$1:$D$2002,$H578))&amp;"")</f>
        <v/>
      </c>
      <c r="E578" s="20">
        <f>IF($H578="","",IF(INDEX('Journal'!$D$1:$D$2002,$H578)=$B$1,N(INDEX('Journal'!$G$1:$G$2002,$H578)),N(INDEX('Journal'!$F$1:$F$2002,$H578))))</f>
        <v/>
      </c>
      <c r="F578" s="20">
        <f>IF($H578="","",IF(INDEX('Journal'!$D$1:$D$2002,$H578)=$B$1,N(INDEX('Journal'!$F$1:$F$2002,$H578)),N(INDEX('Journal'!$G$1:$G$2002,$H578))))</f>
        <v/>
      </c>
      <c r="G578" s="20">
        <f>IF($H578="","",G577+E578-F578)</f>
        <v/>
      </c>
      <c r="H578" s="18">
        <f t="array" ref="H578">IF($B$1="","",IFERROR(_xlfn.AGGREGATE(15,6,ROW('Journal'!$A$3:$A$2002)/(('Journal'!$D$3:$D$2002=$B$1)+('Journal'!$E$3:$E$2002=$B$1))/('Journal'!$B$3:$B$2002&gt;=$B$2)/('Journal'!$B$3:$B$2002&lt;=$B$3),573),""))</f>
        <v/>
      </c>
    </row>
    <row r="579">
      <c r="A579" s="18">
        <f>IF($H579="","",INDEX('Journal'!$A$1:$A$2002,$H579))</f>
        <v/>
      </c>
      <c r="B579" s="21">
        <f>IF($H579="","",INDEX('Journal'!$B$1:$B$2002,$H579))</f>
        <v/>
      </c>
      <c r="C579" s="5">
        <f>IF($H579="","",INDEX('Journal'!$C$1:$C$2002,$H579)&amp;"")</f>
        <v/>
      </c>
      <c r="D579" s="5">
        <f>IF($H579="","",IF(INDEX('Journal'!$D$1:$D$2002,$H579)=$B$1,INDEX('Journal'!$E$1:$E$2002,$H579),INDEX('Journal'!$D$1:$D$2002,$H579))&amp;"")</f>
        <v/>
      </c>
      <c r="E579" s="20">
        <f>IF($H579="","",IF(INDEX('Journal'!$D$1:$D$2002,$H579)=$B$1,N(INDEX('Journal'!$G$1:$G$2002,$H579)),N(INDEX('Journal'!$F$1:$F$2002,$H579))))</f>
        <v/>
      </c>
      <c r="F579" s="20">
        <f>IF($H579="","",IF(INDEX('Journal'!$D$1:$D$2002,$H579)=$B$1,N(INDEX('Journal'!$F$1:$F$2002,$H579)),N(INDEX('Journal'!$G$1:$G$2002,$H579))))</f>
        <v/>
      </c>
      <c r="G579" s="20">
        <f>IF($H579="","",G578+E579-F579)</f>
        <v/>
      </c>
      <c r="H579" s="18">
        <f t="array" ref="H579">IF($B$1="","",IFERROR(_xlfn.AGGREGATE(15,6,ROW('Journal'!$A$3:$A$2002)/(('Journal'!$D$3:$D$2002=$B$1)+('Journal'!$E$3:$E$2002=$B$1))/('Journal'!$B$3:$B$2002&gt;=$B$2)/('Journal'!$B$3:$B$2002&lt;=$B$3),574),""))</f>
        <v/>
      </c>
    </row>
    <row r="580">
      <c r="A580" s="18">
        <f>IF($H580="","",INDEX('Journal'!$A$1:$A$2002,$H580))</f>
        <v/>
      </c>
      <c r="B580" s="21">
        <f>IF($H580="","",INDEX('Journal'!$B$1:$B$2002,$H580))</f>
        <v/>
      </c>
      <c r="C580" s="5">
        <f>IF($H580="","",INDEX('Journal'!$C$1:$C$2002,$H580)&amp;"")</f>
        <v/>
      </c>
      <c r="D580" s="5">
        <f>IF($H580="","",IF(INDEX('Journal'!$D$1:$D$2002,$H580)=$B$1,INDEX('Journal'!$E$1:$E$2002,$H580),INDEX('Journal'!$D$1:$D$2002,$H580))&amp;"")</f>
        <v/>
      </c>
      <c r="E580" s="20">
        <f>IF($H580="","",IF(INDEX('Journal'!$D$1:$D$2002,$H580)=$B$1,N(INDEX('Journal'!$G$1:$G$2002,$H580)),N(INDEX('Journal'!$F$1:$F$2002,$H580))))</f>
        <v/>
      </c>
      <c r="F580" s="20">
        <f>IF($H580="","",IF(INDEX('Journal'!$D$1:$D$2002,$H580)=$B$1,N(INDEX('Journal'!$F$1:$F$2002,$H580)),N(INDEX('Journal'!$G$1:$G$2002,$H580))))</f>
        <v/>
      </c>
      <c r="G580" s="20">
        <f>IF($H580="","",G579+E580-F580)</f>
        <v/>
      </c>
      <c r="H580" s="18">
        <f t="array" ref="H580">IF($B$1="","",IFERROR(_xlfn.AGGREGATE(15,6,ROW('Journal'!$A$3:$A$2002)/(('Journal'!$D$3:$D$2002=$B$1)+('Journal'!$E$3:$E$2002=$B$1))/('Journal'!$B$3:$B$2002&gt;=$B$2)/('Journal'!$B$3:$B$2002&lt;=$B$3),575),""))</f>
        <v/>
      </c>
    </row>
    <row r="581">
      <c r="A581" s="18">
        <f>IF($H581="","",INDEX('Journal'!$A$1:$A$2002,$H581))</f>
        <v/>
      </c>
      <c r="B581" s="21">
        <f>IF($H581="","",INDEX('Journal'!$B$1:$B$2002,$H581))</f>
        <v/>
      </c>
      <c r="C581" s="5">
        <f>IF($H581="","",INDEX('Journal'!$C$1:$C$2002,$H581)&amp;"")</f>
        <v/>
      </c>
      <c r="D581" s="5">
        <f>IF($H581="","",IF(INDEX('Journal'!$D$1:$D$2002,$H581)=$B$1,INDEX('Journal'!$E$1:$E$2002,$H581),INDEX('Journal'!$D$1:$D$2002,$H581))&amp;"")</f>
        <v/>
      </c>
      <c r="E581" s="20">
        <f>IF($H581="","",IF(INDEX('Journal'!$D$1:$D$2002,$H581)=$B$1,N(INDEX('Journal'!$G$1:$G$2002,$H581)),N(INDEX('Journal'!$F$1:$F$2002,$H581))))</f>
        <v/>
      </c>
      <c r="F581" s="20">
        <f>IF($H581="","",IF(INDEX('Journal'!$D$1:$D$2002,$H581)=$B$1,N(INDEX('Journal'!$F$1:$F$2002,$H581)),N(INDEX('Journal'!$G$1:$G$2002,$H581))))</f>
        <v/>
      </c>
      <c r="G581" s="20">
        <f>IF($H581="","",G580+E581-F581)</f>
        <v/>
      </c>
      <c r="H581" s="18">
        <f t="array" ref="H581">IF($B$1="","",IFERROR(_xlfn.AGGREGATE(15,6,ROW('Journal'!$A$3:$A$2002)/(('Journal'!$D$3:$D$2002=$B$1)+('Journal'!$E$3:$E$2002=$B$1))/('Journal'!$B$3:$B$2002&gt;=$B$2)/('Journal'!$B$3:$B$2002&lt;=$B$3),576),""))</f>
        <v/>
      </c>
    </row>
    <row r="582">
      <c r="A582" s="18">
        <f>IF($H582="","",INDEX('Journal'!$A$1:$A$2002,$H582))</f>
        <v/>
      </c>
      <c r="B582" s="21">
        <f>IF($H582="","",INDEX('Journal'!$B$1:$B$2002,$H582))</f>
        <v/>
      </c>
      <c r="C582" s="5">
        <f>IF($H582="","",INDEX('Journal'!$C$1:$C$2002,$H582)&amp;"")</f>
        <v/>
      </c>
      <c r="D582" s="5">
        <f>IF($H582="","",IF(INDEX('Journal'!$D$1:$D$2002,$H582)=$B$1,INDEX('Journal'!$E$1:$E$2002,$H582),INDEX('Journal'!$D$1:$D$2002,$H582))&amp;"")</f>
        <v/>
      </c>
      <c r="E582" s="20">
        <f>IF($H582="","",IF(INDEX('Journal'!$D$1:$D$2002,$H582)=$B$1,N(INDEX('Journal'!$G$1:$G$2002,$H582)),N(INDEX('Journal'!$F$1:$F$2002,$H582))))</f>
        <v/>
      </c>
      <c r="F582" s="20">
        <f>IF($H582="","",IF(INDEX('Journal'!$D$1:$D$2002,$H582)=$B$1,N(INDEX('Journal'!$F$1:$F$2002,$H582)),N(INDEX('Journal'!$G$1:$G$2002,$H582))))</f>
        <v/>
      </c>
      <c r="G582" s="20">
        <f>IF($H582="","",G581+E582-F582)</f>
        <v/>
      </c>
      <c r="H582" s="18">
        <f t="array" ref="H582">IF($B$1="","",IFERROR(_xlfn.AGGREGATE(15,6,ROW('Journal'!$A$3:$A$2002)/(('Journal'!$D$3:$D$2002=$B$1)+('Journal'!$E$3:$E$2002=$B$1))/('Journal'!$B$3:$B$2002&gt;=$B$2)/('Journal'!$B$3:$B$2002&lt;=$B$3),577),""))</f>
        <v/>
      </c>
    </row>
    <row r="583">
      <c r="A583" s="18">
        <f>IF($H583="","",INDEX('Journal'!$A$1:$A$2002,$H583))</f>
        <v/>
      </c>
      <c r="B583" s="21">
        <f>IF($H583="","",INDEX('Journal'!$B$1:$B$2002,$H583))</f>
        <v/>
      </c>
      <c r="C583" s="5">
        <f>IF($H583="","",INDEX('Journal'!$C$1:$C$2002,$H583)&amp;"")</f>
        <v/>
      </c>
      <c r="D583" s="5">
        <f>IF($H583="","",IF(INDEX('Journal'!$D$1:$D$2002,$H583)=$B$1,INDEX('Journal'!$E$1:$E$2002,$H583),INDEX('Journal'!$D$1:$D$2002,$H583))&amp;"")</f>
        <v/>
      </c>
      <c r="E583" s="20">
        <f>IF($H583="","",IF(INDEX('Journal'!$D$1:$D$2002,$H583)=$B$1,N(INDEX('Journal'!$G$1:$G$2002,$H583)),N(INDEX('Journal'!$F$1:$F$2002,$H583))))</f>
        <v/>
      </c>
      <c r="F583" s="20">
        <f>IF($H583="","",IF(INDEX('Journal'!$D$1:$D$2002,$H583)=$B$1,N(INDEX('Journal'!$F$1:$F$2002,$H583)),N(INDEX('Journal'!$G$1:$G$2002,$H583))))</f>
        <v/>
      </c>
      <c r="G583" s="20">
        <f>IF($H583="","",G582+E583-F583)</f>
        <v/>
      </c>
      <c r="H583" s="18">
        <f t="array" ref="H583">IF($B$1="","",IFERROR(_xlfn.AGGREGATE(15,6,ROW('Journal'!$A$3:$A$2002)/(('Journal'!$D$3:$D$2002=$B$1)+('Journal'!$E$3:$E$2002=$B$1))/('Journal'!$B$3:$B$2002&gt;=$B$2)/('Journal'!$B$3:$B$2002&lt;=$B$3),578),""))</f>
        <v/>
      </c>
    </row>
    <row r="584">
      <c r="A584" s="18">
        <f>IF($H584="","",INDEX('Journal'!$A$1:$A$2002,$H584))</f>
        <v/>
      </c>
      <c r="B584" s="21">
        <f>IF($H584="","",INDEX('Journal'!$B$1:$B$2002,$H584))</f>
        <v/>
      </c>
      <c r="C584" s="5">
        <f>IF($H584="","",INDEX('Journal'!$C$1:$C$2002,$H584)&amp;"")</f>
        <v/>
      </c>
      <c r="D584" s="5">
        <f>IF($H584="","",IF(INDEX('Journal'!$D$1:$D$2002,$H584)=$B$1,INDEX('Journal'!$E$1:$E$2002,$H584),INDEX('Journal'!$D$1:$D$2002,$H584))&amp;"")</f>
        <v/>
      </c>
      <c r="E584" s="20">
        <f>IF($H584="","",IF(INDEX('Journal'!$D$1:$D$2002,$H584)=$B$1,N(INDEX('Journal'!$G$1:$G$2002,$H584)),N(INDEX('Journal'!$F$1:$F$2002,$H584))))</f>
        <v/>
      </c>
      <c r="F584" s="20">
        <f>IF($H584="","",IF(INDEX('Journal'!$D$1:$D$2002,$H584)=$B$1,N(INDEX('Journal'!$F$1:$F$2002,$H584)),N(INDEX('Journal'!$G$1:$G$2002,$H584))))</f>
        <v/>
      </c>
      <c r="G584" s="20">
        <f>IF($H584="","",G583+E584-F584)</f>
        <v/>
      </c>
      <c r="H584" s="18">
        <f t="array" ref="H584">IF($B$1="","",IFERROR(_xlfn.AGGREGATE(15,6,ROW('Journal'!$A$3:$A$2002)/(('Journal'!$D$3:$D$2002=$B$1)+('Journal'!$E$3:$E$2002=$B$1))/('Journal'!$B$3:$B$2002&gt;=$B$2)/('Journal'!$B$3:$B$2002&lt;=$B$3),579),""))</f>
        <v/>
      </c>
    </row>
    <row r="585">
      <c r="A585" s="18">
        <f>IF($H585="","",INDEX('Journal'!$A$1:$A$2002,$H585))</f>
        <v/>
      </c>
      <c r="B585" s="21">
        <f>IF($H585="","",INDEX('Journal'!$B$1:$B$2002,$H585))</f>
        <v/>
      </c>
      <c r="C585" s="5">
        <f>IF($H585="","",INDEX('Journal'!$C$1:$C$2002,$H585)&amp;"")</f>
        <v/>
      </c>
      <c r="D585" s="5">
        <f>IF($H585="","",IF(INDEX('Journal'!$D$1:$D$2002,$H585)=$B$1,INDEX('Journal'!$E$1:$E$2002,$H585),INDEX('Journal'!$D$1:$D$2002,$H585))&amp;"")</f>
        <v/>
      </c>
      <c r="E585" s="20">
        <f>IF($H585="","",IF(INDEX('Journal'!$D$1:$D$2002,$H585)=$B$1,N(INDEX('Journal'!$G$1:$G$2002,$H585)),N(INDEX('Journal'!$F$1:$F$2002,$H585))))</f>
        <v/>
      </c>
      <c r="F585" s="20">
        <f>IF($H585="","",IF(INDEX('Journal'!$D$1:$D$2002,$H585)=$B$1,N(INDEX('Journal'!$F$1:$F$2002,$H585)),N(INDEX('Journal'!$G$1:$G$2002,$H585))))</f>
        <v/>
      </c>
      <c r="G585" s="20">
        <f>IF($H585="","",G584+E585-F585)</f>
        <v/>
      </c>
      <c r="H585" s="18">
        <f t="array" ref="H585">IF($B$1="","",IFERROR(_xlfn.AGGREGATE(15,6,ROW('Journal'!$A$3:$A$2002)/(('Journal'!$D$3:$D$2002=$B$1)+('Journal'!$E$3:$E$2002=$B$1))/('Journal'!$B$3:$B$2002&gt;=$B$2)/('Journal'!$B$3:$B$2002&lt;=$B$3),580),""))</f>
        <v/>
      </c>
    </row>
    <row r="586">
      <c r="A586" s="18">
        <f>IF($H586="","",INDEX('Journal'!$A$1:$A$2002,$H586))</f>
        <v/>
      </c>
      <c r="B586" s="21">
        <f>IF($H586="","",INDEX('Journal'!$B$1:$B$2002,$H586))</f>
        <v/>
      </c>
      <c r="C586" s="5">
        <f>IF($H586="","",INDEX('Journal'!$C$1:$C$2002,$H586)&amp;"")</f>
        <v/>
      </c>
      <c r="D586" s="5">
        <f>IF($H586="","",IF(INDEX('Journal'!$D$1:$D$2002,$H586)=$B$1,INDEX('Journal'!$E$1:$E$2002,$H586),INDEX('Journal'!$D$1:$D$2002,$H586))&amp;"")</f>
        <v/>
      </c>
      <c r="E586" s="20">
        <f>IF($H586="","",IF(INDEX('Journal'!$D$1:$D$2002,$H586)=$B$1,N(INDEX('Journal'!$G$1:$G$2002,$H586)),N(INDEX('Journal'!$F$1:$F$2002,$H586))))</f>
        <v/>
      </c>
      <c r="F586" s="20">
        <f>IF($H586="","",IF(INDEX('Journal'!$D$1:$D$2002,$H586)=$B$1,N(INDEX('Journal'!$F$1:$F$2002,$H586)),N(INDEX('Journal'!$G$1:$G$2002,$H586))))</f>
        <v/>
      </c>
      <c r="G586" s="20">
        <f>IF($H586="","",G585+E586-F586)</f>
        <v/>
      </c>
      <c r="H586" s="18">
        <f t="array" ref="H586">IF($B$1="","",IFERROR(_xlfn.AGGREGATE(15,6,ROW('Journal'!$A$3:$A$2002)/(('Journal'!$D$3:$D$2002=$B$1)+('Journal'!$E$3:$E$2002=$B$1))/('Journal'!$B$3:$B$2002&gt;=$B$2)/('Journal'!$B$3:$B$2002&lt;=$B$3),581),""))</f>
        <v/>
      </c>
    </row>
    <row r="587">
      <c r="A587" s="18">
        <f>IF($H587="","",INDEX('Journal'!$A$1:$A$2002,$H587))</f>
        <v/>
      </c>
      <c r="B587" s="21">
        <f>IF($H587="","",INDEX('Journal'!$B$1:$B$2002,$H587))</f>
        <v/>
      </c>
      <c r="C587" s="5">
        <f>IF($H587="","",INDEX('Journal'!$C$1:$C$2002,$H587)&amp;"")</f>
        <v/>
      </c>
      <c r="D587" s="5">
        <f>IF($H587="","",IF(INDEX('Journal'!$D$1:$D$2002,$H587)=$B$1,INDEX('Journal'!$E$1:$E$2002,$H587),INDEX('Journal'!$D$1:$D$2002,$H587))&amp;"")</f>
        <v/>
      </c>
      <c r="E587" s="20">
        <f>IF($H587="","",IF(INDEX('Journal'!$D$1:$D$2002,$H587)=$B$1,N(INDEX('Journal'!$G$1:$G$2002,$H587)),N(INDEX('Journal'!$F$1:$F$2002,$H587))))</f>
        <v/>
      </c>
      <c r="F587" s="20">
        <f>IF($H587="","",IF(INDEX('Journal'!$D$1:$D$2002,$H587)=$B$1,N(INDEX('Journal'!$F$1:$F$2002,$H587)),N(INDEX('Journal'!$G$1:$G$2002,$H587))))</f>
        <v/>
      </c>
      <c r="G587" s="20">
        <f>IF($H587="","",G586+E587-F587)</f>
        <v/>
      </c>
      <c r="H587" s="18">
        <f t="array" ref="H587">IF($B$1="","",IFERROR(_xlfn.AGGREGATE(15,6,ROW('Journal'!$A$3:$A$2002)/(('Journal'!$D$3:$D$2002=$B$1)+('Journal'!$E$3:$E$2002=$B$1))/('Journal'!$B$3:$B$2002&gt;=$B$2)/('Journal'!$B$3:$B$2002&lt;=$B$3),582),""))</f>
        <v/>
      </c>
    </row>
    <row r="588">
      <c r="A588" s="18">
        <f>IF($H588="","",INDEX('Journal'!$A$1:$A$2002,$H588))</f>
        <v/>
      </c>
      <c r="B588" s="21">
        <f>IF($H588="","",INDEX('Journal'!$B$1:$B$2002,$H588))</f>
        <v/>
      </c>
      <c r="C588" s="5">
        <f>IF($H588="","",INDEX('Journal'!$C$1:$C$2002,$H588)&amp;"")</f>
        <v/>
      </c>
      <c r="D588" s="5">
        <f>IF($H588="","",IF(INDEX('Journal'!$D$1:$D$2002,$H588)=$B$1,INDEX('Journal'!$E$1:$E$2002,$H588),INDEX('Journal'!$D$1:$D$2002,$H588))&amp;"")</f>
        <v/>
      </c>
      <c r="E588" s="20">
        <f>IF($H588="","",IF(INDEX('Journal'!$D$1:$D$2002,$H588)=$B$1,N(INDEX('Journal'!$G$1:$G$2002,$H588)),N(INDEX('Journal'!$F$1:$F$2002,$H588))))</f>
        <v/>
      </c>
      <c r="F588" s="20">
        <f>IF($H588="","",IF(INDEX('Journal'!$D$1:$D$2002,$H588)=$B$1,N(INDEX('Journal'!$F$1:$F$2002,$H588)),N(INDEX('Journal'!$G$1:$G$2002,$H588))))</f>
        <v/>
      </c>
      <c r="G588" s="20">
        <f>IF($H588="","",G587+E588-F588)</f>
        <v/>
      </c>
      <c r="H588" s="18">
        <f t="array" ref="H588">IF($B$1="","",IFERROR(_xlfn.AGGREGATE(15,6,ROW('Journal'!$A$3:$A$2002)/(('Journal'!$D$3:$D$2002=$B$1)+('Journal'!$E$3:$E$2002=$B$1))/('Journal'!$B$3:$B$2002&gt;=$B$2)/('Journal'!$B$3:$B$2002&lt;=$B$3),583),""))</f>
        <v/>
      </c>
    </row>
    <row r="589">
      <c r="A589" s="18">
        <f>IF($H589="","",INDEX('Journal'!$A$1:$A$2002,$H589))</f>
        <v/>
      </c>
      <c r="B589" s="21">
        <f>IF($H589="","",INDEX('Journal'!$B$1:$B$2002,$H589))</f>
        <v/>
      </c>
      <c r="C589" s="5">
        <f>IF($H589="","",INDEX('Journal'!$C$1:$C$2002,$H589)&amp;"")</f>
        <v/>
      </c>
      <c r="D589" s="5">
        <f>IF($H589="","",IF(INDEX('Journal'!$D$1:$D$2002,$H589)=$B$1,INDEX('Journal'!$E$1:$E$2002,$H589),INDEX('Journal'!$D$1:$D$2002,$H589))&amp;"")</f>
        <v/>
      </c>
      <c r="E589" s="20">
        <f>IF($H589="","",IF(INDEX('Journal'!$D$1:$D$2002,$H589)=$B$1,N(INDEX('Journal'!$G$1:$G$2002,$H589)),N(INDEX('Journal'!$F$1:$F$2002,$H589))))</f>
        <v/>
      </c>
      <c r="F589" s="20">
        <f>IF($H589="","",IF(INDEX('Journal'!$D$1:$D$2002,$H589)=$B$1,N(INDEX('Journal'!$F$1:$F$2002,$H589)),N(INDEX('Journal'!$G$1:$G$2002,$H589))))</f>
        <v/>
      </c>
      <c r="G589" s="20">
        <f>IF($H589="","",G588+E589-F589)</f>
        <v/>
      </c>
      <c r="H589" s="18">
        <f t="array" ref="H589">IF($B$1="","",IFERROR(_xlfn.AGGREGATE(15,6,ROW('Journal'!$A$3:$A$2002)/(('Journal'!$D$3:$D$2002=$B$1)+('Journal'!$E$3:$E$2002=$B$1))/('Journal'!$B$3:$B$2002&gt;=$B$2)/('Journal'!$B$3:$B$2002&lt;=$B$3),584),""))</f>
        <v/>
      </c>
    </row>
    <row r="590">
      <c r="A590" s="18">
        <f>IF($H590="","",INDEX('Journal'!$A$1:$A$2002,$H590))</f>
        <v/>
      </c>
      <c r="B590" s="21">
        <f>IF($H590="","",INDEX('Journal'!$B$1:$B$2002,$H590))</f>
        <v/>
      </c>
      <c r="C590" s="5">
        <f>IF($H590="","",INDEX('Journal'!$C$1:$C$2002,$H590)&amp;"")</f>
        <v/>
      </c>
      <c r="D590" s="5">
        <f>IF($H590="","",IF(INDEX('Journal'!$D$1:$D$2002,$H590)=$B$1,INDEX('Journal'!$E$1:$E$2002,$H590),INDEX('Journal'!$D$1:$D$2002,$H590))&amp;"")</f>
        <v/>
      </c>
      <c r="E590" s="20">
        <f>IF($H590="","",IF(INDEX('Journal'!$D$1:$D$2002,$H590)=$B$1,N(INDEX('Journal'!$G$1:$G$2002,$H590)),N(INDEX('Journal'!$F$1:$F$2002,$H590))))</f>
        <v/>
      </c>
      <c r="F590" s="20">
        <f>IF($H590="","",IF(INDEX('Journal'!$D$1:$D$2002,$H590)=$B$1,N(INDEX('Journal'!$F$1:$F$2002,$H590)),N(INDEX('Journal'!$G$1:$G$2002,$H590))))</f>
        <v/>
      </c>
      <c r="G590" s="20">
        <f>IF($H590="","",G589+E590-F590)</f>
        <v/>
      </c>
      <c r="H590" s="18">
        <f t="array" ref="H590">IF($B$1="","",IFERROR(_xlfn.AGGREGATE(15,6,ROW('Journal'!$A$3:$A$2002)/(('Journal'!$D$3:$D$2002=$B$1)+('Journal'!$E$3:$E$2002=$B$1))/('Journal'!$B$3:$B$2002&gt;=$B$2)/('Journal'!$B$3:$B$2002&lt;=$B$3),585),""))</f>
        <v/>
      </c>
    </row>
    <row r="591">
      <c r="A591" s="18">
        <f>IF($H591="","",INDEX('Journal'!$A$1:$A$2002,$H591))</f>
        <v/>
      </c>
      <c r="B591" s="21">
        <f>IF($H591="","",INDEX('Journal'!$B$1:$B$2002,$H591))</f>
        <v/>
      </c>
      <c r="C591" s="5">
        <f>IF($H591="","",INDEX('Journal'!$C$1:$C$2002,$H591)&amp;"")</f>
        <v/>
      </c>
      <c r="D591" s="5">
        <f>IF($H591="","",IF(INDEX('Journal'!$D$1:$D$2002,$H591)=$B$1,INDEX('Journal'!$E$1:$E$2002,$H591),INDEX('Journal'!$D$1:$D$2002,$H591))&amp;"")</f>
        <v/>
      </c>
      <c r="E591" s="20">
        <f>IF($H591="","",IF(INDEX('Journal'!$D$1:$D$2002,$H591)=$B$1,N(INDEX('Journal'!$G$1:$G$2002,$H591)),N(INDEX('Journal'!$F$1:$F$2002,$H591))))</f>
        <v/>
      </c>
      <c r="F591" s="20">
        <f>IF($H591="","",IF(INDEX('Journal'!$D$1:$D$2002,$H591)=$B$1,N(INDEX('Journal'!$F$1:$F$2002,$H591)),N(INDEX('Journal'!$G$1:$G$2002,$H591))))</f>
        <v/>
      </c>
      <c r="G591" s="20">
        <f>IF($H591="","",G590+E591-F591)</f>
        <v/>
      </c>
      <c r="H591" s="18">
        <f t="array" ref="H591">IF($B$1="","",IFERROR(_xlfn.AGGREGATE(15,6,ROW('Journal'!$A$3:$A$2002)/(('Journal'!$D$3:$D$2002=$B$1)+('Journal'!$E$3:$E$2002=$B$1))/('Journal'!$B$3:$B$2002&gt;=$B$2)/('Journal'!$B$3:$B$2002&lt;=$B$3),586),""))</f>
        <v/>
      </c>
    </row>
    <row r="592">
      <c r="A592" s="18">
        <f>IF($H592="","",INDEX('Journal'!$A$1:$A$2002,$H592))</f>
        <v/>
      </c>
      <c r="B592" s="21">
        <f>IF($H592="","",INDEX('Journal'!$B$1:$B$2002,$H592))</f>
        <v/>
      </c>
      <c r="C592" s="5">
        <f>IF($H592="","",INDEX('Journal'!$C$1:$C$2002,$H592)&amp;"")</f>
        <v/>
      </c>
      <c r="D592" s="5">
        <f>IF($H592="","",IF(INDEX('Journal'!$D$1:$D$2002,$H592)=$B$1,INDEX('Journal'!$E$1:$E$2002,$H592),INDEX('Journal'!$D$1:$D$2002,$H592))&amp;"")</f>
        <v/>
      </c>
      <c r="E592" s="20">
        <f>IF($H592="","",IF(INDEX('Journal'!$D$1:$D$2002,$H592)=$B$1,N(INDEX('Journal'!$G$1:$G$2002,$H592)),N(INDEX('Journal'!$F$1:$F$2002,$H592))))</f>
        <v/>
      </c>
      <c r="F592" s="20">
        <f>IF($H592="","",IF(INDEX('Journal'!$D$1:$D$2002,$H592)=$B$1,N(INDEX('Journal'!$F$1:$F$2002,$H592)),N(INDEX('Journal'!$G$1:$G$2002,$H592))))</f>
        <v/>
      </c>
      <c r="G592" s="20">
        <f>IF($H592="","",G591+E592-F592)</f>
        <v/>
      </c>
      <c r="H592" s="18">
        <f t="array" ref="H592">IF($B$1="","",IFERROR(_xlfn.AGGREGATE(15,6,ROW('Journal'!$A$3:$A$2002)/(('Journal'!$D$3:$D$2002=$B$1)+('Journal'!$E$3:$E$2002=$B$1))/('Journal'!$B$3:$B$2002&gt;=$B$2)/('Journal'!$B$3:$B$2002&lt;=$B$3),587),""))</f>
        <v/>
      </c>
    </row>
    <row r="593">
      <c r="A593" s="18">
        <f>IF($H593="","",INDEX('Journal'!$A$1:$A$2002,$H593))</f>
        <v/>
      </c>
      <c r="B593" s="21">
        <f>IF($H593="","",INDEX('Journal'!$B$1:$B$2002,$H593))</f>
        <v/>
      </c>
      <c r="C593" s="5">
        <f>IF($H593="","",INDEX('Journal'!$C$1:$C$2002,$H593)&amp;"")</f>
        <v/>
      </c>
      <c r="D593" s="5">
        <f>IF($H593="","",IF(INDEX('Journal'!$D$1:$D$2002,$H593)=$B$1,INDEX('Journal'!$E$1:$E$2002,$H593),INDEX('Journal'!$D$1:$D$2002,$H593))&amp;"")</f>
        <v/>
      </c>
      <c r="E593" s="20">
        <f>IF($H593="","",IF(INDEX('Journal'!$D$1:$D$2002,$H593)=$B$1,N(INDEX('Journal'!$G$1:$G$2002,$H593)),N(INDEX('Journal'!$F$1:$F$2002,$H593))))</f>
        <v/>
      </c>
      <c r="F593" s="20">
        <f>IF($H593="","",IF(INDEX('Journal'!$D$1:$D$2002,$H593)=$B$1,N(INDEX('Journal'!$F$1:$F$2002,$H593)),N(INDEX('Journal'!$G$1:$G$2002,$H593))))</f>
        <v/>
      </c>
      <c r="G593" s="20">
        <f>IF($H593="","",G592+E593-F593)</f>
        <v/>
      </c>
      <c r="H593" s="18">
        <f t="array" ref="H593">IF($B$1="","",IFERROR(_xlfn.AGGREGATE(15,6,ROW('Journal'!$A$3:$A$2002)/(('Journal'!$D$3:$D$2002=$B$1)+('Journal'!$E$3:$E$2002=$B$1))/('Journal'!$B$3:$B$2002&gt;=$B$2)/('Journal'!$B$3:$B$2002&lt;=$B$3),588),""))</f>
        <v/>
      </c>
    </row>
    <row r="594">
      <c r="A594" s="18">
        <f>IF($H594="","",INDEX('Journal'!$A$1:$A$2002,$H594))</f>
        <v/>
      </c>
      <c r="B594" s="21">
        <f>IF($H594="","",INDEX('Journal'!$B$1:$B$2002,$H594))</f>
        <v/>
      </c>
      <c r="C594" s="5">
        <f>IF($H594="","",INDEX('Journal'!$C$1:$C$2002,$H594)&amp;"")</f>
        <v/>
      </c>
      <c r="D594" s="5">
        <f>IF($H594="","",IF(INDEX('Journal'!$D$1:$D$2002,$H594)=$B$1,INDEX('Journal'!$E$1:$E$2002,$H594),INDEX('Journal'!$D$1:$D$2002,$H594))&amp;"")</f>
        <v/>
      </c>
      <c r="E594" s="20">
        <f>IF($H594="","",IF(INDEX('Journal'!$D$1:$D$2002,$H594)=$B$1,N(INDEX('Journal'!$G$1:$G$2002,$H594)),N(INDEX('Journal'!$F$1:$F$2002,$H594))))</f>
        <v/>
      </c>
      <c r="F594" s="20">
        <f>IF($H594="","",IF(INDEX('Journal'!$D$1:$D$2002,$H594)=$B$1,N(INDEX('Journal'!$F$1:$F$2002,$H594)),N(INDEX('Journal'!$G$1:$G$2002,$H594))))</f>
        <v/>
      </c>
      <c r="G594" s="20">
        <f>IF($H594="","",G593+E594-F594)</f>
        <v/>
      </c>
      <c r="H594" s="18">
        <f t="array" ref="H594">IF($B$1="","",IFERROR(_xlfn.AGGREGATE(15,6,ROW('Journal'!$A$3:$A$2002)/(('Journal'!$D$3:$D$2002=$B$1)+('Journal'!$E$3:$E$2002=$B$1))/('Journal'!$B$3:$B$2002&gt;=$B$2)/('Journal'!$B$3:$B$2002&lt;=$B$3),589),""))</f>
        <v/>
      </c>
    </row>
    <row r="595">
      <c r="A595" s="18">
        <f>IF($H595="","",INDEX('Journal'!$A$1:$A$2002,$H595))</f>
        <v/>
      </c>
      <c r="B595" s="21">
        <f>IF($H595="","",INDEX('Journal'!$B$1:$B$2002,$H595))</f>
        <v/>
      </c>
      <c r="C595" s="5">
        <f>IF($H595="","",INDEX('Journal'!$C$1:$C$2002,$H595)&amp;"")</f>
        <v/>
      </c>
      <c r="D595" s="5">
        <f>IF($H595="","",IF(INDEX('Journal'!$D$1:$D$2002,$H595)=$B$1,INDEX('Journal'!$E$1:$E$2002,$H595),INDEX('Journal'!$D$1:$D$2002,$H595))&amp;"")</f>
        <v/>
      </c>
      <c r="E595" s="20">
        <f>IF($H595="","",IF(INDEX('Journal'!$D$1:$D$2002,$H595)=$B$1,N(INDEX('Journal'!$G$1:$G$2002,$H595)),N(INDEX('Journal'!$F$1:$F$2002,$H595))))</f>
        <v/>
      </c>
      <c r="F595" s="20">
        <f>IF($H595="","",IF(INDEX('Journal'!$D$1:$D$2002,$H595)=$B$1,N(INDEX('Journal'!$F$1:$F$2002,$H595)),N(INDEX('Journal'!$G$1:$G$2002,$H595))))</f>
        <v/>
      </c>
      <c r="G595" s="20">
        <f>IF($H595="","",G594+E595-F595)</f>
        <v/>
      </c>
      <c r="H595" s="18">
        <f t="array" ref="H595">IF($B$1="","",IFERROR(_xlfn.AGGREGATE(15,6,ROW('Journal'!$A$3:$A$2002)/(('Journal'!$D$3:$D$2002=$B$1)+('Journal'!$E$3:$E$2002=$B$1))/('Journal'!$B$3:$B$2002&gt;=$B$2)/('Journal'!$B$3:$B$2002&lt;=$B$3),590),""))</f>
        <v/>
      </c>
    </row>
    <row r="596">
      <c r="A596" s="18">
        <f>IF($H596="","",INDEX('Journal'!$A$1:$A$2002,$H596))</f>
        <v/>
      </c>
      <c r="B596" s="21">
        <f>IF($H596="","",INDEX('Journal'!$B$1:$B$2002,$H596))</f>
        <v/>
      </c>
      <c r="C596" s="5">
        <f>IF($H596="","",INDEX('Journal'!$C$1:$C$2002,$H596)&amp;"")</f>
        <v/>
      </c>
      <c r="D596" s="5">
        <f>IF($H596="","",IF(INDEX('Journal'!$D$1:$D$2002,$H596)=$B$1,INDEX('Journal'!$E$1:$E$2002,$H596),INDEX('Journal'!$D$1:$D$2002,$H596))&amp;"")</f>
        <v/>
      </c>
      <c r="E596" s="20">
        <f>IF($H596="","",IF(INDEX('Journal'!$D$1:$D$2002,$H596)=$B$1,N(INDEX('Journal'!$G$1:$G$2002,$H596)),N(INDEX('Journal'!$F$1:$F$2002,$H596))))</f>
        <v/>
      </c>
      <c r="F596" s="20">
        <f>IF($H596="","",IF(INDEX('Journal'!$D$1:$D$2002,$H596)=$B$1,N(INDEX('Journal'!$F$1:$F$2002,$H596)),N(INDEX('Journal'!$G$1:$G$2002,$H596))))</f>
        <v/>
      </c>
      <c r="G596" s="20">
        <f>IF($H596="","",G595+E596-F596)</f>
        <v/>
      </c>
      <c r="H596" s="18">
        <f t="array" ref="H596">IF($B$1="","",IFERROR(_xlfn.AGGREGATE(15,6,ROW('Journal'!$A$3:$A$2002)/(('Journal'!$D$3:$D$2002=$B$1)+('Journal'!$E$3:$E$2002=$B$1))/('Journal'!$B$3:$B$2002&gt;=$B$2)/('Journal'!$B$3:$B$2002&lt;=$B$3),591),""))</f>
        <v/>
      </c>
    </row>
    <row r="597">
      <c r="A597" s="18">
        <f>IF($H597="","",INDEX('Journal'!$A$1:$A$2002,$H597))</f>
        <v/>
      </c>
      <c r="B597" s="21">
        <f>IF($H597="","",INDEX('Journal'!$B$1:$B$2002,$H597))</f>
        <v/>
      </c>
      <c r="C597" s="5">
        <f>IF($H597="","",INDEX('Journal'!$C$1:$C$2002,$H597)&amp;"")</f>
        <v/>
      </c>
      <c r="D597" s="5">
        <f>IF($H597="","",IF(INDEX('Journal'!$D$1:$D$2002,$H597)=$B$1,INDEX('Journal'!$E$1:$E$2002,$H597),INDEX('Journal'!$D$1:$D$2002,$H597))&amp;"")</f>
        <v/>
      </c>
      <c r="E597" s="20">
        <f>IF($H597="","",IF(INDEX('Journal'!$D$1:$D$2002,$H597)=$B$1,N(INDEX('Journal'!$G$1:$G$2002,$H597)),N(INDEX('Journal'!$F$1:$F$2002,$H597))))</f>
        <v/>
      </c>
      <c r="F597" s="20">
        <f>IF($H597="","",IF(INDEX('Journal'!$D$1:$D$2002,$H597)=$B$1,N(INDEX('Journal'!$F$1:$F$2002,$H597)),N(INDEX('Journal'!$G$1:$G$2002,$H597))))</f>
        <v/>
      </c>
      <c r="G597" s="20">
        <f>IF($H597="","",G596+E597-F597)</f>
        <v/>
      </c>
      <c r="H597" s="18">
        <f t="array" ref="H597">IF($B$1="","",IFERROR(_xlfn.AGGREGATE(15,6,ROW('Journal'!$A$3:$A$2002)/(('Journal'!$D$3:$D$2002=$B$1)+('Journal'!$E$3:$E$2002=$B$1))/('Journal'!$B$3:$B$2002&gt;=$B$2)/('Journal'!$B$3:$B$2002&lt;=$B$3),592),""))</f>
        <v/>
      </c>
    </row>
    <row r="598">
      <c r="A598" s="18">
        <f>IF($H598="","",INDEX('Journal'!$A$1:$A$2002,$H598))</f>
        <v/>
      </c>
      <c r="B598" s="21">
        <f>IF($H598="","",INDEX('Journal'!$B$1:$B$2002,$H598))</f>
        <v/>
      </c>
      <c r="C598" s="5">
        <f>IF($H598="","",INDEX('Journal'!$C$1:$C$2002,$H598)&amp;"")</f>
        <v/>
      </c>
      <c r="D598" s="5">
        <f>IF($H598="","",IF(INDEX('Journal'!$D$1:$D$2002,$H598)=$B$1,INDEX('Journal'!$E$1:$E$2002,$H598),INDEX('Journal'!$D$1:$D$2002,$H598))&amp;"")</f>
        <v/>
      </c>
      <c r="E598" s="20">
        <f>IF($H598="","",IF(INDEX('Journal'!$D$1:$D$2002,$H598)=$B$1,N(INDEX('Journal'!$G$1:$G$2002,$H598)),N(INDEX('Journal'!$F$1:$F$2002,$H598))))</f>
        <v/>
      </c>
      <c r="F598" s="20">
        <f>IF($H598="","",IF(INDEX('Journal'!$D$1:$D$2002,$H598)=$B$1,N(INDEX('Journal'!$F$1:$F$2002,$H598)),N(INDEX('Journal'!$G$1:$G$2002,$H598))))</f>
        <v/>
      </c>
      <c r="G598" s="20">
        <f>IF($H598="","",G597+E598-F598)</f>
        <v/>
      </c>
      <c r="H598" s="18">
        <f t="array" ref="H598">IF($B$1="","",IFERROR(_xlfn.AGGREGATE(15,6,ROW('Journal'!$A$3:$A$2002)/(('Journal'!$D$3:$D$2002=$B$1)+('Journal'!$E$3:$E$2002=$B$1))/('Journal'!$B$3:$B$2002&gt;=$B$2)/('Journal'!$B$3:$B$2002&lt;=$B$3),593),""))</f>
        <v/>
      </c>
    </row>
    <row r="599">
      <c r="A599" s="18">
        <f>IF($H599="","",INDEX('Journal'!$A$1:$A$2002,$H599))</f>
        <v/>
      </c>
      <c r="B599" s="21">
        <f>IF($H599="","",INDEX('Journal'!$B$1:$B$2002,$H599))</f>
        <v/>
      </c>
      <c r="C599" s="5">
        <f>IF($H599="","",INDEX('Journal'!$C$1:$C$2002,$H599)&amp;"")</f>
        <v/>
      </c>
      <c r="D599" s="5">
        <f>IF($H599="","",IF(INDEX('Journal'!$D$1:$D$2002,$H599)=$B$1,INDEX('Journal'!$E$1:$E$2002,$H599),INDEX('Journal'!$D$1:$D$2002,$H599))&amp;"")</f>
        <v/>
      </c>
      <c r="E599" s="20">
        <f>IF($H599="","",IF(INDEX('Journal'!$D$1:$D$2002,$H599)=$B$1,N(INDEX('Journal'!$G$1:$G$2002,$H599)),N(INDEX('Journal'!$F$1:$F$2002,$H599))))</f>
        <v/>
      </c>
      <c r="F599" s="20">
        <f>IF($H599="","",IF(INDEX('Journal'!$D$1:$D$2002,$H599)=$B$1,N(INDEX('Journal'!$F$1:$F$2002,$H599)),N(INDEX('Journal'!$G$1:$G$2002,$H599))))</f>
        <v/>
      </c>
      <c r="G599" s="20">
        <f>IF($H599="","",G598+E599-F599)</f>
        <v/>
      </c>
      <c r="H599" s="18">
        <f t="array" ref="H599">IF($B$1="","",IFERROR(_xlfn.AGGREGATE(15,6,ROW('Journal'!$A$3:$A$2002)/(('Journal'!$D$3:$D$2002=$B$1)+('Journal'!$E$3:$E$2002=$B$1))/('Journal'!$B$3:$B$2002&gt;=$B$2)/('Journal'!$B$3:$B$2002&lt;=$B$3),594),""))</f>
        <v/>
      </c>
    </row>
    <row r="600">
      <c r="A600" s="18">
        <f>IF($H600="","",INDEX('Journal'!$A$1:$A$2002,$H600))</f>
        <v/>
      </c>
      <c r="B600" s="21">
        <f>IF($H600="","",INDEX('Journal'!$B$1:$B$2002,$H600))</f>
        <v/>
      </c>
      <c r="C600" s="5">
        <f>IF($H600="","",INDEX('Journal'!$C$1:$C$2002,$H600)&amp;"")</f>
        <v/>
      </c>
      <c r="D600" s="5">
        <f>IF($H600="","",IF(INDEX('Journal'!$D$1:$D$2002,$H600)=$B$1,INDEX('Journal'!$E$1:$E$2002,$H600),INDEX('Journal'!$D$1:$D$2002,$H600))&amp;"")</f>
        <v/>
      </c>
      <c r="E600" s="20">
        <f>IF($H600="","",IF(INDEX('Journal'!$D$1:$D$2002,$H600)=$B$1,N(INDEX('Journal'!$G$1:$G$2002,$H600)),N(INDEX('Journal'!$F$1:$F$2002,$H600))))</f>
        <v/>
      </c>
      <c r="F600" s="20">
        <f>IF($H600="","",IF(INDEX('Journal'!$D$1:$D$2002,$H600)=$B$1,N(INDEX('Journal'!$F$1:$F$2002,$H600)),N(INDEX('Journal'!$G$1:$G$2002,$H600))))</f>
        <v/>
      </c>
      <c r="G600" s="20">
        <f>IF($H600="","",G599+E600-F600)</f>
        <v/>
      </c>
      <c r="H600" s="18">
        <f t="array" ref="H600">IF($B$1="","",IFERROR(_xlfn.AGGREGATE(15,6,ROW('Journal'!$A$3:$A$2002)/(('Journal'!$D$3:$D$2002=$B$1)+('Journal'!$E$3:$E$2002=$B$1))/('Journal'!$B$3:$B$2002&gt;=$B$2)/('Journal'!$B$3:$B$2002&lt;=$B$3),595),""))</f>
        <v/>
      </c>
    </row>
    <row r="601">
      <c r="A601" s="18">
        <f>IF($H601="","",INDEX('Journal'!$A$1:$A$2002,$H601))</f>
        <v/>
      </c>
      <c r="B601" s="21">
        <f>IF($H601="","",INDEX('Journal'!$B$1:$B$2002,$H601))</f>
        <v/>
      </c>
      <c r="C601" s="5">
        <f>IF($H601="","",INDEX('Journal'!$C$1:$C$2002,$H601)&amp;"")</f>
        <v/>
      </c>
      <c r="D601" s="5">
        <f>IF($H601="","",IF(INDEX('Journal'!$D$1:$D$2002,$H601)=$B$1,INDEX('Journal'!$E$1:$E$2002,$H601),INDEX('Journal'!$D$1:$D$2002,$H601))&amp;"")</f>
        <v/>
      </c>
      <c r="E601" s="20">
        <f>IF($H601="","",IF(INDEX('Journal'!$D$1:$D$2002,$H601)=$B$1,N(INDEX('Journal'!$G$1:$G$2002,$H601)),N(INDEX('Journal'!$F$1:$F$2002,$H601))))</f>
        <v/>
      </c>
      <c r="F601" s="20">
        <f>IF($H601="","",IF(INDEX('Journal'!$D$1:$D$2002,$H601)=$B$1,N(INDEX('Journal'!$F$1:$F$2002,$H601)),N(INDEX('Journal'!$G$1:$G$2002,$H601))))</f>
        <v/>
      </c>
      <c r="G601" s="20">
        <f>IF($H601="","",G600+E601-F601)</f>
        <v/>
      </c>
      <c r="H601" s="18">
        <f t="array" ref="H601">IF($B$1="","",IFERROR(_xlfn.AGGREGATE(15,6,ROW('Journal'!$A$3:$A$2002)/(('Journal'!$D$3:$D$2002=$B$1)+('Journal'!$E$3:$E$2002=$B$1))/('Journal'!$B$3:$B$2002&gt;=$B$2)/('Journal'!$B$3:$B$2002&lt;=$B$3),596),""))</f>
        <v/>
      </c>
    </row>
    <row r="602">
      <c r="A602" s="18">
        <f>IF($H602="","",INDEX('Journal'!$A$1:$A$2002,$H602))</f>
        <v/>
      </c>
      <c r="B602" s="21">
        <f>IF($H602="","",INDEX('Journal'!$B$1:$B$2002,$H602))</f>
        <v/>
      </c>
      <c r="C602" s="5">
        <f>IF($H602="","",INDEX('Journal'!$C$1:$C$2002,$H602)&amp;"")</f>
        <v/>
      </c>
      <c r="D602" s="5">
        <f>IF($H602="","",IF(INDEX('Journal'!$D$1:$D$2002,$H602)=$B$1,INDEX('Journal'!$E$1:$E$2002,$H602),INDEX('Journal'!$D$1:$D$2002,$H602))&amp;"")</f>
        <v/>
      </c>
      <c r="E602" s="20">
        <f>IF($H602="","",IF(INDEX('Journal'!$D$1:$D$2002,$H602)=$B$1,N(INDEX('Journal'!$G$1:$G$2002,$H602)),N(INDEX('Journal'!$F$1:$F$2002,$H602))))</f>
        <v/>
      </c>
      <c r="F602" s="20">
        <f>IF($H602="","",IF(INDEX('Journal'!$D$1:$D$2002,$H602)=$B$1,N(INDEX('Journal'!$F$1:$F$2002,$H602)),N(INDEX('Journal'!$G$1:$G$2002,$H602))))</f>
        <v/>
      </c>
      <c r="G602" s="20">
        <f>IF($H602="","",G601+E602-F602)</f>
        <v/>
      </c>
      <c r="H602" s="18">
        <f t="array" ref="H602">IF($B$1="","",IFERROR(_xlfn.AGGREGATE(15,6,ROW('Journal'!$A$3:$A$2002)/(('Journal'!$D$3:$D$2002=$B$1)+('Journal'!$E$3:$E$2002=$B$1))/('Journal'!$B$3:$B$2002&gt;=$B$2)/('Journal'!$B$3:$B$2002&lt;=$B$3),597),""))</f>
        <v/>
      </c>
    </row>
    <row r="603">
      <c r="A603" s="18">
        <f>IF($H603="","",INDEX('Journal'!$A$1:$A$2002,$H603))</f>
        <v/>
      </c>
      <c r="B603" s="21">
        <f>IF($H603="","",INDEX('Journal'!$B$1:$B$2002,$H603))</f>
        <v/>
      </c>
      <c r="C603" s="5">
        <f>IF($H603="","",INDEX('Journal'!$C$1:$C$2002,$H603)&amp;"")</f>
        <v/>
      </c>
      <c r="D603" s="5">
        <f>IF($H603="","",IF(INDEX('Journal'!$D$1:$D$2002,$H603)=$B$1,INDEX('Journal'!$E$1:$E$2002,$H603),INDEX('Journal'!$D$1:$D$2002,$H603))&amp;"")</f>
        <v/>
      </c>
      <c r="E603" s="20">
        <f>IF($H603="","",IF(INDEX('Journal'!$D$1:$D$2002,$H603)=$B$1,N(INDEX('Journal'!$G$1:$G$2002,$H603)),N(INDEX('Journal'!$F$1:$F$2002,$H603))))</f>
        <v/>
      </c>
      <c r="F603" s="20">
        <f>IF($H603="","",IF(INDEX('Journal'!$D$1:$D$2002,$H603)=$B$1,N(INDEX('Journal'!$F$1:$F$2002,$H603)),N(INDEX('Journal'!$G$1:$G$2002,$H603))))</f>
        <v/>
      </c>
      <c r="G603" s="20">
        <f>IF($H603="","",G602+E603-F603)</f>
        <v/>
      </c>
      <c r="H603" s="18">
        <f t="array" ref="H603">IF($B$1="","",IFERROR(_xlfn.AGGREGATE(15,6,ROW('Journal'!$A$3:$A$2002)/(('Journal'!$D$3:$D$2002=$B$1)+('Journal'!$E$3:$E$2002=$B$1))/('Journal'!$B$3:$B$2002&gt;=$B$2)/('Journal'!$B$3:$B$2002&lt;=$B$3),598),""))</f>
        <v/>
      </c>
    </row>
    <row r="604">
      <c r="A604" s="18">
        <f>IF($H604="","",INDEX('Journal'!$A$1:$A$2002,$H604))</f>
        <v/>
      </c>
      <c r="B604" s="21">
        <f>IF($H604="","",INDEX('Journal'!$B$1:$B$2002,$H604))</f>
        <v/>
      </c>
      <c r="C604" s="5">
        <f>IF($H604="","",INDEX('Journal'!$C$1:$C$2002,$H604)&amp;"")</f>
        <v/>
      </c>
      <c r="D604" s="5">
        <f>IF($H604="","",IF(INDEX('Journal'!$D$1:$D$2002,$H604)=$B$1,INDEX('Journal'!$E$1:$E$2002,$H604),INDEX('Journal'!$D$1:$D$2002,$H604))&amp;"")</f>
        <v/>
      </c>
      <c r="E604" s="20">
        <f>IF($H604="","",IF(INDEX('Journal'!$D$1:$D$2002,$H604)=$B$1,N(INDEX('Journal'!$G$1:$G$2002,$H604)),N(INDEX('Journal'!$F$1:$F$2002,$H604))))</f>
        <v/>
      </c>
      <c r="F604" s="20">
        <f>IF($H604="","",IF(INDEX('Journal'!$D$1:$D$2002,$H604)=$B$1,N(INDEX('Journal'!$F$1:$F$2002,$H604)),N(INDEX('Journal'!$G$1:$G$2002,$H604))))</f>
        <v/>
      </c>
      <c r="G604" s="20">
        <f>IF($H604="","",G603+E604-F604)</f>
        <v/>
      </c>
      <c r="H604" s="18">
        <f t="array" ref="H604">IF($B$1="","",IFERROR(_xlfn.AGGREGATE(15,6,ROW('Journal'!$A$3:$A$2002)/(('Journal'!$D$3:$D$2002=$B$1)+('Journal'!$E$3:$E$2002=$B$1))/('Journal'!$B$3:$B$2002&gt;=$B$2)/('Journal'!$B$3:$B$2002&lt;=$B$3),599),""))</f>
        <v/>
      </c>
    </row>
    <row r="605">
      <c r="A605" s="18">
        <f>IF($H605="","",INDEX('Journal'!$A$1:$A$2002,$H605))</f>
        <v/>
      </c>
      <c r="B605" s="21">
        <f>IF($H605="","",INDEX('Journal'!$B$1:$B$2002,$H605))</f>
        <v/>
      </c>
      <c r="C605" s="5">
        <f>IF($H605="","",INDEX('Journal'!$C$1:$C$2002,$H605)&amp;"")</f>
        <v/>
      </c>
      <c r="D605" s="5">
        <f>IF($H605="","",IF(INDEX('Journal'!$D$1:$D$2002,$H605)=$B$1,INDEX('Journal'!$E$1:$E$2002,$H605),INDEX('Journal'!$D$1:$D$2002,$H605))&amp;"")</f>
        <v/>
      </c>
      <c r="E605" s="20">
        <f>IF($H605="","",IF(INDEX('Journal'!$D$1:$D$2002,$H605)=$B$1,N(INDEX('Journal'!$G$1:$G$2002,$H605)),N(INDEX('Journal'!$F$1:$F$2002,$H605))))</f>
        <v/>
      </c>
      <c r="F605" s="20">
        <f>IF($H605="","",IF(INDEX('Journal'!$D$1:$D$2002,$H605)=$B$1,N(INDEX('Journal'!$F$1:$F$2002,$H605)),N(INDEX('Journal'!$G$1:$G$2002,$H605))))</f>
        <v/>
      </c>
      <c r="G605" s="20">
        <f>IF($H605="","",G604+E605-F605)</f>
        <v/>
      </c>
      <c r="H605" s="18">
        <f t="array" ref="H605">IF($B$1="","",IFERROR(_xlfn.AGGREGATE(15,6,ROW('Journal'!$A$3:$A$2002)/(('Journal'!$D$3:$D$2002=$B$1)+('Journal'!$E$3:$E$2002=$B$1))/('Journal'!$B$3:$B$2002&gt;=$B$2)/('Journal'!$B$3:$B$2002&lt;=$B$3),600),""))</f>
        <v/>
      </c>
    </row>
    <row r="606">
      <c r="A606" s="18">
        <f>IF($H606="","",INDEX('Journal'!$A$1:$A$2002,$H606))</f>
        <v/>
      </c>
      <c r="B606" s="21">
        <f>IF($H606="","",INDEX('Journal'!$B$1:$B$2002,$H606))</f>
        <v/>
      </c>
      <c r="C606" s="5">
        <f>IF($H606="","",INDEX('Journal'!$C$1:$C$2002,$H606)&amp;"")</f>
        <v/>
      </c>
      <c r="D606" s="5">
        <f>IF($H606="","",IF(INDEX('Journal'!$D$1:$D$2002,$H606)=$B$1,INDEX('Journal'!$E$1:$E$2002,$H606),INDEX('Journal'!$D$1:$D$2002,$H606))&amp;"")</f>
        <v/>
      </c>
      <c r="E606" s="20">
        <f>IF($H606="","",IF(INDEX('Journal'!$D$1:$D$2002,$H606)=$B$1,N(INDEX('Journal'!$G$1:$G$2002,$H606)),N(INDEX('Journal'!$F$1:$F$2002,$H606))))</f>
        <v/>
      </c>
      <c r="F606" s="20">
        <f>IF($H606="","",IF(INDEX('Journal'!$D$1:$D$2002,$H606)=$B$1,N(INDEX('Journal'!$F$1:$F$2002,$H606)),N(INDEX('Journal'!$G$1:$G$2002,$H606))))</f>
        <v/>
      </c>
      <c r="G606" s="20">
        <f>IF($H606="","",G605+E606-F606)</f>
        <v/>
      </c>
      <c r="H606" s="18">
        <f t="array" ref="H606">IF($B$1="","",IFERROR(_xlfn.AGGREGATE(15,6,ROW('Journal'!$A$3:$A$2002)/(('Journal'!$D$3:$D$2002=$B$1)+('Journal'!$E$3:$E$2002=$B$1))/('Journal'!$B$3:$B$2002&gt;=$B$2)/('Journal'!$B$3:$B$2002&lt;=$B$3),601),""))</f>
        <v/>
      </c>
    </row>
    <row r="607">
      <c r="A607" s="18">
        <f>IF($H607="","",INDEX('Journal'!$A$1:$A$2002,$H607))</f>
        <v/>
      </c>
      <c r="B607" s="21">
        <f>IF($H607="","",INDEX('Journal'!$B$1:$B$2002,$H607))</f>
        <v/>
      </c>
      <c r="C607" s="5">
        <f>IF($H607="","",INDEX('Journal'!$C$1:$C$2002,$H607)&amp;"")</f>
        <v/>
      </c>
      <c r="D607" s="5">
        <f>IF($H607="","",IF(INDEX('Journal'!$D$1:$D$2002,$H607)=$B$1,INDEX('Journal'!$E$1:$E$2002,$H607),INDEX('Journal'!$D$1:$D$2002,$H607))&amp;"")</f>
        <v/>
      </c>
      <c r="E607" s="20">
        <f>IF($H607="","",IF(INDEX('Journal'!$D$1:$D$2002,$H607)=$B$1,N(INDEX('Journal'!$G$1:$G$2002,$H607)),N(INDEX('Journal'!$F$1:$F$2002,$H607))))</f>
        <v/>
      </c>
      <c r="F607" s="20">
        <f>IF($H607="","",IF(INDEX('Journal'!$D$1:$D$2002,$H607)=$B$1,N(INDEX('Journal'!$F$1:$F$2002,$H607)),N(INDEX('Journal'!$G$1:$G$2002,$H607))))</f>
        <v/>
      </c>
      <c r="G607" s="20">
        <f>IF($H607="","",G606+E607-F607)</f>
        <v/>
      </c>
      <c r="H607" s="18">
        <f t="array" ref="H607">IF($B$1="","",IFERROR(_xlfn.AGGREGATE(15,6,ROW('Journal'!$A$3:$A$2002)/(('Journal'!$D$3:$D$2002=$B$1)+('Journal'!$E$3:$E$2002=$B$1))/('Journal'!$B$3:$B$2002&gt;=$B$2)/('Journal'!$B$3:$B$2002&lt;=$B$3),602),""))</f>
        <v/>
      </c>
    </row>
    <row r="608">
      <c r="A608" s="18">
        <f>IF($H608="","",INDEX('Journal'!$A$1:$A$2002,$H608))</f>
        <v/>
      </c>
      <c r="B608" s="21">
        <f>IF($H608="","",INDEX('Journal'!$B$1:$B$2002,$H608))</f>
        <v/>
      </c>
      <c r="C608" s="5">
        <f>IF($H608="","",INDEX('Journal'!$C$1:$C$2002,$H608)&amp;"")</f>
        <v/>
      </c>
      <c r="D608" s="5">
        <f>IF($H608="","",IF(INDEX('Journal'!$D$1:$D$2002,$H608)=$B$1,INDEX('Journal'!$E$1:$E$2002,$H608),INDEX('Journal'!$D$1:$D$2002,$H608))&amp;"")</f>
        <v/>
      </c>
      <c r="E608" s="20">
        <f>IF($H608="","",IF(INDEX('Journal'!$D$1:$D$2002,$H608)=$B$1,N(INDEX('Journal'!$G$1:$G$2002,$H608)),N(INDEX('Journal'!$F$1:$F$2002,$H608))))</f>
        <v/>
      </c>
      <c r="F608" s="20">
        <f>IF($H608="","",IF(INDEX('Journal'!$D$1:$D$2002,$H608)=$B$1,N(INDEX('Journal'!$F$1:$F$2002,$H608)),N(INDEX('Journal'!$G$1:$G$2002,$H608))))</f>
        <v/>
      </c>
      <c r="G608" s="20">
        <f>IF($H608="","",G607+E608-F608)</f>
        <v/>
      </c>
      <c r="H608" s="18">
        <f t="array" ref="H608">IF($B$1="","",IFERROR(_xlfn.AGGREGATE(15,6,ROW('Journal'!$A$3:$A$2002)/(('Journal'!$D$3:$D$2002=$B$1)+('Journal'!$E$3:$E$2002=$B$1))/('Journal'!$B$3:$B$2002&gt;=$B$2)/('Journal'!$B$3:$B$2002&lt;=$B$3),603),""))</f>
        <v/>
      </c>
    </row>
    <row r="609">
      <c r="A609" s="18">
        <f>IF($H609="","",INDEX('Journal'!$A$1:$A$2002,$H609))</f>
        <v/>
      </c>
      <c r="B609" s="21">
        <f>IF($H609="","",INDEX('Journal'!$B$1:$B$2002,$H609))</f>
        <v/>
      </c>
      <c r="C609" s="5">
        <f>IF($H609="","",INDEX('Journal'!$C$1:$C$2002,$H609)&amp;"")</f>
        <v/>
      </c>
      <c r="D609" s="5">
        <f>IF($H609="","",IF(INDEX('Journal'!$D$1:$D$2002,$H609)=$B$1,INDEX('Journal'!$E$1:$E$2002,$H609),INDEX('Journal'!$D$1:$D$2002,$H609))&amp;"")</f>
        <v/>
      </c>
      <c r="E609" s="20">
        <f>IF($H609="","",IF(INDEX('Journal'!$D$1:$D$2002,$H609)=$B$1,N(INDEX('Journal'!$G$1:$G$2002,$H609)),N(INDEX('Journal'!$F$1:$F$2002,$H609))))</f>
        <v/>
      </c>
      <c r="F609" s="20">
        <f>IF($H609="","",IF(INDEX('Journal'!$D$1:$D$2002,$H609)=$B$1,N(INDEX('Journal'!$F$1:$F$2002,$H609)),N(INDEX('Journal'!$G$1:$G$2002,$H609))))</f>
        <v/>
      </c>
      <c r="G609" s="20">
        <f>IF($H609="","",G608+E609-F609)</f>
        <v/>
      </c>
      <c r="H609" s="18">
        <f t="array" ref="H609">IF($B$1="","",IFERROR(_xlfn.AGGREGATE(15,6,ROW('Journal'!$A$3:$A$2002)/(('Journal'!$D$3:$D$2002=$B$1)+('Journal'!$E$3:$E$2002=$B$1))/('Journal'!$B$3:$B$2002&gt;=$B$2)/('Journal'!$B$3:$B$2002&lt;=$B$3),604),""))</f>
        <v/>
      </c>
    </row>
    <row r="610">
      <c r="A610" s="18">
        <f>IF($H610="","",INDEX('Journal'!$A$1:$A$2002,$H610))</f>
        <v/>
      </c>
      <c r="B610" s="21">
        <f>IF($H610="","",INDEX('Journal'!$B$1:$B$2002,$H610))</f>
        <v/>
      </c>
      <c r="C610" s="5">
        <f>IF($H610="","",INDEX('Journal'!$C$1:$C$2002,$H610)&amp;"")</f>
        <v/>
      </c>
      <c r="D610" s="5">
        <f>IF($H610="","",IF(INDEX('Journal'!$D$1:$D$2002,$H610)=$B$1,INDEX('Journal'!$E$1:$E$2002,$H610),INDEX('Journal'!$D$1:$D$2002,$H610))&amp;"")</f>
        <v/>
      </c>
      <c r="E610" s="20">
        <f>IF($H610="","",IF(INDEX('Journal'!$D$1:$D$2002,$H610)=$B$1,N(INDEX('Journal'!$G$1:$G$2002,$H610)),N(INDEX('Journal'!$F$1:$F$2002,$H610))))</f>
        <v/>
      </c>
      <c r="F610" s="20">
        <f>IF($H610="","",IF(INDEX('Journal'!$D$1:$D$2002,$H610)=$B$1,N(INDEX('Journal'!$F$1:$F$2002,$H610)),N(INDEX('Journal'!$G$1:$G$2002,$H610))))</f>
        <v/>
      </c>
      <c r="G610" s="20">
        <f>IF($H610="","",G609+E610-F610)</f>
        <v/>
      </c>
      <c r="H610" s="18">
        <f t="array" ref="H610">IF($B$1="","",IFERROR(_xlfn.AGGREGATE(15,6,ROW('Journal'!$A$3:$A$2002)/(('Journal'!$D$3:$D$2002=$B$1)+('Journal'!$E$3:$E$2002=$B$1))/('Journal'!$B$3:$B$2002&gt;=$B$2)/('Journal'!$B$3:$B$2002&lt;=$B$3),605),""))</f>
        <v/>
      </c>
    </row>
    <row r="611">
      <c r="A611" s="18">
        <f>IF($H611="","",INDEX('Journal'!$A$1:$A$2002,$H611))</f>
        <v/>
      </c>
      <c r="B611" s="21">
        <f>IF($H611="","",INDEX('Journal'!$B$1:$B$2002,$H611))</f>
        <v/>
      </c>
      <c r="C611" s="5">
        <f>IF($H611="","",INDEX('Journal'!$C$1:$C$2002,$H611)&amp;"")</f>
        <v/>
      </c>
      <c r="D611" s="5">
        <f>IF($H611="","",IF(INDEX('Journal'!$D$1:$D$2002,$H611)=$B$1,INDEX('Journal'!$E$1:$E$2002,$H611),INDEX('Journal'!$D$1:$D$2002,$H611))&amp;"")</f>
        <v/>
      </c>
      <c r="E611" s="20">
        <f>IF($H611="","",IF(INDEX('Journal'!$D$1:$D$2002,$H611)=$B$1,N(INDEX('Journal'!$G$1:$G$2002,$H611)),N(INDEX('Journal'!$F$1:$F$2002,$H611))))</f>
        <v/>
      </c>
      <c r="F611" s="20">
        <f>IF($H611="","",IF(INDEX('Journal'!$D$1:$D$2002,$H611)=$B$1,N(INDEX('Journal'!$F$1:$F$2002,$H611)),N(INDEX('Journal'!$G$1:$G$2002,$H611))))</f>
        <v/>
      </c>
      <c r="G611" s="20">
        <f>IF($H611="","",G610+E611-F611)</f>
        <v/>
      </c>
      <c r="H611" s="18">
        <f t="array" ref="H611">IF($B$1="","",IFERROR(_xlfn.AGGREGATE(15,6,ROW('Journal'!$A$3:$A$2002)/(('Journal'!$D$3:$D$2002=$B$1)+('Journal'!$E$3:$E$2002=$B$1))/('Journal'!$B$3:$B$2002&gt;=$B$2)/('Journal'!$B$3:$B$2002&lt;=$B$3),606),""))</f>
        <v/>
      </c>
    </row>
    <row r="612">
      <c r="A612" s="18">
        <f>IF($H612="","",INDEX('Journal'!$A$1:$A$2002,$H612))</f>
        <v/>
      </c>
      <c r="B612" s="21">
        <f>IF($H612="","",INDEX('Journal'!$B$1:$B$2002,$H612))</f>
        <v/>
      </c>
      <c r="C612" s="5">
        <f>IF($H612="","",INDEX('Journal'!$C$1:$C$2002,$H612)&amp;"")</f>
        <v/>
      </c>
      <c r="D612" s="5">
        <f>IF($H612="","",IF(INDEX('Journal'!$D$1:$D$2002,$H612)=$B$1,INDEX('Journal'!$E$1:$E$2002,$H612),INDEX('Journal'!$D$1:$D$2002,$H612))&amp;"")</f>
        <v/>
      </c>
      <c r="E612" s="20">
        <f>IF($H612="","",IF(INDEX('Journal'!$D$1:$D$2002,$H612)=$B$1,N(INDEX('Journal'!$G$1:$G$2002,$H612)),N(INDEX('Journal'!$F$1:$F$2002,$H612))))</f>
        <v/>
      </c>
      <c r="F612" s="20">
        <f>IF($H612="","",IF(INDEX('Journal'!$D$1:$D$2002,$H612)=$B$1,N(INDEX('Journal'!$F$1:$F$2002,$H612)),N(INDEX('Journal'!$G$1:$G$2002,$H612))))</f>
        <v/>
      </c>
      <c r="G612" s="20">
        <f>IF($H612="","",G611+E612-F612)</f>
        <v/>
      </c>
      <c r="H612" s="18">
        <f t="array" ref="H612">IF($B$1="","",IFERROR(_xlfn.AGGREGATE(15,6,ROW('Journal'!$A$3:$A$2002)/(('Journal'!$D$3:$D$2002=$B$1)+('Journal'!$E$3:$E$2002=$B$1))/('Journal'!$B$3:$B$2002&gt;=$B$2)/('Journal'!$B$3:$B$2002&lt;=$B$3),607),""))</f>
        <v/>
      </c>
    </row>
    <row r="613">
      <c r="A613" s="18">
        <f>IF($H613="","",INDEX('Journal'!$A$1:$A$2002,$H613))</f>
        <v/>
      </c>
      <c r="B613" s="21">
        <f>IF($H613="","",INDEX('Journal'!$B$1:$B$2002,$H613))</f>
        <v/>
      </c>
      <c r="C613" s="5">
        <f>IF($H613="","",INDEX('Journal'!$C$1:$C$2002,$H613)&amp;"")</f>
        <v/>
      </c>
      <c r="D613" s="5">
        <f>IF($H613="","",IF(INDEX('Journal'!$D$1:$D$2002,$H613)=$B$1,INDEX('Journal'!$E$1:$E$2002,$H613),INDEX('Journal'!$D$1:$D$2002,$H613))&amp;"")</f>
        <v/>
      </c>
      <c r="E613" s="20">
        <f>IF($H613="","",IF(INDEX('Journal'!$D$1:$D$2002,$H613)=$B$1,N(INDEX('Journal'!$G$1:$G$2002,$H613)),N(INDEX('Journal'!$F$1:$F$2002,$H613))))</f>
        <v/>
      </c>
      <c r="F613" s="20">
        <f>IF($H613="","",IF(INDEX('Journal'!$D$1:$D$2002,$H613)=$B$1,N(INDEX('Journal'!$F$1:$F$2002,$H613)),N(INDEX('Journal'!$G$1:$G$2002,$H613))))</f>
        <v/>
      </c>
      <c r="G613" s="20">
        <f>IF($H613="","",G612+E613-F613)</f>
        <v/>
      </c>
      <c r="H613" s="18">
        <f t="array" ref="H613">IF($B$1="","",IFERROR(_xlfn.AGGREGATE(15,6,ROW('Journal'!$A$3:$A$2002)/(('Journal'!$D$3:$D$2002=$B$1)+('Journal'!$E$3:$E$2002=$B$1))/('Journal'!$B$3:$B$2002&gt;=$B$2)/('Journal'!$B$3:$B$2002&lt;=$B$3),608),""))</f>
        <v/>
      </c>
    </row>
    <row r="614">
      <c r="A614" s="18">
        <f>IF($H614="","",INDEX('Journal'!$A$1:$A$2002,$H614))</f>
        <v/>
      </c>
      <c r="B614" s="21">
        <f>IF($H614="","",INDEX('Journal'!$B$1:$B$2002,$H614))</f>
        <v/>
      </c>
      <c r="C614" s="5">
        <f>IF($H614="","",INDEX('Journal'!$C$1:$C$2002,$H614)&amp;"")</f>
        <v/>
      </c>
      <c r="D614" s="5">
        <f>IF($H614="","",IF(INDEX('Journal'!$D$1:$D$2002,$H614)=$B$1,INDEX('Journal'!$E$1:$E$2002,$H614),INDEX('Journal'!$D$1:$D$2002,$H614))&amp;"")</f>
        <v/>
      </c>
      <c r="E614" s="20">
        <f>IF($H614="","",IF(INDEX('Journal'!$D$1:$D$2002,$H614)=$B$1,N(INDEX('Journal'!$G$1:$G$2002,$H614)),N(INDEX('Journal'!$F$1:$F$2002,$H614))))</f>
        <v/>
      </c>
      <c r="F614" s="20">
        <f>IF($H614="","",IF(INDEX('Journal'!$D$1:$D$2002,$H614)=$B$1,N(INDEX('Journal'!$F$1:$F$2002,$H614)),N(INDEX('Journal'!$G$1:$G$2002,$H614))))</f>
        <v/>
      </c>
      <c r="G614" s="20">
        <f>IF($H614="","",G613+E614-F614)</f>
        <v/>
      </c>
      <c r="H614" s="18">
        <f t="array" ref="H614">IF($B$1="","",IFERROR(_xlfn.AGGREGATE(15,6,ROW('Journal'!$A$3:$A$2002)/(('Journal'!$D$3:$D$2002=$B$1)+('Journal'!$E$3:$E$2002=$B$1))/('Journal'!$B$3:$B$2002&gt;=$B$2)/('Journal'!$B$3:$B$2002&lt;=$B$3),609),""))</f>
        <v/>
      </c>
    </row>
    <row r="615">
      <c r="A615" s="18">
        <f>IF($H615="","",INDEX('Journal'!$A$1:$A$2002,$H615))</f>
        <v/>
      </c>
      <c r="B615" s="21">
        <f>IF($H615="","",INDEX('Journal'!$B$1:$B$2002,$H615))</f>
        <v/>
      </c>
      <c r="C615" s="5">
        <f>IF($H615="","",INDEX('Journal'!$C$1:$C$2002,$H615)&amp;"")</f>
        <v/>
      </c>
      <c r="D615" s="5">
        <f>IF($H615="","",IF(INDEX('Journal'!$D$1:$D$2002,$H615)=$B$1,INDEX('Journal'!$E$1:$E$2002,$H615),INDEX('Journal'!$D$1:$D$2002,$H615))&amp;"")</f>
        <v/>
      </c>
      <c r="E615" s="20">
        <f>IF($H615="","",IF(INDEX('Journal'!$D$1:$D$2002,$H615)=$B$1,N(INDEX('Journal'!$G$1:$G$2002,$H615)),N(INDEX('Journal'!$F$1:$F$2002,$H615))))</f>
        <v/>
      </c>
      <c r="F615" s="20">
        <f>IF($H615="","",IF(INDEX('Journal'!$D$1:$D$2002,$H615)=$B$1,N(INDEX('Journal'!$F$1:$F$2002,$H615)),N(INDEX('Journal'!$G$1:$G$2002,$H615))))</f>
        <v/>
      </c>
      <c r="G615" s="20">
        <f>IF($H615="","",G614+E615-F615)</f>
        <v/>
      </c>
      <c r="H615" s="18">
        <f t="array" ref="H615">IF($B$1="","",IFERROR(_xlfn.AGGREGATE(15,6,ROW('Journal'!$A$3:$A$2002)/(('Journal'!$D$3:$D$2002=$B$1)+('Journal'!$E$3:$E$2002=$B$1))/('Journal'!$B$3:$B$2002&gt;=$B$2)/('Journal'!$B$3:$B$2002&lt;=$B$3),610),""))</f>
        <v/>
      </c>
    </row>
    <row r="616">
      <c r="A616" s="18">
        <f>IF($H616="","",INDEX('Journal'!$A$1:$A$2002,$H616))</f>
        <v/>
      </c>
      <c r="B616" s="21">
        <f>IF($H616="","",INDEX('Journal'!$B$1:$B$2002,$H616))</f>
        <v/>
      </c>
      <c r="C616" s="5">
        <f>IF($H616="","",INDEX('Journal'!$C$1:$C$2002,$H616)&amp;"")</f>
        <v/>
      </c>
      <c r="D616" s="5">
        <f>IF($H616="","",IF(INDEX('Journal'!$D$1:$D$2002,$H616)=$B$1,INDEX('Journal'!$E$1:$E$2002,$H616),INDEX('Journal'!$D$1:$D$2002,$H616))&amp;"")</f>
        <v/>
      </c>
      <c r="E616" s="20">
        <f>IF($H616="","",IF(INDEX('Journal'!$D$1:$D$2002,$H616)=$B$1,N(INDEX('Journal'!$G$1:$G$2002,$H616)),N(INDEX('Journal'!$F$1:$F$2002,$H616))))</f>
        <v/>
      </c>
      <c r="F616" s="20">
        <f>IF($H616="","",IF(INDEX('Journal'!$D$1:$D$2002,$H616)=$B$1,N(INDEX('Journal'!$F$1:$F$2002,$H616)),N(INDEX('Journal'!$G$1:$G$2002,$H616))))</f>
        <v/>
      </c>
      <c r="G616" s="20">
        <f>IF($H616="","",G615+E616-F616)</f>
        <v/>
      </c>
      <c r="H616" s="18">
        <f t="array" ref="H616">IF($B$1="","",IFERROR(_xlfn.AGGREGATE(15,6,ROW('Journal'!$A$3:$A$2002)/(('Journal'!$D$3:$D$2002=$B$1)+('Journal'!$E$3:$E$2002=$B$1))/('Journal'!$B$3:$B$2002&gt;=$B$2)/('Journal'!$B$3:$B$2002&lt;=$B$3),611),""))</f>
        <v/>
      </c>
    </row>
    <row r="617">
      <c r="A617" s="18">
        <f>IF($H617="","",INDEX('Journal'!$A$1:$A$2002,$H617))</f>
        <v/>
      </c>
      <c r="B617" s="21">
        <f>IF($H617="","",INDEX('Journal'!$B$1:$B$2002,$H617))</f>
        <v/>
      </c>
      <c r="C617" s="5">
        <f>IF($H617="","",INDEX('Journal'!$C$1:$C$2002,$H617)&amp;"")</f>
        <v/>
      </c>
      <c r="D617" s="5">
        <f>IF($H617="","",IF(INDEX('Journal'!$D$1:$D$2002,$H617)=$B$1,INDEX('Journal'!$E$1:$E$2002,$H617),INDEX('Journal'!$D$1:$D$2002,$H617))&amp;"")</f>
        <v/>
      </c>
      <c r="E617" s="20">
        <f>IF($H617="","",IF(INDEX('Journal'!$D$1:$D$2002,$H617)=$B$1,N(INDEX('Journal'!$G$1:$G$2002,$H617)),N(INDEX('Journal'!$F$1:$F$2002,$H617))))</f>
        <v/>
      </c>
      <c r="F617" s="20">
        <f>IF($H617="","",IF(INDEX('Journal'!$D$1:$D$2002,$H617)=$B$1,N(INDEX('Journal'!$F$1:$F$2002,$H617)),N(INDEX('Journal'!$G$1:$G$2002,$H617))))</f>
        <v/>
      </c>
      <c r="G617" s="20">
        <f>IF($H617="","",G616+E617-F617)</f>
        <v/>
      </c>
      <c r="H617" s="18">
        <f t="array" ref="H617">IF($B$1="","",IFERROR(_xlfn.AGGREGATE(15,6,ROW('Journal'!$A$3:$A$2002)/(('Journal'!$D$3:$D$2002=$B$1)+('Journal'!$E$3:$E$2002=$B$1))/('Journal'!$B$3:$B$2002&gt;=$B$2)/('Journal'!$B$3:$B$2002&lt;=$B$3),612),""))</f>
        <v/>
      </c>
    </row>
    <row r="618">
      <c r="A618" s="18">
        <f>IF($H618="","",INDEX('Journal'!$A$1:$A$2002,$H618))</f>
        <v/>
      </c>
      <c r="B618" s="21">
        <f>IF($H618="","",INDEX('Journal'!$B$1:$B$2002,$H618))</f>
        <v/>
      </c>
      <c r="C618" s="5">
        <f>IF($H618="","",INDEX('Journal'!$C$1:$C$2002,$H618)&amp;"")</f>
        <v/>
      </c>
      <c r="D618" s="5">
        <f>IF($H618="","",IF(INDEX('Journal'!$D$1:$D$2002,$H618)=$B$1,INDEX('Journal'!$E$1:$E$2002,$H618),INDEX('Journal'!$D$1:$D$2002,$H618))&amp;"")</f>
        <v/>
      </c>
      <c r="E618" s="20">
        <f>IF($H618="","",IF(INDEX('Journal'!$D$1:$D$2002,$H618)=$B$1,N(INDEX('Journal'!$G$1:$G$2002,$H618)),N(INDEX('Journal'!$F$1:$F$2002,$H618))))</f>
        <v/>
      </c>
      <c r="F618" s="20">
        <f>IF($H618="","",IF(INDEX('Journal'!$D$1:$D$2002,$H618)=$B$1,N(INDEX('Journal'!$F$1:$F$2002,$H618)),N(INDEX('Journal'!$G$1:$G$2002,$H618))))</f>
        <v/>
      </c>
      <c r="G618" s="20">
        <f>IF($H618="","",G617+E618-F618)</f>
        <v/>
      </c>
      <c r="H618" s="18">
        <f t="array" ref="H618">IF($B$1="","",IFERROR(_xlfn.AGGREGATE(15,6,ROW('Journal'!$A$3:$A$2002)/(('Journal'!$D$3:$D$2002=$B$1)+('Journal'!$E$3:$E$2002=$B$1))/('Journal'!$B$3:$B$2002&gt;=$B$2)/('Journal'!$B$3:$B$2002&lt;=$B$3),613),""))</f>
        <v/>
      </c>
    </row>
    <row r="619">
      <c r="A619" s="18">
        <f>IF($H619="","",INDEX('Journal'!$A$1:$A$2002,$H619))</f>
        <v/>
      </c>
      <c r="B619" s="21">
        <f>IF($H619="","",INDEX('Journal'!$B$1:$B$2002,$H619))</f>
        <v/>
      </c>
      <c r="C619" s="5">
        <f>IF($H619="","",INDEX('Journal'!$C$1:$C$2002,$H619)&amp;"")</f>
        <v/>
      </c>
      <c r="D619" s="5">
        <f>IF($H619="","",IF(INDEX('Journal'!$D$1:$D$2002,$H619)=$B$1,INDEX('Journal'!$E$1:$E$2002,$H619),INDEX('Journal'!$D$1:$D$2002,$H619))&amp;"")</f>
        <v/>
      </c>
      <c r="E619" s="20">
        <f>IF($H619="","",IF(INDEX('Journal'!$D$1:$D$2002,$H619)=$B$1,N(INDEX('Journal'!$G$1:$G$2002,$H619)),N(INDEX('Journal'!$F$1:$F$2002,$H619))))</f>
        <v/>
      </c>
      <c r="F619" s="20">
        <f>IF($H619="","",IF(INDEX('Journal'!$D$1:$D$2002,$H619)=$B$1,N(INDEX('Journal'!$F$1:$F$2002,$H619)),N(INDEX('Journal'!$G$1:$G$2002,$H619))))</f>
        <v/>
      </c>
      <c r="G619" s="20">
        <f>IF($H619="","",G618+E619-F619)</f>
        <v/>
      </c>
      <c r="H619" s="18">
        <f t="array" ref="H619">IF($B$1="","",IFERROR(_xlfn.AGGREGATE(15,6,ROW('Journal'!$A$3:$A$2002)/(('Journal'!$D$3:$D$2002=$B$1)+('Journal'!$E$3:$E$2002=$B$1))/('Journal'!$B$3:$B$2002&gt;=$B$2)/('Journal'!$B$3:$B$2002&lt;=$B$3),614),""))</f>
        <v/>
      </c>
    </row>
    <row r="620">
      <c r="A620" s="18">
        <f>IF($H620="","",INDEX('Journal'!$A$1:$A$2002,$H620))</f>
        <v/>
      </c>
      <c r="B620" s="21">
        <f>IF($H620="","",INDEX('Journal'!$B$1:$B$2002,$H620))</f>
        <v/>
      </c>
      <c r="C620" s="5">
        <f>IF($H620="","",INDEX('Journal'!$C$1:$C$2002,$H620)&amp;"")</f>
        <v/>
      </c>
      <c r="D620" s="5">
        <f>IF($H620="","",IF(INDEX('Journal'!$D$1:$D$2002,$H620)=$B$1,INDEX('Journal'!$E$1:$E$2002,$H620),INDEX('Journal'!$D$1:$D$2002,$H620))&amp;"")</f>
        <v/>
      </c>
      <c r="E620" s="20">
        <f>IF($H620="","",IF(INDEX('Journal'!$D$1:$D$2002,$H620)=$B$1,N(INDEX('Journal'!$G$1:$G$2002,$H620)),N(INDEX('Journal'!$F$1:$F$2002,$H620))))</f>
        <v/>
      </c>
      <c r="F620" s="20">
        <f>IF($H620="","",IF(INDEX('Journal'!$D$1:$D$2002,$H620)=$B$1,N(INDEX('Journal'!$F$1:$F$2002,$H620)),N(INDEX('Journal'!$G$1:$G$2002,$H620))))</f>
        <v/>
      </c>
      <c r="G620" s="20">
        <f>IF($H620="","",G619+E620-F620)</f>
        <v/>
      </c>
      <c r="H620" s="18">
        <f t="array" ref="H620">IF($B$1="","",IFERROR(_xlfn.AGGREGATE(15,6,ROW('Journal'!$A$3:$A$2002)/(('Journal'!$D$3:$D$2002=$B$1)+('Journal'!$E$3:$E$2002=$B$1))/('Journal'!$B$3:$B$2002&gt;=$B$2)/('Journal'!$B$3:$B$2002&lt;=$B$3),615),""))</f>
        <v/>
      </c>
    </row>
    <row r="621">
      <c r="A621" s="18">
        <f>IF($H621="","",INDEX('Journal'!$A$1:$A$2002,$H621))</f>
        <v/>
      </c>
      <c r="B621" s="21">
        <f>IF($H621="","",INDEX('Journal'!$B$1:$B$2002,$H621))</f>
        <v/>
      </c>
      <c r="C621" s="5">
        <f>IF($H621="","",INDEX('Journal'!$C$1:$C$2002,$H621)&amp;"")</f>
        <v/>
      </c>
      <c r="D621" s="5">
        <f>IF($H621="","",IF(INDEX('Journal'!$D$1:$D$2002,$H621)=$B$1,INDEX('Journal'!$E$1:$E$2002,$H621),INDEX('Journal'!$D$1:$D$2002,$H621))&amp;"")</f>
        <v/>
      </c>
      <c r="E621" s="20">
        <f>IF($H621="","",IF(INDEX('Journal'!$D$1:$D$2002,$H621)=$B$1,N(INDEX('Journal'!$G$1:$G$2002,$H621)),N(INDEX('Journal'!$F$1:$F$2002,$H621))))</f>
        <v/>
      </c>
      <c r="F621" s="20">
        <f>IF($H621="","",IF(INDEX('Journal'!$D$1:$D$2002,$H621)=$B$1,N(INDEX('Journal'!$F$1:$F$2002,$H621)),N(INDEX('Journal'!$G$1:$G$2002,$H621))))</f>
        <v/>
      </c>
      <c r="G621" s="20">
        <f>IF($H621="","",G620+E621-F621)</f>
        <v/>
      </c>
      <c r="H621" s="18">
        <f t="array" ref="H621">IF($B$1="","",IFERROR(_xlfn.AGGREGATE(15,6,ROW('Journal'!$A$3:$A$2002)/(('Journal'!$D$3:$D$2002=$B$1)+('Journal'!$E$3:$E$2002=$B$1))/('Journal'!$B$3:$B$2002&gt;=$B$2)/('Journal'!$B$3:$B$2002&lt;=$B$3),616),""))</f>
        <v/>
      </c>
    </row>
    <row r="622">
      <c r="A622" s="18">
        <f>IF($H622="","",INDEX('Journal'!$A$1:$A$2002,$H622))</f>
        <v/>
      </c>
      <c r="B622" s="21">
        <f>IF($H622="","",INDEX('Journal'!$B$1:$B$2002,$H622))</f>
        <v/>
      </c>
      <c r="C622" s="5">
        <f>IF($H622="","",INDEX('Journal'!$C$1:$C$2002,$H622)&amp;"")</f>
        <v/>
      </c>
      <c r="D622" s="5">
        <f>IF($H622="","",IF(INDEX('Journal'!$D$1:$D$2002,$H622)=$B$1,INDEX('Journal'!$E$1:$E$2002,$H622),INDEX('Journal'!$D$1:$D$2002,$H622))&amp;"")</f>
        <v/>
      </c>
      <c r="E622" s="20">
        <f>IF($H622="","",IF(INDEX('Journal'!$D$1:$D$2002,$H622)=$B$1,N(INDEX('Journal'!$G$1:$G$2002,$H622)),N(INDEX('Journal'!$F$1:$F$2002,$H622))))</f>
        <v/>
      </c>
      <c r="F622" s="20">
        <f>IF($H622="","",IF(INDEX('Journal'!$D$1:$D$2002,$H622)=$B$1,N(INDEX('Journal'!$F$1:$F$2002,$H622)),N(INDEX('Journal'!$G$1:$G$2002,$H622))))</f>
        <v/>
      </c>
      <c r="G622" s="20">
        <f>IF($H622="","",G621+E622-F622)</f>
        <v/>
      </c>
      <c r="H622" s="18">
        <f t="array" ref="H622">IF($B$1="","",IFERROR(_xlfn.AGGREGATE(15,6,ROW('Journal'!$A$3:$A$2002)/(('Journal'!$D$3:$D$2002=$B$1)+('Journal'!$E$3:$E$2002=$B$1))/('Journal'!$B$3:$B$2002&gt;=$B$2)/('Journal'!$B$3:$B$2002&lt;=$B$3),617),""))</f>
        <v/>
      </c>
    </row>
    <row r="623">
      <c r="A623" s="18">
        <f>IF($H623="","",INDEX('Journal'!$A$1:$A$2002,$H623))</f>
        <v/>
      </c>
      <c r="B623" s="21">
        <f>IF($H623="","",INDEX('Journal'!$B$1:$B$2002,$H623))</f>
        <v/>
      </c>
      <c r="C623" s="5">
        <f>IF($H623="","",INDEX('Journal'!$C$1:$C$2002,$H623)&amp;"")</f>
        <v/>
      </c>
      <c r="D623" s="5">
        <f>IF($H623="","",IF(INDEX('Journal'!$D$1:$D$2002,$H623)=$B$1,INDEX('Journal'!$E$1:$E$2002,$H623),INDEX('Journal'!$D$1:$D$2002,$H623))&amp;"")</f>
        <v/>
      </c>
      <c r="E623" s="20">
        <f>IF($H623="","",IF(INDEX('Journal'!$D$1:$D$2002,$H623)=$B$1,N(INDEX('Journal'!$G$1:$G$2002,$H623)),N(INDEX('Journal'!$F$1:$F$2002,$H623))))</f>
        <v/>
      </c>
      <c r="F623" s="20">
        <f>IF($H623="","",IF(INDEX('Journal'!$D$1:$D$2002,$H623)=$B$1,N(INDEX('Journal'!$F$1:$F$2002,$H623)),N(INDEX('Journal'!$G$1:$G$2002,$H623))))</f>
        <v/>
      </c>
      <c r="G623" s="20">
        <f>IF($H623="","",G622+E623-F623)</f>
        <v/>
      </c>
      <c r="H623" s="18">
        <f t="array" ref="H623">IF($B$1="","",IFERROR(_xlfn.AGGREGATE(15,6,ROW('Journal'!$A$3:$A$2002)/(('Journal'!$D$3:$D$2002=$B$1)+('Journal'!$E$3:$E$2002=$B$1))/('Journal'!$B$3:$B$2002&gt;=$B$2)/('Journal'!$B$3:$B$2002&lt;=$B$3),618),""))</f>
        <v/>
      </c>
    </row>
    <row r="624">
      <c r="A624" s="18">
        <f>IF($H624="","",INDEX('Journal'!$A$1:$A$2002,$H624))</f>
        <v/>
      </c>
      <c r="B624" s="21">
        <f>IF($H624="","",INDEX('Journal'!$B$1:$B$2002,$H624))</f>
        <v/>
      </c>
      <c r="C624" s="5">
        <f>IF($H624="","",INDEX('Journal'!$C$1:$C$2002,$H624)&amp;"")</f>
        <v/>
      </c>
      <c r="D624" s="5">
        <f>IF($H624="","",IF(INDEX('Journal'!$D$1:$D$2002,$H624)=$B$1,INDEX('Journal'!$E$1:$E$2002,$H624),INDEX('Journal'!$D$1:$D$2002,$H624))&amp;"")</f>
        <v/>
      </c>
      <c r="E624" s="20">
        <f>IF($H624="","",IF(INDEX('Journal'!$D$1:$D$2002,$H624)=$B$1,N(INDEX('Journal'!$G$1:$G$2002,$H624)),N(INDEX('Journal'!$F$1:$F$2002,$H624))))</f>
        <v/>
      </c>
      <c r="F624" s="20">
        <f>IF($H624="","",IF(INDEX('Journal'!$D$1:$D$2002,$H624)=$B$1,N(INDEX('Journal'!$F$1:$F$2002,$H624)),N(INDEX('Journal'!$G$1:$G$2002,$H624))))</f>
        <v/>
      </c>
      <c r="G624" s="20">
        <f>IF($H624="","",G623+E624-F624)</f>
        <v/>
      </c>
      <c r="H624" s="18">
        <f t="array" ref="H624">IF($B$1="","",IFERROR(_xlfn.AGGREGATE(15,6,ROW('Journal'!$A$3:$A$2002)/(('Journal'!$D$3:$D$2002=$B$1)+('Journal'!$E$3:$E$2002=$B$1))/('Journal'!$B$3:$B$2002&gt;=$B$2)/('Journal'!$B$3:$B$2002&lt;=$B$3),619),""))</f>
        <v/>
      </c>
    </row>
    <row r="625">
      <c r="A625" s="18">
        <f>IF($H625="","",INDEX('Journal'!$A$1:$A$2002,$H625))</f>
        <v/>
      </c>
      <c r="B625" s="21">
        <f>IF($H625="","",INDEX('Journal'!$B$1:$B$2002,$H625))</f>
        <v/>
      </c>
      <c r="C625" s="5">
        <f>IF($H625="","",INDEX('Journal'!$C$1:$C$2002,$H625)&amp;"")</f>
        <v/>
      </c>
      <c r="D625" s="5">
        <f>IF($H625="","",IF(INDEX('Journal'!$D$1:$D$2002,$H625)=$B$1,INDEX('Journal'!$E$1:$E$2002,$H625),INDEX('Journal'!$D$1:$D$2002,$H625))&amp;"")</f>
        <v/>
      </c>
      <c r="E625" s="20">
        <f>IF($H625="","",IF(INDEX('Journal'!$D$1:$D$2002,$H625)=$B$1,N(INDEX('Journal'!$G$1:$G$2002,$H625)),N(INDEX('Journal'!$F$1:$F$2002,$H625))))</f>
        <v/>
      </c>
      <c r="F625" s="20">
        <f>IF($H625="","",IF(INDEX('Journal'!$D$1:$D$2002,$H625)=$B$1,N(INDEX('Journal'!$F$1:$F$2002,$H625)),N(INDEX('Journal'!$G$1:$G$2002,$H625))))</f>
        <v/>
      </c>
      <c r="G625" s="20">
        <f>IF($H625="","",G624+E625-F625)</f>
        <v/>
      </c>
      <c r="H625" s="18">
        <f t="array" ref="H625">IF($B$1="","",IFERROR(_xlfn.AGGREGATE(15,6,ROW('Journal'!$A$3:$A$2002)/(('Journal'!$D$3:$D$2002=$B$1)+('Journal'!$E$3:$E$2002=$B$1))/('Journal'!$B$3:$B$2002&gt;=$B$2)/('Journal'!$B$3:$B$2002&lt;=$B$3),620),""))</f>
        <v/>
      </c>
    </row>
    <row r="626">
      <c r="A626" s="18">
        <f>IF($H626="","",INDEX('Journal'!$A$1:$A$2002,$H626))</f>
        <v/>
      </c>
      <c r="B626" s="21">
        <f>IF($H626="","",INDEX('Journal'!$B$1:$B$2002,$H626))</f>
        <v/>
      </c>
      <c r="C626" s="5">
        <f>IF($H626="","",INDEX('Journal'!$C$1:$C$2002,$H626)&amp;"")</f>
        <v/>
      </c>
      <c r="D626" s="5">
        <f>IF($H626="","",IF(INDEX('Journal'!$D$1:$D$2002,$H626)=$B$1,INDEX('Journal'!$E$1:$E$2002,$H626),INDEX('Journal'!$D$1:$D$2002,$H626))&amp;"")</f>
        <v/>
      </c>
      <c r="E626" s="20">
        <f>IF($H626="","",IF(INDEX('Journal'!$D$1:$D$2002,$H626)=$B$1,N(INDEX('Journal'!$G$1:$G$2002,$H626)),N(INDEX('Journal'!$F$1:$F$2002,$H626))))</f>
        <v/>
      </c>
      <c r="F626" s="20">
        <f>IF($H626="","",IF(INDEX('Journal'!$D$1:$D$2002,$H626)=$B$1,N(INDEX('Journal'!$F$1:$F$2002,$H626)),N(INDEX('Journal'!$G$1:$G$2002,$H626))))</f>
        <v/>
      </c>
      <c r="G626" s="20">
        <f>IF($H626="","",G625+E626-F626)</f>
        <v/>
      </c>
      <c r="H626" s="18">
        <f t="array" ref="H626">IF($B$1="","",IFERROR(_xlfn.AGGREGATE(15,6,ROW('Journal'!$A$3:$A$2002)/(('Journal'!$D$3:$D$2002=$B$1)+('Journal'!$E$3:$E$2002=$B$1))/('Journal'!$B$3:$B$2002&gt;=$B$2)/('Journal'!$B$3:$B$2002&lt;=$B$3),621),""))</f>
        <v/>
      </c>
    </row>
    <row r="627">
      <c r="A627" s="18">
        <f>IF($H627="","",INDEX('Journal'!$A$1:$A$2002,$H627))</f>
        <v/>
      </c>
      <c r="B627" s="21">
        <f>IF($H627="","",INDEX('Journal'!$B$1:$B$2002,$H627))</f>
        <v/>
      </c>
      <c r="C627" s="5">
        <f>IF($H627="","",INDEX('Journal'!$C$1:$C$2002,$H627)&amp;"")</f>
        <v/>
      </c>
      <c r="D627" s="5">
        <f>IF($H627="","",IF(INDEX('Journal'!$D$1:$D$2002,$H627)=$B$1,INDEX('Journal'!$E$1:$E$2002,$H627),INDEX('Journal'!$D$1:$D$2002,$H627))&amp;"")</f>
        <v/>
      </c>
      <c r="E627" s="20">
        <f>IF($H627="","",IF(INDEX('Journal'!$D$1:$D$2002,$H627)=$B$1,N(INDEX('Journal'!$G$1:$G$2002,$H627)),N(INDEX('Journal'!$F$1:$F$2002,$H627))))</f>
        <v/>
      </c>
      <c r="F627" s="20">
        <f>IF($H627="","",IF(INDEX('Journal'!$D$1:$D$2002,$H627)=$B$1,N(INDEX('Journal'!$F$1:$F$2002,$H627)),N(INDEX('Journal'!$G$1:$G$2002,$H627))))</f>
        <v/>
      </c>
      <c r="G627" s="20">
        <f>IF($H627="","",G626+E627-F627)</f>
        <v/>
      </c>
      <c r="H627" s="18">
        <f t="array" ref="H627">IF($B$1="","",IFERROR(_xlfn.AGGREGATE(15,6,ROW('Journal'!$A$3:$A$2002)/(('Journal'!$D$3:$D$2002=$B$1)+('Journal'!$E$3:$E$2002=$B$1))/('Journal'!$B$3:$B$2002&gt;=$B$2)/('Journal'!$B$3:$B$2002&lt;=$B$3),622),""))</f>
        <v/>
      </c>
    </row>
    <row r="628">
      <c r="A628" s="18">
        <f>IF($H628="","",INDEX('Journal'!$A$1:$A$2002,$H628))</f>
        <v/>
      </c>
      <c r="B628" s="21">
        <f>IF($H628="","",INDEX('Journal'!$B$1:$B$2002,$H628))</f>
        <v/>
      </c>
      <c r="C628" s="5">
        <f>IF($H628="","",INDEX('Journal'!$C$1:$C$2002,$H628)&amp;"")</f>
        <v/>
      </c>
      <c r="D628" s="5">
        <f>IF($H628="","",IF(INDEX('Journal'!$D$1:$D$2002,$H628)=$B$1,INDEX('Journal'!$E$1:$E$2002,$H628),INDEX('Journal'!$D$1:$D$2002,$H628))&amp;"")</f>
        <v/>
      </c>
      <c r="E628" s="20">
        <f>IF($H628="","",IF(INDEX('Journal'!$D$1:$D$2002,$H628)=$B$1,N(INDEX('Journal'!$G$1:$G$2002,$H628)),N(INDEX('Journal'!$F$1:$F$2002,$H628))))</f>
        <v/>
      </c>
      <c r="F628" s="20">
        <f>IF($H628="","",IF(INDEX('Journal'!$D$1:$D$2002,$H628)=$B$1,N(INDEX('Journal'!$F$1:$F$2002,$H628)),N(INDEX('Journal'!$G$1:$G$2002,$H628))))</f>
        <v/>
      </c>
      <c r="G628" s="20">
        <f>IF($H628="","",G627+E628-F628)</f>
        <v/>
      </c>
      <c r="H628" s="18">
        <f t="array" ref="H628">IF($B$1="","",IFERROR(_xlfn.AGGREGATE(15,6,ROW('Journal'!$A$3:$A$2002)/(('Journal'!$D$3:$D$2002=$B$1)+('Journal'!$E$3:$E$2002=$B$1))/('Journal'!$B$3:$B$2002&gt;=$B$2)/('Journal'!$B$3:$B$2002&lt;=$B$3),623),""))</f>
        <v/>
      </c>
    </row>
    <row r="629">
      <c r="A629" s="18">
        <f>IF($H629="","",INDEX('Journal'!$A$1:$A$2002,$H629))</f>
        <v/>
      </c>
      <c r="B629" s="21">
        <f>IF($H629="","",INDEX('Journal'!$B$1:$B$2002,$H629))</f>
        <v/>
      </c>
      <c r="C629" s="5">
        <f>IF($H629="","",INDEX('Journal'!$C$1:$C$2002,$H629)&amp;"")</f>
        <v/>
      </c>
      <c r="D629" s="5">
        <f>IF($H629="","",IF(INDEX('Journal'!$D$1:$D$2002,$H629)=$B$1,INDEX('Journal'!$E$1:$E$2002,$H629),INDEX('Journal'!$D$1:$D$2002,$H629))&amp;"")</f>
        <v/>
      </c>
      <c r="E629" s="20">
        <f>IF($H629="","",IF(INDEX('Journal'!$D$1:$D$2002,$H629)=$B$1,N(INDEX('Journal'!$G$1:$G$2002,$H629)),N(INDEX('Journal'!$F$1:$F$2002,$H629))))</f>
        <v/>
      </c>
      <c r="F629" s="20">
        <f>IF($H629="","",IF(INDEX('Journal'!$D$1:$D$2002,$H629)=$B$1,N(INDEX('Journal'!$F$1:$F$2002,$H629)),N(INDEX('Journal'!$G$1:$G$2002,$H629))))</f>
        <v/>
      </c>
      <c r="G629" s="20">
        <f>IF($H629="","",G628+E629-F629)</f>
        <v/>
      </c>
      <c r="H629" s="18">
        <f t="array" ref="H629">IF($B$1="","",IFERROR(_xlfn.AGGREGATE(15,6,ROW('Journal'!$A$3:$A$2002)/(('Journal'!$D$3:$D$2002=$B$1)+('Journal'!$E$3:$E$2002=$B$1))/('Journal'!$B$3:$B$2002&gt;=$B$2)/('Journal'!$B$3:$B$2002&lt;=$B$3),624),""))</f>
        <v/>
      </c>
    </row>
    <row r="630">
      <c r="A630" s="18">
        <f>IF($H630="","",INDEX('Journal'!$A$1:$A$2002,$H630))</f>
        <v/>
      </c>
      <c r="B630" s="21">
        <f>IF($H630="","",INDEX('Journal'!$B$1:$B$2002,$H630))</f>
        <v/>
      </c>
      <c r="C630" s="5">
        <f>IF($H630="","",INDEX('Journal'!$C$1:$C$2002,$H630)&amp;"")</f>
        <v/>
      </c>
      <c r="D630" s="5">
        <f>IF($H630="","",IF(INDEX('Journal'!$D$1:$D$2002,$H630)=$B$1,INDEX('Journal'!$E$1:$E$2002,$H630),INDEX('Journal'!$D$1:$D$2002,$H630))&amp;"")</f>
        <v/>
      </c>
      <c r="E630" s="20">
        <f>IF($H630="","",IF(INDEX('Journal'!$D$1:$D$2002,$H630)=$B$1,N(INDEX('Journal'!$G$1:$G$2002,$H630)),N(INDEX('Journal'!$F$1:$F$2002,$H630))))</f>
        <v/>
      </c>
      <c r="F630" s="20">
        <f>IF($H630="","",IF(INDEX('Journal'!$D$1:$D$2002,$H630)=$B$1,N(INDEX('Journal'!$F$1:$F$2002,$H630)),N(INDEX('Journal'!$G$1:$G$2002,$H630))))</f>
        <v/>
      </c>
      <c r="G630" s="20">
        <f>IF($H630="","",G629+E630-F630)</f>
        <v/>
      </c>
      <c r="H630" s="18">
        <f t="array" ref="H630">IF($B$1="","",IFERROR(_xlfn.AGGREGATE(15,6,ROW('Journal'!$A$3:$A$2002)/(('Journal'!$D$3:$D$2002=$B$1)+('Journal'!$E$3:$E$2002=$B$1))/('Journal'!$B$3:$B$2002&gt;=$B$2)/('Journal'!$B$3:$B$2002&lt;=$B$3),625),""))</f>
        <v/>
      </c>
    </row>
    <row r="631">
      <c r="A631" s="18">
        <f>IF($H631="","",INDEX('Journal'!$A$1:$A$2002,$H631))</f>
        <v/>
      </c>
      <c r="B631" s="21">
        <f>IF($H631="","",INDEX('Journal'!$B$1:$B$2002,$H631))</f>
        <v/>
      </c>
      <c r="C631" s="5">
        <f>IF($H631="","",INDEX('Journal'!$C$1:$C$2002,$H631)&amp;"")</f>
        <v/>
      </c>
      <c r="D631" s="5">
        <f>IF($H631="","",IF(INDEX('Journal'!$D$1:$D$2002,$H631)=$B$1,INDEX('Journal'!$E$1:$E$2002,$H631),INDEX('Journal'!$D$1:$D$2002,$H631))&amp;"")</f>
        <v/>
      </c>
      <c r="E631" s="20">
        <f>IF($H631="","",IF(INDEX('Journal'!$D$1:$D$2002,$H631)=$B$1,N(INDEX('Journal'!$G$1:$G$2002,$H631)),N(INDEX('Journal'!$F$1:$F$2002,$H631))))</f>
        <v/>
      </c>
      <c r="F631" s="20">
        <f>IF($H631="","",IF(INDEX('Journal'!$D$1:$D$2002,$H631)=$B$1,N(INDEX('Journal'!$F$1:$F$2002,$H631)),N(INDEX('Journal'!$G$1:$G$2002,$H631))))</f>
        <v/>
      </c>
      <c r="G631" s="20">
        <f>IF($H631="","",G630+E631-F631)</f>
        <v/>
      </c>
      <c r="H631" s="18">
        <f t="array" ref="H631">IF($B$1="","",IFERROR(_xlfn.AGGREGATE(15,6,ROW('Journal'!$A$3:$A$2002)/(('Journal'!$D$3:$D$2002=$B$1)+('Journal'!$E$3:$E$2002=$B$1))/('Journal'!$B$3:$B$2002&gt;=$B$2)/('Journal'!$B$3:$B$2002&lt;=$B$3),626),""))</f>
        <v/>
      </c>
    </row>
    <row r="632">
      <c r="A632" s="18">
        <f>IF($H632="","",INDEX('Journal'!$A$1:$A$2002,$H632))</f>
        <v/>
      </c>
      <c r="B632" s="21">
        <f>IF($H632="","",INDEX('Journal'!$B$1:$B$2002,$H632))</f>
        <v/>
      </c>
      <c r="C632" s="5">
        <f>IF($H632="","",INDEX('Journal'!$C$1:$C$2002,$H632)&amp;"")</f>
        <v/>
      </c>
      <c r="D632" s="5">
        <f>IF($H632="","",IF(INDEX('Journal'!$D$1:$D$2002,$H632)=$B$1,INDEX('Journal'!$E$1:$E$2002,$H632),INDEX('Journal'!$D$1:$D$2002,$H632))&amp;"")</f>
        <v/>
      </c>
      <c r="E632" s="20">
        <f>IF($H632="","",IF(INDEX('Journal'!$D$1:$D$2002,$H632)=$B$1,N(INDEX('Journal'!$G$1:$G$2002,$H632)),N(INDEX('Journal'!$F$1:$F$2002,$H632))))</f>
        <v/>
      </c>
      <c r="F632" s="20">
        <f>IF($H632="","",IF(INDEX('Journal'!$D$1:$D$2002,$H632)=$B$1,N(INDEX('Journal'!$F$1:$F$2002,$H632)),N(INDEX('Journal'!$G$1:$G$2002,$H632))))</f>
        <v/>
      </c>
      <c r="G632" s="20">
        <f>IF($H632="","",G631+E632-F632)</f>
        <v/>
      </c>
      <c r="H632" s="18">
        <f t="array" ref="H632">IF($B$1="","",IFERROR(_xlfn.AGGREGATE(15,6,ROW('Journal'!$A$3:$A$2002)/(('Journal'!$D$3:$D$2002=$B$1)+('Journal'!$E$3:$E$2002=$B$1))/('Journal'!$B$3:$B$2002&gt;=$B$2)/('Journal'!$B$3:$B$2002&lt;=$B$3),627),""))</f>
        <v/>
      </c>
    </row>
    <row r="633">
      <c r="A633" s="18">
        <f>IF($H633="","",INDEX('Journal'!$A$1:$A$2002,$H633))</f>
        <v/>
      </c>
      <c r="B633" s="21">
        <f>IF($H633="","",INDEX('Journal'!$B$1:$B$2002,$H633))</f>
        <v/>
      </c>
      <c r="C633" s="5">
        <f>IF($H633="","",INDEX('Journal'!$C$1:$C$2002,$H633)&amp;"")</f>
        <v/>
      </c>
      <c r="D633" s="5">
        <f>IF($H633="","",IF(INDEX('Journal'!$D$1:$D$2002,$H633)=$B$1,INDEX('Journal'!$E$1:$E$2002,$H633),INDEX('Journal'!$D$1:$D$2002,$H633))&amp;"")</f>
        <v/>
      </c>
      <c r="E633" s="20">
        <f>IF($H633="","",IF(INDEX('Journal'!$D$1:$D$2002,$H633)=$B$1,N(INDEX('Journal'!$G$1:$G$2002,$H633)),N(INDEX('Journal'!$F$1:$F$2002,$H633))))</f>
        <v/>
      </c>
      <c r="F633" s="20">
        <f>IF($H633="","",IF(INDEX('Journal'!$D$1:$D$2002,$H633)=$B$1,N(INDEX('Journal'!$F$1:$F$2002,$H633)),N(INDEX('Journal'!$G$1:$G$2002,$H633))))</f>
        <v/>
      </c>
      <c r="G633" s="20">
        <f>IF($H633="","",G632+E633-F633)</f>
        <v/>
      </c>
      <c r="H633" s="18">
        <f t="array" ref="H633">IF($B$1="","",IFERROR(_xlfn.AGGREGATE(15,6,ROW('Journal'!$A$3:$A$2002)/(('Journal'!$D$3:$D$2002=$B$1)+('Journal'!$E$3:$E$2002=$B$1))/('Journal'!$B$3:$B$2002&gt;=$B$2)/('Journal'!$B$3:$B$2002&lt;=$B$3),628),""))</f>
        <v/>
      </c>
    </row>
    <row r="634">
      <c r="A634" s="18">
        <f>IF($H634="","",INDEX('Journal'!$A$1:$A$2002,$H634))</f>
        <v/>
      </c>
      <c r="B634" s="21">
        <f>IF($H634="","",INDEX('Journal'!$B$1:$B$2002,$H634))</f>
        <v/>
      </c>
      <c r="C634" s="5">
        <f>IF($H634="","",INDEX('Journal'!$C$1:$C$2002,$H634)&amp;"")</f>
        <v/>
      </c>
      <c r="D634" s="5">
        <f>IF($H634="","",IF(INDEX('Journal'!$D$1:$D$2002,$H634)=$B$1,INDEX('Journal'!$E$1:$E$2002,$H634),INDEX('Journal'!$D$1:$D$2002,$H634))&amp;"")</f>
        <v/>
      </c>
      <c r="E634" s="20">
        <f>IF($H634="","",IF(INDEX('Journal'!$D$1:$D$2002,$H634)=$B$1,N(INDEX('Journal'!$G$1:$G$2002,$H634)),N(INDEX('Journal'!$F$1:$F$2002,$H634))))</f>
        <v/>
      </c>
      <c r="F634" s="20">
        <f>IF($H634="","",IF(INDEX('Journal'!$D$1:$D$2002,$H634)=$B$1,N(INDEX('Journal'!$F$1:$F$2002,$H634)),N(INDEX('Journal'!$G$1:$G$2002,$H634))))</f>
        <v/>
      </c>
      <c r="G634" s="20">
        <f>IF($H634="","",G633+E634-F634)</f>
        <v/>
      </c>
      <c r="H634" s="18">
        <f t="array" ref="H634">IF($B$1="","",IFERROR(_xlfn.AGGREGATE(15,6,ROW('Journal'!$A$3:$A$2002)/(('Journal'!$D$3:$D$2002=$B$1)+('Journal'!$E$3:$E$2002=$B$1))/('Journal'!$B$3:$B$2002&gt;=$B$2)/('Journal'!$B$3:$B$2002&lt;=$B$3),629),""))</f>
        <v/>
      </c>
    </row>
    <row r="635">
      <c r="A635" s="18">
        <f>IF($H635="","",INDEX('Journal'!$A$1:$A$2002,$H635))</f>
        <v/>
      </c>
      <c r="B635" s="21">
        <f>IF($H635="","",INDEX('Journal'!$B$1:$B$2002,$H635))</f>
        <v/>
      </c>
      <c r="C635" s="5">
        <f>IF($H635="","",INDEX('Journal'!$C$1:$C$2002,$H635)&amp;"")</f>
        <v/>
      </c>
      <c r="D635" s="5">
        <f>IF($H635="","",IF(INDEX('Journal'!$D$1:$D$2002,$H635)=$B$1,INDEX('Journal'!$E$1:$E$2002,$H635),INDEX('Journal'!$D$1:$D$2002,$H635))&amp;"")</f>
        <v/>
      </c>
      <c r="E635" s="20">
        <f>IF($H635="","",IF(INDEX('Journal'!$D$1:$D$2002,$H635)=$B$1,N(INDEX('Journal'!$G$1:$G$2002,$H635)),N(INDEX('Journal'!$F$1:$F$2002,$H635))))</f>
        <v/>
      </c>
      <c r="F635" s="20">
        <f>IF($H635="","",IF(INDEX('Journal'!$D$1:$D$2002,$H635)=$B$1,N(INDEX('Journal'!$F$1:$F$2002,$H635)),N(INDEX('Journal'!$G$1:$G$2002,$H635))))</f>
        <v/>
      </c>
      <c r="G635" s="20">
        <f>IF($H635="","",G634+E635-F635)</f>
        <v/>
      </c>
      <c r="H635" s="18">
        <f t="array" ref="H635">IF($B$1="","",IFERROR(_xlfn.AGGREGATE(15,6,ROW('Journal'!$A$3:$A$2002)/(('Journal'!$D$3:$D$2002=$B$1)+('Journal'!$E$3:$E$2002=$B$1))/('Journal'!$B$3:$B$2002&gt;=$B$2)/('Journal'!$B$3:$B$2002&lt;=$B$3),630),""))</f>
        <v/>
      </c>
    </row>
    <row r="636">
      <c r="A636" s="18">
        <f>IF($H636="","",INDEX('Journal'!$A$1:$A$2002,$H636))</f>
        <v/>
      </c>
      <c r="B636" s="21">
        <f>IF($H636="","",INDEX('Journal'!$B$1:$B$2002,$H636))</f>
        <v/>
      </c>
      <c r="C636" s="5">
        <f>IF($H636="","",INDEX('Journal'!$C$1:$C$2002,$H636)&amp;"")</f>
        <v/>
      </c>
      <c r="D636" s="5">
        <f>IF($H636="","",IF(INDEX('Journal'!$D$1:$D$2002,$H636)=$B$1,INDEX('Journal'!$E$1:$E$2002,$H636),INDEX('Journal'!$D$1:$D$2002,$H636))&amp;"")</f>
        <v/>
      </c>
      <c r="E636" s="20">
        <f>IF($H636="","",IF(INDEX('Journal'!$D$1:$D$2002,$H636)=$B$1,N(INDEX('Journal'!$G$1:$G$2002,$H636)),N(INDEX('Journal'!$F$1:$F$2002,$H636))))</f>
        <v/>
      </c>
      <c r="F636" s="20">
        <f>IF($H636="","",IF(INDEX('Journal'!$D$1:$D$2002,$H636)=$B$1,N(INDEX('Journal'!$F$1:$F$2002,$H636)),N(INDEX('Journal'!$G$1:$G$2002,$H636))))</f>
        <v/>
      </c>
      <c r="G636" s="20">
        <f>IF($H636="","",G635+E636-F636)</f>
        <v/>
      </c>
      <c r="H636" s="18">
        <f t="array" ref="H636">IF($B$1="","",IFERROR(_xlfn.AGGREGATE(15,6,ROW('Journal'!$A$3:$A$2002)/(('Journal'!$D$3:$D$2002=$B$1)+('Journal'!$E$3:$E$2002=$B$1))/('Journal'!$B$3:$B$2002&gt;=$B$2)/('Journal'!$B$3:$B$2002&lt;=$B$3),631),""))</f>
        <v/>
      </c>
    </row>
    <row r="637">
      <c r="A637" s="18">
        <f>IF($H637="","",INDEX('Journal'!$A$1:$A$2002,$H637))</f>
        <v/>
      </c>
      <c r="B637" s="21">
        <f>IF($H637="","",INDEX('Journal'!$B$1:$B$2002,$H637))</f>
        <v/>
      </c>
      <c r="C637" s="5">
        <f>IF($H637="","",INDEX('Journal'!$C$1:$C$2002,$H637)&amp;"")</f>
        <v/>
      </c>
      <c r="D637" s="5">
        <f>IF($H637="","",IF(INDEX('Journal'!$D$1:$D$2002,$H637)=$B$1,INDEX('Journal'!$E$1:$E$2002,$H637),INDEX('Journal'!$D$1:$D$2002,$H637))&amp;"")</f>
        <v/>
      </c>
      <c r="E637" s="20">
        <f>IF($H637="","",IF(INDEX('Journal'!$D$1:$D$2002,$H637)=$B$1,N(INDEX('Journal'!$G$1:$G$2002,$H637)),N(INDEX('Journal'!$F$1:$F$2002,$H637))))</f>
        <v/>
      </c>
      <c r="F637" s="20">
        <f>IF($H637="","",IF(INDEX('Journal'!$D$1:$D$2002,$H637)=$B$1,N(INDEX('Journal'!$F$1:$F$2002,$H637)),N(INDEX('Journal'!$G$1:$G$2002,$H637))))</f>
        <v/>
      </c>
      <c r="G637" s="20">
        <f>IF($H637="","",G636+E637-F637)</f>
        <v/>
      </c>
      <c r="H637" s="18">
        <f t="array" ref="H637">IF($B$1="","",IFERROR(_xlfn.AGGREGATE(15,6,ROW('Journal'!$A$3:$A$2002)/(('Journal'!$D$3:$D$2002=$B$1)+('Journal'!$E$3:$E$2002=$B$1))/('Journal'!$B$3:$B$2002&gt;=$B$2)/('Journal'!$B$3:$B$2002&lt;=$B$3),632),""))</f>
        <v/>
      </c>
    </row>
    <row r="638">
      <c r="A638" s="18">
        <f>IF($H638="","",INDEX('Journal'!$A$1:$A$2002,$H638))</f>
        <v/>
      </c>
      <c r="B638" s="21">
        <f>IF($H638="","",INDEX('Journal'!$B$1:$B$2002,$H638))</f>
        <v/>
      </c>
      <c r="C638" s="5">
        <f>IF($H638="","",INDEX('Journal'!$C$1:$C$2002,$H638)&amp;"")</f>
        <v/>
      </c>
      <c r="D638" s="5">
        <f>IF($H638="","",IF(INDEX('Journal'!$D$1:$D$2002,$H638)=$B$1,INDEX('Journal'!$E$1:$E$2002,$H638),INDEX('Journal'!$D$1:$D$2002,$H638))&amp;"")</f>
        <v/>
      </c>
      <c r="E638" s="20">
        <f>IF($H638="","",IF(INDEX('Journal'!$D$1:$D$2002,$H638)=$B$1,N(INDEX('Journal'!$G$1:$G$2002,$H638)),N(INDEX('Journal'!$F$1:$F$2002,$H638))))</f>
        <v/>
      </c>
      <c r="F638" s="20">
        <f>IF($H638="","",IF(INDEX('Journal'!$D$1:$D$2002,$H638)=$B$1,N(INDEX('Journal'!$F$1:$F$2002,$H638)),N(INDEX('Journal'!$G$1:$G$2002,$H638))))</f>
        <v/>
      </c>
      <c r="G638" s="20">
        <f>IF($H638="","",G637+E638-F638)</f>
        <v/>
      </c>
      <c r="H638" s="18">
        <f t="array" ref="H638">IF($B$1="","",IFERROR(_xlfn.AGGREGATE(15,6,ROW('Journal'!$A$3:$A$2002)/(('Journal'!$D$3:$D$2002=$B$1)+('Journal'!$E$3:$E$2002=$B$1))/('Journal'!$B$3:$B$2002&gt;=$B$2)/('Journal'!$B$3:$B$2002&lt;=$B$3),633),""))</f>
        <v/>
      </c>
    </row>
    <row r="639">
      <c r="A639" s="18">
        <f>IF($H639="","",INDEX('Journal'!$A$1:$A$2002,$H639))</f>
        <v/>
      </c>
      <c r="B639" s="21">
        <f>IF($H639="","",INDEX('Journal'!$B$1:$B$2002,$H639))</f>
        <v/>
      </c>
      <c r="C639" s="5">
        <f>IF($H639="","",INDEX('Journal'!$C$1:$C$2002,$H639)&amp;"")</f>
        <v/>
      </c>
      <c r="D639" s="5">
        <f>IF($H639="","",IF(INDEX('Journal'!$D$1:$D$2002,$H639)=$B$1,INDEX('Journal'!$E$1:$E$2002,$H639),INDEX('Journal'!$D$1:$D$2002,$H639))&amp;"")</f>
        <v/>
      </c>
      <c r="E639" s="20">
        <f>IF($H639="","",IF(INDEX('Journal'!$D$1:$D$2002,$H639)=$B$1,N(INDEX('Journal'!$G$1:$G$2002,$H639)),N(INDEX('Journal'!$F$1:$F$2002,$H639))))</f>
        <v/>
      </c>
      <c r="F639" s="20">
        <f>IF($H639="","",IF(INDEX('Journal'!$D$1:$D$2002,$H639)=$B$1,N(INDEX('Journal'!$F$1:$F$2002,$H639)),N(INDEX('Journal'!$G$1:$G$2002,$H639))))</f>
        <v/>
      </c>
      <c r="G639" s="20">
        <f>IF($H639="","",G638+E639-F639)</f>
        <v/>
      </c>
      <c r="H639" s="18">
        <f t="array" ref="H639">IF($B$1="","",IFERROR(_xlfn.AGGREGATE(15,6,ROW('Journal'!$A$3:$A$2002)/(('Journal'!$D$3:$D$2002=$B$1)+('Journal'!$E$3:$E$2002=$B$1))/('Journal'!$B$3:$B$2002&gt;=$B$2)/('Journal'!$B$3:$B$2002&lt;=$B$3),634),""))</f>
        <v/>
      </c>
    </row>
    <row r="640">
      <c r="A640" s="18">
        <f>IF($H640="","",INDEX('Journal'!$A$1:$A$2002,$H640))</f>
        <v/>
      </c>
      <c r="B640" s="21">
        <f>IF($H640="","",INDEX('Journal'!$B$1:$B$2002,$H640))</f>
        <v/>
      </c>
      <c r="C640" s="5">
        <f>IF($H640="","",INDEX('Journal'!$C$1:$C$2002,$H640)&amp;"")</f>
        <v/>
      </c>
      <c r="D640" s="5">
        <f>IF($H640="","",IF(INDEX('Journal'!$D$1:$D$2002,$H640)=$B$1,INDEX('Journal'!$E$1:$E$2002,$H640),INDEX('Journal'!$D$1:$D$2002,$H640))&amp;"")</f>
        <v/>
      </c>
      <c r="E640" s="20">
        <f>IF($H640="","",IF(INDEX('Journal'!$D$1:$D$2002,$H640)=$B$1,N(INDEX('Journal'!$G$1:$G$2002,$H640)),N(INDEX('Journal'!$F$1:$F$2002,$H640))))</f>
        <v/>
      </c>
      <c r="F640" s="20">
        <f>IF($H640="","",IF(INDEX('Journal'!$D$1:$D$2002,$H640)=$B$1,N(INDEX('Journal'!$F$1:$F$2002,$H640)),N(INDEX('Journal'!$G$1:$G$2002,$H640))))</f>
        <v/>
      </c>
      <c r="G640" s="20">
        <f>IF($H640="","",G639+E640-F640)</f>
        <v/>
      </c>
      <c r="H640" s="18">
        <f t="array" ref="H640">IF($B$1="","",IFERROR(_xlfn.AGGREGATE(15,6,ROW('Journal'!$A$3:$A$2002)/(('Journal'!$D$3:$D$2002=$B$1)+('Journal'!$E$3:$E$2002=$B$1))/('Journal'!$B$3:$B$2002&gt;=$B$2)/('Journal'!$B$3:$B$2002&lt;=$B$3),635),""))</f>
        <v/>
      </c>
    </row>
    <row r="641">
      <c r="A641" s="18">
        <f>IF($H641="","",INDEX('Journal'!$A$1:$A$2002,$H641))</f>
        <v/>
      </c>
      <c r="B641" s="21">
        <f>IF($H641="","",INDEX('Journal'!$B$1:$B$2002,$H641))</f>
        <v/>
      </c>
      <c r="C641" s="5">
        <f>IF($H641="","",INDEX('Journal'!$C$1:$C$2002,$H641)&amp;"")</f>
        <v/>
      </c>
      <c r="D641" s="5">
        <f>IF($H641="","",IF(INDEX('Journal'!$D$1:$D$2002,$H641)=$B$1,INDEX('Journal'!$E$1:$E$2002,$H641),INDEX('Journal'!$D$1:$D$2002,$H641))&amp;"")</f>
        <v/>
      </c>
      <c r="E641" s="20">
        <f>IF($H641="","",IF(INDEX('Journal'!$D$1:$D$2002,$H641)=$B$1,N(INDEX('Journal'!$G$1:$G$2002,$H641)),N(INDEX('Journal'!$F$1:$F$2002,$H641))))</f>
        <v/>
      </c>
      <c r="F641" s="20">
        <f>IF($H641="","",IF(INDEX('Journal'!$D$1:$D$2002,$H641)=$B$1,N(INDEX('Journal'!$F$1:$F$2002,$H641)),N(INDEX('Journal'!$G$1:$G$2002,$H641))))</f>
        <v/>
      </c>
      <c r="G641" s="20">
        <f>IF($H641="","",G640+E641-F641)</f>
        <v/>
      </c>
      <c r="H641" s="18">
        <f t="array" ref="H641">IF($B$1="","",IFERROR(_xlfn.AGGREGATE(15,6,ROW('Journal'!$A$3:$A$2002)/(('Journal'!$D$3:$D$2002=$B$1)+('Journal'!$E$3:$E$2002=$B$1))/('Journal'!$B$3:$B$2002&gt;=$B$2)/('Journal'!$B$3:$B$2002&lt;=$B$3),636),""))</f>
        <v/>
      </c>
    </row>
    <row r="642">
      <c r="A642" s="18">
        <f>IF($H642="","",INDEX('Journal'!$A$1:$A$2002,$H642))</f>
        <v/>
      </c>
      <c r="B642" s="21">
        <f>IF($H642="","",INDEX('Journal'!$B$1:$B$2002,$H642))</f>
        <v/>
      </c>
      <c r="C642" s="5">
        <f>IF($H642="","",INDEX('Journal'!$C$1:$C$2002,$H642)&amp;"")</f>
        <v/>
      </c>
      <c r="D642" s="5">
        <f>IF($H642="","",IF(INDEX('Journal'!$D$1:$D$2002,$H642)=$B$1,INDEX('Journal'!$E$1:$E$2002,$H642),INDEX('Journal'!$D$1:$D$2002,$H642))&amp;"")</f>
        <v/>
      </c>
      <c r="E642" s="20">
        <f>IF($H642="","",IF(INDEX('Journal'!$D$1:$D$2002,$H642)=$B$1,N(INDEX('Journal'!$G$1:$G$2002,$H642)),N(INDEX('Journal'!$F$1:$F$2002,$H642))))</f>
        <v/>
      </c>
      <c r="F642" s="20">
        <f>IF($H642="","",IF(INDEX('Journal'!$D$1:$D$2002,$H642)=$B$1,N(INDEX('Journal'!$F$1:$F$2002,$H642)),N(INDEX('Journal'!$G$1:$G$2002,$H642))))</f>
        <v/>
      </c>
      <c r="G642" s="20">
        <f>IF($H642="","",G641+E642-F642)</f>
        <v/>
      </c>
      <c r="H642" s="18">
        <f t="array" ref="H642">IF($B$1="","",IFERROR(_xlfn.AGGREGATE(15,6,ROW('Journal'!$A$3:$A$2002)/(('Journal'!$D$3:$D$2002=$B$1)+('Journal'!$E$3:$E$2002=$B$1))/('Journal'!$B$3:$B$2002&gt;=$B$2)/('Journal'!$B$3:$B$2002&lt;=$B$3),637),""))</f>
        <v/>
      </c>
    </row>
    <row r="643">
      <c r="A643" s="18">
        <f>IF($H643="","",INDEX('Journal'!$A$1:$A$2002,$H643))</f>
        <v/>
      </c>
      <c r="B643" s="21">
        <f>IF($H643="","",INDEX('Journal'!$B$1:$B$2002,$H643))</f>
        <v/>
      </c>
      <c r="C643" s="5">
        <f>IF($H643="","",INDEX('Journal'!$C$1:$C$2002,$H643)&amp;"")</f>
        <v/>
      </c>
      <c r="D643" s="5">
        <f>IF($H643="","",IF(INDEX('Journal'!$D$1:$D$2002,$H643)=$B$1,INDEX('Journal'!$E$1:$E$2002,$H643),INDEX('Journal'!$D$1:$D$2002,$H643))&amp;"")</f>
        <v/>
      </c>
      <c r="E643" s="20">
        <f>IF($H643="","",IF(INDEX('Journal'!$D$1:$D$2002,$H643)=$B$1,N(INDEX('Journal'!$G$1:$G$2002,$H643)),N(INDEX('Journal'!$F$1:$F$2002,$H643))))</f>
        <v/>
      </c>
      <c r="F643" s="20">
        <f>IF($H643="","",IF(INDEX('Journal'!$D$1:$D$2002,$H643)=$B$1,N(INDEX('Journal'!$F$1:$F$2002,$H643)),N(INDEX('Journal'!$G$1:$G$2002,$H643))))</f>
        <v/>
      </c>
      <c r="G643" s="20">
        <f>IF($H643="","",G642+E643-F643)</f>
        <v/>
      </c>
      <c r="H643" s="18">
        <f t="array" ref="H643">IF($B$1="","",IFERROR(_xlfn.AGGREGATE(15,6,ROW('Journal'!$A$3:$A$2002)/(('Journal'!$D$3:$D$2002=$B$1)+('Journal'!$E$3:$E$2002=$B$1))/('Journal'!$B$3:$B$2002&gt;=$B$2)/('Journal'!$B$3:$B$2002&lt;=$B$3),638),""))</f>
        <v/>
      </c>
    </row>
    <row r="644">
      <c r="A644" s="18">
        <f>IF($H644="","",INDEX('Journal'!$A$1:$A$2002,$H644))</f>
        <v/>
      </c>
      <c r="B644" s="21">
        <f>IF($H644="","",INDEX('Journal'!$B$1:$B$2002,$H644))</f>
        <v/>
      </c>
      <c r="C644" s="5">
        <f>IF($H644="","",INDEX('Journal'!$C$1:$C$2002,$H644)&amp;"")</f>
        <v/>
      </c>
      <c r="D644" s="5">
        <f>IF($H644="","",IF(INDEX('Journal'!$D$1:$D$2002,$H644)=$B$1,INDEX('Journal'!$E$1:$E$2002,$H644),INDEX('Journal'!$D$1:$D$2002,$H644))&amp;"")</f>
        <v/>
      </c>
      <c r="E644" s="20">
        <f>IF($H644="","",IF(INDEX('Journal'!$D$1:$D$2002,$H644)=$B$1,N(INDEX('Journal'!$G$1:$G$2002,$H644)),N(INDEX('Journal'!$F$1:$F$2002,$H644))))</f>
        <v/>
      </c>
      <c r="F644" s="20">
        <f>IF($H644="","",IF(INDEX('Journal'!$D$1:$D$2002,$H644)=$B$1,N(INDEX('Journal'!$F$1:$F$2002,$H644)),N(INDEX('Journal'!$G$1:$G$2002,$H644))))</f>
        <v/>
      </c>
      <c r="G644" s="20">
        <f>IF($H644="","",G643+E644-F644)</f>
        <v/>
      </c>
      <c r="H644" s="18">
        <f t="array" ref="H644">IF($B$1="","",IFERROR(_xlfn.AGGREGATE(15,6,ROW('Journal'!$A$3:$A$2002)/(('Journal'!$D$3:$D$2002=$B$1)+('Journal'!$E$3:$E$2002=$B$1))/('Journal'!$B$3:$B$2002&gt;=$B$2)/('Journal'!$B$3:$B$2002&lt;=$B$3),639),""))</f>
        <v/>
      </c>
    </row>
    <row r="645">
      <c r="A645" s="18">
        <f>IF($H645="","",INDEX('Journal'!$A$1:$A$2002,$H645))</f>
        <v/>
      </c>
      <c r="B645" s="21">
        <f>IF($H645="","",INDEX('Journal'!$B$1:$B$2002,$H645))</f>
        <v/>
      </c>
      <c r="C645" s="5">
        <f>IF($H645="","",INDEX('Journal'!$C$1:$C$2002,$H645)&amp;"")</f>
        <v/>
      </c>
      <c r="D645" s="5">
        <f>IF($H645="","",IF(INDEX('Journal'!$D$1:$D$2002,$H645)=$B$1,INDEX('Journal'!$E$1:$E$2002,$H645),INDEX('Journal'!$D$1:$D$2002,$H645))&amp;"")</f>
        <v/>
      </c>
      <c r="E645" s="20">
        <f>IF($H645="","",IF(INDEX('Journal'!$D$1:$D$2002,$H645)=$B$1,N(INDEX('Journal'!$G$1:$G$2002,$H645)),N(INDEX('Journal'!$F$1:$F$2002,$H645))))</f>
        <v/>
      </c>
      <c r="F645" s="20">
        <f>IF($H645="","",IF(INDEX('Journal'!$D$1:$D$2002,$H645)=$B$1,N(INDEX('Journal'!$F$1:$F$2002,$H645)),N(INDEX('Journal'!$G$1:$G$2002,$H645))))</f>
        <v/>
      </c>
      <c r="G645" s="20">
        <f>IF($H645="","",G644+E645-F645)</f>
        <v/>
      </c>
      <c r="H645" s="18">
        <f t="array" ref="H645">IF($B$1="","",IFERROR(_xlfn.AGGREGATE(15,6,ROW('Journal'!$A$3:$A$2002)/(('Journal'!$D$3:$D$2002=$B$1)+('Journal'!$E$3:$E$2002=$B$1))/('Journal'!$B$3:$B$2002&gt;=$B$2)/('Journal'!$B$3:$B$2002&lt;=$B$3),640),""))</f>
        <v/>
      </c>
    </row>
    <row r="646">
      <c r="A646" s="18">
        <f>IF($H646="","",INDEX('Journal'!$A$1:$A$2002,$H646))</f>
        <v/>
      </c>
      <c r="B646" s="21">
        <f>IF($H646="","",INDEX('Journal'!$B$1:$B$2002,$H646))</f>
        <v/>
      </c>
      <c r="C646" s="5">
        <f>IF($H646="","",INDEX('Journal'!$C$1:$C$2002,$H646)&amp;"")</f>
        <v/>
      </c>
      <c r="D646" s="5">
        <f>IF($H646="","",IF(INDEX('Journal'!$D$1:$D$2002,$H646)=$B$1,INDEX('Journal'!$E$1:$E$2002,$H646),INDEX('Journal'!$D$1:$D$2002,$H646))&amp;"")</f>
        <v/>
      </c>
      <c r="E646" s="20">
        <f>IF($H646="","",IF(INDEX('Journal'!$D$1:$D$2002,$H646)=$B$1,N(INDEX('Journal'!$G$1:$G$2002,$H646)),N(INDEX('Journal'!$F$1:$F$2002,$H646))))</f>
        <v/>
      </c>
      <c r="F646" s="20">
        <f>IF($H646="","",IF(INDEX('Journal'!$D$1:$D$2002,$H646)=$B$1,N(INDEX('Journal'!$F$1:$F$2002,$H646)),N(INDEX('Journal'!$G$1:$G$2002,$H646))))</f>
        <v/>
      </c>
      <c r="G646" s="20">
        <f>IF($H646="","",G645+E646-F646)</f>
        <v/>
      </c>
      <c r="H646" s="18">
        <f t="array" ref="H646">IF($B$1="","",IFERROR(_xlfn.AGGREGATE(15,6,ROW('Journal'!$A$3:$A$2002)/(('Journal'!$D$3:$D$2002=$B$1)+('Journal'!$E$3:$E$2002=$B$1))/('Journal'!$B$3:$B$2002&gt;=$B$2)/('Journal'!$B$3:$B$2002&lt;=$B$3),641),""))</f>
        <v/>
      </c>
    </row>
    <row r="647">
      <c r="A647" s="18">
        <f>IF($H647="","",INDEX('Journal'!$A$1:$A$2002,$H647))</f>
        <v/>
      </c>
      <c r="B647" s="21">
        <f>IF($H647="","",INDEX('Journal'!$B$1:$B$2002,$H647))</f>
        <v/>
      </c>
      <c r="C647" s="5">
        <f>IF($H647="","",INDEX('Journal'!$C$1:$C$2002,$H647)&amp;"")</f>
        <v/>
      </c>
      <c r="D647" s="5">
        <f>IF($H647="","",IF(INDEX('Journal'!$D$1:$D$2002,$H647)=$B$1,INDEX('Journal'!$E$1:$E$2002,$H647),INDEX('Journal'!$D$1:$D$2002,$H647))&amp;"")</f>
        <v/>
      </c>
      <c r="E647" s="20">
        <f>IF($H647="","",IF(INDEX('Journal'!$D$1:$D$2002,$H647)=$B$1,N(INDEX('Journal'!$G$1:$G$2002,$H647)),N(INDEX('Journal'!$F$1:$F$2002,$H647))))</f>
        <v/>
      </c>
      <c r="F647" s="20">
        <f>IF($H647="","",IF(INDEX('Journal'!$D$1:$D$2002,$H647)=$B$1,N(INDEX('Journal'!$F$1:$F$2002,$H647)),N(INDEX('Journal'!$G$1:$G$2002,$H647))))</f>
        <v/>
      </c>
      <c r="G647" s="20">
        <f>IF($H647="","",G646+E647-F647)</f>
        <v/>
      </c>
      <c r="H647" s="18">
        <f t="array" ref="H647">IF($B$1="","",IFERROR(_xlfn.AGGREGATE(15,6,ROW('Journal'!$A$3:$A$2002)/(('Journal'!$D$3:$D$2002=$B$1)+('Journal'!$E$3:$E$2002=$B$1))/('Journal'!$B$3:$B$2002&gt;=$B$2)/('Journal'!$B$3:$B$2002&lt;=$B$3),642),""))</f>
        <v/>
      </c>
    </row>
    <row r="648">
      <c r="A648" s="18">
        <f>IF($H648="","",INDEX('Journal'!$A$1:$A$2002,$H648))</f>
        <v/>
      </c>
      <c r="B648" s="21">
        <f>IF($H648="","",INDEX('Journal'!$B$1:$B$2002,$H648))</f>
        <v/>
      </c>
      <c r="C648" s="5">
        <f>IF($H648="","",INDEX('Journal'!$C$1:$C$2002,$H648)&amp;"")</f>
        <v/>
      </c>
      <c r="D648" s="5">
        <f>IF($H648="","",IF(INDEX('Journal'!$D$1:$D$2002,$H648)=$B$1,INDEX('Journal'!$E$1:$E$2002,$H648),INDEX('Journal'!$D$1:$D$2002,$H648))&amp;"")</f>
        <v/>
      </c>
      <c r="E648" s="20">
        <f>IF($H648="","",IF(INDEX('Journal'!$D$1:$D$2002,$H648)=$B$1,N(INDEX('Journal'!$G$1:$G$2002,$H648)),N(INDEX('Journal'!$F$1:$F$2002,$H648))))</f>
        <v/>
      </c>
      <c r="F648" s="20">
        <f>IF($H648="","",IF(INDEX('Journal'!$D$1:$D$2002,$H648)=$B$1,N(INDEX('Journal'!$F$1:$F$2002,$H648)),N(INDEX('Journal'!$G$1:$G$2002,$H648))))</f>
        <v/>
      </c>
      <c r="G648" s="20">
        <f>IF($H648="","",G647+E648-F648)</f>
        <v/>
      </c>
      <c r="H648" s="18">
        <f t="array" ref="H648">IF($B$1="","",IFERROR(_xlfn.AGGREGATE(15,6,ROW('Journal'!$A$3:$A$2002)/(('Journal'!$D$3:$D$2002=$B$1)+('Journal'!$E$3:$E$2002=$B$1))/('Journal'!$B$3:$B$2002&gt;=$B$2)/('Journal'!$B$3:$B$2002&lt;=$B$3),643),""))</f>
        <v/>
      </c>
    </row>
    <row r="649">
      <c r="A649" s="18">
        <f>IF($H649="","",INDEX('Journal'!$A$1:$A$2002,$H649))</f>
        <v/>
      </c>
      <c r="B649" s="21">
        <f>IF($H649="","",INDEX('Journal'!$B$1:$B$2002,$H649))</f>
        <v/>
      </c>
      <c r="C649" s="5">
        <f>IF($H649="","",INDEX('Journal'!$C$1:$C$2002,$H649)&amp;"")</f>
        <v/>
      </c>
      <c r="D649" s="5">
        <f>IF($H649="","",IF(INDEX('Journal'!$D$1:$D$2002,$H649)=$B$1,INDEX('Journal'!$E$1:$E$2002,$H649),INDEX('Journal'!$D$1:$D$2002,$H649))&amp;"")</f>
        <v/>
      </c>
      <c r="E649" s="20">
        <f>IF($H649="","",IF(INDEX('Journal'!$D$1:$D$2002,$H649)=$B$1,N(INDEX('Journal'!$G$1:$G$2002,$H649)),N(INDEX('Journal'!$F$1:$F$2002,$H649))))</f>
        <v/>
      </c>
      <c r="F649" s="20">
        <f>IF($H649="","",IF(INDEX('Journal'!$D$1:$D$2002,$H649)=$B$1,N(INDEX('Journal'!$F$1:$F$2002,$H649)),N(INDEX('Journal'!$G$1:$G$2002,$H649))))</f>
        <v/>
      </c>
      <c r="G649" s="20">
        <f>IF($H649="","",G648+E649-F649)</f>
        <v/>
      </c>
      <c r="H649" s="18">
        <f t="array" ref="H649">IF($B$1="","",IFERROR(_xlfn.AGGREGATE(15,6,ROW('Journal'!$A$3:$A$2002)/(('Journal'!$D$3:$D$2002=$B$1)+('Journal'!$E$3:$E$2002=$B$1))/('Journal'!$B$3:$B$2002&gt;=$B$2)/('Journal'!$B$3:$B$2002&lt;=$B$3),644),""))</f>
        <v/>
      </c>
    </row>
    <row r="650">
      <c r="A650" s="18">
        <f>IF($H650="","",INDEX('Journal'!$A$1:$A$2002,$H650))</f>
        <v/>
      </c>
      <c r="B650" s="21">
        <f>IF($H650="","",INDEX('Journal'!$B$1:$B$2002,$H650))</f>
        <v/>
      </c>
      <c r="C650" s="5">
        <f>IF($H650="","",INDEX('Journal'!$C$1:$C$2002,$H650)&amp;"")</f>
        <v/>
      </c>
      <c r="D650" s="5">
        <f>IF($H650="","",IF(INDEX('Journal'!$D$1:$D$2002,$H650)=$B$1,INDEX('Journal'!$E$1:$E$2002,$H650),INDEX('Journal'!$D$1:$D$2002,$H650))&amp;"")</f>
        <v/>
      </c>
      <c r="E650" s="20">
        <f>IF($H650="","",IF(INDEX('Journal'!$D$1:$D$2002,$H650)=$B$1,N(INDEX('Journal'!$G$1:$G$2002,$H650)),N(INDEX('Journal'!$F$1:$F$2002,$H650))))</f>
        <v/>
      </c>
      <c r="F650" s="20">
        <f>IF($H650="","",IF(INDEX('Journal'!$D$1:$D$2002,$H650)=$B$1,N(INDEX('Journal'!$F$1:$F$2002,$H650)),N(INDEX('Journal'!$G$1:$G$2002,$H650))))</f>
        <v/>
      </c>
      <c r="G650" s="20">
        <f>IF($H650="","",G649+E650-F650)</f>
        <v/>
      </c>
      <c r="H650" s="18">
        <f t="array" ref="H650">IF($B$1="","",IFERROR(_xlfn.AGGREGATE(15,6,ROW('Journal'!$A$3:$A$2002)/(('Journal'!$D$3:$D$2002=$B$1)+('Journal'!$E$3:$E$2002=$B$1))/('Journal'!$B$3:$B$2002&gt;=$B$2)/('Journal'!$B$3:$B$2002&lt;=$B$3),645),""))</f>
        <v/>
      </c>
    </row>
    <row r="651">
      <c r="A651" s="18">
        <f>IF($H651="","",INDEX('Journal'!$A$1:$A$2002,$H651))</f>
        <v/>
      </c>
      <c r="B651" s="21">
        <f>IF($H651="","",INDEX('Journal'!$B$1:$B$2002,$H651))</f>
        <v/>
      </c>
      <c r="C651" s="5">
        <f>IF($H651="","",INDEX('Journal'!$C$1:$C$2002,$H651)&amp;"")</f>
        <v/>
      </c>
      <c r="D651" s="5">
        <f>IF($H651="","",IF(INDEX('Journal'!$D$1:$D$2002,$H651)=$B$1,INDEX('Journal'!$E$1:$E$2002,$H651),INDEX('Journal'!$D$1:$D$2002,$H651))&amp;"")</f>
        <v/>
      </c>
      <c r="E651" s="20">
        <f>IF($H651="","",IF(INDEX('Journal'!$D$1:$D$2002,$H651)=$B$1,N(INDEX('Journal'!$G$1:$G$2002,$H651)),N(INDEX('Journal'!$F$1:$F$2002,$H651))))</f>
        <v/>
      </c>
      <c r="F651" s="20">
        <f>IF($H651="","",IF(INDEX('Journal'!$D$1:$D$2002,$H651)=$B$1,N(INDEX('Journal'!$F$1:$F$2002,$H651)),N(INDEX('Journal'!$G$1:$G$2002,$H651))))</f>
        <v/>
      </c>
      <c r="G651" s="20">
        <f>IF($H651="","",G650+E651-F651)</f>
        <v/>
      </c>
      <c r="H651" s="18">
        <f t="array" ref="H651">IF($B$1="","",IFERROR(_xlfn.AGGREGATE(15,6,ROW('Journal'!$A$3:$A$2002)/(('Journal'!$D$3:$D$2002=$B$1)+('Journal'!$E$3:$E$2002=$B$1))/('Journal'!$B$3:$B$2002&gt;=$B$2)/('Journal'!$B$3:$B$2002&lt;=$B$3),646),""))</f>
        <v/>
      </c>
    </row>
    <row r="652">
      <c r="A652" s="18">
        <f>IF($H652="","",INDEX('Journal'!$A$1:$A$2002,$H652))</f>
        <v/>
      </c>
      <c r="B652" s="21">
        <f>IF($H652="","",INDEX('Journal'!$B$1:$B$2002,$H652))</f>
        <v/>
      </c>
      <c r="C652" s="5">
        <f>IF($H652="","",INDEX('Journal'!$C$1:$C$2002,$H652)&amp;"")</f>
        <v/>
      </c>
      <c r="D652" s="5">
        <f>IF($H652="","",IF(INDEX('Journal'!$D$1:$D$2002,$H652)=$B$1,INDEX('Journal'!$E$1:$E$2002,$H652),INDEX('Journal'!$D$1:$D$2002,$H652))&amp;"")</f>
        <v/>
      </c>
      <c r="E652" s="20">
        <f>IF($H652="","",IF(INDEX('Journal'!$D$1:$D$2002,$H652)=$B$1,N(INDEX('Journal'!$G$1:$G$2002,$H652)),N(INDEX('Journal'!$F$1:$F$2002,$H652))))</f>
        <v/>
      </c>
      <c r="F652" s="20">
        <f>IF($H652="","",IF(INDEX('Journal'!$D$1:$D$2002,$H652)=$B$1,N(INDEX('Journal'!$F$1:$F$2002,$H652)),N(INDEX('Journal'!$G$1:$G$2002,$H652))))</f>
        <v/>
      </c>
      <c r="G652" s="20">
        <f>IF($H652="","",G651+E652-F652)</f>
        <v/>
      </c>
      <c r="H652" s="18">
        <f t="array" ref="H652">IF($B$1="","",IFERROR(_xlfn.AGGREGATE(15,6,ROW('Journal'!$A$3:$A$2002)/(('Journal'!$D$3:$D$2002=$B$1)+('Journal'!$E$3:$E$2002=$B$1))/('Journal'!$B$3:$B$2002&gt;=$B$2)/('Journal'!$B$3:$B$2002&lt;=$B$3),647),""))</f>
        <v/>
      </c>
    </row>
    <row r="653">
      <c r="A653" s="18">
        <f>IF($H653="","",INDEX('Journal'!$A$1:$A$2002,$H653))</f>
        <v/>
      </c>
      <c r="B653" s="21">
        <f>IF($H653="","",INDEX('Journal'!$B$1:$B$2002,$H653))</f>
        <v/>
      </c>
      <c r="C653" s="5">
        <f>IF($H653="","",INDEX('Journal'!$C$1:$C$2002,$H653)&amp;"")</f>
        <v/>
      </c>
      <c r="D653" s="5">
        <f>IF($H653="","",IF(INDEX('Journal'!$D$1:$D$2002,$H653)=$B$1,INDEX('Journal'!$E$1:$E$2002,$H653),INDEX('Journal'!$D$1:$D$2002,$H653))&amp;"")</f>
        <v/>
      </c>
      <c r="E653" s="20">
        <f>IF($H653="","",IF(INDEX('Journal'!$D$1:$D$2002,$H653)=$B$1,N(INDEX('Journal'!$G$1:$G$2002,$H653)),N(INDEX('Journal'!$F$1:$F$2002,$H653))))</f>
        <v/>
      </c>
      <c r="F653" s="20">
        <f>IF($H653="","",IF(INDEX('Journal'!$D$1:$D$2002,$H653)=$B$1,N(INDEX('Journal'!$F$1:$F$2002,$H653)),N(INDEX('Journal'!$G$1:$G$2002,$H653))))</f>
        <v/>
      </c>
      <c r="G653" s="20">
        <f>IF($H653="","",G652+E653-F653)</f>
        <v/>
      </c>
      <c r="H653" s="18">
        <f t="array" ref="H653">IF($B$1="","",IFERROR(_xlfn.AGGREGATE(15,6,ROW('Journal'!$A$3:$A$2002)/(('Journal'!$D$3:$D$2002=$B$1)+('Journal'!$E$3:$E$2002=$B$1))/('Journal'!$B$3:$B$2002&gt;=$B$2)/('Journal'!$B$3:$B$2002&lt;=$B$3),648),""))</f>
        <v/>
      </c>
    </row>
    <row r="654">
      <c r="A654" s="18">
        <f>IF($H654="","",INDEX('Journal'!$A$1:$A$2002,$H654))</f>
        <v/>
      </c>
      <c r="B654" s="21">
        <f>IF($H654="","",INDEX('Journal'!$B$1:$B$2002,$H654))</f>
        <v/>
      </c>
      <c r="C654" s="5">
        <f>IF($H654="","",INDEX('Journal'!$C$1:$C$2002,$H654)&amp;"")</f>
        <v/>
      </c>
      <c r="D654" s="5">
        <f>IF($H654="","",IF(INDEX('Journal'!$D$1:$D$2002,$H654)=$B$1,INDEX('Journal'!$E$1:$E$2002,$H654),INDEX('Journal'!$D$1:$D$2002,$H654))&amp;"")</f>
        <v/>
      </c>
      <c r="E654" s="20">
        <f>IF($H654="","",IF(INDEX('Journal'!$D$1:$D$2002,$H654)=$B$1,N(INDEX('Journal'!$G$1:$G$2002,$H654)),N(INDEX('Journal'!$F$1:$F$2002,$H654))))</f>
        <v/>
      </c>
      <c r="F654" s="20">
        <f>IF($H654="","",IF(INDEX('Journal'!$D$1:$D$2002,$H654)=$B$1,N(INDEX('Journal'!$F$1:$F$2002,$H654)),N(INDEX('Journal'!$G$1:$G$2002,$H654))))</f>
        <v/>
      </c>
      <c r="G654" s="20">
        <f>IF($H654="","",G653+E654-F654)</f>
        <v/>
      </c>
      <c r="H654" s="18">
        <f t="array" ref="H654">IF($B$1="","",IFERROR(_xlfn.AGGREGATE(15,6,ROW('Journal'!$A$3:$A$2002)/(('Journal'!$D$3:$D$2002=$B$1)+('Journal'!$E$3:$E$2002=$B$1))/('Journal'!$B$3:$B$2002&gt;=$B$2)/('Journal'!$B$3:$B$2002&lt;=$B$3),649),""))</f>
        <v/>
      </c>
    </row>
    <row r="655">
      <c r="A655" s="18">
        <f>IF($H655="","",INDEX('Journal'!$A$1:$A$2002,$H655))</f>
        <v/>
      </c>
      <c r="B655" s="21">
        <f>IF($H655="","",INDEX('Journal'!$B$1:$B$2002,$H655))</f>
        <v/>
      </c>
      <c r="C655" s="5">
        <f>IF($H655="","",INDEX('Journal'!$C$1:$C$2002,$H655)&amp;"")</f>
        <v/>
      </c>
      <c r="D655" s="5">
        <f>IF($H655="","",IF(INDEX('Journal'!$D$1:$D$2002,$H655)=$B$1,INDEX('Journal'!$E$1:$E$2002,$H655),INDEX('Journal'!$D$1:$D$2002,$H655))&amp;"")</f>
        <v/>
      </c>
      <c r="E655" s="20">
        <f>IF($H655="","",IF(INDEX('Journal'!$D$1:$D$2002,$H655)=$B$1,N(INDEX('Journal'!$G$1:$G$2002,$H655)),N(INDEX('Journal'!$F$1:$F$2002,$H655))))</f>
        <v/>
      </c>
      <c r="F655" s="20">
        <f>IF($H655="","",IF(INDEX('Journal'!$D$1:$D$2002,$H655)=$B$1,N(INDEX('Journal'!$F$1:$F$2002,$H655)),N(INDEX('Journal'!$G$1:$G$2002,$H655))))</f>
        <v/>
      </c>
      <c r="G655" s="20">
        <f>IF($H655="","",G654+E655-F655)</f>
        <v/>
      </c>
      <c r="H655" s="18">
        <f t="array" ref="H655">IF($B$1="","",IFERROR(_xlfn.AGGREGATE(15,6,ROW('Journal'!$A$3:$A$2002)/(('Journal'!$D$3:$D$2002=$B$1)+('Journal'!$E$3:$E$2002=$B$1))/('Journal'!$B$3:$B$2002&gt;=$B$2)/('Journal'!$B$3:$B$2002&lt;=$B$3),650),""))</f>
        <v/>
      </c>
    </row>
    <row r="656">
      <c r="A656" s="18">
        <f>IF($H656="","",INDEX('Journal'!$A$1:$A$2002,$H656))</f>
        <v/>
      </c>
      <c r="B656" s="21">
        <f>IF($H656="","",INDEX('Journal'!$B$1:$B$2002,$H656))</f>
        <v/>
      </c>
      <c r="C656" s="5">
        <f>IF($H656="","",INDEX('Journal'!$C$1:$C$2002,$H656)&amp;"")</f>
        <v/>
      </c>
      <c r="D656" s="5">
        <f>IF($H656="","",IF(INDEX('Journal'!$D$1:$D$2002,$H656)=$B$1,INDEX('Journal'!$E$1:$E$2002,$H656),INDEX('Journal'!$D$1:$D$2002,$H656))&amp;"")</f>
        <v/>
      </c>
      <c r="E656" s="20">
        <f>IF($H656="","",IF(INDEX('Journal'!$D$1:$D$2002,$H656)=$B$1,N(INDEX('Journal'!$G$1:$G$2002,$H656)),N(INDEX('Journal'!$F$1:$F$2002,$H656))))</f>
        <v/>
      </c>
      <c r="F656" s="20">
        <f>IF($H656="","",IF(INDEX('Journal'!$D$1:$D$2002,$H656)=$B$1,N(INDEX('Journal'!$F$1:$F$2002,$H656)),N(INDEX('Journal'!$G$1:$G$2002,$H656))))</f>
        <v/>
      </c>
      <c r="G656" s="20">
        <f>IF($H656="","",G655+E656-F656)</f>
        <v/>
      </c>
      <c r="H656" s="18">
        <f t="array" ref="H656">IF($B$1="","",IFERROR(_xlfn.AGGREGATE(15,6,ROW('Journal'!$A$3:$A$2002)/(('Journal'!$D$3:$D$2002=$B$1)+('Journal'!$E$3:$E$2002=$B$1))/('Journal'!$B$3:$B$2002&gt;=$B$2)/('Journal'!$B$3:$B$2002&lt;=$B$3),651),""))</f>
        <v/>
      </c>
    </row>
    <row r="657">
      <c r="A657" s="18">
        <f>IF($H657="","",INDEX('Journal'!$A$1:$A$2002,$H657))</f>
        <v/>
      </c>
      <c r="B657" s="21">
        <f>IF($H657="","",INDEX('Journal'!$B$1:$B$2002,$H657))</f>
        <v/>
      </c>
      <c r="C657" s="5">
        <f>IF($H657="","",INDEX('Journal'!$C$1:$C$2002,$H657)&amp;"")</f>
        <v/>
      </c>
      <c r="D657" s="5">
        <f>IF($H657="","",IF(INDEX('Journal'!$D$1:$D$2002,$H657)=$B$1,INDEX('Journal'!$E$1:$E$2002,$H657),INDEX('Journal'!$D$1:$D$2002,$H657))&amp;"")</f>
        <v/>
      </c>
      <c r="E657" s="20">
        <f>IF($H657="","",IF(INDEX('Journal'!$D$1:$D$2002,$H657)=$B$1,N(INDEX('Journal'!$G$1:$G$2002,$H657)),N(INDEX('Journal'!$F$1:$F$2002,$H657))))</f>
        <v/>
      </c>
      <c r="F657" s="20">
        <f>IF($H657="","",IF(INDEX('Journal'!$D$1:$D$2002,$H657)=$B$1,N(INDEX('Journal'!$F$1:$F$2002,$H657)),N(INDEX('Journal'!$G$1:$G$2002,$H657))))</f>
        <v/>
      </c>
      <c r="G657" s="20">
        <f>IF($H657="","",G656+E657-F657)</f>
        <v/>
      </c>
      <c r="H657" s="18">
        <f t="array" ref="H657">IF($B$1="","",IFERROR(_xlfn.AGGREGATE(15,6,ROW('Journal'!$A$3:$A$2002)/(('Journal'!$D$3:$D$2002=$B$1)+('Journal'!$E$3:$E$2002=$B$1))/('Journal'!$B$3:$B$2002&gt;=$B$2)/('Journal'!$B$3:$B$2002&lt;=$B$3),652),""))</f>
        <v/>
      </c>
    </row>
    <row r="658">
      <c r="A658" s="18">
        <f>IF($H658="","",INDEX('Journal'!$A$1:$A$2002,$H658))</f>
        <v/>
      </c>
      <c r="B658" s="21">
        <f>IF($H658="","",INDEX('Journal'!$B$1:$B$2002,$H658))</f>
        <v/>
      </c>
      <c r="C658" s="5">
        <f>IF($H658="","",INDEX('Journal'!$C$1:$C$2002,$H658)&amp;"")</f>
        <v/>
      </c>
      <c r="D658" s="5">
        <f>IF($H658="","",IF(INDEX('Journal'!$D$1:$D$2002,$H658)=$B$1,INDEX('Journal'!$E$1:$E$2002,$H658),INDEX('Journal'!$D$1:$D$2002,$H658))&amp;"")</f>
        <v/>
      </c>
      <c r="E658" s="20">
        <f>IF($H658="","",IF(INDEX('Journal'!$D$1:$D$2002,$H658)=$B$1,N(INDEX('Journal'!$G$1:$G$2002,$H658)),N(INDEX('Journal'!$F$1:$F$2002,$H658))))</f>
        <v/>
      </c>
      <c r="F658" s="20">
        <f>IF($H658="","",IF(INDEX('Journal'!$D$1:$D$2002,$H658)=$B$1,N(INDEX('Journal'!$F$1:$F$2002,$H658)),N(INDEX('Journal'!$G$1:$G$2002,$H658))))</f>
        <v/>
      </c>
      <c r="G658" s="20">
        <f>IF($H658="","",G657+E658-F658)</f>
        <v/>
      </c>
      <c r="H658" s="18">
        <f t="array" ref="H658">IF($B$1="","",IFERROR(_xlfn.AGGREGATE(15,6,ROW('Journal'!$A$3:$A$2002)/(('Journal'!$D$3:$D$2002=$B$1)+('Journal'!$E$3:$E$2002=$B$1))/('Journal'!$B$3:$B$2002&gt;=$B$2)/('Journal'!$B$3:$B$2002&lt;=$B$3),653),""))</f>
        <v/>
      </c>
    </row>
    <row r="659">
      <c r="A659" s="18">
        <f>IF($H659="","",INDEX('Journal'!$A$1:$A$2002,$H659))</f>
        <v/>
      </c>
      <c r="B659" s="21">
        <f>IF($H659="","",INDEX('Journal'!$B$1:$B$2002,$H659))</f>
        <v/>
      </c>
      <c r="C659" s="5">
        <f>IF($H659="","",INDEX('Journal'!$C$1:$C$2002,$H659)&amp;"")</f>
        <v/>
      </c>
      <c r="D659" s="5">
        <f>IF($H659="","",IF(INDEX('Journal'!$D$1:$D$2002,$H659)=$B$1,INDEX('Journal'!$E$1:$E$2002,$H659),INDEX('Journal'!$D$1:$D$2002,$H659))&amp;"")</f>
        <v/>
      </c>
      <c r="E659" s="20">
        <f>IF($H659="","",IF(INDEX('Journal'!$D$1:$D$2002,$H659)=$B$1,N(INDEX('Journal'!$G$1:$G$2002,$H659)),N(INDEX('Journal'!$F$1:$F$2002,$H659))))</f>
        <v/>
      </c>
      <c r="F659" s="20">
        <f>IF($H659="","",IF(INDEX('Journal'!$D$1:$D$2002,$H659)=$B$1,N(INDEX('Journal'!$F$1:$F$2002,$H659)),N(INDEX('Journal'!$G$1:$G$2002,$H659))))</f>
        <v/>
      </c>
      <c r="G659" s="20">
        <f>IF($H659="","",G658+E659-F659)</f>
        <v/>
      </c>
      <c r="H659" s="18">
        <f t="array" ref="H659">IF($B$1="","",IFERROR(_xlfn.AGGREGATE(15,6,ROW('Journal'!$A$3:$A$2002)/(('Journal'!$D$3:$D$2002=$B$1)+('Journal'!$E$3:$E$2002=$B$1))/('Journal'!$B$3:$B$2002&gt;=$B$2)/('Journal'!$B$3:$B$2002&lt;=$B$3),654),""))</f>
        <v/>
      </c>
    </row>
    <row r="660">
      <c r="A660" s="18">
        <f>IF($H660="","",INDEX('Journal'!$A$1:$A$2002,$H660))</f>
        <v/>
      </c>
      <c r="B660" s="21">
        <f>IF($H660="","",INDEX('Journal'!$B$1:$B$2002,$H660))</f>
        <v/>
      </c>
      <c r="C660" s="5">
        <f>IF($H660="","",INDEX('Journal'!$C$1:$C$2002,$H660)&amp;"")</f>
        <v/>
      </c>
      <c r="D660" s="5">
        <f>IF($H660="","",IF(INDEX('Journal'!$D$1:$D$2002,$H660)=$B$1,INDEX('Journal'!$E$1:$E$2002,$H660),INDEX('Journal'!$D$1:$D$2002,$H660))&amp;"")</f>
        <v/>
      </c>
      <c r="E660" s="20">
        <f>IF($H660="","",IF(INDEX('Journal'!$D$1:$D$2002,$H660)=$B$1,N(INDEX('Journal'!$G$1:$G$2002,$H660)),N(INDEX('Journal'!$F$1:$F$2002,$H660))))</f>
        <v/>
      </c>
      <c r="F660" s="20">
        <f>IF($H660="","",IF(INDEX('Journal'!$D$1:$D$2002,$H660)=$B$1,N(INDEX('Journal'!$F$1:$F$2002,$H660)),N(INDEX('Journal'!$G$1:$G$2002,$H660))))</f>
        <v/>
      </c>
      <c r="G660" s="20">
        <f>IF($H660="","",G659+E660-F660)</f>
        <v/>
      </c>
      <c r="H660" s="18">
        <f t="array" ref="H660">IF($B$1="","",IFERROR(_xlfn.AGGREGATE(15,6,ROW('Journal'!$A$3:$A$2002)/(('Journal'!$D$3:$D$2002=$B$1)+('Journal'!$E$3:$E$2002=$B$1))/('Journal'!$B$3:$B$2002&gt;=$B$2)/('Journal'!$B$3:$B$2002&lt;=$B$3),655),""))</f>
        <v/>
      </c>
    </row>
    <row r="661">
      <c r="A661" s="18">
        <f>IF($H661="","",INDEX('Journal'!$A$1:$A$2002,$H661))</f>
        <v/>
      </c>
      <c r="B661" s="21">
        <f>IF($H661="","",INDEX('Journal'!$B$1:$B$2002,$H661))</f>
        <v/>
      </c>
      <c r="C661" s="5">
        <f>IF($H661="","",INDEX('Journal'!$C$1:$C$2002,$H661)&amp;"")</f>
        <v/>
      </c>
      <c r="D661" s="5">
        <f>IF($H661="","",IF(INDEX('Journal'!$D$1:$D$2002,$H661)=$B$1,INDEX('Journal'!$E$1:$E$2002,$H661),INDEX('Journal'!$D$1:$D$2002,$H661))&amp;"")</f>
        <v/>
      </c>
      <c r="E661" s="20">
        <f>IF($H661="","",IF(INDEX('Journal'!$D$1:$D$2002,$H661)=$B$1,N(INDEX('Journal'!$G$1:$G$2002,$H661)),N(INDEX('Journal'!$F$1:$F$2002,$H661))))</f>
        <v/>
      </c>
      <c r="F661" s="20">
        <f>IF($H661="","",IF(INDEX('Journal'!$D$1:$D$2002,$H661)=$B$1,N(INDEX('Journal'!$F$1:$F$2002,$H661)),N(INDEX('Journal'!$G$1:$G$2002,$H661))))</f>
        <v/>
      </c>
      <c r="G661" s="20">
        <f>IF($H661="","",G660+E661-F661)</f>
        <v/>
      </c>
      <c r="H661" s="18">
        <f t="array" ref="H661">IF($B$1="","",IFERROR(_xlfn.AGGREGATE(15,6,ROW('Journal'!$A$3:$A$2002)/(('Journal'!$D$3:$D$2002=$B$1)+('Journal'!$E$3:$E$2002=$B$1))/('Journal'!$B$3:$B$2002&gt;=$B$2)/('Journal'!$B$3:$B$2002&lt;=$B$3),656),""))</f>
        <v/>
      </c>
    </row>
    <row r="662">
      <c r="A662" s="18">
        <f>IF($H662="","",INDEX('Journal'!$A$1:$A$2002,$H662))</f>
        <v/>
      </c>
      <c r="B662" s="21">
        <f>IF($H662="","",INDEX('Journal'!$B$1:$B$2002,$H662))</f>
        <v/>
      </c>
      <c r="C662" s="5">
        <f>IF($H662="","",INDEX('Journal'!$C$1:$C$2002,$H662)&amp;"")</f>
        <v/>
      </c>
      <c r="D662" s="5">
        <f>IF($H662="","",IF(INDEX('Journal'!$D$1:$D$2002,$H662)=$B$1,INDEX('Journal'!$E$1:$E$2002,$H662),INDEX('Journal'!$D$1:$D$2002,$H662))&amp;"")</f>
        <v/>
      </c>
      <c r="E662" s="20">
        <f>IF($H662="","",IF(INDEX('Journal'!$D$1:$D$2002,$H662)=$B$1,N(INDEX('Journal'!$G$1:$G$2002,$H662)),N(INDEX('Journal'!$F$1:$F$2002,$H662))))</f>
        <v/>
      </c>
      <c r="F662" s="20">
        <f>IF($H662="","",IF(INDEX('Journal'!$D$1:$D$2002,$H662)=$B$1,N(INDEX('Journal'!$F$1:$F$2002,$H662)),N(INDEX('Journal'!$G$1:$G$2002,$H662))))</f>
        <v/>
      </c>
      <c r="G662" s="20">
        <f>IF($H662="","",G661+E662-F662)</f>
        <v/>
      </c>
      <c r="H662" s="18">
        <f t="array" ref="H662">IF($B$1="","",IFERROR(_xlfn.AGGREGATE(15,6,ROW('Journal'!$A$3:$A$2002)/(('Journal'!$D$3:$D$2002=$B$1)+('Journal'!$E$3:$E$2002=$B$1))/('Journal'!$B$3:$B$2002&gt;=$B$2)/('Journal'!$B$3:$B$2002&lt;=$B$3),657),""))</f>
        <v/>
      </c>
    </row>
    <row r="663">
      <c r="A663" s="18">
        <f>IF($H663="","",INDEX('Journal'!$A$1:$A$2002,$H663))</f>
        <v/>
      </c>
      <c r="B663" s="21">
        <f>IF($H663="","",INDEX('Journal'!$B$1:$B$2002,$H663))</f>
        <v/>
      </c>
      <c r="C663" s="5">
        <f>IF($H663="","",INDEX('Journal'!$C$1:$C$2002,$H663)&amp;"")</f>
        <v/>
      </c>
      <c r="D663" s="5">
        <f>IF($H663="","",IF(INDEX('Journal'!$D$1:$D$2002,$H663)=$B$1,INDEX('Journal'!$E$1:$E$2002,$H663),INDEX('Journal'!$D$1:$D$2002,$H663))&amp;"")</f>
        <v/>
      </c>
      <c r="E663" s="20">
        <f>IF($H663="","",IF(INDEX('Journal'!$D$1:$D$2002,$H663)=$B$1,N(INDEX('Journal'!$G$1:$G$2002,$H663)),N(INDEX('Journal'!$F$1:$F$2002,$H663))))</f>
        <v/>
      </c>
      <c r="F663" s="20">
        <f>IF($H663="","",IF(INDEX('Journal'!$D$1:$D$2002,$H663)=$B$1,N(INDEX('Journal'!$F$1:$F$2002,$H663)),N(INDEX('Journal'!$G$1:$G$2002,$H663))))</f>
        <v/>
      </c>
      <c r="G663" s="20">
        <f>IF($H663="","",G662+E663-F663)</f>
        <v/>
      </c>
      <c r="H663" s="18">
        <f t="array" ref="H663">IF($B$1="","",IFERROR(_xlfn.AGGREGATE(15,6,ROW('Journal'!$A$3:$A$2002)/(('Journal'!$D$3:$D$2002=$B$1)+('Journal'!$E$3:$E$2002=$B$1))/('Journal'!$B$3:$B$2002&gt;=$B$2)/('Journal'!$B$3:$B$2002&lt;=$B$3),658),""))</f>
        <v/>
      </c>
    </row>
    <row r="664">
      <c r="A664" s="18">
        <f>IF($H664="","",INDEX('Journal'!$A$1:$A$2002,$H664))</f>
        <v/>
      </c>
      <c r="B664" s="21">
        <f>IF($H664="","",INDEX('Journal'!$B$1:$B$2002,$H664))</f>
        <v/>
      </c>
      <c r="C664" s="5">
        <f>IF($H664="","",INDEX('Journal'!$C$1:$C$2002,$H664)&amp;"")</f>
        <v/>
      </c>
      <c r="D664" s="5">
        <f>IF($H664="","",IF(INDEX('Journal'!$D$1:$D$2002,$H664)=$B$1,INDEX('Journal'!$E$1:$E$2002,$H664),INDEX('Journal'!$D$1:$D$2002,$H664))&amp;"")</f>
        <v/>
      </c>
      <c r="E664" s="20">
        <f>IF($H664="","",IF(INDEX('Journal'!$D$1:$D$2002,$H664)=$B$1,N(INDEX('Journal'!$G$1:$G$2002,$H664)),N(INDEX('Journal'!$F$1:$F$2002,$H664))))</f>
        <v/>
      </c>
      <c r="F664" s="20">
        <f>IF($H664="","",IF(INDEX('Journal'!$D$1:$D$2002,$H664)=$B$1,N(INDEX('Journal'!$F$1:$F$2002,$H664)),N(INDEX('Journal'!$G$1:$G$2002,$H664))))</f>
        <v/>
      </c>
      <c r="G664" s="20">
        <f>IF($H664="","",G663+E664-F664)</f>
        <v/>
      </c>
      <c r="H664" s="18">
        <f t="array" ref="H664">IF($B$1="","",IFERROR(_xlfn.AGGREGATE(15,6,ROW('Journal'!$A$3:$A$2002)/(('Journal'!$D$3:$D$2002=$B$1)+('Journal'!$E$3:$E$2002=$B$1))/('Journal'!$B$3:$B$2002&gt;=$B$2)/('Journal'!$B$3:$B$2002&lt;=$B$3),659),""))</f>
        <v/>
      </c>
    </row>
    <row r="665">
      <c r="A665" s="18">
        <f>IF($H665="","",INDEX('Journal'!$A$1:$A$2002,$H665))</f>
        <v/>
      </c>
      <c r="B665" s="21">
        <f>IF($H665="","",INDEX('Journal'!$B$1:$B$2002,$H665))</f>
        <v/>
      </c>
      <c r="C665" s="5">
        <f>IF($H665="","",INDEX('Journal'!$C$1:$C$2002,$H665)&amp;"")</f>
        <v/>
      </c>
      <c r="D665" s="5">
        <f>IF($H665="","",IF(INDEX('Journal'!$D$1:$D$2002,$H665)=$B$1,INDEX('Journal'!$E$1:$E$2002,$H665),INDEX('Journal'!$D$1:$D$2002,$H665))&amp;"")</f>
        <v/>
      </c>
      <c r="E665" s="20">
        <f>IF($H665="","",IF(INDEX('Journal'!$D$1:$D$2002,$H665)=$B$1,N(INDEX('Journal'!$G$1:$G$2002,$H665)),N(INDEX('Journal'!$F$1:$F$2002,$H665))))</f>
        <v/>
      </c>
      <c r="F665" s="20">
        <f>IF($H665="","",IF(INDEX('Journal'!$D$1:$D$2002,$H665)=$B$1,N(INDEX('Journal'!$F$1:$F$2002,$H665)),N(INDEX('Journal'!$G$1:$G$2002,$H665))))</f>
        <v/>
      </c>
      <c r="G665" s="20">
        <f>IF($H665="","",G664+E665-F665)</f>
        <v/>
      </c>
      <c r="H665" s="18">
        <f t="array" ref="H665">IF($B$1="","",IFERROR(_xlfn.AGGREGATE(15,6,ROW('Journal'!$A$3:$A$2002)/(('Journal'!$D$3:$D$2002=$B$1)+('Journal'!$E$3:$E$2002=$B$1))/('Journal'!$B$3:$B$2002&gt;=$B$2)/('Journal'!$B$3:$B$2002&lt;=$B$3),660),""))</f>
        <v/>
      </c>
    </row>
    <row r="666">
      <c r="A666" s="18">
        <f>IF($H666="","",INDEX('Journal'!$A$1:$A$2002,$H666))</f>
        <v/>
      </c>
      <c r="B666" s="21">
        <f>IF($H666="","",INDEX('Journal'!$B$1:$B$2002,$H666))</f>
        <v/>
      </c>
      <c r="C666" s="5">
        <f>IF($H666="","",INDEX('Journal'!$C$1:$C$2002,$H666)&amp;"")</f>
        <v/>
      </c>
      <c r="D666" s="5">
        <f>IF($H666="","",IF(INDEX('Journal'!$D$1:$D$2002,$H666)=$B$1,INDEX('Journal'!$E$1:$E$2002,$H666),INDEX('Journal'!$D$1:$D$2002,$H666))&amp;"")</f>
        <v/>
      </c>
      <c r="E666" s="20">
        <f>IF($H666="","",IF(INDEX('Journal'!$D$1:$D$2002,$H666)=$B$1,N(INDEX('Journal'!$G$1:$G$2002,$H666)),N(INDEX('Journal'!$F$1:$F$2002,$H666))))</f>
        <v/>
      </c>
      <c r="F666" s="20">
        <f>IF($H666="","",IF(INDEX('Journal'!$D$1:$D$2002,$H666)=$B$1,N(INDEX('Journal'!$F$1:$F$2002,$H666)),N(INDEX('Journal'!$G$1:$G$2002,$H666))))</f>
        <v/>
      </c>
      <c r="G666" s="20">
        <f>IF($H666="","",G665+E666-F666)</f>
        <v/>
      </c>
      <c r="H666" s="18">
        <f t="array" ref="H666">IF($B$1="","",IFERROR(_xlfn.AGGREGATE(15,6,ROW('Journal'!$A$3:$A$2002)/(('Journal'!$D$3:$D$2002=$B$1)+('Journal'!$E$3:$E$2002=$B$1))/('Journal'!$B$3:$B$2002&gt;=$B$2)/('Journal'!$B$3:$B$2002&lt;=$B$3),661),""))</f>
        <v/>
      </c>
    </row>
    <row r="667">
      <c r="A667" s="18">
        <f>IF($H667="","",INDEX('Journal'!$A$1:$A$2002,$H667))</f>
        <v/>
      </c>
      <c r="B667" s="21">
        <f>IF($H667="","",INDEX('Journal'!$B$1:$B$2002,$H667))</f>
        <v/>
      </c>
      <c r="C667" s="5">
        <f>IF($H667="","",INDEX('Journal'!$C$1:$C$2002,$H667)&amp;"")</f>
        <v/>
      </c>
      <c r="D667" s="5">
        <f>IF($H667="","",IF(INDEX('Journal'!$D$1:$D$2002,$H667)=$B$1,INDEX('Journal'!$E$1:$E$2002,$H667),INDEX('Journal'!$D$1:$D$2002,$H667))&amp;"")</f>
        <v/>
      </c>
      <c r="E667" s="20">
        <f>IF($H667="","",IF(INDEX('Journal'!$D$1:$D$2002,$H667)=$B$1,N(INDEX('Journal'!$G$1:$G$2002,$H667)),N(INDEX('Journal'!$F$1:$F$2002,$H667))))</f>
        <v/>
      </c>
      <c r="F667" s="20">
        <f>IF($H667="","",IF(INDEX('Journal'!$D$1:$D$2002,$H667)=$B$1,N(INDEX('Journal'!$F$1:$F$2002,$H667)),N(INDEX('Journal'!$G$1:$G$2002,$H667))))</f>
        <v/>
      </c>
      <c r="G667" s="20">
        <f>IF($H667="","",G666+E667-F667)</f>
        <v/>
      </c>
      <c r="H667" s="18">
        <f t="array" ref="H667">IF($B$1="","",IFERROR(_xlfn.AGGREGATE(15,6,ROW('Journal'!$A$3:$A$2002)/(('Journal'!$D$3:$D$2002=$B$1)+('Journal'!$E$3:$E$2002=$B$1))/('Journal'!$B$3:$B$2002&gt;=$B$2)/('Journal'!$B$3:$B$2002&lt;=$B$3),662),""))</f>
        <v/>
      </c>
    </row>
    <row r="668">
      <c r="A668" s="18">
        <f>IF($H668="","",INDEX('Journal'!$A$1:$A$2002,$H668))</f>
        <v/>
      </c>
      <c r="B668" s="21">
        <f>IF($H668="","",INDEX('Journal'!$B$1:$B$2002,$H668))</f>
        <v/>
      </c>
      <c r="C668" s="5">
        <f>IF($H668="","",INDEX('Journal'!$C$1:$C$2002,$H668)&amp;"")</f>
        <v/>
      </c>
      <c r="D668" s="5">
        <f>IF($H668="","",IF(INDEX('Journal'!$D$1:$D$2002,$H668)=$B$1,INDEX('Journal'!$E$1:$E$2002,$H668),INDEX('Journal'!$D$1:$D$2002,$H668))&amp;"")</f>
        <v/>
      </c>
      <c r="E668" s="20">
        <f>IF($H668="","",IF(INDEX('Journal'!$D$1:$D$2002,$H668)=$B$1,N(INDEX('Journal'!$G$1:$G$2002,$H668)),N(INDEX('Journal'!$F$1:$F$2002,$H668))))</f>
        <v/>
      </c>
      <c r="F668" s="20">
        <f>IF($H668="","",IF(INDEX('Journal'!$D$1:$D$2002,$H668)=$B$1,N(INDEX('Journal'!$F$1:$F$2002,$H668)),N(INDEX('Journal'!$G$1:$G$2002,$H668))))</f>
        <v/>
      </c>
      <c r="G668" s="20">
        <f>IF($H668="","",G667+E668-F668)</f>
        <v/>
      </c>
      <c r="H668" s="18">
        <f t="array" ref="H668">IF($B$1="","",IFERROR(_xlfn.AGGREGATE(15,6,ROW('Journal'!$A$3:$A$2002)/(('Journal'!$D$3:$D$2002=$B$1)+('Journal'!$E$3:$E$2002=$B$1))/('Journal'!$B$3:$B$2002&gt;=$B$2)/('Journal'!$B$3:$B$2002&lt;=$B$3),663),""))</f>
        <v/>
      </c>
    </row>
    <row r="669">
      <c r="A669" s="18">
        <f>IF($H669="","",INDEX('Journal'!$A$1:$A$2002,$H669))</f>
        <v/>
      </c>
      <c r="B669" s="21">
        <f>IF($H669="","",INDEX('Journal'!$B$1:$B$2002,$H669))</f>
        <v/>
      </c>
      <c r="C669" s="5">
        <f>IF($H669="","",INDEX('Journal'!$C$1:$C$2002,$H669)&amp;"")</f>
        <v/>
      </c>
      <c r="D669" s="5">
        <f>IF($H669="","",IF(INDEX('Journal'!$D$1:$D$2002,$H669)=$B$1,INDEX('Journal'!$E$1:$E$2002,$H669),INDEX('Journal'!$D$1:$D$2002,$H669))&amp;"")</f>
        <v/>
      </c>
      <c r="E669" s="20">
        <f>IF($H669="","",IF(INDEX('Journal'!$D$1:$D$2002,$H669)=$B$1,N(INDEX('Journal'!$G$1:$G$2002,$H669)),N(INDEX('Journal'!$F$1:$F$2002,$H669))))</f>
        <v/>
      </c>
      <c r="F669" s="20">
        <f>IF($H669="","",IF(INDEX('Journal'!$D$1:$D$2002,$H669)=$B$1,N(INDEX('Journal'!$F$1:$F$2002,$H669)),N(INDEX('Journal'!$G$1:$G$2002,$H669))))</f>
        <v/>
      </c>
      <c r="G669" s="20">
        <f>IF($H669="","",G668+E669-F669)</f>
        <v/>
      </c>
      <c r="H669" s="18">
        <f t="array" ref="H669">IF($B$1="","",IFERROR(_xlfn.AGGREGATE(15,6,ROW('Journal'!$A$3:$A$2002)/(('Journal'!$D$3:$D$2002=$B$1)+('Journal'!$E$3:$E$2002=$B$1))/('Journal'!$B$3:$B$2002&gt;=$B$2)/('Journal'!$B$3:$B$2002&lt;=$B$3),664),""))</f>
        <v/>
      </c>
    </row>
    <row r="670">
      <c r="A670" s="18">
        <f>IF($H670="","",INDEX('Journal'!$A$1:$A$2002,$H670))</f>
        <v/>
      </c>
      <c r="B670" s="21">
        <f>IF($H670="","",INDEX('Journal'!$B$1:$B$2002,$H670))</f>
        <v/>
      </c>
      <c r="C670" s="5">
        <f>IF($H670="","",INDEX('Journal'!$C$1:$C$2002,$H670)&amp;"")</f>
        <v/>
      </c>
      <c r="D670" s="5">
        <f>IF($H670="","",IF(INDEX('Journal'!$D$1:$D$2002,$H670)=$B$1,INDEX('Journal'!$E$1:$E$2002,$H670),INDEX('Journal'!$D$1:$D$2002,$H670))&amp;"")</f>
        <v/>
      </c>
      <c r="E670" s="20">
        <f>IF($H670="","",IF(INDEX('Journal'!$D$1:$D$2002,$H670)=$B$1,N(INDEX('Journal'!$G$1:$G$2002,$H670)),N(INDEX('Journal'!$F$1:$F$2002,$H670))))</f>
        <v/>
      </c>
      <c r="F670" s="20">
        <f>IF($H670="","",IF(INDEX('Journal'!$D$1:$D$2002,$H670)=$B$1,N(INDEX('Journal'!$F$1:$F$2002,$H670)),N(INDEX('Journal'!$G$1:$G$2002,$H670))))</f>
        <v/>
      </c>
      <c r="G670" s="20">
        <f>IF($H670="","",G669+E670-F670)</f>
        <v/>
      </c>
      <c r="H670" s="18">
        <f t="array" ref="H670">IF($B$1="","",IFERROR(_xlfn.AGGREGATE(15,6,ROW('Journal'!$A$3:$A$2002)/(('Journal'!$D$3:$D$2002=$B$1)+('Journal'!$E$3:$E$2002=$B$1))/('Journal'!$B$3:$B$2002&gt;=$B$2)/('Journal'!$B$3:$B$2002&lt;=$B$3),665),""))</f>
        <v/>
      </c>
    </row>
    <row r="671">
      <c r="A671" s="18">
        <f>IF($H671="","",INDEX('Journal'!$A$1:$A$2002,$H671))</f>
        <v/>
      </c>
      <c r="B671" s="21">
        <f>IF($H671="","",INDEX('Journal'!$B$1:$B$2002,$H671))</f>
        <v/>
      </c>
      <c r="C671" s="5">
        <f>IF($H671="","",INDEX('Journal'!$C$1:$C$2002,$H671)&amp;"")</f>
        <v/>
      </c>
      <c r="D671" s="5">
        <f>IF($H671="","",IF(INDEX('Journal'!$D$1:$D$2002,$H671)=$B$1,INDEX('Journal'!$E$1:$E$2002,$H671),INDEX('Journal'!$D$1:$D$2002,$H671))&amp;"")</f>
        <v/>
      </c>
      <c r="E671" s="20">
        <f>IF($H671="","",IF(INDEX('Journal'!$D$1:$D$2002,$H671)=$B$1,N(INDEX('Journal'!$G$1:$G$2002,$H671)),N(INDEX('Journal'!$F$1:$F$2002,$H671))))</f>
        <v/>
      </c>
      <c r="F671" s="20">
        <f>IF($H671="","",IF(INDEX('Journal'!$D$1:$D$2002,$H671)=$B$1,N(INDEX('Journal'!$F$1:$F$2002,$H671)),N(INDEX('Journal'!$G$1:$G$2002,$H671))))</f>
        <v/>
      </c>
      <c r="G671" s="20">
        <f>IF($H671="","",G670+E671-F671)</f>
        <v/>
      </c>
      <c r="H671" s="18">
        <f t="array" ref="H671">IF($B$1="","",IFERROR(_xlfn.AGGREGATE(15,6,ROW('Journal'!$A$3:$A$2002)/(('Journal'!$D$3:$D$2002=$B$1)+('Journal'!$E$3:$E$2002=$B$1))/('Journal'!$B$3:$B$2002&gt;=$B$2)/('Journal'!$B$3:$B$2002&lt;=$B$3),666),""))</f>
        <v/>
      </c>
    </row>
    <row r="672">
      <c r="A672" s="18">
        <f>IF($H672="","",INDEX('Journal'!$A$1:$A$2002,$H672))</f>
        <v/>
      </c>
      <c r="B672" s="21">
        <f>IF($H672="","",INDEX('Journal'!$B$1:$B$2002,$H672))</f>
        <v/>
      </c>
      <c r="C672" s="5">
        <f>IF($H672="","",INDEX('Journal'!$C$1:$C$2002,$H672)&amp;"")</f>
        <v/>
      </c>
      <c r="D672" s="5">
        <f>IF($H672="","",IF(INDEX('Journal'!$D$1:$D$2002,$H672)=$B$1,INDEX('Journal'!$E$1:$E$2002,$H672),INDEX('Journal'!$D$1:$D$2002,$H672))&amp;"")</f>
        <v/>
      </c>
      <c r="E672" s="20">
        <f>IF($H672="","",IF(INDEX('Journal'!$D$1:$D$2002,$H672)=$B$1,N(INDEX('Journal'!$G$1:$G$2002,$H672)),N(INDEX('Journal'!$F$1:$F$2002,$H672))))</f>
        <v/>
      </c>
      <c r="F672" s="20">
        <f>IF($H672="","",IF(INDEX('Journal'!$D$1:$D$2002,$H672)=$B$1,N(INDEX('Journal'!$F$1:$F$2002,$H672)),N(INDEX('Journal'!$G$1:$G$2002,$H672))))</f>
        <v/>
      </c>
      <c r="G672" s="20">
        <f>IF($H672="","",G671+E672-F672)</f>
        <v/>
      </c>
      <c r="H672" s="18">
        <f t="array" ref="H672">IF($B$1="","",IFERROR(_xlfn.AGGREGATE(15,6,ROW('Journal'!$A$3:$A$2002)/(('Journal'!$D$3:$D$2002=$B$1)+('Journal'!$E$3:$E$2002=$B$1))/('Journal'!$B$3:$B$2002&gt;=$B$2)/('Journal'!$B$3:$B$2002&lt;=$B$3),667),""))</f>
        <v/>
      </c>
    </row>
    <row r="673">
      <c r="A673" s="18">
        <f>IF($H673="","",INDEX('Journal'!$A$1:$A$2002,$H673))</f>
        <v/>
      </c>
      <c r="B673" s="21">
        <f>IF($H673="","",INDEX('Journal'!$B$1:$B$2002,$H673))</f>
        <v/>
      </c>
      <c r="C673" s="5">
        <f>IF($H673="","",INDEX('Journal'!$C$1:$C$2002,$H673)&amp;"")</f>
        <v/>
      </c>
      <c r="D673" s="5">
        <f>IF($H673="","",IF(INDEX('Journal'!$D$1:$D$2002,$H673)=$B$1,INDEX('Journal'!$E$1:$E$2002,$H673),INDEX('Journal'!$D$1:$D$2002,$H673))&amp;"")</f>
        <v/>
      </c>
      <c r="E673" s="20">
        <f>IF($H673="","",IF(INDEX('Journal'!$D$1:$D$2002,$H673)=$B$1,N(INDEX('Journal'!$G$1:$G$2002,$H673)),N(INDEX('Journal'!$F$1:$F$2002,$H673))))</f>
        <v/>
      </c>
      <c r="F673" s="20">
        <f>IF($H673="","",IF(INDEX('Journal'!$D$1:$D$2002,$H673)=$B$1,N(INDEX('Journal'!$F$1:$F$2002,$H673)),N(INDEX('Journal'!$G$1:$G$2002,$H673))))</f>
        <v/>
      </c>
      <c r="G673" s="20">
        <f>IF($H673="","",G672+E673-F673)</f>
        <v/>
      </c>
      <c r="H673" s="18">
        <f t="array" ref="H673">IF($B$1="","",IFERROR(_xlfn.AGGREGATE(15,6,ROW('Journal'!$A$3:$A$2002)/(('Journal'!$D$3:$D$2002=$B$1)+('Journal'!$E$3:$E$2002=$B$1))/('Journal'!$B$3:$B$2002&gt;=$B$2)/('Journal'!$B$3:$B$2002&lt;=$B$3),668),""))</f>
        <v/>
      </c>
    </row>
    <row r="674">
      <c r="A674" s="18">
        <f>IF($H674="","",INDEX('Journal'!$A$1:$A$2002,$H674))</f>
        <v/>
      </c>
      <c r="B674" s="21">
        <f>IF($H674="","",INDEX('Journal'!$B$1:$B$2002,$H674))</f>
        <v/>
      </c>
      <c r="C674" s="5">
        <f>IF($H674="","",INDEX('Journal'!$C$1:$C$2002,$H674)&amp;"")</f>
        <v/>
      </c>
      <c r="D674" s="5">
        <f>IF($H674="","",IF(INDEX('Journal'!$D$1:$D$2002,$H674)=$B$1,INDEX('Journal'!$E$1:$E$2002,$H674),INDEX('Journal'!$D$1:$D$2002,$H674))&amp;"")</f>
        <v/>
      </c>
      <c r="E674" s="20">
        <f>IF($H674="","",IF(INDEX('Journal'!$D$1:$D$2002,$H674)=$B$1,N(INDEX('Journal'!$G$1:$G$2002,$H674)),N(INDEX('Journal'!$F$1:$F$2002,$H674))))</f>
        <v/>
      </c>
      <c r="F674" s="20">
        <f>IF($H674="","",IF(INDEX('Journal'!$D$1:$D$2002,$H674)=$B$1,N(INDEX('Journal'!$F$1:$F$2002,$H674)),N(INDEX('Journal'!$G$1:$G$2002,$H674))))</f>
        <v/>
      </c>
      <c r="G674" s="20">
        <f>IF($H674="","",G673+E674-F674)</f>
        <v/>
      </c>
      <c r="H674" s="18">
        <f t="array" ref="H674">IF($B$1="","",IFERROR(_xlfn.AGGREGATE(15,6,ROW('Journal'!$A$3:$A$2002)/(('Journal'!$D$3:$D$2002=$B$1)+('Journal'!$E$3:$E$2002=$B$1))/('Journal'!$B$3:$B$2002&gt;=$B$2)/('Journal'!$B$3:$B$2002&lt;=$B$3),669),""))</f>
        <v/>
      </c>
    </row>
    <row r="675">
      <c r="A675" s="18">
        <f>IF($H675="","",INDEX('Journal'!$A$1:$A$2002,$H675))</f>
        <v/>
      </c>
      <c r="B675" s="21">
        <f>IF($H675="","",INDEX('Journal'!$B$1:$B$2002,$H675))</f>
        <v/>
      </c>
      <c r="C675" s="5">
        <f>IF($H675="","",INDEX('Journal'!$C$1:$C$2002,$H675)&amp;"")</f>
        <v/>
      </c>
      <c r="D675" s="5">
        <f>IF($H675="","",IF(INDEX('Journal'!$D$1:$D$2002,$H675)=$B$1,INDEX('Journal'!$E$1:$E$2002,$H675),INDEX('Journal'!$D$1:$D$2002,$H675))&amp;"")</f>
        <v/>
      </c>
      <c r="E675" s="20">
        <f>IF($H675="","",IF(INDEX('Journal'!$D$1:$D$2002,$H675)=$B$1,N(INDEX('Journal'!$G$1:$G$2002,$H675)),N(INDEX('Journal'!$F$1:$F$2002,$H675))))</f>
        <v/>
      </c>
      <c r="F675" s="20">
        <f>IF($H675="","",IF(INDEX('Journal'!$D$1:$D$2002,$H675)=$B$1,N(INDEX('Journal'!$F$1:$F$2002,$H675)),N(INDEX('Journal'!$G$1:$G$2002,$H675))))</f>
        <v/>
      </c>
      <c r="G675" s="20">
        <f>IF($H675="","",G674+E675-F675)</f>
        <v/>
      </c>
      <c r="H675" s="18">
        <f t="array" ref="H675">IF($B$1="","",IFERROR(_xlfn.AGGREGATE(15,6,ROW('Journal'!$A$3:$A$2002)/(('Journal'!$D$3:$D$2002=$B$1)+('Journal'!$E$3:$E$2002=$B$1))/('Journal'!$B$3:$B$2002&gt;=$B$2)/('Journal'!$B$3:$B$2002&lt;=$B$3),670),""))</f>
        <v/>
      </c>
    </row>
    <row r="676">
      <c r="A676" s="18">
        <f>IF($H676="","",INDEX('Journal'!$A$1:$A$2002,$H676))</f>
        <v/>
      </c>
      <c r="B676" s="21">
        <f>IF($H676="","",INDEX('Journal'!$B$1:$B$2002,$H676))</f>
        <v/>
      </c>
      <c r="C676" s="5">
        <f>IF($H676="","",INDEX('Journal'!$C$1:$C$2002,$H676)&amp;"")</f>
        <v/>
      </c>
      <c r="D676" s="5">
        <f>IF($H676="","",IF(INDEX('Journal'!$D$1:$D$2002,$H676)=$B$1,INDEX('Journal'!$E$1:$E$2002,$H676),INDEX('Journal'!$D$1:$D$2002,$H676))&amp;"")</f>
        <v/>
      </c>
      <c r="E676" s="20">
        <f>IF($H676="","",IF(INDEX('Journal'!$D$1:$D$2002,$H676)=$B$1,N(INDEX('Journal'!$G$1:$G$2002,$H676)),N(INDEX('Journal'!$F$1:$F$2002,$H676))))</f>
        <v/>
      </c>
      <c r="F676" s="20">
        <f>IF($H676="","",IF(INDEX('Journal'!$D$1:$D$2002,$H676)=$B$1,N(INDEX('Journal'!$F$1:$F$2002,$H676)),N(INDEX('Journal'!$G$1:$G$2002,$H676))))</f>
        <v/>
      </c>
      <c r="G676" s="20">
        <f>IF($H676="","",G675+E676-F676)</f>
        <v/>
      </c>
      <c r="H676" s="18">
        <f t="array" ref="H676">IF($B$1="","",IFERROR(_xlfn.AGGREGATE(15,6,ROW('Journal'!$A$3:$A$2002)/(('Journal'!$D$3:$D$2002=$B$1)+('Journal'!$E$3:$E$2002=$B$1))/('Journal'!$B$3:$B$2002&gt;=$B$2)/('Journal'!$B$3:$B$2002&lt;=$B$3),671),""))</f>
        <v/>
      </c>
    </row>
    <row r="677">
      <c r="A677" s="18">
        <f>IF($H677="","",INDEX('Journal'!$A$1:$A$2002,$H677))</f>
        <v/>
      </c>
      <c r="B677" s="21">
        <f>IF($H677="","",INDEX('Journal'!$B$1:$B$2002,$H677))</f>
        <v/>
      </c>
      <c r="C677" s="5">
        <f>IF($H677="","",INDEX('Journal'!$C$1:$C$2002,$H677)&amp;"")</f>
        <v/>
      </c>
      <c r="D677" s="5">
        <f>IF($H677="","",IF(INDEX('Journal'!$D$1:$D$2002,$H677)=$B$1,INDEX('Journal'!$E$1:$E$2002,$H677),INDEX('Journal'!$D$1:$D$2002,$H677))&amp;"")</f>
        <v/>
      </c>
      <c r="E677" s="20">
        <f>IF($H677="","",IF(INDEX('Journal'!$D$1:$D$2002,$H677)=$B$1,N(INDEX('Journal'!$G$1:$G$2002,$H677)),N(INDEX('Journal'!$F$1:$F$2002,$H677))))</f>
        <v/>
      </c>
      <c r="F677" s="20">
        <f>IF($H677="","",IF(INDEX('Journal'!$D$1:$D$2002,$H677)=$B$1,N(INDEX('Journal'!$F$1:$F$2002,$H677)),N(INDEX('Journal'!$G$1:$G$2002,$H677))))</f>
        <v/>
      </c>
      <c r="G677" s="20">
        <f>IF($H677="","",G676+E677-F677)</f>
        <v/>
      </c>
      <c r="H677" s="18">
        <f t="array" ref="H677">IF($B$1="","",IFERROR(_xlfn.AGGREGATE(15,6,ROW('Journal'!$A$3:$A$2002)/(('Journal'!$D$3:$D$2002=$B$1)+('Journal'!$E$3:$E$2002=$B$1))/('Journal'!$B$3:$B$2002&gt;=$B$2)/('Journal'!$B$3:$B$2002&lt;=$B$3),672),""))</f>
        <v/>
      </c>
    </row>
    <row r="678">
      <c r="A678" s="18">
        <f>IF($H678="","",INDEX('Journal'!$A$1:$A$2002,$H678))</f>
        <v/>
      </c>
      <c r="B678" s="21">
        <f>IF($H678="","",INDEX('Journal'!$B$1:$B$2002,$H678))</f>
        <v/>
      </c>
      <c r="C678" s="5">
        <f>IF($H678="","",INDEX('Journal'!$C$1:$C$2002,$H678)&amp;"")</f>
        <v/>
      </c>
      <c r="D678" s="5">
        <f>IF($H678="","",IF(INDEX('Journal'!$D$1:$D$2002,$H678)=$B$1,INDEX('Journal'!$E$1:$E$2002,$H678),INDEX('Journal'!$D$1:$D$2002,$H678))&amp;"")</f>
        <v/>
      </c>
      <c r="E678" s="20">
        <f>IF($H678="","",IF(INDEX('Journal'!$D$1:$D$2002,$H678)=$B$1,N(INDEX('Journal'!$G$1:$G$2002,$H678)),N(INDEX('Journal'!$F$1:$F$2002,$H678))))</f>
        <v/>
      </c>
      <c r="F678" s="20">
        <f>IF($H678="","",IF(INDEX('Journal'!$D$1:$D$2002,$H678)=$B$1,N(INDEX('Journal'!$F$1:$F$2002,$H678)),N(INDEX('Journal'!$G$1:$G$2002,$H678))))</f>
        <v/>
      </c>
      <c r="G678" s="20">
        <f>IF($H678="","",G677+E678-F678)</f>
        <v/>
      </c>
      <c r="H678" s="18">
        <f t="array" ref="H678">IF($B$1="","",IFERROR(_xlfn.AGGREGATE(15,6,ROW('Journal'!$A$3:$A$2002)/(('Journal'!$D$3:$D$2002=$B$1)+('Journal'!$E$3:$E$2002=$B$1))/('Journal'!$B$3:$B$2002&gt;=$B$2)/('Journal'!$B$3:$B$2002&lt;=$B$3),673),""))</f>
        <v/>
      </c>
    </row>
    <row r="679">
      <c r="A679" s="18">
        <f>IF($H679="","",INDEX('Journal'!$A$1:$A$2002,$H679))</f>
        <v/>
      </c>
      <c r="B679" s="21">
        <f>IF($H679="","",INDEX('Journal'!$B$1:$B$2002,$H679))</f>
        <v/>
      </c>
      <c r="C679" s="5">
        <f>IF($H679="","",INDEX('Journal'!$C$1:$C$2002,$H679)&amp;"")</f>
        <v/>
      </c>
      <c r="D679" s="5">
        <f>IF($H679="","",IF(INDEX('Journal'!$D$1:$D$2002,$H679)=$B$1,INDEX('Journal'!$E$1:$E$2002,$H679),INDEX('Journal'!$D$1:$D$2002,$H679))&amp;"")</f>
        <v/>
      </c>
      <c r="E679" s="20">
        <f>IF($H679="","",IF(INDEX('Journal'!$D$1:$D$2002,$H679)=$B$1,N(INDEX('Journal'!$G$1:$G$2002,$H679)),N(INDEX('Journal'!$F$1:$F$2002,$H679))))</f>
        <v/>
      </c>
      <c r="F679" s="20">
        <f>IF($H679="","",IF(INDEX('Journal'!$D$1:$D$2002,$H679)=$B$1,N(INDEX('Journal'!$F$1:$F$2002,$H679)),N(INDEX('Journal'!$G$1:$G$2002,$H679))))</f>
        <v/>
      </c>
      <c r="G679" s="20">
        <f>IF($H679="","",G678+E679-F679)</f>
        <v/>
      </c>
      <c r="H679" s="18">
        <f t="array" ref="H679">IF($B$1="","",IFERROR(_xlfn.AGGREGATE(15,6,ROW('Journal'!$A$3:$A$2002)/(('Journal'!$D$3:$D$2002=$B$1)+('Journal'!$E$3:$E$2002=$B$1))/('Journal'!$B$3:$B$2002&gt;=$B$2)/('Journal'!$B$3:$B$2002&lt;=$B$3),674),""))</f>
        <v/>
      </c>
    </row>
    <row r="680">
      <c r="A680" s="18">
        <f>IF($H680="","",INDEX('Journal'!$A$1:$A$2002,$H680))</f>
        <v/>
      </c>
      <c r="B680" s="21">
        <f>IF($H680="","",INDEX('Journal'!$B$1:$B$2002,$H680))</f>
        <v/>
      </c>
      <c r="C680" s="5">
        <f>IF($H680="","",INDEX('Journal'!$C$1:$C$2002,$H680)&amp;"")</f>
        <v/>
      </c>
      <c r="D680" s="5">
        <f>IF($H680="","",IF(INDEX('Journal'!$D$1:$D$2002,$H680)=$B$1,INDEX('Journal'!$E$1:$E$2002,$H680),INDEX('Journal'!$D$1:$D$2002,$H680))&amp;"")</f>
        <v/>
      </c>
      <c r="E680" s="20">
        <f>IF($H680="","",IF(INDEX('Journal'!$D$1:$D$2002,$H680)=$B$1,N(INDEX('Journal'!$G$1:$G$2002,$H680)),N(INDEX('Journal'!$F$1:$F$2002,$H680))))</f>
        <v/>
      </c>
      <c r="F680" s="20">
        <f>IF($H680="","",IF(INDEX('Journal'!$D$1:$D$2002,$H680)=$B$1,N(INDEX('Journal'!$F$1:$F$2002,$H680)),N(INDEX('Journal'!$G$1:$G$2002,$H680))))</f>
        <v/>
      </c>
      <c r="G680" s="20">
        <f>IF($H680="","",G679+E680-F680)</f>
        <v/>
      </c>
      <c r="H680" s="18">
        <f t="array" ref="H680">IF($B$1="","",IFERROR(_xlfn.AGGREGATE(15,6,ROW('Journal'!$A$3:$A$2002)/(('Journal'!$D$3:$D$2002=$B$1)+('Journal'!$E$3:$E$2002=$B$1))/('Journal'!$B$3:$B$2002&gt;=$B$2)/('Journal'!$B$3:$B$2002&lt;=$B$3),675),""))</f>
        <v/>
      </c>
    </row>
    <row r="681">
      <c r="A681" s="18">
        <f>IF($H681="","",INDEX('Journal'!$A$1:$A$2002,$H681))</f>
        <v/>
      </c>
      <c r="B681" s="21">
        <f>IF($H681="","",INDEX('Journal'!$B$1:$B$2002,$H681))</f>
        <v/>
      </c>
      <c r="C681" s="5">
        <f>IF($H681="","",INDEX('Journal'!$C$1:$C$2002,$H681)&amp;"")</f>
        <v/>
      </c>
      <c r="D681" s="5">
        <f>IF($H681="","",IF(INDEX('Journal'!$D$1:$D$2002,$H681)=$B$1,INDEX('Journal'!$E$1:$E$2002,$H681),INDEX('Journal'!$D$1:$D$2002,$H681))&amp;"")</f>
        <v/>
      </c>
      <c r="E681" s="20">
        <f>IF($H681="","",IF(INDEX('Journal'!$D$1:$D$2002,$H681)=$B$1,N(INDEX('Journal'!$G$1:$G$2002,$H681)),N(INDEX('Journal'!$F$1:$F$2002,$H681))))</f>
        <v/>
      </c>
      <c r="F681" s="20">
        <f>IF($H681="","",IF(INDEX('Journal'!$D$1:$D$2002,$H681)=$B$1,N(INDEX('Journal'!$F$1:$F$2002,$H681)),N(INDEX('Journal'!$G$1:$G$2002,$H681))))</f>
        <v/>
      </c>
      <c r="G681" s="20">
        <f>IF($H681="","",G680+E681-F681)</f>
        <v/>
      </c>
      <c r="H681" s="18">
        <f t="array" ref="H681">IF($B$1="","",IFERROR(_xlfn.AGGREGATE(15,6,ROW('Journal'!$A$3:$A$2002)/(('Journal'!$D$3:$D$2002=$B$1)+('Journal'!$E$3:$E$2002=$B$1))/('Journal'!$B$3:$B$2002&gt;=$B$2)/('Journal'!$B$3:$B$2002&lt;=$B$3),676),""))</f>
        <v/>
      </c>
    </row>
    <row r="682">
      <c r="A682" s="18">
        <f>IF($H682="","",INDEX('Journal'!$A$1:$A$2002,$H682))</f>
        <v/>
      </c>
      <c r="B682" s="21">
        <f>IF($H682="","",INDEX('Journal'!$B$1:$B$2002,$H682))</f>
        <v/>
      </c>
      <c r="C682" s="5">
        <f>IF($H682="","",INDEX('Journal'!$C$1:$C$2002,$H682)&amp;"")</f>
        <v/>
      </c>
      <c r="D682" s="5">
        <f>IF($H682="","",IF(INDEX('Journal'!$D$1:$D$2002,$H682)=$B$1,INDEX('Journal'!$E$1:$E$2002,$H682),INDEX('Journal'!$D$1:$D$2002,$H682))&amp;"")</f>
        <v/>
      </c>
      <c r="E682" s="20">
        <f>IF($H682="","",IF(INDEX('Journal'!$D$1:$D$2002,$H682)=$B$1,N(INDEX('Journal'!$G$1:$G$2002,$H682)),N(INDEX('Journal'!$F$1:$F$2002,$H682))))</f>
        <v/>
      </c>
      <c r="F682" s="20">
        <f>IF($H682="","",IF(INDEX('Journal'!$D$1:$D$2002,$H682)=$B$1,N(INDEX('Journal'!$F$1:$F$2002,$H682)),N(INDEX('Journal'!$G$1:$G$2002,$H682))))</f>
        <v/>
      </c>
      <c r="G682" s="20">
        <f>IF($H682="","",G681+E682-F682)</f>
        <v/>
      </c>
      <c r="H682" s="18">
        <f t="array" ref="H682">IF($B$1="","",IFERROR(_xlfn.AGGREGATE(15,6,ROW('Journal'!$A$3:$A$2002)/(('Journal'!$D$3:$D$2002=$B$1)+('Journal'!$E$3:$E$2002=$B$1))/('Journal'!$B$3:$B$2002&gt;=$B$2)/('Journal'!$B$3:$B$2002&lt;=$B$3),677),""))</f>
        <v/>
      </c>
    </row>
    <row r="683">
      <c r="A683" s="18">
        <f>IF($H683="","",INDEX('Journal'!$A$1:$A$2002,$H683))</f>
        <v/>
      </c>
      <c r="B683" s="21">
        <f>IF($H683="","",INDEX('Journal'!$B$1:$B$2002,$H683))</f>
        <v/>
      </c>
      <c r="C683" s="5">
        <f>IF($H683="","",INDEX('Journal'!$C$1:$C$2002,$H683)&amp;"")</f>
        <v/>
      </c>
      <c r="D683" s="5">
        <f>IF($H683="","",IF(INDEX('Journal'!$D$1:$D$2002,$H683)=$B$1,INDEX('Journal'!$E$1:$E$2002,$H683),INDEX('Journal'!$D$1:$D$2002,$H683))&amp;"")</f>
        <v/>
      </c>
      <c r="E683" s="20">
        <f>IF($H683="","",IF(INDEX('Journal'!$D$1:$D$2002,$H683)=$B$1,N(INDEX('Journal'!$G$1:$G$2002,$H683)),N(INDEX('Journal'!$F$1:$F$2002,$H683))))</f>
        <v/>
      </c>
      <c r="F683" s="20">
        <f>IF($H683="","",IF(INDEX('Journal'!$D$1:$D$2002,$H683)=$B$1,N(INDEX('Journal'!$F$1:$F$2002,$H683)),N(INDEX('Journal'!$G$1:$G$2002,$H683))))</f>
        <v/>
      </c>
      <c r="G683" s="20">
        <f>IF($H683="","",G682+E683-F683)</f>
        <v/>
      </c>
      <c r="H683" s="18">
        <f t="array" ref="H683">IF($B$1="","",IFERROR(_xlfn.AGGREGATE(15,6,ROW('Journal'!$A$3:$A$2002)/(('Journal'!$D$3:$D$2002=$B$1)+('Journal'!$E$3:$E$2002=$B$1))/('Journal'!$B$3:$B$2002&gt;=$B$2)/('Journal'!$B$3:$B$2002&lt;=$B$3),678),""))</f>
        <v/>
      </c>
    </row>
    <row r="684">
      <c r="A684" s="18">
        <f>IF($H684="","",INDEX('Journal'!$A$1:$A$2002,$H684))</f>
        <v/>
      </c>
      <c r="B684" s="21">
        <f>IF($H684="","",INDEX('Journal'!$B$1:$B$2002,$H684))</f>
        <v/>
      </c>
      <c r="C684" s="5">
        <f>IF($H684="","",INDEX('Journal'!$C$1:$C$2002,$H684)&amp;"")</f>
        <v/>
      </c>
      <c r="D684" s="5">
        <f>IF($H684="","",IF(INDEX('Journal'!$D$1:$D$2002,$H684)=$B$1,INDEX('Journal'!$E$1:$E$2002,$H684),INDEX('Journal'!$D$1:$D$2002,$H684))&amp;"")</f>
        <v/>
      </c>
      <c r="E684" s="20">
        <f>IF($H684="","",IF(INDEX('Journal'!$D$1:$D$2002,$H684)=$B$1,N(INDEX('Journal'!$G$1:$G$2002,$H684)),N(INDEX('Journal'!$F$1:$F$2002,$H684))))</f>
        <v/>
      </c>
      <c r="F684" s="20">
        <f>IF($H684="","",IF(INDEX('Journal'!$D$1:$D$2002,$H684)=$B$1,N(INDEX('Journal'!$F$1:$F$2002,$H684)),N(INDEX('Journal'!$G$1:$G$2002,$H684))))</f>
        <v/>
      </c>
      <c r="G684" s="20">
        <f>IF($H684="","",G683+E684-F684)</f>
        <v/>
      </c>
      <c r="H684" s="18">
        <f t="array" ref="H684">IF($B$1="","",IFERROR(_xlfn.AGGREGATE(15,6,ROW('Journal'!$A$3:$A$2002)/(('Journal'!$D$3:$D$2002=$B$1)+('Journal'!$E$3:$E$2002=$B$1))/('Journal'!$B$3:$B$2002&gt;=$B$2)/('Journal'!$B$3:$B$2002&lt;=$B$3),679),""))</f>
        <v/>
      </c>
    </row>
    <row r="685">
      <c r="A685" s="18">
        <f>IF($H685="","",INDEX('Journal'!$A$1:$A$2002,$H685))</f>
        <v/>
      </c>
      <c r="B685" s="21">
        <f>IF($H685="","",INDEX('Journal'!$B$1:$B$2002,$H685))</f>
        <v/>
      </c>
      <c r="C685" s="5">
        <f>IF($H685="","",INDEX('Journal'!$C$1:$C$2002,$H685)&amp;"")</f>
        <v/>
      </c>
      <c r="D685" s="5">
        <f>IF($H685="","",IF(INDEX('Journal'!$D$1:$D$2002,$H685)=$B$1,INDEX('Journal'!$E$1:$E$2002,$H685),INDEX('Journal'!$D$1:$D$2002,$H685))&amp;"")</f>
        <v/>
      </c>
      <c r="E685" s="20">
        <f>IF($H685="","",IF(INDEX('Journal'!$D$1:$D$2002,$H685)=$B$1,N(INDEX('Journal'!$G$1:$G$2002,$H685)),N(INDEX('Journal'!$F$1:$F$2002,$H685))))</f>
        <v/>
      </c>
      <c r="F685" s="20">
        <f>IF($H685="","",IF(INDEX('Journal'!$D$1:$D$2002,$H685)=$B$1,N(INDEX('Journal'!$F$1:$F$2002,$H685)),N(INDEX('Journal'!$G$1:$G$2002,$H685))))</f>
        <v/>
      </c>
      <c r="G685" s="20">
        <f>IF($H685="","",G684+E685-F685)</f>
        <v/>
      </c>
      <c r="H685" s="18">
        <f t="array" ref="H685">IF($B$1="","",IFERROR(_xlfn.AGGREGATE(15,6,ROW('Journal'!$A$3:$A$2002)/(('Journal'!$D$3:$D$2002=$B$1)+('Journal'!$E$3:$E$2002=$B$1))/('Journal'!$B$3:$B$2002&gt;=$B$2)/('Journal'!$B$3:$B$2002&lt;=$B$3),680),""))</f>
        <v/>
      </c>
    </row>
    <row r="686">
      <c r="A686" s="18">
        <f>IF($H686="","",INDEX('Journal'!$A$1:$A$2002,$H686))</f>
        <v/>
      </c>
      <c r="B686" s="21">
        <f>IF($H686="","",INDEX('Journal'!$B$1:$B$2002,$H686))</f>
        <v/>
      </c>
      <c r="C686" s="5">
        <f>IF($H686="","",INDEX('Journal'!$C$1:$C$2002,$H686)&amp;"")</f>
        <v/>
      </c>
      <c r="D686" s="5">
        <f>IF($H686="","",IF(INDEX('Journal'!$D$1:$D$2002,$H686)=$B$1,INDEX('Journal'!$E$1:$E$2002,$H686),INDEX('Journal'!$D$1:$D$2002,$H686))&amp;"")</f>
        <v/>
      </c>
      <c r="E686" s="20">
        <f>IF($H686="","",IF(INDEX('Journal'!$D$1:$D$2002,$H686)=$B$1,N(INDEX('Journal'!$G$1:$G$2002,$H686)),N(INDEX('Journal'!$F$1:$F$2002,$H686))))</f>
        <v/>
      </c>
      <c r="F686" s="20">
        <f>IF($H686="","",IF(INDEX('Journal'!$D$1:$D$2002,$H686)=$B$1,N(INDEX('Journal'!$F$1:$F$2002,$H686)),N(INDEX('Journal'!$G$1:$G$2002,$H686))))</f>
        <v/>
      </c>
      <c r="G686" s="20">
        <f>IF($H686="","",G685+E686-F686)</f>
        <v/>
      </c>
      <c r="H686" s="18">
        <f t="array" ref="H686">IF($B$1="","",IFERROR(_xlfn.AGGREGATE(15,6,ROW('Journal'!$A$3:$A$2002)/(('Journal'!$D$3:$D$2002=$B$1)+('Journal'!$E$3:$E$2002=$B$1))/('Journal'!$B$3:$B$2002&gt;=$B$2)/('Journal'!$B$3:$B$2002&lt;=$B$3),681),""))</f>
        <v/>
      </c>
    </row>
    <row r="687">
      <c r="A687" s="18">
        <f>IF($H687="","",INDEX('Journal'!$A$1:$A$2002,$H687))</f>
        <v/>
      </c>
      <c r="B687" s="21">
        <f>IF($H687="","",INDEX('Journal'!$B$1:$B$2002,$H687))</f>
        <v/>
      </c>
      <c r="C687" s="5">
        <f>IF($H687="","",INDEX('Journal'!$C$1:$C$2002,$H687)&amp;"")</f>
        <v/>
      </c>
      <c r="D687" s="5">
        <f>IF($H687="","",IF(INDEX('Journal'!$D$1:$D$2002,$H687)=$B$1,INDEX('Journal'!$E$1:$E$2002,$H687),INDEX('Journal'!$D$1:$D$2002,$H687))&amp;"")</f>
        <v/>
      </c>
      <c r="E687" s="20">
        <f>IF($H687="","",IF(INDEX('Journal'!$D$1:$D$2002,$H687)=$B$1,N(INDEX('Journal'!$G$1:$G$2002,$H687)),N(INDEX('Journal'!$F$1:$F$2002,$H687))))</f>
        <v/>
      </c>
      <c r="F687" s="20">
        <f>IF($H687="","",IF(INDEX('Journal'!$D$1:$D$2002,$H687)=$B$1,N(INDEX('Journal'!$F$1:$F$2002,$H687)),N(INDEX('Journal'!$G$1:$G$2002,$H687))))</f>
        <v/>
      </c>
      <c r="G687" s="20">
        <f>IF($H687="","",G686+E687-F687)</f>
        <v/>
      </c>
      <c r="H687" s="18">
        <f t="array" ref="H687">IF($B$1="","",IFERROR(_xlfn.AGGREGATE(15,6,ROW('Journal'!$A$3:$A$2002)/(('Journal'!$D$3:$D$2002=$B$1)+('Journal'!$E$3:$E$2002=$B$1))/('Journal'!$B$3:$B$2002&gt;=$B$2)/('Journal'!$B$3:$B$2002&lt;=$B$3),682),""))</f>
        <v/>
      </c>
    </row>
    <row r="688">
      <c r="A688" s="18">
        <f>IF($H688="","",INDEX('Journal'!$A$1:$A$2002,$H688))</f>
        <v/>
      </c>
      <c r="B688" s="21">
        <f>IF($H688="","",INDEX('Journal'!$B$1:$B$2002,$H688))</f>
        <v/>
      </c>
      <c r="C688" s="5">
        <f>IF($H688="","",INDEX('Journal'!$C$1:$C$2002,$H688)&amp;"")</f>
        <v/>
      </c>
      <c r="D688" s="5">
        <f>IF($H688="","",IF(INDEX('Journal'!$D$1:$D$2002,$H688)=$B$1,INDEX('Journal'!$E$1:$E$2002,$H688),INDEX('Journal'!$D$1:$D$2002,$H688))&amp;"")</f>
        <v/>
      </c>
      <c r="E688" s="20">
        <f>IF($H688="","",IF(INDEX('Journal'!$D$1:$D$2002,$H688)=$B$1,N(INDEX('Journal'!$G$1:$G$2002,$H688)),N(INDEX('Journal'!$F$1:$F$2002,$H688))))</f>
        <v/>
      </c>
      <c r="F688" s="20">
        <f>IF($H688="","",IF(INDEX('Journal'!$D$1:$D$2002,$H688)=$B$1,N(INDEX('Journal'!$F$1:$F$2002,$H688)),N(INDEX('Journal'!$G$1:$G$2002,$H688))))</f>
        <v/>
      </c>
      <c r="G688" s="20">
        <f>IF($H688="","",G687+E688-F688)</f>
        <v/>
      </c>
      <c r="H688" s="18">
        <f t="array" ref="H688">IF($B$1="","",IFERROR(_xlfn.AGGREGATE(15,6,ROW('Journal'!$A$3:$A$2002)/(('Journal'!$D$3:$D$2002=$B$1)+('Journal'!$E$3:$E$2002=$B$1))/('Journal'!$B$3:$B$2002&gt;=$B$2)/('Journal'!$B$3:$B$2002&lt;=$B$3),683),""))</f>
        <v/>
      </c>
    </row>
    <row r="689">
      <c r="A689" s="18">
        <f>IF($H689="","",INDEX('Journal'!$A$1:$A$2002,$H689))</f>
        <v/>
      </c>
      <c r="B689" s="21">
        <f>IF($H689="","",INDEX('Journal'!$B$1:$B$2002,$H689))</f>
        <v/>
      </c>
      <c r="C689" s="5">
        <f>IF($H689="","",INDEX('Journal'!$C$1:$C$2002,$H689)&amp;"")</f>
        <v/>
      </c>
      <c r="D689" s="5">
        <f>IF($H689="","",IF(INDEX('Journal'!$D$1:$D$2002,$H689)=$B$1,INDEX('Journal'!$E$1:$E$2002,$H689),INDEX('Journal'!$D$1:$D$2002,$H689))&amp;"")</f>
        <v/>
      </c>
      <c r="E689" s="20">
        <f>IF($H689="","",IF(INDEX('Journal'!$D$1:$D$2002,$H689)=$B$1,N(INDEX('Journal'!$G$1:$G$2002,$H689)),N(INDEX('Journal'!$F$1:$F$2002,$H689))))</f>
        <v/>
      </c>
      <c r="F689" s="20">
        <f>IF($H689="","",IF(INDEX('Journal'!$D$1:$D$2002,$H689)=$B$1,N(INDEX('Journal'!$F$1:$F$2002,$H689)),N(INDEX('Journal'!$G$1:$G$2002,$H689))))</f>
        <v/>
      </c>
      <c r="G689" s="20">
        <f>IF($H689="","",G688+E689-F689)</f>
        <v/>
      </c>
      <c r="H689" s="18">
        <f t="array" ref="H689">IF($B$1="","",IFERROR(_xlfn.AGGREGATE(15,6,ROW('Journal'!$A$3:$A$2002)/(('Journal'!$D$3:$D$2002=$B$1)+('Journal'!$E$3:$E$2002=$B$1))/('Journal'!$B$3:$B$2002&gt;=$B$2)/('Journal'!$B$3:$B$2002&lt;=$B$3),684),""))</f>
        <v/>
      </c>
    </row>
    <row r="690">
      <c r="A690" s="18">
        <f>IF($H690="","",INDEX('Journal'!$A$1:$A$2002,$H690))</f>
        <v/>
      </c>
      <c r="B690" s="21">
        <f>IF($H690="","",INDEX('Journal'!$B$1:$B$2002,$H690))</f>
        <v/>
      </c>
      <c r="C690" s="5">
        <f>IF($H690="","",INDEX('Journal'!$C$1:$C$2002,$H690)&amp;"")</f>
        <v/>
      </c>
      <c r="D690" s="5">
        <f>IF($H690="","",IF(INDEX('Journal'!$D$1:$D$2002,$H690)=$B$1,INDEX('Journal'!$E$1:$E$2002,$H690),INDEX('Journal'!$D$1:$D$2002,$H690))&amp;"")</f>
        <v/>
      </c>
      <c r="E690" s="20">
        <f>IF($H690="","",IF(INDEX('Journal'!$D$1:$D$2002,$H690)=$B$1,N(INDEX('Journal'!$G$1:$G$2002,$H690)),N(INDEX('Journal'!$F$1:$F$2002,$H690))))</f>
        <v/>
      </c>
      <c r="F690" s="20">
        <f>IF($H690="","",IF(INDEX('Journal'!$D$1:$D$2002,$H690)=$B$1,N(INDEX('Journal'!$F$1:$F$2002,$H690)),N(INDEX('Journal'!$G$1:$G$2002,$H690))))</f>
        <v/>
      </c>
      <c r="G690" s="20">
        <f>IF($H690="","",G689+E690-F690)</f>
        <v/>
      </c>
      <c r="H690" s="18">
        <f t="array" ref="H690">IF($B$1="","",IFERROR(_xlfn.AGGREGATE(15,6,ROW('Journal'!$A$3:$A$2002)/(('Journal'!$D$3:$D$2002=$B$1)+('Journal'!$E$3:$E$2002=$B$1))/('Journal'!$B$3:$B$2002&gt;=$B$2)/('Journal'!$B$3:$B$2002&lt;=$B$3),685),""))</f>
        <v/>
      </c>
    </row>
    <row r="691">
      <c r="A691" s="18">
        <f>IF($H691="","",INDEX('Journal'!$A$1:$A$2002,$H691))</f>
        <v/>
      </c>
      <c r="B691" s="21">
        <f>IF($H691="","",INDEX('Journal'!$B$1:$B$2002,$H691))</f>
        <v/>
      </c>
      <c r="C691" s="5">
        <f>IF($H691="","",INDEX('Journal'!$C$1:$C$2002,$H691)&amp;"")</f>
        <v/>
      </c>
      <c r="D691" s="5">
        <f>IF($H691="","",IF(INDEX('Journal'!$D$1:$D$2002,$H691)=$B$1,INDEX('Journal'!$E$1:$E$2002,$H691),INDEX('Journal'!$D$1:$D$2002,$H691))&amp;"")</f>
        <v/>
      </c>
      <c r="E691" s="20">
        <f>IF($H691="","",IF(INDEX('Journal'!$D$1:$D$2002,$H691)=$B$1,N(INDEX('Journal'!$G$1:$G$2002,$H691)),N(INDEX('Journal'!$F$1:$F$2002,$H691))))</f>
        <v/>
      </c>
      <c r="F691" s="20">
        <f>IF($H691="","",IF(INDEX('Journal'!$D$1:$D$2002,$H691)=$B$1,N(INDEX('Journal'!$F$1:$F$2002,$H691)),N(INDEX('Journal'!$G$1:$G$2002,$H691))))</f>
        <v/>
      </c>
      <c r="G691" s="20">
        <f>IF($H691="","",G690+E691-F691)</f>
        <v/>
      </c>
      <c r="H691" s="18">
        <f t="array" ref="H691">IF($B$1="","",IFERROR(_xlfn.AGGREGATE(15,6,ROW('Journal'!$A$3:$A$2002)/(('Journal'!$D$3:$D$2002=$B$1)+('Journal'!$E$3:$E$2002=$B$1))/('Journal'!$B$3:$B$2002&gt;=$B$2)/('Journal'!$B$3:$B$2002&lt;=$B$3),686),""))</f>
        <v/>
      </c>
    </row>
    <row r="692">
      <c r="A692" s="18">
        <f>IF($H692="","",INDEX('Journal'!$A$1:$A$2002,$H692))</f>
        <v/>
      </c>
      <c r="B692" s="21">
        <f>IF($H692="","",INDEX('Journal'!$B$1:$B$2002,$H692))</f>
        <v/>
      </c>
      <c r="C692" s="5">
        <f>IF($H692="","",INDEX('Journal'!$C$1:$C$2002,$H692)&amp;"")</f>
        <v/>
      </c>
      <c r="D692" s="5">
        <f>IF($H692="","",IF(INDEX('Journal'!$D$1:$D$2002,$H692)=$B$1,INDEX('Journal'!$E$1:$E$2002,$H692),INDEX('Journal'!$D$1:$D$2002,$H692))&amp;"")</f>
        <v/>
      </c>
      <c r="E692" s="20">
        <f>IF($H692="","",IF(INDEX('Journal'!$D$1:$D$2002,$H692)=$B$1,N(INDEX('Journal'!$G$1:$G$2002,$H692)),N(INDEX('Journal'!$F$1:$F$2002,$H692))))</f>
        <v/>
      </c>
      <c r="F692" s="20">
        <f>IF($H692="","",IF(INDEX('Journal'!$D$1:$D$2002,$H692)=$B$1,N(INDEX('Journal'!$F$1:$F$2002,$H692)),N(INDEX('Journal'!$G$1:$G$2002,$H692))))</f>
        <v/>
      </c>
      <c r="G692" s="20">
        <f>IF($H692="","",G691+E692-F692)</f>
        <v/>
      </c>
      <c r="H692" s="18">
        <f t="array" ref="H692">IF($B$1="","",IFERROR(_xlfn.AGGREGATE(15,6,ROW('Journal'!$A$3:$A$2002)/(('Journal'!$D$3:$D$2002=$B$1)+('Journal'!$E$3:$E$2002=$B$1))/('Journal'!$B$3:$B$2002&gt;=$B$2)/('Journal'!$B$3:$B$2002&lt;=$B$3),687),""))</f>
        <v/>
      </c>
    </row>
    <row r="693">
      <c r="A693" s="18">
        <f>IF($H693="","",INDEX('Journal'!$A$1:$A$2002,$H693))</f>
        <v/>
      </c>
      <c r="B693" s="21">
        <f>IF($H693="","",INDEX('Journal'!$B$1:$B$2002,$H693))</f>
        <v/>
      </c>
      <c r="C693" s="5">
        <f>IF($H693="","",INDEX('Journal'!$C$1:$C$2002,$H693)&amp;"")</f>
        <v/>
      </c>
      <c r="D693" s="5">
        <f>IF($H693="","",IF(INDEX('Journal'!$D$1:$D$2002,$H693)=$B$1,INDEX('Journal'!$E$1:$E$2002,$H693),INDEX('Journal'!$D$1:$D$2002,$H693))&amp;"")</f>
        <v/>
      </c>
      <c r="E693" s="20">
        <f>IF($H693="","",IF(INDEX('Journal'!$D$1:$D$2002,$H693)=$B$1,N(INDEX('Journal'!$G$1:$G$2002,$H693)),N(INDEX('Journal'!$F$1:$F$2002,$H693))))</f>
        <v/>
      </c>
      <c r="F693" s="20">
        <f>IF($H693="","",IF(INDEX('Journal'!$D$1:$D$2002,$H693)=$B$1,N(INDEX('Journal'!$F$1:$F$2002,$H693)),N(INDEX('Journal'!$G$1:$G$2002,$H693))))</f>
        <v/>
      </c>
      <c r="G693" s="20">
        <f>IF($H693="","",G692+E693-F693)</f>
        <v/>
      </c>
      <c r="H693" s="18">
        <f t="array" ref="H693">IF($B$1="","",IFERROR(_xlfn.AGGREGATE(15,6,ROW('Journal'!$A$3:$A$2002)/(('Journal'!$D$3:$D$2002=$B$1)+('Journal'!$E$3:$E$2002=$B$1))/('Journal'!$B$3:$B$2002&gt;=$B$2)/('Journal'!$B$3:$B$2002&lt;=$B$3),688),""))</f>
        <v/>
      </c>
    </row>
    <row r="694">
      <c r="A694" s="18">
        <f>IF($H694="","",INDEX('Journal'!$A$1:$A$2002,$H694))</f>
        <v/>
      </c>
      <c r="B694" s="21">
        <f>IF($H694="","",INDEX('Journal'!$B$1:$B$2002,$H694))</f>
        <v/>
      </c>
      <c r="C694" s="5">
        <f>IF($H694="","",INDEX('Journal'!$C$1:$C$2002,$H694)&amp;"")</f>
        <v/>
      </c>
      <c r="D694" s="5">
        <f>IF($H694="","",IF(INDEX('Journal'!$D$1:$D$2002,$H694)=$B$1,INDEX('Journal'!$E$1:$E$2002,$H694),INDEX('Journal'!$D$1:$D$2002,$H694))&amp;"")</f>
        <v/>
      </c>
      <c r="E694" s="20">
        <f>IF($H694="","",IF(INDEX('Journal'!$D$1:$D$2002,$H694)=$B$1,N(INDEX('Journal'!$G$1:$G$2002,$H694)),N(INDEX('Journal'!$F$1:$F$2002,$H694))))</f>
        <v/>
      </c>
      <c r="F694" s="20">
        <f>IF($H694="","",IF(INDEX('Journal'!$D$1:$D$2002,$H694)=$B$1,N(INDEX('Journal'!$F$1:$F$2002,$H694)),N(INDEX('Journal'!$G$1:$G$2002,$H694))))</f>
        <v/>
      </c>
      <c r="G694" s="20">
        <f>IF($H694="","",G693+E694-F694)</f>
        <v/>
      </c>
      <c r="H694" s="18">
        <f t="array" ref="H694">IF($B$1="","",IFERROR(_xlfn.AGGREGATE(15,6,ROW('Journal'!$A$3:$A$2002)/(('Journal'!$D$3:$D$2002=$B$1)+('Journal'!$E$3:$E$2002=$B$1))/('Journal'!$B$3:$B$2002&gt;=$B$2)/('Journal'!$B$3:$B$2002&lt;=$B$3),689),""))</f>
        <v/>
      </c>
    </row>
    <row r="695">
      <c r="A695" s="18">
        <f>IF($H695="","",INDEX('Journal'!$A$1:$A$2002,$H695))</f>
        <v/>
      </c>
      <c r="B695" s="21">
        <f>IF($H695="","",INDEX('Journal'!$B$1:$B$2002,$H695))</f>
        <v/>
      </c>
      <c r="C695" s="5">
        <f>IF($H695="","",INDEX('Journal'!$C$1:$C$2002,$H695)&amp;"")</f>
        <v/>
      </c>
      <c r="D695" s="5">
        <f>IF($H695="","",IF(INDEX('Journal'!$D$1:$D$2002,$H695)=$B$1,INDEX('Journal'!$E$1:$E$2002,$H695),INDEX('Journal'!$D$1:$D$2002,$H695))&amp;"")</f>
        <v/>
      </c>
      <c r="E695" s="20">
        <f>IF($H695="","",IF(INDEX('Journal'!$D$1:$D$2002,$H695)=$B$1,N(INDEX('Journal'!$G$1:$G$2002,$H695)),N(INDEX('Journal'!$F$1:$F$2002,$H695))))</f>
        <v/>
      </c>
      <c r="F695" s="20">
        <f>IF($H695="","",IF(INDEX('Journal'!$D$1:$D$2002,$H695)=$B$1,N(INDEX('Journal'!$F$1:$F$2002,$H695)),N(INDEX('Journal'!$G$1:$G$2002,$H695))))</f>
        <v/>
      </c>
      <c r="G695" s="20">
        <f>IF($H695="","",G694+E695-F695)</f>
        <v/>
      </c>
      <c r="H695" s="18">
        <f t="array" ref="H695">IF($B$1="","",IFERROR(_xlfn.AGGREGATE(15,6,ROW('Journal'!$A$3:$A$2002)/(('Journal'!$D$3:$D$2002=$B$1)+('Journal'!$E$3:$E$2002=$B$1))/('Journal'!$B$3:$B$2002&gt;=$B$2)/('Journal'!$B$3:$B$2002&lt;=$B$3),690),""))</f>
        <v/>
      </c>
    </row>
    <row r="696">
      <c r="A696" s="18">
        <f>IF($H696="","",INDEX('Journal'!$A$1:$A$2002,$H696))</f>
        <v/>
      </c>
      <c r="B696" s="21">
        <f>IF($H696="","",INDEX('Journal'!$B$1:$B$2002,$H696))</f>
        <v/>
      </c>
      <c r="C696" s="5">
        <f>IF($H696="","",INDEX('Journal'!$C$1:$C$2002,$H696)&amp;"")</f>
        <v/>
      </c>
      <c r="D696" s="5">
        <f>IF($H696="","",IF(INDEX('Journal'!$D$1:$D$2002,$H696)=$B$1,INDEX('Journal'!$E$1:$E$2002,$H696),INDEX('Journal'!$D$1:$D$2002,$H696))&amp;"")</f>
        <v/>
      </c>
      <c r="E696" s="20">
        <f>IF($H696="","",IF(INDEX('Journal'!$D$1:$D$2002,$H696)=$B$1,N(INDEX('Journal'!$G$1:$G$2002,$H696)),N(INDEX('Journal'!$F$1:$F$2002,$H696))))</f>
        <v/>
      </c>
      <c r="F696" s="20">
        <f>IF($H696="","",IF(INDEX('Journal'!$D$1:$D$2002,$H696)=$B$1,N(INDEX('Journal'!$F$1:$F$2002,$H696)),N(INDEX('Journal'!$G$1:$G$2002,$H696))))</f>
        <v/>
      </c>
      <c r="G696" s="20">
        <f>IF($H696="","",G695+E696-F696)</f>
        <v/>
      </c>
      <c r="H696" s="18">
        <f t="array" ref="H696">IF($B$1="","",IFERROR(_xlfn.AGGREGATE(15,6,ROW('Journal'!$A$3:$A$2002)/(('Journal'!$D$3:$D$2002=$B$1)+('Journal'!$E$3:$E$2002=$B$1))/('Journal'!$B$3:$B$2002&gt;=$B$2)/('Journal'!$B$3:$B$2002&lt;=$B$3),691),""))</f>
        <v/>
      </c>
    </row>
    <row r="697">
      <c r="A697" s="18">
        <f>IF($H697="","",INDEX('Journal'!$A$1:$A$2002,$H697))</f>
        <v/>
      </c>
      <c r="B697" s="21">
        <f>IF($H697="","",INDEX('Journal'!$B$1:$B$2002,$H697))</f>
        <v/>
      </c>
      <c r="C697" s="5">
        <f>IF($H697="","",INDEX('Journal'!$C$1:$C$2002,$H697)&amp;"")</f>
        <v/>
      </c>
      <c r="D697" s="5">
        <f>IF($H697="","",IF(INDEX('Journal'!$D$1:$D$2002,$H697)=$B$1,INDEX('Journal'!$E$1:$E$2002,$H697),INDEX('Journal'!$D$1:$D$2002,$H697))&amp;"")</f>
        <v/>
      </c>
      <c r="E697" s="20">
        <f>IF($H697="","",IF(INDEX('Journal'!$D$1:$D$2002,$H697)=$B$1,N(INDEX('Journal'!$G$1:$G$2002,$H697)),N(INDEX('Journal'!$F$1:$F$2002,$H697))))</f>
        <v/>
      </c>
      <c r="F697" s="20">
        <f>IF($H697="","",IF(INDEX('Journal'!$D$1:$D$2002,$H697)=$B$1,N(INDEX('Journal'!$F$1:$F$2002,$H697)),N(INDEX('Journal'!$G$1:$G$2002,$H697))))</f>
        <v/>
      </c>
      <c r="G697" s="20">
        <f>IF($H697="","",G696+E697-F697)</f>
        <v/>
      </c>
      <c r="H697" s="18">
        <f t="array" ref="H697">IF($B$1="","",IFERROR(_xlfn.AGGREGATE(15,6,ROW('Journal'!$A$3:$A$2002)/(('Journal'!$D$3:$D$2002=$B$1)+('Journal'!$E$3:$E$2002=$B$1))/('Journal'!$B$3:$B$2002&gt;=$B$2)/('Journal'!$B$3:$B$2002&lt;=$B$3),692),""))</f>
        <v/>
      </c>
    </row>
    <row r="698">
      <c r="A698" s="18">
        <f>IF($H698="","",INDEX('Journal'!$A$1:$A$2002,$H698))</f>
        <v/>
      </c>
      <c r="B698" s="21">
        <f>IF($H698="","",INDEX('Journal'!$B$1:$B$2002,$H698))</f>
        <v/>
      </c>
      <c r="C698" s="5">
        <f>IF($H698="","",INDEX('Journal'!$C$1:$C$2002,$H698)&amp;"")</f>
        <v/>
      </c>
      <c r="D698" s="5">
        <f>IF($H698="","",IF(INDEX('Journal'!$D$1:$D$2002,$H698)=$B$1,INDEX('Journal'!$E$1:$E$2002,$H698),INDEX('Journal'!$D$1:$D$2002,$H698))&amp;"")</f>
        <v/>
      </c>
      <c r="E698" s="20">
        <f>IF($H698="","",IF(INDEX('Journal'!$D$1:$D$2002,$H698)=$B$1,N(INDEX('Journal'!$G$1:$G$2002,$H698)),N(INDEX('Journal'!$F$1:$F$2002,$H698))))</f>
        <v/>
      </c>
      <c r="F698" s="20">
        <f>IF($H698="","",IF(INDEX('Journal'!$D$1:$D$2002,$H698)=$B$1,N(INDEX('Journal'!$F$1:$F$2002,$H698)),N(INDEX('Journal'!$G$1:$G$2002,$H698))))</f>
        <v/>
      </c>
      <c r="G698" s="20">
        <f>IF($H698="","",G697+E698-F698)</f>
        <v/>
      </c>
      <c r="H698" s="18">
        <f t="array" ref="H698">IF($B$1="","",IFERROR(_xlfn.AGGREGATE(15,6,ROW('Journal'!$A$3:$A$2002)/(('Journal'!$D$3:$D$2002=$B$1)+('Journal'!$E$3:$E$2002=$B$1))/('Journal'!$B$3:$B$2002&gt;=$B$2)/('Journal'!$B$3:$B$2002&lt;=$B$3),693),""))</f>
        <v/>
      </c>
    </row>
    <row r="699">
      <c r="A699" s="18">
        <f>IF($H699="","",INDEX('Journal'!$A$1:$A$2002,$H699))</f>
        <v/>
      </c>
      <c r="B699" s="21">
        <f>IF($H699="","",INDEX('Journal'!$B$1:$B$2002,$H699))</f>
        <v/>
      </c>
      <c r="C699" s="5">
        <f>IF($H699="","",INDEX('Journal'!$C$1:$C$2002,$H699)&amp;"")</f>
        <v/>
      </c>
      <c r="D699" s="5">
        <f>IF($H699="","",IF(INDEX('Journal'!$D$1:$D$2002,$H699)=$B$1,INDEX('Journal'!$E$1:$E$2002,$H699),INDEX('Journal'!$D$1:$D$2002,$H699))&amp;"")</f>
        <v/>
      </c>
      <c r="E699" s="20">
        <f>IF($H699="","",IF(INDEX('Journal'!$D$1:$D$2002,$H699)=$B$1,N(INDEX('Journal'!$G$1:$G$2002,$H699)),N(INDEX('Journal'!$F$1:$F$2002,$H699))))</f>
        <v/>
      </c>
      <c r="F699" s="20">
        <f>IF($H699="","",IF(INDEX('Journal'!$D$1:$D$2002,$H699)=$B$1,N(INDEX('Journal'!$F$1:$F$2002,$H699)),N(INDEX('Journal'!$G$1:$G$2002,$H699))))</f>
        <v/>
      </c>
      <c r="G699" s="20">
        <f>IF($H699="","",G698+E699-F699)</f>
        <v/>
      </c>
      <c r="H699" s="18">
        <f t="array" ref="H699">IF($B$1="","",IFERROR(_xlfn.AGGREGATE(15,6,ROW('Journal'!$A$3:$A$2002)/(('Journal'!$D$3:$D$2002=$B$1)+('Journal'!$E$3:$E$2002=$B$1))/('Journal'!$B$3:$B$2002&gt;=$B$2)/('Journal'!$B$3:$B$2002&lt;=$B$3),694),""))</f>
        <v/>
      </c>
    </row>
    <row r="700">
      <c r="A700" s="18">
        <f>IF($H700="","",INDEX('Journal'!$A$1:$A$2002,$H700))</f>
        <v/>
      </c>
      <c r="B700" s="21">
        <f>IF($H700="","",INDEX('Journal'!$B$1:$B$2002,$H700))</f>
        <v/>
      </c>
      <c r="C700" s="5">
        <f>IF($H700="","",INDEX('Journal'!$C$1:$C$2002,$H700)&amp;"")</f>
        <v/>
      </c>
      <c r="D700" s="5">
        <f>IF($H700="","",IF(INDEX('Journal'!$D$1:$D$2002,$H700)=$B$1,INDEX('Journal'!$E$1:$E$2002,$H700),INDEX('Journal'!$D$1:$D$2002,$H700))&amp;"")</f>
        <v/>
      </c>
      <c r="E700" s="20">
        <f>IF($H700="","",IF(INDEX('Journal'!$D$1:$D$2002,$H700)=$B$1,N(INDEX('Journal'!$G$1:$G$2002,$H700)),N(INDEX('Journal'!$F$1:$F$2002,$H700))))</f>
        <v/>
      </c>
      <c r="F700" s="20">
        <f>IF($H700="","",IF(INDEX('Journal'!$D$1:$D$2002,$H700)=$B$1,N(INDEX('Journal'!$F$1:$F$2002,$H700)),N(INDEX('Journal'!$G$1:$G$2002,$H700))))</f>
        <v/>
      </c>
      <c r="G700" s="20">
        <f>IF($H700="","",G699+E700-F700)</f>
        <v/>
      </c>
      <c r="H700" s="18">
        <f t="array" ref="H700">IF($B$1="","",IFERROR(_xlfn.AGGREGATE(15,6,ROW('Journal'!$A$3:$A$2002)/(('Journal'!$D$3:$D$2002=$B$1)+('Journal'!$E$3:$E$2002=$B$1))/('Journal'!$B$3:$B$2002&gt;=$B$2)/('Journal'!$B$3:$B$2002&lt;=$B$3),695),""))</f>
        <v/>
      </c>
    </row>
    <row r="701">
      <c r="A701" s="18">
        <f>IF($H701="","",INDEX('Journal'!$A$1:$A$2002,$H701))</f>
        <v/>
      </c>
      <c r="B701" s="21">
        <f>IF($H701="","",INDEX('Journal'!$B$1:$B$2002,$H701))</f>
        <v/>
      </c>
      <c r="C701" s="5">
        <f>IF($H701="","",INDEX('Journal'!$C$1:$C$2002,$H701)&amp;"")</f>
        <v/>
      </c>
      <c r="D701" s="5">
        <f>IF($H701="","",IF(INDEX('Journal'!$D$1:$D$2002,$H701)=$B$1,INDEX('Journal'!$E$1:$E$2002,$H701),INDEX('Journal'!$D$1:$D$2002,$H701))&amp;"")</f>
        <v/>
      </c>
      <c r="E701" s="20">
        <f>IF($H701="","",IF(INDEX('Journal'!$D$1:$D$2002,$H701)=$B$1,N(INDEX('Journal'!$G$1:$G$2002,$H701)),N(INDEX('Journal'!$F$1:$F$2002,$H701))))</f>
        <v/>
      </c>
      <c r="F701" s="20">
        <f>IF($H701="","",IF(INDEX('Journal'!$D$1:$D$2002,$H701)=$B$1,N(INDEX('Journal'!$F$1:$F$2002,$H701)),N(INDEX('Journal'!$G$1:$G$2002,$H701))))</f>
        <v/>
      </c>
      <c r="G701" s="20">
        <f>IF($H701="","",G700+E701-F701)</f>
        <v/>
      </c>
      <c r="H701" s="18">
        <f t="array" ref="H701">IF($B$1="","",IFERROR(_xlfn.AGGREGATE(15,6,ROW('Journal'!$A$3:$A$2002)/(('Journal'!$D$3:$D$2002=$B$1)+('Journal'!$E$3:$E$2002=$B$1))/('Journal'!$B$3:$B$2002&gt;=$B$2)/('Journal'!$B$3:$B$2002&lt;=$B$3),696),""))</f>
        <v/>
      </c>
    </row>
    <row r="702">
      <c r="A702" s="18">
        <f>IF($H702="","",INDEX('Journal'!$A$1:$A$2002,$H702))</f>
        <v/>
      </c>
      <c r="B702" s="21">
        <f>IF($H702="","",INDEX('Journal'!$B$1:$B$2002,$H702))</f>
        <v/>
      </c>
      <c r="C702" s="5">
        <f>IF($H702="","",INDEX('Journal'!$C$1:$C$2002,$H702)&amp;"")</f>
        <v/>
      </c>
      <c r="D702" s="5">
        <f>IF($H702="","",IF(INDEX('Journal'!$D$1:$D$2002,$H702)=$B$1,INDEX('Journal'!$E$1:$E$2002,$H702),INDEX('Journal'!$D$1:$D$2002,$H702))&amp;"")</f>
        <v/>
      </c>
      <c r="E702" s="20">
        <f>IF($H702="","",IF(INDEX('Journal'!$D$1:$D$2002,$H702)=$B$1,N(INDEX('Journal'!$G$1:$G$2002,$H702)),N(INDEX('Journal'!$F$1:$F$2002,$H702))))</f>
        <v/>
      </c>
      <c r="F702" s="20">
        <f>IF($H702="","",IF(INDEX('Journal'!$D$1:$D$2002,$H702)=$B$1,N(INDEX('Journal'!$F$1:$F$2002,$H702)),N(INDEX('Journal'!$G$1:$G$2002,$H702))))</f>
        <v/>
      </c>
      <c r="G702" s="20">
        <f>IF($H702="","",G701+E702-F702)</f>
        <v/>
      </c>
      <c r="H702" s="18">
        <f t="array" ref="H702">IF($B$1="","",IFERROR(_xlfn.AGGREGATE(15,6,ROW('Journal'!$A$3:$A$2002)/(('Journal'!$D$3:$D$2002=$B$1)+('Journal'!$E$3:$E$2002=$B$1))/('Journal'!$B$3:$B$2002&gt;=$B$2)/('Journal'!$B$3:$B$2002&lt;=$B$3),697),""))</f>
        <v/>
      </c>
    </row>
    <row r="703">
      <c r="A703" s="18">
        <f>IF($H703="","",INDEX('Journal'!$A$1:$A$2002,$H703))</f>
        <v/>
      </c>
      <c r="B703" s="21">
        <f>IF($H703="","",INDEX('Journal'!$B$1:$B$2002,$H703))</f>
        <v/>
      </c>
      <c r="C703" s="5">
        <f>IF($H703="","",INDEX('Journal'!$C$1:$C$2002,$H703)&amp;"")</f>
        <v/>
      </c>
      <c r="D703" s="5">
        <f>IF($H703="","",IF(INDEX('Journal'!$D$1:$D$2002,$H703)=$B$1,INDEX('Journal'!$E$1:$E$2002,$H703),INDEX('Journal'!$D$1:$D$2002,$H703))&amp;"")</f>
        <v/>
      </c>
      <c r="E703" s="20">
        <f>IF($H703="","",IF(INDEX('Journal'!$D$1:$D$2002,$H703)=$B$1,N(INDEX('Journal'!$G$1:$G$2002,$H703)),N(INDEX('Journal'!$F$1:$F$2002,$H703))))</f>
        <v/>
      </c>
      <c r="F703" s="20">
        <f>IF($H703="","",IF(INDEX('Journal'!$D$1:$D$2002,$H703)=$B$1,N(INDEX('Journal'!$F$1:$F$2002,$H703)),N(INDEX('Journal'!$G$1:$G$2002,$H703))))</f>
        <v/>
      </c>
      <c r="G703" s="20">
        <f>IF($H703="","",G702+E703-F703)</f>
        <v/>
      </c>
      <c r="H703" s="18">
        <f t="array" ref="H703">IF($B$1="","",IFERROR(_xlfn.AGGREGATE(15,6,ROW('Journal'!$A$3:$A$2002)/(('Journal'!$D$3:$D$2002=$B$1)+('Journal'!$E$3:$E$2002=$B$1))/('Journal'!$B$3:$B$2002&gt;=$B$2)/('Journal'!$B$3:$B$2002&lt;=$B$3),698),""))</f>
        <v/>
      </c>
    </row>
    <row r="704">
      <c r="A704" s="18">
        <f>IF($H704="","",INDEX('Journal'!$A$1:$A$2002,$H704))</f>
        <v/>
      </c>
      <c r="B704" s="21">
        <f>IF($H704="","",INDEX('Journal'!$B$1:$B$2002,$H704))</f>
        <v/>
      </c>
      <c r="C704" s="5">
        <f>IF($H704="","",INDEX('Journal'!$C$1:$C$2002,$H704)&amp;"")</f>
        <v/>
      </c>
      <c r="D704" s="5">
        <f>IF($H704="","",IF(INDEX('Journal'!$D$1:$D$2002,$H704)=$B$1,INDEX('Journal'!$E$1:$E$2002,$H704),INDEX('Journal'!$D$1:$D$2002,$H704))&amp;"")</f>
        <v/>
      </c>
      <c r="E704" s="20">
        <f>IF($H704="","",IF(INDEX('Journal'!$D$1:$D$2002,$H704)=$B$1,N(INDEX('Journal'!$G$1:$G$2002,$H704)),N(INDEX('Journal'!$F$1:$F$2002,$H704))))</f>
        <v/>
      </c>
      <c r="F704" s="20">
        <f>IF($H704="","",IF(INDEX('Journal'!$D$1:$D$2002,$H704)=$B$1,N(INDEX('Journal'!$F$1:$F$2002,$H704)),N(INDEX('Journal'!$G$1:$G$2002,$H704))))</f>
        <v/>
      </c>
      <c r="G704" s="20">
        <f>IF($H704="","",G703+E704-F704)</f>
        <v/>
      </c>
      <c r="H704" s="18">
        <f t="array" ref="H704">IF($B$1="","",IFERROR(_xlfn.AGGREGATE(15,6,ROW('Journal'!$A$3:$A$2002)/(('Journal'!$D$3:$D$2002=$B$1)+('Journal'!$E$3:$E$2002=$B$1))/('Journal'!$B$3:$B$2002&gt;=$B$2)/('Journal'!$B$3:$B$2002&lt;=$B$3),699),""))</f>
        <v/>
      </c>
    </row>
    <row r="705">
      <c r="A705" s="18">
        <f>IF($H705="","",INDEX('Journal'!$A$1:$A$2002,$H705))</f>
        <v/>
      </c>
      <c r="B705" s="21">
        <f>IF($H705="","",INDEX('Journal'!$B$1:$B$2002,$H705))</f>
        <v/>
      </c>
      <c r="C705" s="5">
        <f>IF($H705="","",INDEX('Journal'!$C$1:$C$2002,$H705)&amp;"")</f>
        <v/>
      </c>
      <c r="D705" s="5">
        <f>IF($H705="","",IF(INDEX('Journal'!$D$1:$D$2002,$H705)=$B$1,INDEX('Journal'!$E$1:$E$2002,$H705),INDEX('Journal'!$D$1:$D$2002,$H705))&amp;"")</f>
        <v/>
      </c>
      <c r="E705" s="20">
        <f>IF($H705="","",IF(INDEX('Journal'!$D$1:$D$2002,$H705)=$B$1,N(INDEX('Journal'!$G$1:$G$2002,$H705)),N(INDEX('Journal'!$F$1:$F$2002,$H705))))</f>
        <v/>
      </c>
      <c r="F705" s="20">
        <f>IF($H705="","",IF(INDEX('Journal'!$D$1:$D$2002,$H705)=$B$1,N(INDEX('Journal'!$F$1:$F$2002,$H705)),N(INDEX('Journal'!$G$1:$G$2002,$H705))))</f>
        <v/>
      </c>
      <c r="G705" s="20">
        <f>IF($H705="","",G704+E705-F705)</f>
        <v/>
      </c>
      <c r="H705" s="18">
        <f t="array" ref="H705">IF($B$1="","",IFERROR(_xlfn.AGGREGATE(15,6,ROW('Journal'!$A$3:$A$2002)/(('Journal'!$D$3:$D$2002=$B$1)+('Journal'!$E$3:$E$2002=$B$1))/('Journal'!$B$3:$B$2002&gt;=$B$2)/('Journal'!$B$3:$B$2002&lt;=$B$3),700),""))</f>
        <v/>
      </c>
    </row>
    <row r="706">
      <c r="A706" s="18">
        <f>IF($H706="","",INDEX('Journal'!$A$1:$A$2002,$H706))</f>
        <v/>
      </c>
      <c r="B706" s="21">
        <f>IF($H706="","",INDEX('Journal'!$B$1:$B$2002,$H706))</f>
        <v/>
      </c>
      <c r="C706" s="5">
        <f>IF($H706="","",INDEX('Journal'!$C$1:$C$2002,$H706)&amp;"")</f>
        <v/>
      </c>
      <c r="D706" s="5">
        <f>IF($H706="","",IF(INDEX('Journal'!$D$1:$D$2002,$H706)=$B$1,INDEX('Journal'!$E$1:$E$2002,$H706),INDEX('Journal'!$D$1:$D$2002,$H706))&amp;"")</f>
        <v/>
      </c>
      <c r="E706" s="20">
        <f>IF($H706="","",IF(INDEX('Journal'!$D$1:$D$2002,$H706)=$B$1,N(INDEX('Journal'!$G$1:$G$2002,$H706)),N(INDEX('Journal'!$F$1:$F$2002,$H706))))</f>
        <v/>
      </c>
      <c r="F706" s="20">
        <f>IF($H706="","",IF(INDEX('Journal'!$D$1:$D$2002,$H706)=$B$1,N(INDEX('Journal'!$F$1:$F$2002,$H706)),N(INDEX('Journal'!$G$1:$G$2002,$H706))))</f>
        <v/>
      </c>
      <c r="G706" s="20">
        <f>IF($H706="","",G705+E706-F706)</f>
        <v/>
      </c>
      <c r="H706" s="18">
        <f t="array" ref="H706">IF($B$1="","",IFERROR(_xlfn.AGGREGATE(15,6,ROW('Journal'!$A$3:$A$2002)/(('Journal'!$D$3:$D$2002=$B$1)+('Journal'!$E$3:$E$2002=$B$1))/('Journal'!$B$3:$B$2002&gt;=$B$2)/('Journal'!$B$3:$B$2002&lt;=$B$3),701),""))</f>
        <v/>
      </c>
    </row>
    <row r="707">
      <c r="A707" s="18">
        <f>IF($H707="","",INDEX('Journal'!$A$1:$A$2002,$H707))</f>
        <v/>
      </c>
      <c r="B707" s="21">
        <f>IF($H707="","",INDEX('Journal'!$B$1:$B$2002,$H707))</f>
        <v/>
      </c>
      <c r="C707" s="5">
        <f>IF($H707="","",INDEX('Journal'!$C$1:$C$2002,$H707)&amp;"")</f>
        <v/>
      </c>
      <c r="D707" s="5">
        <f>IF($H707="","",IF(INDEX('Journal'!$D$1:$D$2002,$H707)=$B$1,INDEX('Journal'!$E$1:$E$2002,$H707),INDEX('Journal'!$D$1:$D$2002,$H707))&amp;"")</f>
        <v/>
      </c>
      <c r="E707" s="20">
        <f>IF($H707="","",IF(INDEX('Journal'!$D$1:$D$2002,$H707)=$B$1,N(INDEX('Journal'!$G$1:$G$2002,$H707)),N(INDEX('Journal'!$F$1:$F$2002,$H707))))</f>
        <v/>
      </c>
      <c r="F707" s="20">
        <f>IF($H707="","",IF(INDEX('Journal'!$D$1:$D$2002,$H707)=$B$1,N(INDEX('Journal'!$F$1:$F$2002,$H707)),N(INDEX('Journal'!$G$1:$G$2002,$H707))))</f>
        <v/>
      </c>
      <c r="G707" s="20">
        <f>IF($H707="","",G706+E707-F707)</f>
        <v/>
      </c>
      <c r="H707" s="18">
        <f t="array" ref="H707">IF($B$1="","",IFERROR(_xlfn.AGGREGATE(15,6,ROW('Journal'!$A$3:$A$2002)/(('Journal'!$D$3:$D$2002=$B$1)+('Journal'!$E$3:$E$2002=$B$1))/('Journal'!$B$3:$B$2002&gt;=$B$2)/('Journal'!$B$3:$B$2002&lt;=$B$3),702),""))</f>
        <v/>
      </c>
    </row>
    <row r="708">
      <c r="A708" s="18">
        <f>IF($H708="","",INDEX('Journal'!$A$1:$A$2002,$H708))</f>
        <v/>
      </c>
      <c r="B708" s="21">
        <f>IF($H708="","",INDEX('Journal'!$B$1:$B$2002,$H708))</f>
        <v/>
      </c>
      <c r="C708" s="5">
        <f>IF($H708="","",INDEX('Journal'!$C$1:$C$2002,$H708)&amp;"")</f>
        <v/>
      </c>
      <c r="D708" s="5">
        <f>IF($H708="","",IF(INDEX('Journal'!$D$1:$D$2002,$H708)=$B$1,INDEX('Journal'!$E$1:$E$2002,$H708),INDEX('Journal'!$D$1:$D$2002,$H708))&amp;"")</f>
        <v/>
      </c>
      <c r="E708" s="20">
        <f>IF($H708="","",IF(INDEX('Journal'!$D$1:$D$2002,$H708)=$B$1,N(INDEX('Journal'!$G$1:$G$2002,$H708)),N(INDEX('Journal'!$F$1:$F$2002,$H708))))</f>
        <v/>
      </c>
      <c r="F708" s="20">
        <f>IF($H708="","",IF(INDEX('Journal'!$D$1:$D$2002,$H708)=$B$1,N(INDEX('Journal'!$F$1:$F$2002,$H708)),N(INDEX('Journal'!$G$1:$G$2002,$H708))))</f>
        <v/>
      </c>
      <c r="G708" s="20">
        <f>IF($H708="","",G707+E708-F708)</f>
        <v/>
      </c>
      <c r="H708" s="18">
        <f t="array" ref="H708">IF($B$1="","",IFERROR(_xlfn.AGGREGATE(15,6,ROW('Journal'!$A$3:$A$2002)/(('Journal'!$D$3:$D$2002=$B$1)+('Journal'!$E$3:$E$2002=$B$1))/('Journal'!$B$3:$B$2002&gt;=$B$2)/('Journal'!$B$3:$B$2002&lt;=$B$3),703),""))</f>
        <v/>
      </c>
    </row>
    <row r="709">
      <c r="A709" s="18">
        <f>IF($H709="","",INDEX('Journal'!$A$1:$A$2002,$H709))</f>
        <v/>
      </c>
      <c r="B709" s="21">
        <f>IF($H709="","",INDEX('Journal'!$B$1:$B$2002,$H709))</f>
        <v/>
      </c>
      <c r="C709" s="5">
        <f>IF($H709="","",INDEX('Journal'!$C$1:$C$2002,$H709)&amp;"")</f>
        <v/>
      </c>
      <c r="D709" s="5">
        <f>IF($H709="","",IF(INDEX('Journal'!$D$1:$D$2002,$H709)=$B$1,INDEX('Journal'!$E$1:$E$2002,$H709),INDEX('Journal'!$D$1:$D$2002,$H709))&amp;"")</f>
        <v/>
      </c>
      <c r="E709" s="20">
        <f>IF($H709="","",IF(INDEX('Journal'!$D$1:$D$2002,$H709)=$B$1,N(INDEX('Journal'!$G$1:$G$2002,$H709)),N(INDEX('Journal'!$F$1:$F$2002,$H709))))</f>
        <v/>
      </c>
      <c r="F709" s="20">
        <f>IF($H709="","",IF(INDEX('Journal'!$D$1:$D$2002,$H709)=$B$1,N(INDEX('Journal'!$F$1:$F$2002,$H709)),N(INDEX('Journal'!$G$1:$G$2002,$H709))))</f>
        <v/>
      </c>
      <c r="G709" s="20">
        <f>IF($H709="","",G708+E709-F709)</f>
        <v/>
      </c>
      <c r="H709" s="18">
        <f t="array" ref="H709">IF($B$1="","",IFERROR(_xlfn.AGGREGATE(15,6,ROW('Journal'!$A$3:$A$2002)/(('Journal'!$D$3:$D$2002=$B$1)+('Journal'!$E$3:$E$2002=$B$1))/('Journal'!$B$3:$B$2002&gt;=$B$2)/('Journal'!$B$3:$B$2002&lt;=$B$3),704),""))</f>
        <v/>
      </c>
    </row>
    <row r="710">
      <c r="A710" s="18">
        <f>IF($H710="","",INDEX('Journal'!$A$1:$A$2002,$H710))</f>
        <v/>
      </c>
      <c r="B710" s="21">
        <f>IF($H710="","",INDEX('Journal'!$B$1:$B$2002,$H710))</f>
        <v/>
      </c>
      <c r="C710" s="5">
        <f>IF($H710="","",INDEX('Journal'!$C$1:$C$2002,$H710)&amp;"")</f>
        <v/>
      </c>
      <c r="D710" s="5">
        <f>IF($H710="","",IF(INDEX('Journal'!$D$1:$D$2002,$H710)=$B$1,INDEX('Journal'!$E$1:$E$2002,$H710),INDEX('Journal'!$D$1:$D$2002,$H710))&amp;"")</f>
        <v/>
      </c>
      <c r="E710" s="20">
        <f>IF($H710="","",IF(INDEX('Journal'!$D$1:$D$2002,$H710)=$B$1,N(INDEX('Journal'!$G$1:$G$2002,$H710)),N(INDEX('Journal'!$F$1:$F$2002,$H710))))</f>
        <v/>
      </c>
      <c r="F710" s="20">
        <f>IF($H710="","",IF(INDEX('Journal'!$D$1:$D$2002,$H710)=$B$1,N(INDEX('Journal'!$F$1:$F$2002,$H710)),N(INDEX('Journal'!$G$1:$G$2002,$H710))))</f>
        <v/>
      </c>
      <c r="G710" s="20">
        <f>IF($H710="","",G709+E710-F710)</f>
        <v/>
      </c>
      <c r="H710" s="18">
        <f t="array" ref="H710">IF($B$1="","",IFERROR(_xlfn.AGGREGATE(15,6,ROW('Journal'!$A$3:$A$2002)/(('Journal'!$D$3:$D$2002=$B$1)+('Journal'!$E$3:$E$2002=$B$1))/('Journal'!$B$3:$B$2002&gt;=$B$2)/('Journal'!$B$3:$B$2002&lt;=$B$3),705),""))</f>
        <v/>
      </c>
    </row>
    <row r="711">
      <c r="A711" s="18">
        <f>IF($H711="","",INDEX('Journal'!$A$1:$A$2002,$H711))</f>
        <v/>
      </c>
      <c r="B711" s="21">
        <f>IF($H711="","",INDEX('Journal'!$B$1:$B$2002,$H711))</f>
        <v/>
      </c>
      <c r="C711" s="5">
        <f>IF($H711="","",INDEX('Journal'!$C$1:$C$2002,$H711)&amp;"")</f>
        <v/>
      </c>
      <c r="D711" s="5">
        <f>IF($H711="","",IF(INDEX('Journal'!$D$1:$D$2002,$H711)=$B$1,INDEX('Journal'!$E$1:$E$2002,$H711),INDEX('Journal'!$D$1:$D$2002,$H711))&amp;"")</f>
        <v/>
      </c>
      <c r="E711" s="20">
        <f>IF($H711="","",IF(INDEX('Journal'!$D$1:$D$2002,$H711)=$B$1,N(INDEX('Journal'!$G$1:$G$2002,$H711)),N(INDEX('Journal'!$F$1:$F$2002,$H711))))</f>
        <v/>
      </c>
      <c r="F711" s="20">
        <f>IF($H711="","",IF(INDEX('Journal'!$D$1:$D$2002,$H711)=$B$1,N(INDEX('Journal'!$F$1:$F$2002,$H711)),N(INDEX('Journal'!$G$1:$G$2002,$H711))))</f>
        <v/>
      </c>
      <c r="G711" s="20">
        <f>IF($H711="","",G710+E711-F711)</f>
        <v/>
      </c>
      <c r="H711" s="18">
        <f t="array" ref="H711">IF($B$1="","",IFERROR(_xlfn.AGGREGATE(15,6,ROW('Journal'!$A$3:$A$2002)/(('Journal'!$D$3:$D$2002=$B$1)+('Journal'!$E$3:$E$2002=$B$1))/('Journal'!$B$3:$B$2002&gt;=$B$2)/('Journal'!$B$3:$B$2002&lt;=$B$3),706),""))</f>
        <v/>
      </c>
    </row>
    <row r="712">
      <c r="A712" s="18">
        <f>IF($H712="","",INDEX('Journal'!$A$1:$A$2002,$H712))</f>
        <v/>
      </c>
      <c r="B712" s="21">
        <f>IF($H712="","",INDEX('Journal'!$B$1:$B$2002,$H712))</f>
        <v/>
      </c>
      <c r="C712" s="5">
        <f>IF($H712="","",INDEX('Journal'!$C$1:$C$2002,$H712)&amp;"")</f>
        <v/>
      </c>
      <c r="D712" s="5">
        <f>IF($H712="","",IF(INDEX('Journal'!$D$1:$D$2002,$H712)=$B$1,INDEX('Journal'!$E$1:$E$2002,$H712),INDEX('Journal'!$D$1:$D$2002,$H712))&amp;"")</f>
        <v/>
      </c>
      <c r="E712" s="20">
        <f>IF($H712="","",IF(INDEX('Journal'!$D$1:$D$2002,$H712)=$B$1,N(INDEX('Journal'!$G$1:$G$2002,$H712)),N(INDEX('Journal'!$F$1:$F$2002,$H712))))</f>
        <v/>
      </c>
      <c r="F712" s="20">
        <f>IF($H712="","",IF(INDEX('Journal'!$D$1:$D$2002,$H712)=$B$1,N(INDEX('Journal'!$F$1:$F$2002,$H712)),N(INDEX('Journal'!$G$1:$G$2002,$H712))))</f>
        <v/>
      </c>
      <c r="G712" s="20">
        <f>IF($H712="","",G711+E712-F712)</f>
        <v/>
      </c>
      <c r="H712" s="18">
        <f t="array" ref="H712">IF($B$1="","",IFERROR(_xlfn.AGGREGATE(15,6,ROW('Journal'!$A$3:$A$2002)/(('Journal'!$D$3:$D$2002=$B$1)+('Journal'!$E$3:$E$2002=$B$1))/('Journal'!$B$3:$B$2002&gt;=$B$2)/('Journal'!$B$3:$B$2002&lt;=$B$3),707),""))</f>
        <v/>
      </c>
    </row>
    <row r="713">
      <c r="A713" s="18">
        <f>IF($H713="","",INDEX('Journal'!$A$1:$A$2002,$H713))</f>
        <v/>
      </c>
      <c r="B713" s="21">
        <f>IF($H713="","",INDEX('Journal'!$B$1:$B$2002,$H713))</f>
        <v/>
      </c>
      <c r="C713" s="5">
        <f>IF($H713="","",INDEX('Journal'!$C$1:$C$2002,$H713)&amp;"")</f>
        <v/>
      </c>
      <c r="D713" s="5">
        <f>IF($H713="","",IF(INDEX('Journal'!$D$1:$D$2002,$H713)=$B$1,INDEX('Journal'!$E$1:$E$2002,$H713),INDEX('Journal'!$D$1:$D$2002,$H713))&amp;"")</f>
        <v/>
      </c>
      <c r="E713" s="20">
        <f>IF($H713="","",IF(INDEX('Journal'!$D$1:$D$2002,$H713)=$B$1,N(INDEX('Journal'!$G$1:$G$2002,$H713)),N(INDEX('Journal'!$F$1:$F$2002,$H713))))</f>
        <v/>
      </c>
      <c r="F713" s="20">
        <f>IF($H713="","",IF(INDEX('Journal'!$D$1:$D$2002,$H713)=$B$1,N(INDEX('Journal'!$F$1:$F$2002,$H713)),N(INDEX('Journal'!$G$1:$G$2002,$H713))))</f>
        <v/>
      </c>
      <c r="G713" s="20">
        <f>IF($H713="","",G712+E713-F713)</f>
        <v/>
      </c>
      <c r="H713" s="18">
        <f t="array" ref="H713">IF($B$1="","",IFERROR(_xlfn.AGGREGATE(15,6,ROW('Journal'!$A$3:$A$2002)/(('Journal'!$D$3:$D$2002=$B$1)+('Journal'!$E$3:$E$2002=$B$1))/('Journal'!$B$3:$B$2002&gt;=$B$2)/('Journal'!$B$3:$B$2002&lt;=$B$3),708),""))</f>
        <v/>
      </c>
    </row>
    <row r="714">
      <c r="A714" s="18">
        <f>IF($H714="","",INDEX('Journal'!$A$1:$A$2002,$H714))</f>
        <v/>
      </c>
      <c r="B714" s="21">
        <f>IF($H714="","",INDEX('Journal'!$B$1:$B$2002,$H714))</f>
        <v/>
      </c>
      <c r="C714" s="5">
        <f>IF($H714="","",INDEX('Journal'!$C$1:$C$2002,$H714)&amp;"")</f>
        <v/>
      </c>
      <c r="D714" s="5">
        <f>IF($H714="","",IF(INDEX('Journal'!$D$1:$D$2002,$H714)=$B$1,INDEX('Journal'!$E$1:$E$2002,$H714),INDEX('Journal'!$D$1:$D$2002,$H714))&amp;"")</f>
        <v/>
      </c>
      <c r="E714" s="20">
        <f>IF($H714="","",IF(INDEX('Journal'!$D$1:$D$2002,$H714)=$B$1,N(INDEX('Journal'!$G$1:$G$2002,$H714)),N(INDEX('Journal'!$F$1:$F$2002,$H714))))</f>
        <v/>
      </c>
      <c r="F714" s="20">
        <f>IF($H714="","",IF(INDEX('Journal'!$D$1:$D$2002,$H714)=$B$1,N(INDEX('Journal'!$F$1:$F$2002,$H714)),N(INDEX('Journal'!$G$1:$G$2002,$H714))))</f>
        <v/>
      </c>
      <c r="G714" s="20">
        <f>IF($H714="","",G713+E714-F714)</f>
        <v/>
      </c>
      <c r="H714" s="18">
        <f t="array" ref="H714">IF($B$1="","",IFERROR(_xlfn.AGGREGATE(15,6,ROW('Journal'!$A$3:$A$2002)/(('Journal'!$D$3:$D$2002=$B$1)+('Journal'!$E$3:$E$2002=$B$1))/('Journal'!$B$3:$B$2002&gt;=$B$2)/('Journal'!$B$3:$B$2002&lt;=$B$3),709),""))</f>
        <v/>
      </c>
    </row>
    <row r="715">
      <c r="A715" s="18">
        <f>IF($H715="","",INDEX('Journal'!$A$1:$A$2002,$H715))</f>
        <v/>
      </c>
      <c r="B715" s="21">
        <f>IF($H715="","",INDEX('Journal'!$B$1:$B$2002,$H715))</f>
        <v/>
      </c>
      <c r="C715" s="5">
        <f>IF($H715="","",INDEX('Journal'!$C$1:$C$2002,$H715)&amp;"")</f>
        <v/>
      </c>
      <c r="D715" s="5">
        <f>IF($H715="","",IF(INDEX('Journal'!$D$1:$D$2002,$H715)=$B$1,INDEX('Journal'!$E$1:$E$2002,$H715),INDEX('Journal'!$D$1:$D$2002,$H715))&amp;"")</f>
        <v/>
      </c>
      <c r="E715" s="20">
        <f>IF($H715="","",IF(INDEX('Journal'!$D$1:$D$2002,$H715)=$B$1,N(INDEX('Journal'!$G$1:$G$2002,$H715)),N(INDEX('Journal'!$F$1:$F$2002,$H715))))</f>
        <v/>
      </c>
      <c r="F715" s="20">
        <f>IF($H715="","",IF(INDEX('Journal'!$D$1:$D$2002,$H715)=$B$1,N(INDEX('Journal'!$F$1:$F$2002,$H715)),N(INDEX('Journal'!$G$1:$G$2002,$H715))))</f>
        <v/>
      </c>
      <c r="G715" s="20">
        <f>IF($H715="","",G714+E715-F715)</f>
        <v/>
      </c>
      <c r="H715" s="18">
        <f t="array" ref="H715">IF($B$1="","",IFERROR(_xlfn.AGGREGATE(15,6,ROW('Journal'!$A$3:$A$2002)/(('Journal'!$D$3:$D$2002=$B$1)+('Journal'!$E$3:$E$2002=$B$1))/('Journal'!$B$3:$B$2002&gt;=$B$2)/('Journal'!$B$3:$B$2002&lt;=$B$3),710),""))</f>
        <v/>
      </c>
    </row>
    <row r="716">
      <c r="A716" s="18">
        <f>IF($H716="","",INDEX('Journal'!$A$1:$A$2002,$H716))</f>
        <v/>
      </c>
      <c r="B716" s="21">
        <f>IF($H716="","",INDEX('Journal'!$B$1:$B$2002,$H716))</f>
        <v/>
      </c>
      <c r="C716" s="5">
        <f>IF($H716="","",INDEX('Journal'!$C$1:$C$2002,$H716)&amp;"")</f>
        <v/>
      </c>
      <c r="D716" s="5">
        <f>IF($H716="","",IF(INDEX('Journal'!$D$1:$D$2002,$H716)=$B$1,INDEX('Journal'!$E$1:$E$2002,$H716),INDEX('Journal'!$D$1:$D$2002,$H716))&amp;"")</f>
        <v/>
      </c>
      <c r="E716" s="20">
        <f>IF($H716="","",IF(INDEX('Journal'!$D$1:$D$2002,$H716)=$B$1,N(INDEX('Journal'!$G$1:$G$2002,$H716)),N(INDEX('Journal'!$F$1:$F$2002,$H716))))</f>
        <v/>
      </c>
      <c r="F716" s="20">
        <f>IF($H716="","",IF(INDEX('Journal'!$D$1:$D$2002,$H716)=$B$1,N(INDEX('Journal'!$F$1:$F$2002,$H716)),N(INDEX('Journal'!$G$1:$G$2002,$H716))))</f>
        <v/>
      </c>
      <c r="G716" s="20">
        <f>IF($H716="","",G715+E716-F716)</f>
        <v/>
      </c>
      <c r="H716" s="18">
        <f t="array" ref="H716">IF($B$1="","",IFERROR(_xlfn.AGGREGATE(15,6,ROW('Journal'!$A$3:$A$2002)/(('Journal'!$D$3:$D$2002=$B$1)+('Journal'!$E$3:$E$2002=$B$1))/('Journal'!$B$3:$B$2002&gt;=$B$2)/('Journal'!$B$3:$B$2002&lt;=$B$3),711),""))</f>
        <v/>
      </c>
    </row>
    <row r="717">
      <c r="A717" s="18">
        <f>IF($H717="","",INDEX('Journal'!$A$1:$A$2002,$H717))</f>
        <v/>
      </c>
      <c r="B717" s="21">
        <f>IF($H717="","",INDEX('Journal'!$B$1:$B$2002,$H717))</f>
        <v/>
      </c>
      <c r="C717" s="5">
        <f>IF($H717="","",INDEX('Journal'!$C$1:$C$2002,$H717)&amp;"")</f>
        <v/>
      </c>
      <c r="D717" s="5">
        <f>IF($H717="","",IF(INDEX('Journal'!$D$1:$D$2002,$H717)=$B$1,INDEX('Journal'!$E$1:$E$2002,$H717),INDEX('Journal'!$D$1:$D$2002,$H717))&amp;"")</f>
        <v/>
      </c>
      <c r="E717" s="20">
        <f>IF($H717="","",IF(INDEX('Journal'!$D$1:$D$2002,$H717)=$B$1,N(INDEX('Journal'!$G$1:$G$2002,$H717)),N(INDEX('Journal'!$F$1:$F$2002,$H717))))</f>
        <v/>
      </c>
      <c r="F717" s="20">
        <f>IF($H717="","",IF(INDEX('Journal'!$D$1:$D$2002,$H717)=$B$1,N(INDEX('Journal'!$F$1:$F$2002,$H717)),N(INDEX('Journal'!$G$1:$G$2002,$H717))))</f>
        <v/>
      </c>
      <c r="G717" s="20">
        <f>IF($H717="","",G716+E717-F717)</f>
        <v/>
      </c>
      <c r="H717" s="18">
        <f t="array" ref="H717">IF($B$1="","",IFERROR(_xlfn.AGGREGATE(15,6,ROW('Journal'!$A$3:$A$2002)/(('Journal'!$D$3:$D$2002=$B$1)+('Journal'!$E$3:$E$2002=$B$1))/('Journal'!$B$3:$B$2002&gt;=$B$2)/('Journal'!$B$3:$B$2002&lt;=$B$3),712),""))</f>
        <v/>
      </c>
    </row>
    <row r="718">
      <c r="A718" s="18">
        <f>IF($H718="","",INDEX('Journal'!$A$1:$A$2002,$H718))</f>
        <v/>
      </c>
      <c r="B718" s="21">
        <f>IF($H718="","",INDEX('Journal'!$B$1:$B$2002,$H718))</f>
        <v/>
      </c>
      <c r="C718" s="5">
        <f>IF($H718="","",INDEX('Journal'!$C$1:$C$2002,$H718)&amp;"")</f>
        <v/>
      </c>
      <c r="D718" s="5">
        <f>IF($H718="","",IF(INDEX('Journal'!$D$1:$D$2002,$H718)=$B$1,INDEX('Journal'!$E$1:$E$2002,$H718),INDEX('Journal'!$D$1:$D$2002,$H718))&amp;"")</f>
        <v/>
      </c>
      <c r="E718" s="20">
        <f>IF($H718="","",IF(INDEX('Journal'!$D$1:$D$2002,$H718)=$B$1,N(INDEX('Journal'!$G$1:$G$2002,$H718)),N(INDEX('Journal'!$F$1:$F$2002,$H718))))</f>
        <v/>
      </c>
      <c r="F718" s="20">
        <f>IF($H718="","",IF(INDEX('Journal'!$D$1:$D$2002,$H718)=$B$1,N(INDEX('Journal'!$F$1:$F$2002,$H718)),N(INDEX('Journal'!$G$1:$G$2002,$H718))))</f>
        <v/>
      </c>
      <c r="G718" s="20">
        <f>IF($H718="","",G717+E718-F718)</f>
        <v/>
      </c>
      <c r="H718" s="18">
        <f t="array" ref="H718">IF($B$1="","",IFERROR(_xlfn.AGGREGATE(15,6,ROW('Journal'!$A$3:$A$2002)/(('Journal'!$D$3:$D$2002=$B$1)+('Journal'!$E$3:$E$2002=$B$1))/('Journal'!$B$3:$B$2002&gt;=$B$2)/('Journal'!$B$3:$B$2002&lt;=$B$3),713),""))</f>
        <v/>
      </c>
    </row>
    <row r="719">
      <c r="A719" s="18">
        <f>IF($H719="","",INDEX('Journal'!$A$1:$A$2002,$H719))</f>
        <v/>
      </c>
      <c r="B719" s="21">
        <f>IF($H719="","",INDEX('Journal'!$B$1:$B$2002,$H719))</f>
        <v/>
      </c>
      <c r="C719" s="5">
        <f>IF($H719="","",INDEX('Journal'!$C$1:$C$2002,$H719)&amp;"")</f>
        <v/>
      </c>
      <c r="D719" s="5">
        <f>IF($H719="","",IF(INDEX('Journal'!$D$1:$D$2002,$H719)=$B$1,INDEX('Journal'!$E$1:$E$2002,$H719),INDEX('Journal'!$D$1:$D$2002,$H719))&amp;"")</f>
        <v/>
      </c>
      <c r="E719" s="20">
        <f>IF($H719="","",IF(INDEX('Journal'!$D$1:$D$2002,$H719)=$B$1,N(INDEX('Journal'!$G$1:$G$2002,$H719)),N(INDEX('Journal'!$F$1:$F$2002,$H719))))</f>
        <v/>
      </c>
      <c r="F719" s="20">
        <f>IF($H719="","",IF(INDEX('Journal'!$D$1:$D$2002,$H719)=$B$1,N(INDEX('Journal'!$F$1:$F$2002,$H719)),N(INDEX('Journal'!$G$1:$G$2002,$H719))))</f>
        <v/>
      </c>
      <c r="G719" s="20">
        <f>IF($H719="","",G718+E719-F719)</f>
        <v/>
      </c>
      <c r="H719" s="18">
        <f t="array" ref="H719">IF($B$1="","",IFERROR(_xlfn.AGGREGATE(15,6,ROW('Journal'!$A$3:$A$2002)/(('Journal'!$D$3:$D$2002=$B$1)+('Journal'!$E$3:$E$2002=$B$1))/('Journal'!$B$3:$B$2002&gt;=$B$2)/('Journal'!$B$3:$B$2002&lt;=$B$3),714),""))</f>
        <v/>
      </c>
    </row>
    <row r="720">
      <c r="A720" s="18">
        <f>IF($H720="","",INDEX('Journal'!$A$1:$A$2002,$H720))</f>
        <v/>
      </c>
      <c r="B720" s="21">
        <f>IF($H720="","",INDEX('Journal'!$B$1:$B$2002,$H720))</f>
        <v/>
      </c>
      <c r="C720" s="5">
        <f>IF($H720="","",INDEX('Journal'!$C$1:$C$2002,$H720)&amp;"")</f>
        <v/>
      </c>
      <c r="D720" s="5">
        <f>IF($H720="","",IF(INDEX('Journal'!$D$1:$D$2002,$H720)=$B$1,INDEX('Journal'!$E$1:$E$2002,$H720),INDEX('Journal'!$D$1:$D$2002,$H720))&amp;"")</f>
        <v/>
      </c>
      <c r="E720" s="20">
        <f>IF($H720="","",IF(INDEX('Journal'!$D$1:$D$2002,$H720)=$B$1,N(INDEX('Journal'!$G$1:$G$2002,$H720)),N(INDEX('Journal'!$F$1:$F$2002,$H720))))</f>
        <v/>
      </c>
      <c r="F720" s="20">
        <f>IF($H720="","",IF(INDEX('Journal'!$D$1:$D$2002,$H720)=$B$1,N(INDEX('Journal'!$F$1:$F$2002,$H720)),N(INDEX('Journal'!$G$1:$G$2002,$H720))))</f>
        <v/>
      </c>
      <c r="G720" s="20">
        <f>IF($H720="","",G719+E720-F720)</f>
        <v/>
      </c>
      <c r="H720" s="18">
        <f t="array" ref="H720">IF($B$1="","",IFERROR(_xlfn.AGGREGATE(15,6,ROW('Journal'!$A$3:$A$2002)/(('Journal'!$D$3:$D$2002=$B$1)+('Journal'!$E$3:$E$2002=$B$1))/('Journal'!$B$3:$B$2002&gt;=$B$2)/('Journal'!$B$3:$B$2002&lt;=$B$3),715),""))</f>
        <v/>
      </c>
    </row>
    <row r="721">
      <c r="A721" s="18">
        <f>IF($H721="","",INDEX('Journal'!$A$1:$A$2002,$H721))</f>
        <v/>
      </c>
      <c r="B721" s="21">
        <f>IF($H721="","",INDEX('Journal'!$B$1:$B$2002,$H721))</f>
        <v/>
      </c>
      <c r="C721" s="5">
        <f>IF($H721="","",INDEX('Journal'!$C$1:$C$2002,$H721)&amp;"")</f>
        <v/>
      </c>
      <c r="D721" s="5">
        <f>IF($H721="","",IF(INDEX('Journal'!$D$1:$D$2002,$H721)=$B$1,INDEX('Journal'!$E$1:$E$2002,$H721),INDEX('Journal'!$D$1:$D$2002,$H721))&amp;"")</f>
        <v/>
      </c>
      <c r="E721" s="20">
        <f>IF($H721="","",IF(INDEX('Journal'!$D$1:$D$2002,$H721)=$B$1,N(INDEX('Journal'!$G$1:$G$2002,$H721)),N(INDEX('Journal'!$F$1:$F$2002,$H721))))</f>
        <v/>
      </c>
      <c r="F721" s="20">
        <f>IF($H721="","",IF(INDEX('Journal'!$D$1:$D$2002,$H721)=$B$1,N(INDEX('Journal'!$F$1:$F$2002,$H721)),N(INDEX('Journal'!$G$1:$G$2002,$H721))))</f>
        <v/>
      </c>
      <c r="G721" s="20">
        <f>IF($H721="","",G720+E721-F721)</f>
        <v/>
      </c>
      <c r="H721" s="18">
        <f t="array" ref="H721">IF($B$1="","",IFERROR(_xlfn.AGGREGATE(15,6,ROW('Journal'!$A$3:$A$2002)/(('Journal'!$D$3:$D$2002=$B$1)+('Journal'!$E$3:$E$2002=$B$1))/('Journal'!$B$3:$B$2002&gt;=$B$2)/('Journal'!$B$3:$B$2002&lt;=$B$3),716),""))</f>
        <v/>
      </c>
    </row>
    <row r="722">
      <c r="A722" s="18">
        <f>IF($H722="","",INDEX('Journal'!$A$1:$A$2002,$H722))</f>
        <v/>
      </c>
      <c r="B722" s="21">
        <f>IF($H722="","",INDEX('Journal'!$B$1:$B$2002,$H722))</f>
        <v/>
      </c>
      <c r="C722" s="5">
        <f>IF($H722="","",INDEX('Journal'!$C$1:$C$2002,$H722)&amp;"")</f>
        <v/>
      </c>
      <c r="D722" s="5">
        <f>IF($H722="","",IF(INDEX('Journal'!$D$1:$D$2002,$H722)=$B$1,INDEX('Journal'!$E$1:$E$2002,$H722),INDEX('Journal'!$D$1:$D$2002,$H722))&amp;"")</f>
        <v/>
      </c>
      <c r="E722" s="20">
        <f>IF($H722="","",IF(INDEX('Journal'!$D$1:$D$2002,$H722)=$B$1,N(INDEX('Journal'!$G$1:$G$2002,$H722)),N(INDEX('Journal'!$F$1:$F$2002,$H722))))</f>
        <v/>
      </c>
      <c r="F722" s="20">
        <f>IF($H722="","",IF(INDEX('Journal'!$D$1:$D$2002,$H722)=$B$1,N(INDEX('Journal'!$F$1:$F$2002,$H722)),N(INDEX('Journal'!$G$1:$G$2002,$H722))))</f>
        <v/>
      </c>
      <c r="G722" s="20">
        <f>IF($H722="","",G721+E722-F722)</f>
        <v/>
      </c>
      <c r="H722" s="18">
        <f t="array" ref="H722">IF($B$1="","",IFERROR(_xlfn.AGGREGATE(15,6,ROW('Journal'!$A$3:$A$2002)/(('Journal'!$D$3:$D$2002=$B$1)+('Journal'!$E$3:$E$2002=$B$1))/('Journal'!$B$3:$B$2002&gt;=$B$2)/('Journal'!$B$3:$B$2002&lt;=$B$3),717),""))</f>
        <v/>
      </c>
    </row>
    <row r="723">
      <c r="A723" s="18">
        <f>IF($H723="","",INDEX('Journal'!$A$1:$A$2002,$H723))</f>
        <v/>
      </c>
      <c r="B723" s="21">
        <f>IF($H723="","",INDEX('Journal'!$B$1:$B$2002,$H723))</f>
        <v/>
      </c>
      <c r="C723" s="5">
        <f>IF($H723="","",INDEX('Journal'!$C$1:$C$2002,$H723)&amp;"")</f>
        <v/>
      </c>
      <c r="D723" s="5">
        <f>IF($H723="","",IF(INDEX('Journal'!$D$1:$D$2002,$H723)=$B$1,INDEX('Journal'!$E$1:$E$2002,$H723),INDEX('Journal'!$D$1:$D$2002,$H723))&amp;"")</f>
        <v/>
      </c>
      <c r="E723" s="20">
        <f>IF($H723="","",IF(INDEX('Journal'!$D$1:$D$2002,$H723)=$B$1,N(INDEX('Journal'!$G$1:$G$2002,$H723)),N(INDEX('Journal'!$F$1:$F$2002,$H723))))</f>
        <v/>
      </c>
      <c r="F723" s="20">
        <f>IF($H723="","",IF(INDEX('Journal'!$D$1:$D$2002,$H723)=$B$1,N(INDEX('Journal'!$F$1:$F$2002,$H723)),N(INDEX('Journal'!$G$1:$G$2002,$H723))))</f>
        <v/>
      </c>
      <c r="G723" s="20">
        <f>IF($H723="","",G722+E723-F723)</f>
        <v/>
      </c>
      <c r="H723" s="18">
        <f t="array" ref="H723">IF($B$1="","",IFERROR(_xlfn.AGGREGATE(15,6,ROW('Journal'!$A$3:$A$2002)/(('Journal'!$D$3:$D$2002=$B$1)+('Journal'!$E$3:$E$2002=$B$1))/('Journal'!$B$3:$B$2002&gt;=$B$2)/('Journal'!$B$3:$B$2002&lt;=$B$3),718),""))</f>
        <v/>
      </c>
    </row>
    <row r="724">
      <c r="A724" s="18">
        <f>IF($H724="","",INDEX('Journal'!$A$1:$A$2002,$H724))</f>
        <v/>
      </c>
      <c r="B724" s="21">
        <f>IF($H724="","",INDEX('Journal'!$B$1:$B$2002,$H724))</f>
        <v/>
      </c>
      <c r="C724" s="5">
        <f>IF($H724="","",INDEX('Journal'!$C$1:$C$2002,$H724)&amp;"")</f>
        <v/>
      </c>
      <c r="D724" s="5">
        <f>IF($H724="","",IF(INDEX('Journal'!$D$1:$D$2002,$H724)=$B$1,INDEX('Journal'!$E$1:$E$2002,$H724),INDEX('Journal'!$D$1:$D$2002,$H724))&amp;"")</f>
        <v/>
      </c>
      <c r="E724" s="20">
        <f>IF($H724="","",IF(INDEX('Journal'!$D$1:$D$2002,$H724)=$B$1,N(INDEX('Journal'!$G$1:$G$2002,$H724)),N(INDEX('Journal'!$F$1:$F$2002,$H724))))</f>
        <v/>
      </c>
      <c r="F724" s="20">
        <f>IF($H724="","",IF(INDEX('Journal'!$D$1:$D$2002,$H724)=$B$1,N(INDEX('Journal'!$F$1:$F$2002,$H724)),N(INDEX('Journal'!$G$1:$G$2002,$H724))))</f>
        <v/>
      </c>
      <c r="G724" s="20">
        <f>IF($H724="","",G723+E724-F724)</f>
        <v/>
      </c>
      <c r="H724" s="18">
        <f t="array" ref="H724">IF($B$1="","",IFERROR(_xlfn.AGGREGATE(15,6,ROW('Journal'!$A$3:$A$2002)/(('Journal'!$D$3:$D$2002=$B$1)+('Journal'!$E$3:$E$2002=$B$1))/('Journal'!$B$3:$B$2002&gt;=$B$2)/('Journal'!$B$3:$B$2002&lt;=$B$3),719),""))</f>
        <v/>
      </c>
    </row>
    <row r="725">
      <c r="A725" s="18">
        <f>IF($H725="","",INDEX('Journal'!$A$1:$A$2002,$H725))</f>
        <v/>
      </c>
      <c r="B725" s="21">
        <f>IF($H725="","",INDEX('Journal'!$B$1:$B$2002,$H725))</f>
        <v/>
      </c>
      <c r="C725" s="5">
        <f>IF($H725="","",INDEX('Journal'!$C$1:$C$2002,$H725)&amp;"")</f>
        <v/>
      </c>
      <c r="D725" s="5">
        <f>IF($H725="","",IF(INDEX('Journal'!$D$1:$D$2002,$H725)=$B$1,INDEX('Journal'!$E$1:$E$2002,$H725),INDEX('Journal'!$D$1:$D$2002,$H725))&amp;"")</f>
        <v/>
      </c>
      <c r="E725" s="20">
        <f>IF($H725="","",IF(INDEX('Journal'!$D$1:$D$2002,$H725)=$B$1,N(INDEX('Journal'!$G$1:$G$2002,$H725)),N(INDEX('Journal'!$F$1:$F$2002,$H725))))</f>
        <v/>
      </c>
      <c r="F725" s="20">
        <f>IF($H725="","",IF(INDEX('Journal'!$D$1:$D$2002,$H725)=$B$1,N(INDEX('Journal'!$F$1:$F$2002,$H725)),N(INDEX('Journal'!$G$1:$G$2002,$H725))))</f>
        <v/>
      </c>
      <c r="G725" s="20">
        <f>IF($H725="","",G724+E725-F725)</f>
        <v/>
      </c>
      <c r="H725" s="18">
        <f t="array" ref="H725">IF($B$1="","",IFERROR(_xlfn.AGGREGATE(15,6,ROW('Journal'!$A$3:$A$2002)/(('Journal'!$D$3:$D$2002=$B$1)+('Journal'!$E$3:$E$2002=$B$1))/('Journal'!$B$3:$B$2002&gt;=$B$2)/('Journal'!$B$3:$B$2002&lt;=$B$3),720),""))</f>
        <v/>
      </c>
    </row>
    <row r="726">
      <c r="A726" s="18">
        <f>IF($H726="","",INDEX('Journal'!$A$1:$A$2002,$H726))</f>
        <v/>
      </c>
      <c r="B726" s="21">
        <f>IF($H726="","",INDEX('Journal'!$B$1:$B$2002,$H726))</f>
        <v/>
      </c>
      <c r="C726" s="5">
        <f>IF($H726="","",INDEX('Journal'!$C$1:$C$2002,$H726)&amp;"")</f>
        <v/>
      </c>
      <c r="D726" s="5">
        <f>IF($H726="","",IF(INDEX('Journal'!$D$1:$D$2002,$H726)=$B$1,INDEX('Journal'!$E$1:$E$2002,$H726),INDEX('Journal'!$D$1:$D$2002,$H726))&amp;"")</f>
        <v/>
      </c>
      <c r="E726" s="20">
        <f>IF($H726="","",IF(INDEX('Journal'!$D$1:$D$2002,$H726)=$B$1,N(INDEX('Journal'!$G$1:$G$2002,$H726)),N(INDEX('Journal'!$F$1:$F$2002,$H726))))</f>
        <v/>
      </c>
      <c r="F726" s="20">
        <f>IF($H726="","",IF(INDEX('Journal'!$D$1:$D$2002,$H726)=$B$1,N(INDEX('Journal'!$F$1:$F$2002,$H726)),N(INDEX('Journal'!$G$1:$G$2002,$H726))))</f>
        <v/>
      </c>
      <c r="G726" s="20">
        <f>IF($H726="","",G725+E726-F726)</f>
        <v/>
      </c>
      <c r="H726" s="18">
        <f t="array" ref="H726">IF($B$1="","",IFERROR(_xlfn.AGGREGATE(15,6,ROW('Journal'!$A$3:$A$2002)/(('Journal'!$D$3:$D$2002=$B$1)+('Journal'!$E$3:$E$2002=$B$1))/('Journal'!$B$3:$B$2002&gt;=$B$2)/('Journal'!$B$3:$B$2002&lt;=$B$3),721),""))</f>
        <v/>
      </c>
    </row>
    <row r="727">
      <c r="A727" s="18">
        <f>IF($H727="","",INDEX('Journal'!$A$1:$A$2002,$H727))</f>
        <v/>
      </c>
      <c r="B727" s="21">
        <f>IF($H727="","",INDEX('Journal'!$B$1:$B$2002,$H727))</f>
        <v/>
      </c>
      <c r="C727" s="5">
        <f>IF($H727="","",INDEX('Journal'!$C$1:$C$2002,$H727)&amp;"")</f>
        <v/>
      </c>
      <c r="D727" s="5">
        <f>IF($H727="","",IF(INDEX('Journal'!$D$1:$D$2002,$H727)=$B$1,INDEX('Journal'!$E$1:$E$2002,$H727),INDEX('Journal'!$D$1:$D$2002,$H727))&amp;"")</f>
        <v/>
      </c>
      <c r="E727" s="20">
        <f>IF($H727="","",IF(INDEX('Journal'!$D$1:$D$2002,$H727)=$B$1,N(INDEX('Journal'!$G$1:$G$2002,$H727)),N(INDEX('Journal'!$F$1:$F$2002,$H727))))</f>
        <v/>
      </c>
      <c r="F727" s="20">
        <f>IF($H727="","",IF(INDEX('Journal'!$D$1:$D$2002,$H727)=$B$1,N(INDEX('Journal'!$F$1:$F$2002,$H727)),N(INDEX('Journal'!$G$1:$G$2002,$H727))))</f>
        <v/>
      </c>
      <c r="G727" s="20">
        <f>IF($H727="","",G726+E727-F727)</f>
        <v/>
      </c>
      <c r="H727" s="18">
        <f t="array" ref="H727">IF($B$1="","",IFERROR(_xlfn.AGGREGATE(15,6,ROW('Journal'!$A$3:$A$2002)/(('Journal'!$D$3:$D$2002=$B$1)+('Journal'!$E$3:$E$2002=$B$1))/('Journal'!$B$3:$B$2002&gt;=$B$2)/('Journal'!$B$3:$B$2002&lt;=$B$3),722),""))</f>
        <v/>
      </c>
    </row>
    <row r="728">
      <c r="A728" s="18">
        <f>IF($H728="","",INDEX('Journal'!$A$1:$A$2002,$H728))</f>
        <v/>
      </c>
      <c r="B728" s="21">
        <f>IF($H728="","",INDEX('Journal'!$B$1:$B$2002,$H728))</f>
        <v/>
      </c>
      <c r="C728" s="5">
        <f>IF($H728="","",INDEX('Journal'!$C$1:$C$2002,$H728)&amp;"")</f>
        <v/>
      </c>
      <c r="D728" s="5">
        <f>IF($H728="","",IF(INDEX('Journal'!$D$1:$D$2002,$H728)=$B$1,INDEX('Journal'!$E$1:$E$2002,$H728),INDEX('Journal'!$D$1:$D$2002,$H728))&amp;"")</f>
        <v/>
      </c>
      <c r="E728" s="20">
        <f>IF($H728="","",IF(INDEX('Journal'!$D$1:$D$2002,$H728)=$B$1,N(INDEX('Journal'!$G$1:$G$2002,$H728)),N(INDEX('Journal'!$F$1:$F$2002,$H728))))</f>
        <v/>
      </c>
      <c r="F728" s="20">
        <f>IF($H728="","",IF(INDEX('Journal'!$D$1:$D$2002,$H728)=$B$1,N(INDEX('Journal'!$F$1:$F$2002,$H728)),N(INDEX('Journal'!$G$1:$G$2002,$H728))))</f>
        <v/>
      </c>
      <c r="G728" s="20">
        <f>IF($H728="","",G727+E728-F728)</f>
        <v/>
      </c>
      <c r="H728" s="18">
        <f t="array" ref="H728">IF($B$1="","",IFERROR(_xlfn.AGGREGATE(15,6,ROW('Journal'!$A$3:$A$2002)/(('Journal'!$D$3:$D$2002=$B$1)+('Journal'!$E$3:$E$2002=$B$1))/('Journal'!$B$3:$B$2002&gt;=$B$2)/('Journal'!$B$3:$B$2002&lt;=$B$3),723),""))</f>
        <v/>
      </c>
    </row>
    <row r="729">
      <c r="A729" s="18">
        <f>IF($H729="","",INDEX('Journal'!$A$1:$A$2002,$H729))</f>
        <v/>
      </c>
      <c r="B729" s="21">
        <f>IF($H729="","",INDEX('Journal'!$B$1:$B$2002,$H729))</f>
        <v/>
      </c>
      <c r="C729" s="5">
        <f>IF($H729="","",INDEX('Journal'!$C$1:$C$2002,$H729)&amp;"")</f>
        <v/>
      </c>
      <c r="D729" s="5">
        <f>IF($H729="","",IF(INDEX('Journal'!$D$1:$D$2002,$H729)=$B$1,INDEX('Journal'!$E$1:$E$2002,$H729),INDEX('Journal'!$D$1:$D$2002,$H729))&amp;"")</f>
        <v/>
      </c>
      <c r="E729" s="20">
        <f>IF($H729="","",IF(INDEX('Journal'!$D$1:$D$2002,$H729)=$B$1,N(INDEX('Journal'!$G$1:$G$2002,$H729)),N(INDEX('Journal'!$F$1:$F$2002,$H729))))</f>
        <v/>
      </c>
      <c r="F729" s="20">
        <f>IF($H729="","",IF(INDEX('Journal'!$D$1:$D$2002,$H729)=$B$1,N(INDEX('Journal'!$F$1:$F$2002,$H729)),N(INDEX('Journal'!$G$1:$G$2002,$H729))))</f>
        <v/>
      </c>
      <c r="G729" s="20">
        <f>IF($H729="","",G728+E729-F729)</f>
        <v/>
      </c>
      <c r="H729" s="18">
        <f t="array" ref="H729">IF($B$1="","",IFERROR(_xlfn.AGGREGATE(15,6,ROW('Journal'!$A$3:$A$2002)/(('Journal'!$D$3:$D$2002=$B$1)+('Journal'!$E$3:$E$2002=$B$1))/('Journal'!$B$3:$B$2002&gt;=$B$2)/('Journal'!$B$3:$B$2002&lt;=$B$3),724),""))</f>
        <v/>
      </c>
    </row>
    <row r="730">
      <c r="A730" s="18">
        <f>IF($H730="","",INDEX('Journal'!$A$1:$A$2002,$H730))</f>
        <v/>
      </c>
      <c r="B730" s="21">
        <f>IF($H730="","",INDEX('Journal'!$B$1:$B$2002,$H730))</f>
        <v/>
      </c>
      <c r="C730" s="5">
        <f>IF($H730="","",INDEX('Journal'!$C$1:$C$2002,$H730)&amp;"")</f>
        <v/>
      </c>
      <c r="D730" s="5">
        <f>IF($H730="","",IF(INDEX('Journal'!$D$1:$D$2002,$H730)=$B$1,INDEX('Journal'!$E$1:$E$2002,$H730),INDEX('Journal'!$D$1:$D$2002,$H730))&amp;"")</f>
        <v/>
      </c>
      <c r="E730" s="20">
        <f>IF($H730="","",IF(INDEX('Journal'!$D$1:$D$2002,$H730)=$B$1,N(INDEX('Journal'!$G$1:$G$2002,$H730)),N(INDEX('Journal'!$F$1:$F$2002,$H730))))</f>
        <v/>
      </c>
      <c r="F730" s="20">
        <f>IF($H730="","",IF(INDEX('Journal'!$D$1:$D$2002,$H730)=$B$1,N(INDEX('Journal'!$F$1:$F$2002,$H730)),N(INDEX('Journal'!$G$1:$G$2002,$H730))))</f>
        <v/>
      </c>
      <c r="G730" s="20">
        <f>IF($H730="","",G729+E730-F730)</f>
        <v/>
      </c>
      <c r="H730" s="18">
        <f t="array" ref="H730">IF($B$1="","",IFERROR(_xlfn.AGGREGATE(15,6,ROW('Journal'!$A$3:$A$2002)/(('Journal'!$D$3:$D$2002=$B$1)+('Journal'!$E$3:$E$2002=$B$1))/('Journal'!$B$3:$B$2002&gt;=$B$2)/('Journal'!$B$3:$B$2002&lt;=$B$3),725),""))</f>
        <v/>
      </c>
    </row>
    <row r="731">
      <c r="A731" s="18">
        <f>IF($H731="","",INDEX('Journal'!$A$1:$A$2002,$H731))</f>
        <v/>
      </c>
      <c r="B731" s="21">
        <f>IF($H731="","",INDEX('Journal'!$B$1:$B$2002,$H731))</f>
        <v/>
      </c>
      <c r="C731" s="5">
        <f>IF($H731="","",INDEX('Journal'!$C$1:$C$2002,$H731)&amp;"")</f>
        <v/>
      </c>
      <c r="D731" s="5">
        <f>IF($H731="","",IF(INDEX('Journal'!$D$1:$D$2002,$H731)=$B$1,INDEX('Journal'!$E$1:$E$2002,$H731),INDEX('Journal'!$D$1:$D$2002,$H731))&amp;"")</f>
        <v/>
      </c>
      <c r="E731" s="20">
        <f>IF($H731="","",IF(INDEX('Journal'!$D$1:$D$2002,$H731)=$B$1,N(INDEX('Journal'!$G$1:$G$2002,$H731)),N(INDEX('Journal'!$F$1:$F$2002,$H731))))</f>
        <v/>
      </c>
      <c r="F731" s="20">
        <f>IF($H731="","",IF(INDEX('Journal'!$D$1:$D$2002,$H731)=$B$1,N(INDEX('Journal'!$F$1:$F$2002,$H731)),N(INDEX('Journal'!$G$1:$G$2002,$H731))))</f>
        <v/>
      </c>
      <c r="G731" s="20">
        <f>IF($H731="","",G730+E731-F731)</f>
        <v/>
      </c>
      <c r="H731" s="18">
        <f t="array" ref="H731">IF($B$1="","",IFERROR(_xlfn.AGGREGATE(15,6,ROW('Journal'!$A$3:$A$2002)/(('Journal'!$D$3:$D$2002=$B$1)+('Journal'!$E$3:$E$2002=$B$1))/('Journal'!$B$3:$B$2002&gt;=$B$2)/('Journal'!$B$3:$B$2002&lt;=$B$3),726),""))</f>
        <v/>
      </c>
    </row>
    <row r="732">
      <c r="A732" s="18">
        <f>IF($H732="","",INDEX('Journal'!$A$1:$A$2002,$H732))</f>
        <v/>
      </c>
      <c r="B732" s="21">
        <f>IF($H732="","",INDEX('Journal'!$B$1:$B$2002,$H732))</f>
        <v/>
      </c>
      <c r="C732" s="5">
        <f>IF($H732="","",INDEX('Journal'!$C$1:$C$2002,$H732)&amp;"")</f>
        <v/>
      </c>
      <c r="D732" s="5">
        <f>IF($H732="","",IF(INDEX('Journal'!$D$1:$D$2002,$H732)=$B$1,INDEX('Journal'!$E$1:$E$2002,$H732),INDEX('Journal'!$D$1:$D$2002,$H732))&amp;"")</f>
        <v/>
      </c>
      <c r="E732" s="20">
        <f>IF($H732="","",IF(INDEX('Journal'!$D$1:$D$2002,$H732)=$B$1,N(INDEX('Journal'!$G$1:$G$2002,$H732)),N(INDEX('Journal'!$F$1:$F$2002,$H732))))</f>
        <v/>
      </c>
      <c r="F732" s="20">
        <f>IF($H732="","",IF(INDEX('Journal'!$D$1:$D$2002,$H732)=$B$1,N(INDEX('Journal'!$F$1:$F$2002,$H732)),N(INDEX('Journal'!$G$1:$G$2002,$H732))))</f>
        <v/>
      </c>
      <c r="G732" s="20">
        <f>IF($H732="","",G731+E732-F732)</f>
        <v/>
      </c>
      <c r="H732" s="18">
        <f t="array" ref="H732">IF($B$1="","",IFERROR(_xlfn.AGGREGATE(15,6,ROW('Journal'!$A$3:$A$2002)/(('Journal'!$D$3:$D$2002=$B$1)+('Journal'!$E$3:$E$2002=$B$1))/('Journal'!$B$3:$B$2002&gt;=$B$2)/('Journal'!$B$3:$B$2002&lt;=$B$3),727),""))</f>
        <v/>
      </c>
    </row>
    <row r="733">
      <c r="A733" s="18">
        <f>IF($H733="","",INDEX('Journal'!$A$1:$A$2002,$H733))</f>
        <v/>
      </c>
      <c r="B733" s="21">
        <f>IF($H733="","",INDEX('Journal'!$B$1:$B$2002,$H733))</f>
        <v/>
      </c>
      <c r="C733" s="5">
        <f>IF($H733="","",INDEX('Journal'!$C$1:$C$2002,$H733)&amp;"")</f>
        <v/>
      </c>
      <c r="D733" s="5">
        <f>IF($H733="","",IF(INDEX('Journal'!$D$1:$D$2002,$H733)=$B$1,INDEX('Journal'!$E$1:$E$2002,$H733),INDEX('Journal'!$D$1:$D$2002,$H733))&amp;"")</f>
        <v/>
      </c>
      <c r="E733" s="20">
        <f>IF($H733="","",IF(INDEX('Journal'!$D$1:$D$2002,$H733)=$B$1,N(INDEX('Journal'!$G$1:$G$2002,$H733)),N(INDEX('Journal'!$F$1:$F$2002,$H733))))</f>
        <v/>
      </c>
      <c r="F733" s="20">
        <f>IF($H733="","",IF(INDEX('Journal'!$D$1:$D$2002,$H733)=$B$1,N(INDEX('Journal'!$F$1:$F$2002,$H733)),N(INDEX('Journal'!$G$1:$G$2002,$H733))))</f>
        <v/>
      </c>
      <c r="G733" s="20">
        <f>IF($H733="","",G732+E733-F733)</f>
        <v/>
      </c>
      <c r="H733" s="18">
        <f t="array" ref="H733">IF($B$1="","",IFERROR(_xlfn.AGGREGATE(15,6,ROW('Journal'!$A$3:$A$2002)/(('Journal'!$D$3:$D$2002=$B$1)+('Journal'!$E$3:$E$2002=$B$1))/('Journal'!$B$3:$B$2002&gt;=$B$2)/('Journal'!$B$3:$B$2002&lt;=$B$3),728),""))</f>
        <v/>
      </c>
    </row>
    <row r="734">
      <c r="A734" s="18">
        <f>IF($H734="","",INDEX('Journal'!$A$1:$A$2002,$H734))</f>
        <v/>
      </c>
      <c r="B734" s="21">
        <f>IF($H734="","",INDEX('Journal'!$B$1:$B$2002,$H734))</f>
        <v/>
      </c>
      <c r="C734" s="5">
        <f>IF($H734="","",INDEX('Journal'!$C$1:$C$2002,$H734)&amp;"")</f>
        <v/>
      </c>
      <c r="D734" s="5">
        <f>IF($H734="","",IF(INDEX('Journal'!$D$1:$D$2002,$H734)=$B$1,INDEX('Journal'!$E$1:$E$2002,$H734),INDEX('Journal'!$D$1:$D$2002,$H734))&amp;"")</f>
        <v/>
      </c>
      <c r="E734" s="20">
        <f>IF($H734="","",IF(INDEX('Journal'!$D$1:$D$2002,$H734)=$B$1,N(INDEX('Journal'!$G$1:$G$2002,$H734)),N(INDEX('Journal'!$F$1:$F$2002,$H734))))</f>
        <v/>
      </c>
      <c r="F734" s="20">
        <f>IF($H734="","",IF(INDEX('Journal'!$D$1:$D$2002,$H734)=$B$1,N(INDEX('Journal'!$F$1:$F$2002,$H734)),N(INDEX('Journal'!$G$1:$G$2002,$H734))))</f>
        <v/>
      </c>
      <c r="G734" s="20">
        <f>IF($H734="","",G733+E734-F734)</f>
        <v/>
      </c>
      <c r="H734" s="18">
        <f t="array" ref="H734">IF($B$1="","",IFERROR(_xlfn.AGGREGATE(15,6,ROW('Journal'!$A$3:$A$2002)/(('Journal'!$D$3:$D$2002=$B$1)+('Journal'!$E$3:$E$2002=$B$1))/('Journal'!$B$3:$B$2002&gt;=$B$2)/('Journal'!$B$3:$B$2002&lt;=$B$3),729),""))</f>
        <v/>
      </c>
    </row>
    <row r="735">
      <c r="A735" s="18">
        <f>IF($H735="","",INDEX('Journal'!$A$1:$A$2002,$H735))</f>
        <v/>
      </c>
      <c r="B735" s="21">
        <f>IF($H735="","",INDEX('Journal'!$B$1:$B$2002,$H735))</f>
        <v/>
      </c>
      <c r="C735" s="5">
        <f>IF($H735="","",INDEX('Journal'!$C$1:$C$2002,$H735)&amp;"")</f>
        <v/>
      </c>
      <c r="D735" s="5">
        <f>IF($H735="","",IF(INDEX('Journal'!$D$1:$D$2002,$H735)=$B$1,INDEX('Journal'!$E$1:$E$2002,$H735),INDEX('Journal'!$D$1:$D$2002,$H735))&amp;"")</f>
        <v/>
      </c>
      <c r="E735" s="20">
        <f>IF($H735="","",IF(INDEX('Journal'!$D$1:$D$2002,$H735)=$B$1,N(INDEX('Journal'!$G$1:$G$2002,$H735)),N(INDEX('Journal'!$F$1:$F$2002,$H735))))</f>
        <v/>
      </c>
      <c r="F735" s="20">
        <f>IF($H735="","",IF(INDEX('Journal'!$D$1:$D$2002,$H735)=$B$1,N(INDEX('Journal'!$F$1:$F$2002,$H735)),N(INDEX('Journal'!$G$1:$G$2002,$H735))))</f>
        <v/>
      </c>
      <c r="G735" s="20">
        <f>IF($H735="","",G734+E735-F735)</f>
        <v/>
      </c>
      <c r="H735" s="18">
        <f t="array" ref="H735">IF($B$1="","",IFERROR(_xlfn.AGGREGATE(15,6,ROW('Journal'!$A$3:$A$2002)/(('Journal'!$D$3:$D$2002=$B$1)+('Journal'!$E$3:$E$2002=$B$1))/('Journal'!$B$3:$B$2002&gt;=$B$2)/('Journal'!$B$3:$B$2002&lt;=$B$3),730),""))</f>
        <v/>
      </c>
    </row>
    <row r="736">
      <c r="A736" s="18">
        <f>IF($H736="","",INDEX('Journal'!$A$1:$A$2002,$H736))</f>
        <v/>
      </c>
      <c r="B736" s="21">
        <f>IF($H736="","",INDEX('Journal'!$B$1:$B$2002,$H736))</f>
        <v/>
      </c>
      <c r="C736" s="5">
        <f>IF($H736="","",INDEX('Journal'!$C$1:$C$2002,$H736)&amp;"")</f>
        <v/>
      </c>
      <c r="D736" s="5">
        <f>IF($H736="","",IF(INDEX('Journal'!$D$1:$D$2002,$H736)=$B$1,INDEX('Journal'!$E$1:$E$2002,$H736),INDEX('Journal'!$D$1:$D$2002,$H736))&amp;"")</f>
        <v/>
      </c>
      <c r="E736" s="20">
        <f>IF($H736="","",IF(INDEX('Journal'!$D$1:$D$2002,$H736)=$B$1,N(INDEX('Journal'!$G$1:$G$2002,$H736)),N(INDEX('Journal'!$F$1:$F$2002,$H736))))</f>
        <v/>
      </c>
      <c r="F736" s="20">
        <f>IF($H736="","",IF(INDEX('Journal'!$D$1:$D$2002,$H736)=$B$1,N(INDEX('Journal'!$F$1:$F$2002,$H736)),N(INDEX('Journal'!$G$1:$G$2002,$H736))))</f>
        <v/>
      </c>
      <c r="G736" s="20">
        <f>IF($H736="","",G735+E736-F736)</f>
        <v/>
      </c>
      <c r="H736" s="18">
        <f t="array" ref="H736">IF($B$1="","",IFERROR(_xlfn.AGGREGATE(15,6,ROW('Journal'!$A$3:$A$2002)/(('Journal'!$D$3:$D$2002=$B$1)+('Journal'!$E$3:$E$2002=$B$1))/('Journal'!$B$3:$B$2002&gt;=$B$2)/('Journal'!$B$3:$B$2002&lt;=$B$3),731),""))</f>
        <v/>
      </c>
    </row>
    <row r="737">
      <c r="A737" s="18">
        <f>IF($H737="","",INDEX('Journal'!$A$1:$A$2002,$H737))</f>
        <v/>
      </c>
      <c r="B737" s="21">
        <f>IF($H737="","",INDEX('Journal'!$B$1:$B$2002,$H737))</f>
        <v/>
      </c>
      <c r="C737" s="5">
        <f>IF($H737="","",INDEX('Journal'!$C$1:$C$2002,$H737)&amp;"")</f>
        <v/>
      </c>
      <c r="D737" s="5">
        <f>IF($H737="","",IF(INDEX('Journal'!$D$1:$D$2002,$H737)=$B$1,INDEX('Journal'!$E$1:$E$2002,$H737),INDEX('Journal'!$D$1:$D$2002,$H737))&amp;"")</f>
        <v/>
      </c>
      <c r="E737" s="20">
        <f>IF($H737="","",IF(INDEX('Journal'!$D$1:$D$2002,$H737)=$B$1,N(INDEX('Journal'!$G$1:$G$2002,$H737)),N(INDEX('Journal'!$F$1:$F$2002,$H737))))</f>
        <v/>
      </c>
      <c r="F737" s="20">
        <f>IF($H737="","",IF(INDEX('Journal'!$D$1:$D$2002,$H737)=$B$1,N(INDEX('Journal'!$F$1:$F$2002,$H737)),N(INDEX('Journal'!$G$1:$G$2002,$H737))))</f>
        <v/>
      </c>
      <c r="G737" s="20">
        <f>IF($H737="","",G736+E737-F737)</f>
        <v/>
      </c>
      <c r="H737" s="18">
        <f t="array" ref="H737">IF($B$1="","",IFERROR(_xlfn.AGGREGATE(15,6,ROW('Journal'!$A$3:$A$2002)/(('Journal'!$D$3:$D$2002=$B$1)+('Journal'!$E$3:$E$2002=$B$1))/('Journal'!$B$3:$B$2002&gt;=$B$2)/('Journal'!$B$3:$B$2002&lt;=$B$3),732),""))</f>
        <v/>
      </c>
    </row>
    <row r="738">
      <c r="A738" s="18">
        <f>IF($H738="","",INDEX('Journal'!$A$1:$A$2002,$H738))</f>
        <v/>
      </c>
      <c r="B738" s="21">
        <f>IF($H738="","",INDEX('Journal'!$B$1:$B$2002,$H738))</f>
        <v/>
      </c>
      <c r="C738" s="5">
        <f>IF($H738="","",INDEX('Journal'!$C$1:$C$2002,$H738)&amp;"")</f>
        <v/>
      </c>
      <c r="D738" s="5">
        <f>IF($H738="","",IF(INDEX('Journal'!$D$1:$D$2002,$H738)=$B$1,INDEX('Journal'!$E$1:$E$2002,$H738),INDEX('Journal'!$D$1:$D$2002,$H738))&amp;"")</f>
        <v/>
      </c>
      <c r="E738" s="20">
        <f>IF($H738="","",IF(INDEX('Journal'!$D$1:$D$2002,$H738)=$B$1,N(INDEX('Journal'!$G$1:$G$2002,$H738)),N(INDEX('Journal'!$F$1:$F$2002,$H738))))</f>
        <v/>
      </c>
      <c r="F738" s="20">
        <f>IF($H738="","",IF(INDEX('Journal'!$D$1:$D$2002,$H738)=$B$1,N(INDEX('Journal'!$F$1:$F$2002,$H738)),N(INDEX('Journal'!$G$1:$G$2002,$H738))))</f>
        <v/>
      </c>
      <c r="G738" s="20">
        <f>IF($H738="","",G737+E738-F738)</f>
        <v/>
      </c>
      <c r="H738" s="18">
        <f t="array" ref="H738">IF($B$1="","",IFERROR(_xlfn.AGGREGATE(15,6,ROW('Journal'!$A$3:$A$2002)/(('Journal'!$D$3:$D$2002=$B$1)+('Journal'!$E$3:$E$2002=$B$1))/('Journal'!$B$3:$B$2002&gt;=$B$2)/('Journal'!$B$3:$B$2002&lt;=$B$3),733),""))</f>
        <v/>
      </c>
    </row>
    <row r="739">
      <c r="A739" s="18">
        <f>IF($H739="","",INDEX('Journal'!$A$1:$A$2002,$H739))</f>
        <v/>
      </c>
      <c r="B739" s="21">
        <f>IF($H739="","",INDEX('Journal'!$B$1:$B$2002,$H739))</f>
        <v/>
      </c>
      <c r="C739" s="5">
        <f>IF($H739="","",INDEX('Journal'!$C$1:$C$2002,$H739)&amp;"")</f>
        <v/>
      </c>
      <c r="D739" s="5">
        <f>IF($H739="","",IF(INDEX('Journal'!$D$1:$D$2002,$H739)=$B$1,INDEX('Journal'!$E$1:$E$2002,$H739),INDEX('Journal'!$D$1:$D$2002,$H739))&amp;"")</f>
        <v/>
      </c>
      <c r="E739" s="20">
        <f>IF($H739="","",IF(INDEX('Journal'!$D$1:$D$2002,$H739)=$B$1,N(INDEX('Journal'!$G$1:$G$2002,$H739)),N(INDEX('Journal'!$F$1:$F$2002,$H739))))</f>
        <v/>
      </c>
      <c r="F739" s="20">
        <f>IF($H739="","",IF(INDEX('Journal'!$D$1:$D$2002,$H739)=$B$1,N(INDEX('Journal'!$F$1:$F$2002,$H739)),N(INDEX('Journal'!$G$1:$G$2002,$H739))))</f>
        <v/>
      </c>
      <c r="G739" s="20">
        <f>IF($H739="","",G738+E739-F739)</f>
        <v/>
      </c>
      <c r="H739" s="18">
        <f t="array" ref="H739">IF($B$1="","",IFERROR(_xlfn.AGGREGATE(15,6,ROW('Journal'!$A$3:$A$2002)/(('Journal'!$D$3:$D$2002=$B$1)+('Journal'!$E$3:$E$2002=$B$1))/('Journal'!$B$3:$B$2002&gt;=$B$2)/('Journal'!$B$3:$B$2002&lt;=$B$3),734),""))</f>
        <v/>
      </c>
    </row>
    <row r="740">
      <c r="A740" s="18">
        <f>IF($H740="","",INDEX('Journal'!$A$1:$A$2002,$H740))</f>
        <v/>
      </c>
      <c r="B740" s="21">
        <f>IF($H740="","",INDEX('Journal'!$B$1:$B$2002,$H740))</f>
        <v/>
      </c>
      <c r="C740" s="5">
        <f>IF($H740="","",INDEX('Journal'!$C$1:$C$2002,$H740)&amp;"")</f>
        <v/>
      </c>
      <c r="D740" s="5">
        <f>IF($H740="","",IF(INDEX('Journal'!$D$1:$D$2002,$H740)=$B$1,INDEX('Journal'!$E$1:$E$2002,$H740),INDEX('Journal'!$D$1:$D$2002,$H740))&amp;"")</f>
        <v/>
      </c>
      <c r="E740" s="20">
        <f>IF($H740="","",IF(INDEX('Journal'!$D$1:$D$2002,$H740)=$B$1,N(INDEX('Journal'!$G$1:$G$2002,$H740)),N(INDEX('Journal'!$F$1:$F$2002,$H740))))</f>
        <v/>
      </c>
      <c r="F740" s="20">
        <f>IF($H740="","",IF(INDEX('Journal'!$D$1:$D$2002,$H740)=$B$1,N(INDEX('Journal'!$F$1:$F$2002,$H740)),N(INDEX('Journal'!$G$1:$G$2002,$H740))))</f>
        <v/>
      </c>
      <c r="G740" s="20">
        <f>IF($H740="","",G739+E740-F740)</f>
        <v/>
      </c>
      <c r="H740" s="18">
        <f t="array" ref="H740">IF($B$1="","",IFERROR(_xlfn.AGGREGATE(15,6,ROW('Journal'!$A$3:$A$2002)/(('Journal'!$D$3:$D$2002=$B$1)+('Journal'!$E$3:$E$2002=$B$1))/('Journal'!$B$3:$B$2002&gt;=$B$2)/('Journal'!$B$3:$B$2002&lt;=$B$3),735),""))</f>
        <v/>
      </c>
    </row>
    <row r="741">
      <c r="A741" s="18">
        <f>IF($H741="","",INDEX('Journal'!$A$1:$A$2002,$H741))</f>
        <v/>
      </c>
      <c r="B741" s="21">
        <f>IF($H741="","",INDEX('Journal'!$B$1:$B$2002,$H741))</f>
        <v/>
      </c>
      <c r="C741" s="5">
        <f>IF($H741="","",INDEX('Journal'!$C$1:$C$2002,$H741)&amp;"")</f>
        <v/>
      </c>
      <c r="D741" s="5">
        <f>IF($H741="","",IF(INDEX('Journal'!$D$1:$D$2002,$H741)=$B$1,INDEX('Journal'!$E$1:$E$2002,$H741),INDEX('Journal'!$D$1:$D$2002,$H741))&amp;"")</f>
        <v/>
      </c>
      <c r="E741" s="20">
        <f>IF($H741="","",IF(INDEX('Journal'!$D$1:$D$2002,$H741)=$B$1,N(INDEX('Journal'!$G$1:$G$2002,$H741)),N(INDEX('Journal'!$F$1:$F$2002,$H741))))</f>
        <v/>
      </c>
      <c r="F741" s="20">
        <f>IF($H741="","",IF(INDEX('Journal'!$D$1:$D$2002,$H741)=$B$1,N(INDEX('Journal'!$F$1:$F$2002,$H741)),N(INDEX('Journal'!$G$1:$G$2002,$H741))))</f>
        <v/>
      </c>
      <c r="G741" s="20">
        <f>IF($H741="","",G740+E741-F741)</f>
        <v/>
      </c>
      <c r="H741" s="18">
        <f t="array" ref="H741">IF($B$1="","",IFERROR(_xlfn.AGGREGATE(15,6,ROW('Journal'!$A$3:$A$2002)/(('Journal'!$D$3:$D$2002=$B$1)+('Journal'!$E$3:$E$2002=$B$1))/('Journal'!$B$3:$B$2002&gt;=$B$2)/('Journal'!$B$3:$B$2002&lt;=$B$3),736),""))</f>
        <v/>
      </c>
    </row>
    <row r="742">
      <c r="A742" s="18">
        <f>IF($H742="","",INDEX('Journal'!$A$1:$A$2002,$H742))</f>
        <v/>
      </c>
      <c r="B742" s="21">
        <f>IF($H742="","",INDEX('Journal'!$B$1:$B$2002,$H742))</f>
        <v/>
      </c>
      <c r="C742" s="5">
        <f>IF($H742="","",INDEX('Journal'!$C$1:$C$2002,$H742)&amp;"")</f>
        <v/>
      </c>
      <c r="D742" s="5">
        <f>IF($H742="","",IF(INDEX('Journal'!$D$1:$D$2002,$H742)=$B$1,INDEX('Journal'!$E$1:$E$2002,$H742),INDEX('Journal'!$D$1:$D$2002,$H742))&amp;"")</f>
        <v/>
      </c>
      <c r="E742" s="20">
        <f>IF($H742="","",IF(INDEX('Journal'!$D$1:$D$2002,$H742)=$B$1,N(INDEX('Journal'!$G$1:$G$2002,$H742)),N(INDEX('Journal'!$F$1:$F$2002,$H742))))</f>
        <v/>
      </c>
      <c r="F742" s="20">
        <f>IF($H742="","",IF(INDEX('Journal'!$D$1:$D$2002,$H742)=$B$1,N(INDEX('Journal'!$F$1:$F$2002,$H742)),N(INDEX('Journal'!$G$1:$G$2002,$H742))))</f>
        <v/>
      </c>
      <c r="G742" s="20">
        <f>IF($H742="","",G741+E742-F742)</f>
        <v/>
      </c>
      <c r="H742" s="18">
        <f t="array" ref="H742">IF($B$1="","",IFERROR(_xlfn.AGGREGATE(15,6,ROW('Journal'!$A$3:$A$2002)/(('Journal'!$D$3:$D$2002=$B$1)+('Journal'!$E$3:$E$2002=$B$1))/('Journal'!$B$3:$B$2002&gt;=$B$2)/('Journal'!$B$3:$B$2002&lt;=$B$3),737),""))</f>
        <v/>
      </c>
    </row>
    <row r="743">
      <c r="A743" s="18">
        <f>IF($H743="","",INDEX('Journal'!$A$1:$A$2002,$H743))</f>
        <v/>
      </c>
      <c r="B743" s="21">
        <f>IF($H743="","",INDEX('Journal'!$B$1:$B$2002,$H743))</f>
        <v/>
      </c>
      <c r="C743" s="5">
        <f>IF($H743="","",INDEX('Journal'!$C$1:$C$2002,$H743)&amp;"")</f>
        <v/>
      </c>
      <c r="D743" s="5">
        <f>IF($H743="","",IF(INDEX('Journal'!$D$1:$D$2002,$H743)=$B$1,INDEX('Journal'!$E$1:$E$2002,$H743),INDEX('Journal'!$D$1:$D$2002,$H743))&amp;"")</f>
        <v/>
      </c>
      <c r="E743" s="20">
        <f>IF($H743="","",IF(INDEX('Journal'!$D$1:$D$2002,$H743)=$B$1,N(INDEX('Journal'!$G$1:$G$2002,$H743)),N(INDEX('Journal'!$F$1:$F$2002,$H743))))</f>
        <v/>
      </c>
      <c r="F743" s="20">
        <f>IF($H743="","",IF(INDEX('Journal'!$D$1:$D$2002,$H743)=$B$1,N(INDEX('Journal'!$F$1:$F$2002,$H743)),N(INDEX('Journal'!$G$1:$G$2002,$H743))))</f>
        <v/>
      </c>
      <c r="G743" s="20">
        <f>IF($H743="","",G742+E743-F743)</f>
        <v/>
      </c>
      <c r="H743" s="18">
        <f t="array" ref="H743">IF($B$1="","",IFERROR(_xlfn.AGGREGATE(15,6,ROW('Journal'!$A$3:$A$2002)/(('Journal'!$D$3:$D$2002=$B$1)+('Journal'!$E$3:$E$2002=$B$1))/('Journal'!$B$3:$B$2002&gt;=$B$2)/('Journal'!$B$3:$B$2002&lt;=$B$3),738),""))</f>
        <v/>
      </c>
    </row>
    <row r="744">
      <c r="A744" s="18">
        <f>IF($H744="","",INDEX('Journal'!$A$1:$A$2002,$H744))</f>
        <v/>
      </c>
      <c r="B744" s="21">
        <f>IF($H744="","",INDEX('Journal'!$B$1:$B$2002,$H744))</f>
        <v/>
      </c>
      <c r="C744" s="5">
        <f>IF($H744="","",INDEX('Journal'!$C$1:$C$2002,$H744)&amp;"")</f>
        <v/>
      </c>
      <c r="D744" s="5">
        <f>IF($H744="","",IF(INDEX('Journal'!$D$1:$D$2002,$H744)=$B$1,INDEX('Journal'!$E$1:$E$2002,$H744),INDEX('Journal'!$D$1:$D$2002,$H744))&amp;"")</f>
        <v/>
      </c>
      <c r="E744" s="20">
        <f>IF($H744="","",IF(INDEX('Journal'!$D$1:$D$2002,$H744)=$B$1,N(INDEX('Journal'!$G$1:$G$2002,$H744)),N(INDEX('Journal'!$F$1:$F$2002,$H744))))</f>
        <v/>
      </c>
      <c r="F744" s="20">
        <f>IF($H744="","",IF(INDEX('Journal'!$D$1:$D$2002,$H744)=$B$1,N(INDEX('Journal'!$F$1:$F$2002,$H744)),N(INDEX('Journal'!$G$1:$G$2002,$H744))))</f>
        <v/>
      </c>
      <c r="G744" s="20">
        <f>IF($H744="","",G743+E744-F744)</f>
        <v/>
      </c>
      <c r="H744" s="18">
        <f t="array" ref="H744">IF($B$1="","",IFERROR(_xlfn.AGGREGATE(15,6,ROW('Journal'!$A$3:$A$2002)/(('Journal'!$D$3:$D$2002=$B$1)+('Journal'!$E$3:$E$2002=$B$1))/('Journal'!$B$3:$B$2002&gt;=$B$2)/('Journal'!$B$3:$B$2002&lt;=$B$3),739),""))</f>
        <v/>
      </c>
    </row>
    <row r="745">
      <c r="A745" s="18">
        <f>IF($H745="","",INDEX('Journal'!$A$1:$A$2002,$H745))</f>
        <v/>
      </c>
      <c r="B745" s="21">
        <f>IF($H745="","",INDEX('Journal'!$B$1:$B$2002,$H745))</f>
        <v/>
      </c>
      <c r="C745" s="5">
        <f>IF($H745="","",INDEX('Journal'!$C$1:$C$2002,$H745)&amp;"")</f>
        <v/>
      </c>
      <c r="D745" s="5">
        <f>IF($H745="","",IF(INDEX('Journal'!$D$1:$D$2002,$H745)=$B$1,INDEX('Journal'!$E$1:$E$2002,$H745),INDEX('Journal'!$D$1:$D$2002,$H745))&amp;"")</f>
        <v/>
      </c>
      <c r="E745" s="20">
        <f>IF($H745="","",IF(INDEX('Journal'!$D$1:$D$2002,$H745)=$B$1,N(INDEX('Journal'!$G$1:$G$2002,$H745)),N(INDEX('Journal'!$F$1:$F$2002,$H745))))</f>
        <v/>
      </c>
      <c r="F745" s="20">
        <f>IF($H745="","",IF(INDEX('Journal'!$D$1:$D$2002,$H745)=$B$1,N(INDEX('Journal'!$F$1:$F$2002,$H745)),N(INDEX('Journal'!$G$1:$G$2002,$H745))))</f>
        <v/>
      </c>
      <c r="G745" s="20">
        <f>IF($H745="","",G744+E745-F745)</f>
        <v/>
      </c>
      <c r="H745" s="18">
        <f t="array" ref="H745">IF($B$1="","",IFERROR(_xlfn.AGGREGATE(15,6,ROW('Journal'!$A$3:$A$2002)/(('Journal'!$D$3:$D$2002=$B$1)+('Journal'!$E$3:$E$2002=$B$1))/('Journal'!$B$3:$B$2002&gt;=$B$2)/('Journal'!$B$3:$B$2002&lt;=$B$3),740),""))</f>
        <v/>
      </c>
    </row>
    <row r="746">
      <c r="A746" s="18">
        <f>IF($H746="","",INDEX('Journal'!$A$1:$A$2002,$H746))</f>
        <v/>
      </c>
      <c r="B746" s="21">
        <f>IF($H746="","",INDEX('Journal'!$B$1:$B$2002,$H746))</f>
        <v/>
      </c>
      <c r="C746" s="5">
        <f>IF($H746="","",INDEX('Journal'!$C$1:$C$2002,$H746)&amp;"")</f>
        <v/>
      </c>
      <c r="D746" s="5">
        <f>IF($H746="","",IF(INDEX('Journal'!$D$1:$D$2002,$H746)=$B$1,INDEX('Journal'!$E$1:$E$2002,$H746),INDEX('Journal'!$D$1:$D$2002,$H746))&amp;"")</f>
        <v/>
      </c>
      <c r="E746" s="20">
        <f>IF($H746="","",IF(INDEX('Journal'!$D$1:$D$2002,$H746)=$B$1,N(INDEX('Journal'!$G$1:$G$2002,$H746)),N(INDEX('Journal'!$F$1:$F$2002,$H746))))</f>
        <v/>
      </c>
      <c r="F746" s="20">
        <f>IF($H746="","",IF(INDEX('Journal'!$D$1:$D$2002,$H746)=$B$1,N(INDEX('Journal'!$F$1:$F$2002,$H746)),N(INDEX('Journal'!$G$1:$G$2002,$H746))))</f>
        <v/>
      </c>
      <c r="G746" s="20">
        <f>IF($H746="","",G745+E746-F746)</f>
        <v/>
      </c>
      <c r="H746" s="18">
        <f t="array" ref="H746">IF($B$1="","",IFERROR(_xlfn.AGGREGATE(15,6,ROW('Journal'!$A$3:$A$2002)/(('Journal'!$D$3:$D$2002=$B$1)+('Journal'!$E$3:$E$2002=$B$1))/('Journal'!$B$3:$B$2002&gt;=$B$2)/('Journal'!$B$3:$B$2002&lt;=$B$3),741),""))</f>
        <v/>
      </c>
    </row>
    <row r="747">
      <c r="A747" s="18">
        <f>IF($H747="","",INDEX('Journal'!$A$1:$A$2002,$H747))</f>
        <v/>
      </c>
      <c r="B747" s="21">
        <f>IF($H747="","",INDEX('Journal'!$B$1:$B$2002,$H747))</f>
        <v/>
      </c>
      <c r="C747" s="5">
        <f>IF($H747="","",INDEX('Journal'!$C$1:$C$2002,$H747)&amp;"")</f>
        <v/>
      </c>
      <c r="D747" s="5">
        <f>IF($H747="","",IF(INDEX('Journal'!$D$1:$D$2002,$H747)=$B$1,INDEX('Journal'!$E$1:$E$2002,$H747),INDEX('Journal'!$D$1:$D$2002,$H747))&amp;"")</f>
        <v/>
      </c>
      <c r="E747" s="20">
        <f>IF($H747="","",IF(INDEX('Journal'!$D$1:$D$2002,$H747)=$B$1,N(INDEX('Journal'!$G$1:$G$2002,$H747)),N(INDEX('Journal'!$F$1:$F$2002,$H747))))</f>
        <v/>
      </c>
      <c r="F747" s="20">
        <f>IF($H747="","",IF(INDEX('Journal'!$D$1:$D$2002,$H747)=$B$1,N(INDEX('Journal'!$F$1:$F$2002,$H747)),N(INDEX('Journal'!$G$1:$G$2002,$H747))))</f>
        <v/>
      </c>
      <c r="G747" s="20">
        <f>IF($H747="","",G746+E747-F747)</f>
        <v/>
      </c>
      <c r="H747" s="18">
        <f t="array" ref="H747">IF($B$1="","",IFERROR(_xlfn.AGGREGATE(15,6,ROW('Journal'!$A$3:$A$2002)/(('Journal'!$D$3:$D$2002=$B$1)+('Journal'!$E$3:$E$2002=$B$1))/('Journal'!$B$3:$B$2002&gt;=$B$2)/('Journal'!$B$3:$B$2002&lt;=$B$3),742),""))</f>
        <v/>
      </c>
    </row>
    <row r="748">
      <c r="A748" s="18">
        <f>IF($H748="","",INDEX('Journal'!$A$1:$A$2002,$H748))</f>
        <v/>
      </c>
      <c r="B748" s="21">
        <f>IF($H748="","",INDEX('Journal'!$B$1:$B$2002,$H748))</f>
        <v/>
      </c>
      <c r="C748" s="5">
        <f>IF($H748="","",INDEX('Journal'!$C$1:$C$2002,$H748)&amp;"")</f>
        <v/>
      </c>
      <c r="D748" s="5">
        <f>IF($H748="","",IF(INDEX('Journal'!$D$1:$D$2002,$H748)=$B$1,INDEX('Journal'!$E$1:$E$2002,$H748),INDEX('Journal'!$D$1:$D$2002,$H748))&amp;"")</f>
        <v/>
      </c>
      <c r="E748" s="20">
        <f>IF($H748="","",IF(INDEX('Journal'!$D$1:$D$2002,$H748)=$B$1,N(INDEX('Journal'!$G$1:$G$2002,$H748)),N(INDEX('Journal'!$F$1:$F$2002,$H748))))</f>
        <v/>
      </c>
      <c r="F748" s="20">
        <f>IF($H748="","",IF(INDEX('Journal'!$D$1:$D$2002,$H748)=$B$1,N(INDEX('Journal'!$F$1:$F$2002,$H748)),N(INDEX('Journal'!$G$1:$G$2002,$H748))))</f>
        <v/>
      </c>
      <c r="G748" s="20">
        <f>IF($H748="","",G747+E748-F748)</f>
        <v/>
      </c>
      <c r="H748" s="18">
        <f t="array" ref="H748">IF($B$1="","",IFERROR(_xlfn.AGGREGATE(15,6,ROW('Journal'!$A$3:$A$2002)/(('Journal'!$D$3:$D$2002=$B$1)+('Journal'!$E$3:$E$2002=$B$1))/('Journal'!$B$3:$B$2002&gt;=$B$2)/('Journal'!$B$3:$B$2002&lt;=$B$3),743),""))</f>
        <v/>
      </c>
    </row>
    <row r="749">
      <c r="A749" s="18">
        <f>IF($H749="","",INDEX('Journal'!$A$1:$A$2002,$H749))</f>
        <v/>
      </c>
      <c r="B749" s="21">
        <f>IF($H749="","",INDEX('Journal'!$B$1:$B$2002,$H749))</f>
        <v/>
      </c>
      <c r="C749" s="5">
        <f>IF($H749="","",INDEX('Journal'!$C$1:$C$2002,$H749)&amp;"")</f>
        <v/>
      </c>
      <c r="D749" s="5">
        <f>IF($H749="","",IF(INDEX('Journal'!$D$1:$D$2002,$H749)=$B$1,INDEX('Journal'!$E$1:$E$2002,$H749),INDEX('Journal'!$D$1:$D$2002,$H749))&amp;"")</f>
        <v/>
      </c>
      <c r="E749" s="20">
        <f>IF($H749="","",IF(INDEX('Journal'!$D$1:$D$2002,$H749)=$B$1,N(INDEX('Journal'!$G$1:$G$2002,$H749)),N(INDEX('Journal'!$F$1:$F$2002,$H749))))</f>
        <v/>
      </c>
      <c r="F749" s="20">
        <f>IF($H749="","",IF(INDEX('Journal'!$D$1:$D$2002,$H749)=$B$1,N(INDEX('Journal'!$F$1:$F$2002,$H749)),N(INDEX('Journal'!$G$1:$G$2002,$H749))))</f>
        <v/>
      </c>
      <c r="G749" s="20">
        <f>IF($H749="","",G748+E749-F749)</f>
        <v/>
      </c>
      <c r="H749" s="18">
        <f t="array" ref="H749">IF($B$1="","",IFERROR(_xlfn.AGGREGATE(15,6,ROW('Journal'!$A$3:$A$2002)/(('Journal'!$D$3:$D$2002=$B$1)+('Journal'!$E$3:$E$2002=$B$1))/('Journal'!$B$3:$B$2002&gt;=$B$2)/('Journal'!$B$3:$B$2002&lt;=$B$3),744),""))</f>
        <v/>
      </c>
    </row>
    <row r="750">
      <c r="A750" s="18">
        <f>IF($H750="","",INDEX('Journal'!$A$1:$A$2002,$H750))</f>
        <v/>
      </c>
      <c r="B750" s="21">
        <f>IF($H750="","",INDEX('Journal'!$B$1:$B$2002,$H750))</f>
        <v/>
      </c>
      <c r="C750" s="5">
        <f>IF($H750="","",INDEX('Journal'!$C$1:$C$2002,$H750)&amp;"")</f>
        <v/>
      </c>
      <c r="D750" s="5">
        <f>IF($H750="","",IF(INDEX('Journal'!$D$1:$D$2002,$H750)=$B$1,INDEX('Journal'!$E$1:$E$2002,$H750),INDEX('Journal'!$D$1:$D$2002,$H750))&amp;"")</f>
        <v/>
      </c>
      <c r="E750" s="20">
        <f>IF($H750="","",IF(INDEX('Journal'!$D$1:$D$2002,$H750)=$B$1,N(INDEX('Journal'!$G$1:$G$2002,$H750)),N(INDEX('Journal'!$F$1:$F$2002,$H750))))</f>
        <v/>
      </c>
      <c r="F750" s="20">
        <f>IF($H750="","",IF(INDEX('Journal'!$D$1:$D$2002,$H750)=$B$1,N(INDEX('Journal'!$F$1:$F$2002,$H750)),N(INDEX('Journal'!$G$1:$G$2002,$H750))))</f>
        <v/>
      </c>
      <c r="G750" s="20">
        <f>IF($H750="","",G749+E750-F750)</f>
        <v/>
      </c>
      <c r="H750" s="18">
        <f t="array" ref="H750">IF($B$1="","",IFERROR(_xlfn.AGGREGATE(15,6,ROW('Journal'!$A$3:$A$2002)/(('Journal'!$D$3:$D$2002=$B$1)+('Journal'!$E$3:$E$2002=$B$1))/('Journal'!$B$3:$B$2002&gt;=$B$2)/('Journal'!$B$3:$B$2002&lt;=$B$3),745),""))</f>
        <v/>
      </c>
    </row>
    <row r="751">
      <c r="A751" s="18">
        <f>IF($H751="","",INDEX('Journal'!$A$1:$A$2002,$H751))</f>
        <v/>
      </c>
      <c r="B751" s="21">
        <f>IF($H751="","",INDEX('Journal'!$B$1:$B$2002,$H751))</f>
        <v/>
      </c>
      <c r="C751" s="5">
        <f>IF($H751="","",INDEX('Journal'!$C$1:$C$2002,$H751)&amp;"")</f>
        <v/>
      </c>
      <c r="D751" s="5">
        <f>IF($H751="","",IF(INDEX('Journal'!$D$1:$D$2002,$H751)=$B$1,INDEX('Journal'!$E$1:$E$2002,$H751),INDEX('Journal'!$D$1:$D$2002,$H751))&amp;"")</f>
        <v/>
      </c>
      <c r="E751" s="20">
        <f>IF($H751="","",IF(INDEX('Journal'!$D$1:$D$2002,$H751)=$B$1,N(INDEX('Journal'!$G$1:$G$2002,$H751)),N(INDEX('Journal'!$F$1:$F$2002,$H751))))</f>
        <v/>
      </c>
      <c r="F751" s="20">
        <f>IF($H751="","",IF(INDEX('Journal'!$D$1:$D$2002,$H751)=$B$1,N(INDEX('Journal'!$F$1:$F$2002,$H751)),N(INDEX('Journal'!$G$1:$G$2002,$H751))))</f>
        <v/>
      </c>
      <c r="G751" s="20">
        <f>IF($H751="","",G750+E751-F751)</f>
        <v/>
      </c>
      <c r="H751" s="18">
        <f t="array" ref="H751">IF($B$1="","",IFERROR(_xlfn.AGGREGATE(15,6,ROW('Journal'!$A$3:$A$2002)/(('Journal'!$D$3:$D$2002=$B$1)+('Journal'!$E$3:$E$2002=$B$1))/('Journal'!$B$3:$B$2002&gt;=$B$2)/('Journal'!$B$3:$B$2002&lt;=$B$3),746),""))</f>
        <v/>
      </c>
    </row>
    <row r="752">
      <c r="A752" s="18">
        <f>IF($H752="","",INDEX('Journal'!$A$1:$A$2002,$H752))</f>
        <v/>
      </c>
      <c r="B752" s="21">
        <f>IF($H752="","",INDEX('Journal'!$B$1:$B$2002,$H752))</f>
        <v/>
      </c>
      <c r="C752" s="5">
        <f>IF($H752="","",INDEX('Journal'!$C$1:$C$2002,$H752)&amp;"")</f>
        <v/>
      </c>
      <c r="D752" s="5">
        <f>IF($H752="","",IF(INDEX('Journal'!$D$1:$D$2002,$H752)=$B$1,INDEX('Journal'!$E$1:$E$2002,$H752),INDEX('Journal'!$D$1:$D$2002,$H752))&amp;"")</f>
        <v/>
      </c>
      <c r="E752" s="20">
        <f>IF($H752="","",IF(INDEX('Journal'!$D$1:$D$2002,$H752)=$B$1,N(INDEX('Journal'!$G$1:$G$2002,$H752)),N(INDEX('Journal'!$F$1:$F$2002,$H752))))</f>
        <v/>
      </c>
      <c r="F752" s="20">
        <f>IF($H752="","",IF(INDEX('Journal'!$D$1:$D$2002,$H752)=$B$1,N(INDEX('Journal'!$F$1:$F$2002,$H752)),N(INDEX('Journal'!$G$1:$G$2002,$H752))))</f>
        <v/>
      </c>
      <c r="G752" s="20">
        <f>IF($H752="","",G751+E752-F752)</f>
        <v/>
      </c>
      <c r="H752" s="18">
        <f t="array" ref="H752">IF($B$1="","",IFERROR(_xlfn.AGGREGATE(15,6,ROW('Journal'!$A$3:$A$2002)/(('Journal'!$D$3:$D$2002=$B$1)+('Journal'!$E$3:$E$2002=$B$1))/('Journal'!$B$3:$B$2002&gt;=$B$2)/('Journal'!$B$3:$B$2002&lt;=$B$3),747),""))</f>
        <v/>
      </c>
    </row>
    <row r="753">
      <c r="A753" s="18">
        <f>IF($H753="","",INDEX('Journal'!$A$1:$A$2002,$H753))</f>
        <v/>
      </c>
      <c r="B753" s="21">
        <f>IF($H753="","",INDEX('Journal'!$B$1:$B$2002,$H753))</f>
        <v/>
      </c>
      <c r="C753" s="5">
        <f>IF($H753="","",INDEX('Journal'!$C$1:$C$2002,$H753)&amp;"")</f>
        <v/>
      </c>
      <c r="D753" s="5">
        <f>IF($H753="","",IF(INDEX('Journal'!$D$1:$D$2002,$H753)=$B$1,INDEX('Journal'!$E$1:$E$2002,$H753),INDEX('Journal'!$D$1:$D$2002,$H753))&amp;"")</f>
        <v/>
      </c>
      <c r="E753" s="20">
        <f>IF($H753="","",IF(INDEX('Journal'!$D$1:$D$2002,$H753)=$B$1,N(INDEX('Journal'!$G$1:$G$2002,$H753)),N(INDEX('Journal'!$F$1:$F$2002,$H753))))</f>
        <v/>
      </c>
      <c r="F753" s="20">
        <f>IF($H753="","",IF(INDEX('Journal'!$D$1:$D$2002,$H753)=$B$1,N(INDEX('Journal'!$F$1:$F$2002,$H753)),N(INDEX('Journal'!$G$1:$G$2002,$H753))))</f>
        <v/>
      </c>
      <c r="G753" s="20">
        <f>IF($H753="","",G752+E753-F753)</f>
        <v/>
      </c>
      <c r="H753" s="18">
        <f t="array" ref="H753">IF($B$1="","",IFERROR(_xlfn.AGGREGATE(15,6,ROW('Journal'!$A$3:$A$2002)/(('Journal'!$D$3:$D$2002=$B$1)+('Journal'!$E$3:$E$2002=$B$1))/('Journal'!$B$3:$B$2002&gt;=$B$2)/('Journal'!$B$3:$B$2002&lt;=$B$3),748),""))</f>
        <v/>
      </c>
    </row>
    <row r="754">
      <c r="A754" s="18">
        <f>IF($H754="","",INDEX('Journal'!$A$1:$A$2002,$H754))</f>
        <v/>
      </c>
      <c r="B754" s="21">
        <f>IF($H754="","",INDEX('Journal'!$B$1:$B$2002,$H754))</f>
        <v/>
      </c>
      <c r="C754" s="5">
        <f>IF($H754="","",INDEX('Journal'!$C$1:$C$2002,$H754)&amp;"")</f>
        <v/>
      </c>
      <c r="D754" s="5">
        <f>IF($H754="","",IF(INDEX('Journal'!$D$1:$D$2002,$H754)=$B$1,INDEX('Journal'!$E$1:$E$2002,$H754),INDEX('Journal'!$D$1:$D$2002,$H754))&amp;"")</f>
        <v/>
      </c>
      <c r="E754" s="20">
        <f>IF($H754="","",IF(INDEX('Journal'!$D$1:$D$2002,$H754)=$B$1,N(INDEX('Journal'!$G$1:$G$2002,$H754)),N(INDEX('Journal'!$F$1:$F$2002,$H754))))</f>
        <v/>
      </c>
      <c r="F754" s="20">
        <f>IF($H754="","",IF(INDEX('Journal'!$D$1:$D$2002,$H754)=$B$1,N(INDEX('Journal'!$F$1:$F$2002,$H754)),N(INDEX('Journal'!$G$1:$G$2002,$H754))))</f>
        <v/>
      </c>
      <c r="G754" s="20">
        <f>IF($H754="","",G753+E754-F754)</f>
        <v/>
      </c>
      <c r="H754" s="18">
        <f t="array" ref="H754">IF($B$1="","",IFERROR(_xlfn.AGGREGATE(15,6,ROW('Journal'!$A$3:$A$2002)/(('Journal'!$D$3:$D$2002=$B$1)+('Journal'!$E$3:$E$2002=$B$1))/('Journal'!$B$3:$B$2002&gt;=$B$2)/('Journal'!$B$3:$B$2002&lt;=$B$3),749),""))</f>
        <v/>
      </c>
    </row>
    <row r="755">
      <c r="A755" s="18">
        <f>IF($H755="","",INDEX('Journal'!$A$1:$A$2002,$H755))</f>
        <v/>
      </c>
      <c r="B755" s="21">
        <f>IF($H755="","",INDEX('Journal'!$B$1:$B$2002,$H755))</f>
        <v/>
      </c>
      <c r="C755" s="5">
        <f>IF($H755="","",INDEX('Journal'!$C$1:$C$2002,$H755)&amp;"")</f>
        <v/>
      </c>
      <c r="D755" s="5">
        <f>IF($H755="","",IF(INDEX('Journal'!$D$1:$D$2002,$H755)=$B$1,INDEX('Journal'!$E$1:$E$2002,$H755),INDEX('Journal'!$D$1:$D$2002,$H755))&amp;"")</f>
        <v/>
      </c>
      <c r="E755" s="20">
        <f>IF($H755="","",IF(INDEX('Journal'!$D$1:$D$2002,$H755)=$B$1,N(INDEX('Journal'!$G$1:$G$2002,$H755)),N(INDEX('Journal'!$F$1:$F$2002,$H755))))</f>
        <v/>
      </c>
      <c r="F755" s="20">
        <f>IF($H755="","",IF(INDEX('Journal'!$D$1:$D$2002,$H755)=$B$1,N(INDEX('Journal'!$F$1:$F$2002,$H755)),N(INDEX('Journal'!$G$1:$G$2002,$H755))))</f>
        <v/>
      </c>
      <c r="G755" s="20">
        <f>IF($H755="","",G754+E755-F755)</f>
        <v/>
      </c>
      <c r="H755" s="18">
        <f t="array" ref="H755">IF($B$1="","",IFERROR(_xlfn.AGGREGATE(15,6,ROW('Journal'!$A$3:$A$2002)/(('Journal'!$D$3:$D$2002=$B$1)+('Journal'!$E$3:$E$2002=$B$1))/('Journal'!$B$3:$B$2002&gt;=$B$2)/('Journal'!$B$3:$B$2002&lt;=$B$3),750),""))</f>
        <v/>
      </c>
    </row>
    <row r="756">
      <c r="A756" s="18">
        <f>IF($H756="","",INDEX('Journal'!$A$1:$A$2002,$H756))</f>
        <v/>
      </c>
      <c r="B756" s="21">
        <f>IF($H756="","",INDEX('Journal'!$B$1:$B$2002,$H756))</f>
        <v/>
      </c>
      <c r="C756" s="5">
        <f>IF($H756="","",INDEX('Journal'!$C$1:$C$2002,$H756)&amp;"")</f>
        <v/>
      </c>
      <c r="D756" s="5">
        <f>IF($H756="","",IF(INDEX('Journal'!$D$1:$D$2002,$H756)=$B$1,INDEX('Journal'!$E$1:$E$2002,$H756),INDEX('Journal'!$D$1:$D$2002,$H756))&amp;"")</f>
        <v/>
      </c>
      <c r="E756" s="20">
        <f>IF($H756="","",IF(INDEX('Journal'!$D$1:$D$2002,$H756)=$B$1,N(INDEX('Journal'!$G$1:$G$2002,$H756)),N(INDEX('Journal'!$F$1:$F$2002,$H756))))</f>
        <v/>
      </c>
      <c r="F756" s="20">
        <f>IF($H756="","",IF(INDEX('Journal'!$D$1:$D$2002,$H756)=$B$1,N(INDEX('Journal'!$F$1:$F$2002,$H756)),N(INDEX('Journal'!$G$1:$G$2002,$H756))))</f>
        <v/>
      </c>
      <c r="G756" s="20">
        <f>IF($H756="","",G755+E756-F756)</f>
        <v/>
      </c>
      <c r="H756" s="18">
        <f t="array" ref="H756">IF($B$1="","",IFERROR(_xlfn.AGGREGATE(15,6,ROW('Journal'!$A$3:$A$2002)/(('Journal'!$D$3:$D$2002=$B$1)+('Journal'!$E$3:$E$2002=$B$1))/('Journal'!$B$3:$B$2002&gt;=$B$2)/('Journal'!$B$3:$B$2002&lt;=$B$3),751),""))</f>
        <v/>
      </c>
    </row>
    <row r="757">
      <c r="A757" s="18">
        <f>IF($H757="","",INDEX('Journal'!$A$1:$A$2002,$H757))</f>
        <v/>
      </c>
      <c r="B757" s="21">
        <f>IF($H757="","",INDEX('Journal'!$B$1:$B$2002,$H757))</f>
        <v/>
      </c>
      <c r="C757" s="5">
        <f>IF($H757="","",INDEX('Journal'!$C$1:$C$2002,$H757)&amp;"")</f>
        <v/>
      </c>
      <c r="D757" s="5">
        <f>IF($H757="","",IF(INDEX('Journal'!$D$1:$D$2002,$H757)=$B$1,INDEX('Journal'!$E$1:$E$2002,$H757),INDEX('Journal'!$D$1:$D$2002,$H757))&amp;"")</f>
        <v/>
      </c>
      <c r="E757" s="20">
        <f>IF($H757="","",IF(INDEX('Journal'!$D$1:$D$2002,$H757)=$B$1,N(INDEX('Journal'!$G$1:$G$2002,$H757)),N(INDEX('Journal'!$F$1:$F$2002,$H757))))</f>
        <v/>
      </c>
      <c r="F757" s="20">
        <f>IF($H757="","",IF(INDEX('Journal'!$D$1:$D$2002,$H757)=$B$1,N(INDEX('Journal'!$F$1:$F$2002,$H757)),N(INDEX('Journal'!$G$1:$G$2002,$H757))))</f>
        <v/>
      </c>
      <c r="G757" s="20">
        <f>IF($H757="","",G756+E757-F757)</f>
        <v/>
      </c>
      <c r="H757" s="18">
        <f t="array" ref="H757">IF($B$1="","",IFERROR(_xlfn.AGGREGATE(15,6,ROW('Journal'!$A$3:$A$2002)/(('Journal'!$D$3:$D$2002=$B$1)+('Journal'!$E$3:$E$2002=$B$1))/('Journal'!$B$3:$B$2002&gt;=$B$2)/('Journal'!$B$3:$B$2002&lt;=$B$3),752),""))</f>
        <v/>
      </c>
    </row>
    <row r="758">
      <c r="A758" s="18">
        <f>IF($H758="","",INDEX('Journal'!$A$1:$A$2002,$H758))</f>
        <v/>
      </c>
      <c r="B758" s="21">
        <f>IF($H758="","",INDEX('Journal'!$B$1:$B$2002,$H758))</f>
        <v/>
      </c>
      <c r="C758" s="5">
        <f>IF($H758="","",INDEX('Journal'!$C$1:$C$2002,$H758)&amp;"")</f>
        <v/>
      </c>
      <c r="D758" s="5">
        <f>IF($H758="","",IF(INDEX('Journal'!$D$1:$D$2002,$H758)=$B$1,INDEX('Journal'!$E$1:$E$2002,$H758),INDEX('Journal'!$D$1:$D$2002,$H758))&amp;"")</f>
        <v/>
      </c>
      <c r="E758" s="20">
        <f>IF($H758="","",IF(INDEX('Journal'!$D$1:$D$2002,$H758)=$B$1,N(INDEX('Journal'!$G$1:$G$2002,$H758)),N(INDEX('Journal'!$F$1:$F$2002,$H758))))</f>
        <v/>
      </c>
      <c r="F758" s="20">
        <f>IF($H758="","",IF(INDEX('Journal'!$D$1:$D$2002,$H758)=$B$1,N(INDEX('Journal'!$F$1:$F$2002,$H758)),N(INDEX('Journal'!$G$1:$G$2002,$H758))))</f>
        <v/>
      </c>
      <c r="G758" s="20">
        <f>IF($H758="","",G757+E758-F758)</f>
        <v/>
      </c>
      <c r="H758" s="18">
        <f t="array" ref="H758">IF($B$1="","",IFERROR(_xlfn.AGGREGATE(15,6,ROW('Journal'!$A$3:$A$2002)/(('Journal'!$D$3:$D$2002=$B$1)+('Journal'!$E$3:$E$2002=$B$1))/('Journal'!$B$3:$B$2002&gt;=$B$2)/('Journal'!$B$3:$B$2002&lt;=$B$3),753),""))</f>
        <v/>
      </c>
    </row>
    <row r="759">
      <c r="A759" s="18">
        <f>IF($H759="","",INDEX('Journal'!$A$1:$A$2002,$H759))</f>
        <v/>
      </c>
      <c r="B759" s="21">
        <f>IF($H759="","",INDEX('Journal'!$B$1:$B$2002,$H759))</f>
        <v/>
      </c>
      <c r="C759" s="5">
        <f>IF($H759="","",INDEX('Journal'!$C$1:$C$2002,$H759)&amp;"")</f>
        <v/>
      </c>
      <c r="D759" s="5">
        <f>IF($H759="","",IF(INDEX('Journal'!$D$1:$D$2002,$H759)=$B$1,INDEX('Journal'!$E$1:$E$2002,$H759),INDEX('Journal'!$D$1:$D$2002,$H759))&amp;"")</f>
        <v/>
      </c>
      <c r="E759" s="20">
        <f>IF($H759="","",IF(INDEX('Journal'!$D$1:$D$2002,$H759)=$B$1,N(INDEX('Journal'!$G$1:$G$2002,$H759)),N(INDEX('Journal'!$F$1:$F$2002,$H759))))</f>
        <v/>
      </c>
      <c r="F759" s="20">
        <f>IF($H759="","",IF(INDEX('Journal'!$D$1:$D$2002,$H759)=$B$1,N(INDEX('Journal'!$F$1:$F$2002,$H759)),N(INDEX('Journal'!$G$1:$G$2002,$H759))))</f>
        <v/>
      </c>
      <c r="G759" s="20">
        <f>IF($H759="","",G758+E759-F759)</f>
        <v/>
      </c>
      <c r="H759" s="18">
        <f t="array" ref="H759">IF($B$1="","",IFERROR(_xlfn.AGGREGATE(15,6,ROW('Journal'!$A$3:$A$2002)/(('Journal'!$D$3:$D$2002=$B$1)+('Journal'!$E$3:$E$2002=$B$1))/('Journal'!$B$3:$B$2002&gt;=$B$2)/('Journal'!$B$3:$B$2002&lt;=$B$3),754),""))</f>
        <v/>
      </c>
    </row>
    <row r="760">
      <c r="A760" s="18">
        <f>IF($H760="","",INDEX('Journal'!$A$1:$A$2002,$H760))</f>
        <v/>
      </c>
      <c r="B760" s="21">
        <f>IF($H760="","",INDEX('Journal'!$B$1:$B$2002,$H760))</f>
        <v/>
      </c>
      <c r="C760" s="5">
        <f>IF($H760="","",INDEX('Journal'!$C$1:$C$2002,$H760)&amp;"")</f>
        <v/>
      </c>
      <c r="D760" s="5">
        <f>IF($H760="","",IF(INDEX('Journal'!$D$1:$D$2002,$H760)=$B$1,INDEX('Journal'!$E$1:$E$2002,$H760),INDEX('Journal'!$D$1:$D$2002,$H760))&amp;"")</f>
        <v/>
      </c>
      <c r="E760" s="20">
        <f>IF($H760="","",IF(INDEX('Journal'!$D$1:$D$2002,$H760)=$B$1,N(INDEX('Journal'!$G$1:$G$2002,$H760)),N(INDEX('Journal'!$F$1:$F$2002,$H760))))</f>
        <v/>
      </c>
      <c r="F760" s="20">
        <f>IF($H760="","",IF(INDEX('Journal'!$D$1:$D$2002,$H760)=$B$1,N(INDEX('Journal'!$F$1:$F$2002,$H760)),N(INDEX('Journal'!$G$1:$G$2002,$H760))))</f>
        <v/>
      </c>
      <c r="G760" s="20">
        <f>IF($H760="","",G759+E760-F760)</f>
        <v/>
      </c>
      <c r="H760" s="18">
        <f t="array" ref="H760">IF($B$1="","",IFERROR(_xlfn.AGGREGATE(15,6,ROW('Journal'!$A$3:$A$2002)/(('Journal'!$D$3:$D$2002=$B$1)+('Journal'!$E$3:$E$2002=$B$1))/('Journal'!$B$3:$B$2002&gt;=$B$2)/('Journal'!$B$3:$B$2002&lt;=$B$3),755),""))</f>
        <v/>
      </c>
    </row>
    <row r="761">
      <c r="A761" s="18">
        <f>IF($H761="","",INDEX('Journal'!$A$1:$A$2002,$H761))</f>
        <v/>
      </c>
      <c r="B761" s="21">
        <f>IF($H761="","",INDEX('Journal'!$B$1:$B$2002,$H761))</f>
        <v/>
      </c>
      <c r="C761" s="5">
        <f>IF($H761="","",INDEX('Journal'!$C$1:$C$2002,$H761)&amp;"")</f>
        <v/>
      </c>
      <c r="D761" s="5">
        <f>IF($H761="","",IF(INDEX('Journal'!$D$1:$D$2002,$H761)=$B$1,INDEX('Journal'!$E$1:$E$2002,$H761),INDEX('Journal'!$D$1:$D$2002,$H761))&amp;"")</f>
        <v/>
      </c>
      <c r="E761" s="20">
        <f>IF($H761="","",IF(INDEX('Journal'!$D$1:$D$2002,$H761)=$B$1,N(INDEX('Journal'!$G$1:$G$2002,$H761)),N(INDEX('Journal'!$F$1:$F$2002,$H761))))</f>
        <v/>
      </c>
      <c r="F761" s="20">
        <f>IF($H761="","",IF(INDEX('Journal'!$D$1:$D$2002,$H761)=$B$1,N(INDEX('Journal'!$F$1:$F$2002,$H761)),N(INDEX('Journal'!$G$1:$G$2002,$H761))))</f>
        <v/>
      </c>
      <c r="G761" s="20">
        <f>IF($H761="","",G760+E761-F761)</f>
        <v/>
      </c>
      <c r="H761" s="18">
        <f t="array" ref="H761">IF($B$1="","",IFERROR(_xlfn.AGGREGATE(15,6,ROW('Journal'!$A$3:$A$2002)/(('Journal'!$D$3:$D$2002=$B$1)+('Journal'!$E$3:$E$2002=$B$1))/('Journal'!$B$3:$B$2002&gt;=$B$2)/('Journal'!$B$3:$B$2002&lt;=$B$3),756),""))</f>
        <v/>
      </c>
    </row>
    <row r="762">
      <c r="A762" s="18">
        <f>IF($H762="","",INDEX('Journal'!$A$1:$A$2002,$H762))</f>
        <v/>
      </c>
      <c r="B762" s="21">
        <f>IF($H762="","",INDEX('Journal'!$B$1:$B$2002,$H762))</f>
        <v/>
      </c>
      <c r="C762" s="5">
        <f>IF($H762="","",INDEX('Journal'!$C$1:$C$2002,$H762)&amp;"")</f>
        <v/>
      </c>
      <c r="D762" s="5">
        <f>IF($H762="","",IF(INDEX('Journal'!$D$1:$D$2002,$H762)=$B$1,INDEX('Journal'!$E$1:$E$2002,$H762),INDEX('Journal'!$D$1:$D$2002,$H762))&amp;"")</f>
        <v/>
      </c>
      <c r="E762" s="20">
        <f>IF($H762="","",IF(INDEX('Journal'!$D$1:$D$2002,$H762)=$B$1,N(INDEX('Journal'!$G$1:$G$2002,$H762)),N(INDEX('Journal'!$F$1:$F$2002,$H762))))</f>
        <v/>
      </c>
      <c r="F762" s="20">
        <f>IF($H762="","",IF(INDEX('Journal'!$D$1:$D$2002,$H762)=$B$1,N(INDEX('Journal'!$F$1:$F$2002,$H762)),N(INDEX('Journal'!$G$1:$G$2002,$H762))))</f>
        <v/>
      </c>
      <c r="G762" s="20">
        <f>IF($H762="","",G761+E762-F762)</f>
        <v/>
      </c>
      <c r="H762" s="18">
        <f t="array" ref="H762">IF($B$1="","",IFERROR(_xlfn.AGGREGATE(15,6,ROW('Journal'!$A$3:$A$2002)/(('Journal'!$D$3:$D$2002=$B$1)+('Journal'!$E$3:$E$2002=$B$1))/('Journal'!$B$3:$B$2002&gt;=$B$2)/('Journal'!$B$3:$B$2002&lt;=$B$3),757),""))</f>
        <v/>
      </c>
    </row>
    <row r="763">
      <c r="A763" s="18">
        <f>IF($H763="","",INDEX('Journal'!$A$1:$A$2002,$H763))</f>
        <v/>
      </c>
      <c r="B763" s="21">
        <f>IF($H763="","",INDEX('Journal'!$B$1:$B$2002,$H763))</f>
        <v/>
      </c>
      <c r="C763" s="5">
        <f>IF($H763="","",INDEX('Journal'!$C$1:$C$2002,$H763)&amp;"")</f>
        <v/>
      </c>
      <c r="D763" s="5">
        <f>IF($H763="","",IF(INDEX('Journal'!$D$1:$D$2002,$H763)=$B$1,INDEX('Journal'!$E$1:$E$2002,$H763),INDEX('Journal'!$D$1:$D$2002,$H763))&amp;"")</f>
        <v/>
      </c>
      <c r="E763" s="20">
        <f>IF($H763="","",IF(INDEX('Journal'!$D$1:$D$2002,$H763)=$B$1,N(INDEX('Journal'!$G$1:$G$2002,$H763)),N(INDEX('Journal'!$F$1:$F$2002,$H763))))</f>
        <v/>
      </c>
      <c r="F763" s="20">
        <f>IF($H763="","",IF(INDEX('Journal'!$D$1:$D$2002,$H763)=$B$1,N(INDEX('Journal'!$F$1:$F$2002,$H763)),N(INDEX('Journal'!$G$1:$G$2002,$H763))))</f>
        <v/>
      </c>
      <c r="G763" s="20">
        <f>IF($H763="","",G762+E763-F763)</f>
        <v/>
      </c>
      <c r="H763" s="18">
        <f t="array" ref="H763">IF($B$1="","",IFERROR(_xlfn.AGGREGATE(15,6,ROW('Journal'!$A$3:$A$2002)/(('Journal'!$D$3:$D$2002=$B$1)+('Journal'!$E$3:$E$2002=$B$1))/('Journal'!$B$3:$B$2002&gt;=$B$2)/('Journal'!$B$3:$B$2002&lt;=$B$3),758),""))</f>
        <v/>
      </c>
    </row>
    <row r="764">
      <c r="A764" s="18">
        <f>IF($H764="","",INDEX('Journal'!$A$1:$A$2002,$H764))</f>
        <v/>
      </c>
      <c r="B764" s="21">
        <f>IF($H764="","",INDEX('Journal'!$B$1:$B$2002,$H764))</f>
        <v/>
      </c>
      <c r="C764" s="5">
        <f>IF($H764="","",INDEX('Journal'!$C$1:$C$2002,$H764)&amp;"")</f>
        <v/>
      </c>
      <c r="D764" s="5">
        <f>IF($H764="","",IF(INDEX('Journal'!$D$1:$D$2002,$H764)=$B$1,INDEX('Journal'!$E$1:$E$2002,$H764),INDEX('Journal'!$D$1:$D$2002,$H764))&amp;"")</f>
        <v/>
      </c>
      <c r="E764" s="20">
        <f>IF($H764="","",IF(INDEX('Journal'!$D$1:$D$2002,$H764)=$B$1,N(INDEX('Journal'!$G$1:$G$2002,$H764)),N(INDEX('Journal'!$F$1:$F$2002,$H764))))</f>
        <v/>
      </c>
      <c r="F764" s="20">
        <f>IF($H764="","",IF(INDEX('Journal'!$D$1:$D$2002,$H764)=$B$1,N(INDEX('Journal'!$F$1:$F$2002,$H764)),N(INDEX('Journal'!$G$1:$G$2002,$H764))))</f>
        <v/>
      </c>
      <c r="G764" s="20">
        <f>IF($H764="","",G763+E764-F764)</f>
        <v/>
      </c>
      <c r="H764" s="18">
        <f t="array" ref="H764">IF($B$1="","",IFERROR(_xlfn.AGGREGATE(15,6,ROW('Journal'!$A$3:$A$2002)/(('Journal'!$D$3:$D$2002=$B$1)+('Journal'!$E$3:$E$2002=$B$1))/('Journal'!$B$3:$B$2002&gt;=$B$2)/('Journal'!$B$3:$B$2002&lt;=$B$3),759),""))</f>
        <v/>
      </c>
    </row>
    <row r="765">
      <c r="A765" s="18">
        <f>IF($H765="","",INDEX('Journal'!$A$1:$A$2002,$H765))</f>
        <v/>
      </c>
      <c r="B765" s="21">
        <f>IF($H765="","",INDEX('Journal'!$B$1:$B$2002,$H765))</f>
        <v/>
      </c>
      <c r="C765" s="5">
        <f>IF($H765="","",INDEX('Journal'!$C$1:$C$2002,$H765)&amp;"")</f>
        <v/>
      </c>
      <c r="D765" s="5">
        <f>IF($H765="","",IF(INDEX('Journal'!$D$1:$D$2002,$H765)=$B$1,INDEX('Journal'!$E$1:$E$2002,$H765),INDEX('Journal'!$D$1:$D$2002,$H765))&amp;"")</f>
        <v/>
      </c>
      <c r="E765" s="20">
        <f>IF($H765="","",IF(INDEX('Journal'!$D$1:$D$2002,$H765)=$B$1,N(INDEX('Journal'!$G$1:$G$2002,$H765)),N(INDEX('Journal'!$F$1:$F$2002,$H765))))</f>
        <v/>
      </c>
      <c r="F765" s="20">
        <f>IF($H765="","",IF(INDEX('Journal'!$D$1:$D$2002,$H765)=$B$1,N(INDEX('Journal'!$F$1:$F$2002,$H765)),N(INDEX('Journal'!$G$1:$G$2002,$H765))))</f>
        <v/>
      </c>
      <c r="G765" s="20">
        <f>IF($H765="","",G764+E765-F765)</f>
        <v/>
      </c>
      <c r="H765" s="18">
        <f t="array" ref="H765">IF($B$1="","",IFERROR(_xlfn.AGGREGATE(15,6,ROW('Journal'!$A$3:$A$2002)/(('Journal'!$D$3:$D$2002=$B$1)+('Journal'!$E$3:$E$2002=$B$1))/('Journal'!$B$3:$B$2002&gt;=$B$2)/('Journal'!$B$3:$B$2002&lt;=$B$3),760),""))</f>
        <v/>
      </c>
    </row>
    <row r="766">
      <c r="A766" s="18">
        <f>IF($H766="","",INDEX('Journal'!$A$1:$A$2002,$H766))</f>
        <v/>
      </c>
      <c r="B766" s="21">
        <f>IF($H766="","",INDEX('Journal'!$B$1:$B$2002,$H766))</f>
        <v/>
      </c>
      <c r="C766" s="5">
        <f>IF($H766="","",INDEX('Journal'!$C$1:$C$2002,$H766)&amp;"")</f>
        <v/>
      </c>
      <c r="D766" s="5">
        <f>IF($H766="","",IF(INDEX('Journal'!$D$1:$D$2002,$H766)=$B$1,INDEX('Journal'!$E$1:$E$2002,$H766),INDEX('Journal'!$D$1:$D$2002,$H766))&amp;"")</f>
        <v/>
      </c>
      <c r="E766" s="20">
        <f>IF($H766="","",IF(INDEX('Journal'!$D$1:$D$2002,$H766)=$B$1,N(INDEX('Journal'!$G$1:$G$2002,$H766)),N(INDEX('Journal'!$F$1:$F$2002,$H766))))</f>
        <v/>
      </c>
      <c r="F766" s="20">
        <f>IF($H766="","",IF(INDEX('Journal'!$D$1:$D$2002,$H766)=$B$1,N(INDEX('Journal'!$F$1:$F$2002,$H766)),N(INDEX('Journal'!$G$1:$G$2002,$H766))))</f>
        <v/>
      </c>
      <c r="G766" s="20">
        <f>IF($H766="","",G765+E766-F766)</f>
        <v/>
      </c>
      <c r="H766" s="18">
        <f t="array" ref="H766">IF($B$1="","",IFERROR(_xlfn.AGGREGATE(15,6,ROW('Journal'!$A$3:$A$2002)/(('Journal'!$D$3:$D$2002=$B$1)+('Journal'!$E$3:$E$2002=$B$1))/('Journal'!$B$3:$B$2002&gt;=$B$2)/('Journal'!$B$3:$B$2002&lt;=$B$3),761),""))</f>
        <v/>
      </c>
    </row>
    <row r="767">
      <c r="A767" s="18">
        <f>IF($H767="","",INDEX('Journal'!$A$1:$A$2002,$H767))</f>
        <v/>
      </c>
      <c r="B767" s="21">
        <f>IF($H767="","",INDEX('Journal'!$B$1:$B$2002,$H767))</f>
        <v/>
      </c>
      <c r="C767" s="5">
        <f>IF($H767="","",INDEX('Journal'!$C$1:$C$2002,$H767)&amp;"")</f>
        <v/>
      </c>
      <c r="D767" s="5">
        <f>IF($H767="","",IF(INDEX('Journal'!$D$1:$D$2002,$H767)=$B$1,INDEX('Journal'!$E$1:$E$2002,$H767),INDEX('Journal'!$D$1:$D$2002,$H767))&amp;"")</f>
        <v/>
      </c>
      <c r="E767" s="20">
        <f>IF($H767="","",IF(INDEX('Journal'!$D$1:$D$2002,$H767)=$B$1,N(INDEX('Journal'!$G$1:$G$2002,$H767)),N(INDEX('Journal'!$F$1:$F$2002,$H767))))</f>
        <v/>
      </c>
      <c r="F767" s="20">
        <f>IF($H767="","",IF(INDEX('Journal'!$D$1:$D$2002,$H767)=$B$1,N(INDEX('Journal'!$F$1:$F$2002,$H767)),N(INDEX('Journal'!$G$1:$G$2002,$H767))))</f>
        <v/>
      </c>
      <c r="G767" s="20">
        <f>IF($H767="","",G766+E767-F767)</f>
        <v/>
      </c>
      <c r="H767" s="18">
        <f t="array" ref="H767">IF($B$1="","",IFERROR(_xlfn.AGGREGATE(15,6,ROW('Journal'!$A$3:$A$2002)/(('Journal'!$D$3:$D$2002=$B$1)+('Journal'!$E$3:$E$2002=$B$1))/('Journal'!$B$3:$B$2002&gt;=$B$2)/('Journal'!$B$3:$B$2002&lt;=$B$3),762),""))</f>
        <v/>
      </c>
    </row>
    <row r="768">
      <c r="A768" s="18">
        <f>IF($H768="","",INDEX('Journal'!$A$1:$A$2002,$H768))</f>
        <v/>
      </c>
      <c r="B768" s="21">
        <f>IF($H768="","",INDEX('Journal'!$B$1:$B$2002,$H768))</f>
        <v/>
      </c>
      <c r="C768" s="5">
        <f>IF($H768="","",INDEX('Journal'!$C$1:$C$2002,$H768)&amp;"")</f>
        <v/>
      </c>
      <c r="D768" s="5">
        <f>IF($H768="","",IF(INDEX('Journal'!$D$1:$D$2002,$H768)=$B$1,INDEX('Journal'!$E$1:$E$2002,$H768),INDEX('Journal'!$D$1:$D$2002,$H768))&amp;"")</f>
        <v/>
      </c>
      <c r="E768" s="20">
        <f>IF($H768="","",IF(INDEX('Journal'!$D$1:$D$2002,$H768)=$B$1,N(INDEX('Journal'!$G$1:$G$2002,$H768)),N(INDEX('Journal'!$F$1:$F$2002,$H768))))</f>
        <v/>
      </c>
      <c r="F768" s="20">
        <f>IF($H768="","",IF(INDEX('Journal'!$D$1:$D$2002,$H768)=$B$1,N(INDEX('Journal'!$F$1:$F$2002,$H768)),N(INDEX('Journal'!$G$1:$G$2002,$H768))))</f>
        <v/>
      </c>
      <c r="G768" s="20">
        <f>IF($H768="","",G767+E768-F768)</f>
        <v/>
      </c>
      <c r="H768" s="18">
        <f t="array" ref="H768">IF($B$1="","",IFERROR(_xlfn.AGGREGATE(15,6,ROW('Journal'!$A$3:$A$2002)/(('Journal'!$D$3:$D$2002=$B$1)+('Journal'!$E$3:$E$2002=$B$1))/('Journal'!$B$3:$B$2002&gt;=$B$2)/('Journal'!$B$3:$B$2002&lt;=$B$3),763),""))</f>
        <v/>
      </c>
    </row>
    <row r="769">
      <c r="A769" s="18">
        <f>IF($H769="","",INDEX('Journal'!$A$1:$A$2002,$H769))</f>
        <v/>
      </c>
      <c r="B769" s="21">
        <f>IF($H769="","",INDEX('Journal'!$B$1:$B$2002,$H769))</f>
        <v/>
      </c>
      <c r="C769" s="5">
        <f>IF($H769="","",INDEX('Journal'!$C$1:$C$2002,$H769)&amp;"")</f>
        <v/>
      </c>
      <c r="D769" s="5">
        <f>IF($H769="","",IF(INDEX('Journal'!$D$1:$D$2002,$H769)=$B$1,INDEX('Journal'!$E$1:$E$2002,$H769),INDEX('Journal'!$D$1:$D$2002,$H769))&amp;"")</f>
        <v/>
      </c>
      <c r="E769" s="20">
        <f>IF($H769="","",IF(INDEX('Journal'!$D$1:$D$2002,$H769)=$B$1,N(INDEX('Journal'!$G$1:$G$2002,$H769)),N(INDEX('Journal'!$F$1:$F$2002,$H769))))</f>
        <v/>
      </c>
      <c r="F769" s="20">
        <f>IF($H769="","",IF(INDEX('Journal'!$D$1:$D$2002,$H769)=$B$1,N(INDEX('Journal'!$F$1:$F$2002,$H769)),N(INDEX('Journal'!$G$1:$G$2002,$H769))))</f>
        <v/>
      </c>
      <c r="G769" s="20">
        <f>IF($H769="","",G768+E769-F769)</f>
        <v/>
      </c>
      <c r="H769" s="18">
        <f t="array" ref="H769">IF($B$1="","",IFERROR(_xlfn.AGGREGATE(15,6,ROW('Journal'!$A$3:$A$2002)/(('Journal'!$D$3:$D$2002=$B$1)+('Journal'!$E$3:$E$2002=$B$1))/('Journal'!$B$3:$B$2002&gt;=$B$2)/('Journal'!$B$3:$B$2002&lt;=$B$3),764),""))</f>
        <v/>
      </c>
    </row>
    <row r="770">
      <c r="A770" s="18">
        <f>IF($H770="","",INDEX('Journal'!$A$1:$A$2002,$H770))</f>
        <v/>
      </c>
      <c r="B770" s="21">
        <f>IF($H770="","",INDEX('Journal'!$B$1:$B$2002,$H770))</f>
        <v/>
      </c>
      <c r="C770" s="5">
        <f>IF($H770="","",INDEX('Journal'!$C$1:$C$2002,$H770)&amp;"")</f>
        <v/>
      </c>
      <c r="D770" s="5">
        <f>IF($H770="","",IF(INDEX('Journal'!$D$1:$D$2002,$H770)=$B$1,INDEX('Journal'!$E$1:$E$2002,$H770),INDEX('Journal'!$D$1:$D$2002,$H770))&amp;"")</f>
        <v/>
      </c>
      <c r="E770" s="20">
        <f>IF($H770="","",IF(INDEX('Journal'!$D$1:$D$2002,$H770)=$B$1,N(INDEX('Journal'!$G$1:$G$2002,$H770)),N(INDEX('Journal'!$F$1:$F$2002,$H770))))</f>
        <v/>
      </c>
      <c r="F770" s="20">
        <f>IF($H770="","",IF(INDEX('Journal'!$D$1:$D$2002,$H770)=$B$1,N(INDEX('Journal'!$F$1:$F$2002,$H770)),N(INDEX('Journal'!$G$1:$G$2002,$H770))))</f>
        <v/>
      </c>
      <c r="G770" s="20">
        <f>IF($H770="","",G769+E770-F770)</f>
        <v/>
      </c>
      <c r="H770" s="18">
        <f t="array" ref="H770">IF($B$1="","",IFERROR(_xlfn.AGGREGATE(15,6,ROW('Journal'!$A$3:$A$2002)/(('Journal'!$D$3:$D$2002=$B$1)+('Journal'!$E$3:$E$2002=$B$1))/('Journal'!$B$3:$B$2002&gt;=$B$2)/('Journal'!$B$3:$B$2002&lt;=$B$3),765),""))</f>
        <v/>
      </c>
    </row>
    <row r="771">
      <c r="A771" s="18">
        <f>IF($H771="","",INDEX('Journal'!$A$1:$A$2002,$H771))</f>
        <v/>
      </c>
      <c r="B771" s="21">
        <f>IF($H771="","",INDEX('Journal'!$B$1:$B$2002,$H771))</f>
        <v/>
      </c>
      <c r="C771" s="5">
        <f>IF($H771="","",INDEX('Journal'!$C$1:$C$2002,$H771)&amp;"")</f>
        <v/>
      </c>
      <c r="D771" s="5">
        <f>IF($H771="","",IF(INDEX('Journal'!$D$1:$D$2002,$H771)=$B$1,INDEX('Journal'!$E$1:$E$2002,$H771),INDEX('Journal'!$D$1:$D$2002,$H771))&amp;"")</f>
        <v/>
      </c>
      <c r="E771" s="20">
        <f>IF($H771="","",IF(INDEX('Journal'!$D$1:$D$2002,$H771)=$B$1,N(INDEX('Journal'!$G$1:$G$2002,$H771)),N(INDEX('Journal'!$F$1:$F$2002,$H771))))</f>
        <v/>
      </c>
      <c r="F771" s="20">
        <f>IF($H771="","",IF(INDEX('Journal'!$D$1:$D$2002,$H771)=$B$1,N(INDEX('Journal'!$F$1:$F$2002,$H771)),N(INDEX('Journal'!$G$1:$G$2002,$H771))))</f>
        <v/>
      </c>
      <c r="G771" s="20">
        <f>IF($H771="","",G770+E771-F771)</f>
        <v/>
      </c>
      <c r="H771" s="18">
        <f t="array" ref="H771">IF($B$1="","",IFERROR(_xlfn.AGGREGATE(15,6,ROW('Journal'!$A$3:$A$2002)/(('Journal'!$D$3:$D$2002=$B$1)+('Journal'!$E$3:$E$2002=$B$1))/('Journal'!$B$3:$B$2002&gt;=$B$2)/('Journal'!$B$3:$B$2002&lt;=$B$3),766),""))</f>
        <v/>
      </c>
    </row>
    <row r="772">
      <c r="A772" s="18">
        <f>IF($H772="","",INDEX('Journal'!$A$1:$A$2002,$H772))</f>
        <v/>
      </c>
      <c r="B772" s="21">
        <f>IF($H772="","",INDEX('Journal'!$B$1:$B$2002,$H772))</f>
        <v/>
      </c>
      <c r="C772" s="5">
        <f>IF($H772="","",INDEX('Journal'!$C$1:$C$2002,$H772)&amp;"")</f>
        <v/>
      </c>
      <c r="D772" s="5">
        <f>IF($H772="","",IF(INDEX('Journal'!$D$1:$D$2002,$H772)=$B$1,INDEX('Journal'!$E$1:$E$2002,$H772),INDEX('Journal'!$D$1:$D$2002,$H772))&amp;"")</f>
        <v/>
      </c>
      <c r="E772" s="20">
        <f>IF($H772="","",IF(INDEX('Journal'!$D$1:$D$2002,$H772)=$B$1,N(INDEX('Journal'!$G$1:$G$2002,$H772)),N(INDEX('Journal'!$F$1:$F$2002,$H772))))</f>
        <v/>
      </c>
      <c r="F772" s="20">
        <f>IF($H772="","",IF(INDEX('Journal'!$D$1:$D$2002,$H772)=$B$1,N(INDEX('Journal'!$F$1:$F$2002,$H772)),N(INDEX('Journal'!$G$1:$G$2002,$H772))))</f>
        <v/>
      </c>
      <c r="G772" s="20">
        <f>IF($H772="","",G771+E772-F772)</f>
        <v/>
      </c>
      <c r="H772" s="18">
        <f t="array" ref="H772">IF($B$1="","",IFERROR(_xlfn.AGGREGATE(15,6,ROW('Journal'!$A$3:$A$2002)/(('Journal'!$D$3:$D$2002=$B$1)+('Journal'!$E$3:$E$2002=$B$1))/('Journal'!$B$3:$B$2002&gt;=$B$2)/('Journal'!$B$3:$B$2002&lt;=$B$3),767),""))</f>
        <v/>
      </c>
    </row>
    <row r="773">
      <c r="A773" s="18">
        <f>IF($H773="","",INDEX('Journal'!$A$1:$A$2002,$H773))</f>
        <v/>
      </c>
      <c r="B773" s="21">
        <f>IF($H773="","",INDEX('Journal'!$B$1:$B$2002,$H773))</f>
        <v/>
      </c>
      <c r="C773" s="5">
        <f>IF($H773="","",INDEX('Journal'!$C$1:$C$2002,$H773)&amp;"")</f>
        <v/>
      </c>
      <c r="D773" s="5">
        <f>IF($H773="","",IF(INDEX('Journal'!$D$1:$D$2002,$H773)=$B$1,INDEX('Journal'!$E$1:$E$2002,$H773),INDEX('Journal'!$D$1:$D$2002,$H773))&amp;"")</f>
        <v/>
      </c>
      <c r="E773" s="20">
        <f>IF($H773="","",IF(INDEX('Journal'!$D$1:$D$2002,$H773)=$B$1,N(INDEX('Journal'!$G$1:$G$2002,$H773)),N(INDEX('Journal'!$F$1:$F$2002,$H773))))</f>
        <v/>
      </c>
      <c r="F773" s="20">
        <f>IF($H773="","",IF(INDEX('Journal'!$D$1:$D$2002,$H773)=$B$1,N(INDEX('Journal'!$F$1:$F$2002,$H773)),N(INDEX('Journal'!$G$1:$G$2002,$H773))))</f>
        <v/>
      </c>
      <c r="G773" s="20">
        <f>IF($H773="","",G772+E773-F773)</f>
        <v/>
      </c>
      <c r="H773" s="18">
        <f t="array" ref="H773">IF($B$1="","",IFERROR(_xlfn.AGGREGATE(15,6,ROW('Journal'!$A$3:$A$2002)/(('Journal'!$D$3:$D$2002=$B$1)+('Journal'!$E$3:$E$2002=$B$1))/('Journal'!$B$3:$B$2002&gt;=$B$2)/('Journal'!$B$3:$B$2002&lt;=$B$3),768),""))</f>
        <v/>
      </c>
    </row>
    <row r="774">
      <c r="A774" s="18">
        <f>IF($H774="","",INDEX('Journal'!$A$1:$A$2002,$H774))</f>
        <v/>
      </c>
      <c r="B774" s="21">
        <f>IF($H774="","",INDEX('Journal'!$B$1:$B$2002,$H774))</f>
        <v/>
      </c>
      <c r="C774" s="5">
        <f>IF($H774="","",INDEX('Journal'!$C$1:$C$2002,$H774)&amp;"")</f>
        <v/>
      </c>
      <c r="D774" s="5">
        <f>IF($H774="","",IF(INDEX('Journal'!$D$1:$D$2002,$H774)=$B$1,INDEX('Journal'!$E$1:$E$2002,$H774),INDEX('Journal'!$D$1:$D$2002,$H774))&amp;"")</f>
        <v/>
      </c>
      <c r="E774" s="20">
        <f>IF($H774="","",IF(INDEX('Journal'!$D$1:$D$2002,$H774)=$B$1,N(INDEX('Journal'!$G$1:$G$2002,$H774)),N(INDEX('Journal'!$F$1:$F$2002,$H774))))</f>
        <v/>
      </c>
      <c r="F774" s="20">
        <f>IF($H774="","",IF(INDEX('Journal'!$D$1:$D$2002,$H774)=$B$1,N(INDEX('Journal'!$F$1:$F$2002,$H774)),N(INDEX('Journal'!$G$1:$G$2002,$H774))))</f>
        <v/>
      </c>
      <c r="G774" s="20">
        <f>IF($H774="","",G773+E774-F774)</f>
        <v/>
      </c>
      <c r="H774" s="18">
        <f t="array" ref="H774">IF($B$1="","",IFERROR(_xlfn.AGGREGATE(15,6,ROW('Journal'!$A$3:$A$2002)/(('Journal'!$D$3:$D$2002=$B$1)+('Journal'!$E$3:$E$2002=$B$1))/('Journal'!$B$3:$B$2002&gt;=$B$2)/('Journal'!$B$3:$B$2002&lt;=$B$3),769),""))</f>
        <v/>
      </c>
    </row>
    <row r="775">
      <c r="A775" s="18">
        <f>IF($H775="","",INDEX('Journal'!$A$1:$A$2002,$H775))</f>
        <v/>
      </c>
      <c r="B775" s="21">
        <f>IF($H775="","",INDEX('Journal'!$B$1:$B$2002,$H775))</f>
        <v/>
      </c>
      <c r="C775" s="5">
        <f>IF($H775="","",INDEX('Journal'!$C$1:$C$2002,$H775)&amp;"")</f>
        <v/>
      </c>
      <c r="D775" s="5">
        <f>IF($H775="","",IF(INDEX('Journal'!$D$1:$D$2002,$H775)=$B$1,INDEX('Journal'!$E$1:$E$2002,$H775),INDEX('Journal'!$D$1:$D$2002,$H775))&amp;"")</f>
        <v/>
      </c>
      <c r="E775" s="20">
        <f>IF($H775="","",IF(INDEX('Journal'!$D$1:$D$2002,$H775)=$B$1,N(INDEX('Journal'!$G$1:$G$2002,$H775)),N(INDEX('Journal'!$F$1:$F$2002,$H775))))</f>
        <v/>
      </c>
      <c r="F775" s="20">
        <f>IF($H775="","",IF(INDEX('Journal'!$D$1:$D$2002,$H775)=$B$1,N(INDEX('Journal'!$F$1:$F$2002,$H775)),N(INDEX('Journal'!$G$1:$G$2002,$H775))))</f>
        <v/>
      </c>
      <c r="G775" s="20">
        <f>IF($H775="","",G774+E775-F775)</f>
        <v/>
      </c>
      <c r="H775" s="18">
        <f t="array" ref="H775">IF($B$1="","",IFERROR(_xlfn.AGGREGATE(15,6,ROW('Journal'!$A$3:$A$2002)/(('Journal'!$D$3:$D$2002=$B$1)+('Journal'!$E$3:$E$2002=$B$1))/('Journal'!$B$3:$B$2002&gt;=$B$2)/('Journal'!$B$3:$B$2002&lt;=$B$3),770),""))</f>
        <v/>
      </c>
    </row>
    <row r="776">
      <c r="A776" s="18">
        <f>IF($H776="","",INDEX('Journal'!$A$1:$A$2002,$H776))</f>
        <v/>
      </c>
      <c r="B776" s="21">
        <f>IF($H776="","",INDEX('Journal'!$B$1:$B$2002,$H776))</f>
        <v/>
      </c>
      <c r="C776" s="5">
        <f>IF($H776="","",INDEX('Journal'!$C$1:$C$2002,$H776)&amp;"")</f>
        <v/>
      </c>
      <c r="D776" s="5">
        <f>IF($H776="","",IF(INDEX('Journal'!$D$1:$D$2002,$H776)=$B$1,INDEX('Journal'!$E$1:$E$2002,$H776),INDEX('Journal'!$D$1:$D$2002,$H776))&amp;"")</f>
        <v/>
      </c>
      <c r="E776" s="20">
        <f>IF($H776="","",IF(INDEX('Journal'!$D$1:$D$2002,$H776)=$B$1,N(INDEX('Journal'!$G$1:$G$2002,$H776)),N(INDEX('Journal'!$F$1:$F$2002,$H776))))</f>
        <v/>
      </c>
      <c r="F776" s="20">
        <f>IF($H776="","",IF(INDEX('Journal'!$D$1:$D$2002,$H776)=$B$1,N(INDEX('Journal'!$F$1:$F$2002,$H776)),N(INDEX('Journal'!$G$1:$G$2002,$H776))))</f>
        <v/>
      </c>
      <c r="G776" s="20">
        <f>IF($H776="","",G775+E776-F776)</f>
        <v/>
      </c>
      <c r="H776" s="18">
        <f t="array" ref="H776">IF($B$1="","",IFERROR(_xlfn.AGGREGATE(15,6,ROW('Journal'!$A$3:$A$2002)/(('Journal'!$D$3:$D$2002=$B$1)+('Journal'!$E$3:$E$2002=$B$1))/('Journal'!$B$3:$B$2002&gt;=$B$2)/('Journal'!$B$3:$B$2002&lt;=$B$3),771),""))</f>
        <v/>
      </c>
    </row>
    <row r="777">
      <c r="A777" s="18">
        <f>IF($H777="","",INDEX('Journal'!$A$1:$A$2002,$H777))</f>
        <v/>
      </c>
      <c r="B777" s="21">
        <f>IF($H777="","",INDEX('Journal'!$B$1:$B$2002,$H777))</f>
        <v/>
      </c>
      <c r="C777" s="5">
        <f>IF($H777="","",INDEX('Journal'!$C$1:$C$2002,$H777)&amp;"")</f>
        <v/>
      </c>
      <c r="D777" s="5">
        <f>IF($H777="","",IF(INDEX('Journal'!$D$1:$D$2002,$H777)=$B$1,INDEX('Journal'!$E$1:$E$2002,$H777),INDEX('Journal'!$D$1:$D$2002,$H777))&amp;"")</f>
        <v/>
      </c>
      <c r="E777" s="20">
        <f>IF($H777="","",IF(INDEX('Journal'!$D$1:$D$2002,$H777)=$B$1,N(INDEX('Journal'!$G$1:$G$2002,$H777)),N(INDEX('Journal'!$F$1:$F$2002,$H777))))</f>
        <v/>
      </c>
      <c r="F777" s="20">
        <f>IF($H777="","",IF(INDEX('Journal'!$D$1:$D$2002,$H777)=$B$1,N(INDEX('Journal'!$F$1:$F$2002,$H777)),N(INDEX('Journal'!$G$1:$G$2002,$H777))))</f>
        <v/>
      </c>
      <c r="G777" s="20">
        <f>IF($H777="","",G776+E777-F777)</f>
        <v/>
      </c>
      <c r="H777" s="18">
        <f t="array" ref="H777">IF($B$1="","",IFERROR(_xlfn.AGGREGATE(15,6,ROW('Journal'!$A$3:$A$2002)/(('Journal'!$D$3:$D$2002=$B$1)+('Journal'!$E$3:$E$2002=$B$1))/('Journal'!$B$3:$B$2002&gt;=$B$2)/('Journal'!$B$3:$B$2002&lt;=$B$3),772),""))</f>
        <v/>
      </c>
    </row>
    <row r="778">
      <c r="A778" s="18">
        <f>IF($H778="","",INDEX('Journal'!$A$1:$A$2002,$H778))</f>
        <v/>
      </c>
      <c r="B778" s="21">
        <f>IF($H778="","",INDEX('Journal'!$B$1:$B$2002,$H778))</f>
        <v/>
      </c>
      <c r="C778" s="5">
        <f>IF($H778="","",INDEX('Journal'!$C$1:$C$2002,$H778)&amp;"")</f>
        <v/>
      </c>
      <c r="D778" s="5">
        <f>IF($H778="","",IF(INDEX('Journal'!$D$1:$D$2002,$H778)=$B$1,INDEX('Journal'!$E$1:$E$2002,$H778),INDEX('Journal'!$D$1:$D$2002,$H778))&amp;"")</f>
        <v/>
      </c>
      <c r="E778" s="20">
        <f>IF($H778="","",IF(INDEX('Journal'!$D$1:$D$2002,$H778)=$B$1,N(INDEX('Journal'!$G$1:$G$2002,$H778)),N(INDEX('Journal'!$F$1:$F$2002,$H778))))</f>
        <v/>
      </c>
      <c r="F778" s="20">
        <f>IF($H778="","",IF(INDEX('Journal'!$D$1:$D$2002,$H778)=$B$1,N(INDEX('Journal'!$F$1:$F$2002,$H778)),N(INDEX('Journal'!$G$1:$G$2002,$H778))))</f>
        <v/>
      </c>
      <c r="G778" s="20">
        <f>IF($H778="","",G777+E778-F778)</f>
        <v/>
      </c>
      <c r="H778" s="18">
        <f t="array" ref="H778">IF($B$1="","",IFERROR(_xlfn.AGGREGATE(15,6,ROW('Journal'!$A$3:$A$2002)/(('Journal'!$D$3:$D$2002=$B$1)+('Journal'!$E$3:$E$2002=$B$1))/('Journal'!$B$3:$B$2002&gt;=$B$2)/('Journal'!$B$3:$B$2002&lt;=$B$3),773),""))</f>
        <v/>
      </c>
    </row>
    <row r="779">
      <c r="A779" s="18">
        <f>IF($H779="","",INDEX('Journal'!$A$1:$A$2002,$H779))</f>
        <v/>
      </c>
      <c r="B779" s="21">
        <f>IF($H779="","",INDEX('Journal'!$B$1:$B$2002,$H779))</f>
        <v/>
      </c>
      <c r="C779" s="5">
        <f>IF($H779="","",INDEX('Journal'!$C$1:$C$2002,$H779)&amp;"")</f>
        <v/>
      </c>
      <c r="D779" s="5">
        <f>IF($H779="","",IF(INDEX('Journal'!$D$1:$D$2002,$H779)=$B$1,INDEX('Journal'!$E$1:$E$2002,$H779),INDEX('Journal'!$D$1:$D$2002,$H779))&amp;"")</f>
        <v/>
      </c>
      <c r="E779" s="20">
        <f>IF($H779="","",IF(INDEX('Journal'!$D$1:$D$2002,$H779)=$B$1,N(INDEX('Journal'!$G$1:$G$2002,$H779)),N(INDEX('Journal'!$F$1:$F$2002,$H779))))</f>
        <v/>
      </c>
      <c r="F779" s="20">
        <f>IF($H779="","",IF(INDEX('Journal'!$D$1:$D$2002,$H779)=$B$1,N(INDEX('Journal'!$F$1:$F$2002,$H779)),N(INDEX('Journal'!$G$1:$G$2002,$H779))))</f>
        <v/>
      </c>
      <c r="G779" s="20">
        <f>IF($H779="","",G778+E779-F779)</f>
        <v/>
      </c>
      <c r="H779" s="18">
        <f t="array" ref="H779">IF($B$1="","",IFERROR(_xlfn.AGGREGATE(15,6,ROW('Journal'!$A$3:$A$2002)/(('Journal'!$D$3:$D$2002=$B$1)+('Journal'!$E$3:$E$2002=$B$1))/('Journal'!$B$3:$B$2002&gt;=$B$2)/('Journal'!$B$3:$B$2002&lt;=$B$3),774),""))</f>
        <v/>
      </c>
    </row>
    <row r="780">
      <c r="A780" s="18">
        <f>IF($H780="","",INDEX('Journal'!$A$1:$A$2002,$H780))</f>
        <v/>
      </c>
      <c r="B780" s="21">
        <f>IF($H780="","",INDEX('Journal'!$B$1:$B$2002,$H780))</f>
        <v/>
      </c>
      <c r="C780" s="5">
        <f>IF($H780="","",INDEX('Journal'!$C$1:$C$2002,$H780)&amp;"")</f>
        <v/>
      </c>
      <c r="D780" s="5">
        <f>IF($H780="","",IF(INDEX('Journal'!$D$1:$D$2002,$H780)=$B$1,INDEX('Journal'!$E$1:$E$2002,$H780),INDEX('Journal'!$D$1:$D$2002,$H780))&amp;"")</f>
        <v/>
      </c>
      <c r="E780" s="20">
        <f>IF($H780="","",IF(INDEX('Journal'!$D$1:$D$2002,$H780)=$B$1,N(INDEX('Journal'!$G$1:$G$2002,$H780)),N(INDEX('Journal'!$F$1:$F$2002,$H780))))</f>
        <v/>
      </c>
      <c r="F780" s="20">
        <f>IF($H780="","",IF(INDEX('Journal'!$D$1:$D$2002,$H780)=$B$1,N(INDEX('Journal'!$F$1:$F$2002,$H780)),N(INDEX('Journal'!$G$1:$G$2002,$H780))))</f>
        <v/>
      </c>
      <c r="G780" s="20">
        <f>IF($H780="","",G779+E780-F780)</f>
        <v/>
      </c>
      <c r="H780" s="18">
        <f t="array" ref="H780">IF($B$1="","",IFERROR(_xlfn.AGGREGATE(15,6,ROW('Journal'!$A$3:$A$2002)/(('Journal'!$D$3:$D$2002=$B$1)+('Journal'!$E$3:$E$2002=$B$1))/('Journal'!$B$3:$B$2002&gt;=$B$2)/('Journal'!$B$3:$B$2002&lt;=$B$3),775),""))</f>
        <v/>
      </c>
    </row>
    <row r="781">
      <c r="A781" s="18">
        <f>IF($H781="","",INDEX('Journal'!$A$1:$A$2002,$H781))</f>
        <v/>
      </c>
      <c r="B781" s="21">
        <f>IF($H781="","",INDEX('Journal'!$B$1:$B$2002,$H781))</f>
        <v/>
      </c>
      <c r="C781" s="5">
        <f>IF($H781="","",INDEX('Journal'!$C$1:$C$2002,$H781)&amp;"")</f>
        <v/>
      </c>
      <c r="D781" s="5">
        <f>IF($H781="","",IF(INDEX('Journal'!$D$1:$D$2002,$H781)=$B$1,INDEX('Journal'!$E$1:$E$2002,$H781),INDEX('Journal'!$D$1:$D$2002,$H781))&amp;"")</f>
        <v/>
      </c>
      <c r="E781" s="20">
        <f>IF($H781="","",IF(INDEX('Journal'!$D$1:$D$2002,$H781)=$B$1,N(INDEX('Journal'!$G$1:$G$2002,$H781)),N(INDEX('Journal'!$F$1:$F$2002,$H781))))</f>
        <v/>
      </c>
      <c r="F781" s="20">
        <f>IF($H781="","",IF(INDEX('Journal'!$D$1:$D$2002,$H781)=$B$1,N(INDEX('Journal'!$F$1:$F$2002,$H781)),N(INDEX('Journal'!$G$1:$G$2002,$H781))))</f>
        <v/>
      </c>
      <c r="G781" s="20">
        <f>IF($H781="","",G780+E781-F781)</f>
        <v/>
      </c>
      <c r="H781" s="18">
        <f t="array" ref="H781">IF($B$1="","",IFERROR(_xlfn.AGGREGATE(15,6,ROW('Journal'!$A$3:$A$2002)/(('Journal'!$D$3:$D$2002=$B$1)+('Journal'!$E$3:$E$2002=$B$1))/('Journal'!$B$3:$B$2002&gt;=$B$2)/('Journal'!$B$3:$B$2002&lt;=$B$3),776),""))</f>
        <v/>
      </c>
    </row>
    <row r="782">
      <c r="A782" s="18">
        <f>IF($H782="","",INDEX('Journal'!$A$1:$A$2002,$H782))</f>
        <v/>
      </c>
      <c r="B782" s="21">
        <f>IF($H782="","",INDEX('Journal'!$B$1:$B$2002,$H782))</f>
        <v/>
      </c>
      <c r="C782" s="5">
        <f>IF($H782="","",INDEX('Journal'!$C$1:$C$2002,$H782)&amp;"")</f>
        <v/>
      </c>
      <c r="D782" s="5">
        <f>IF($H782="","",IF(INDEX('Journal'!$D$1:$D$2002,$H782)=$B$1,INDEX('Journal'!$E$1:$E$2002,$H782),INDEX('Journal'!$D$1:$D$2002,$H782))&amp;"")</f>
        <v/>
      </c>
      <c r="E782" s="20">
        <f>IF($H782="","",IF(INDEX('Journal'!$D$1:$D$2002,$H782)=$B$1,N(INDEX('Journal'!$G$1:$G$2002,$H782)),N(INDEX('Journal'!$F$1:$F$2002,$H782))))</f>
        <v/>
      </c>
      <c r="F782" s="20">
        <f>IF($H782="","",IF(INDEX('Journal'!$D$1:$D$2002,$H782)=$B$1,N(INDEX('Journal'!$F$1:$F$2002,$H782)),N(INDEX('Journal'!$G$1:$G$2002,$H782))))</f>
        <v/>
      </c>
      <c r="G782" s="20">
        <f>IF($H782="","",G781+E782-F782)</f>
        <v/>
      </c>
      <c r="H782" s="18">
        <f t="array" ref="H782">IF($B$1="","",IFERROR(_xlfn.AGGREGATE(15,6,ROW('Journal'!$A$3:$A$2002)/(('Journal'!$D$3:$D$2002=$B$1)+('Journal'!$E$3:$E$2002=$B$1))/('Journal'!$B$3:$B$2002&gt;=$B$2)/('Journal'!$B$3:$B$2002&lt;=$B$3),777),""))</f>
        <v/>
      </c>
    </row>
    <row r="783">
      <c r="A783" s="18">
        <f>IF($H783="","",INDEX('Journal'!$A$1:$A$2002,$H783))</f>
        <v/>
      </c>
      <c r="B783" s="21">
        <f>IF($H783="","",INDEX('Journal'!$B$1:$B$2002,$H783))</f>
        <v/>
      </c>
      <c r="C783" s="5">
        <f>IF($H783="","",INDEX('Journal'!$C$1:$C$2002,$H783)&amp;"")</f>
        <v/>
      </c>
      <c r="D783" s="5">
        <f>IF($H783="","",IF(INDEX('Journal'!$D$1:$D$2002,$H783)=$B$1,INDEX('Journal'!$E$1:$E$2002,$H783),INDEX('Journal'!$D$1:$D$2002,$H783))&amp;"")</f>
        <v/>
      </c>
      <c r="E783" s="20">
        <f>IF($H783="","",IF(INDEX('Journal'!$D$1:$D$2002,$H783)=$B$1,N(INDEX('Journal'!$G$1:$G$2002,$H783)),N(INDEX('Journal'!$F$1:$F$2002,$H783))))</f>
        <v/>
      </c>
      <c r="F783" s="20">
        <f>IF($H783="","",IF(INDEX('Journal'!$D$1:$D$2002,$H783)=$B$1,N(INDEX('Journal'!$F$1:$F$2002,$H783)),N(INDEX('Journal'!$G$1:$G$2002,$H783))))</f>
        <v/>
      </c>
      <c r="G783" s="20">
        <f>IF($H783="","",G782+E783-F783)</f>
        <v/>
      </c>
      <c r="H783" s="18">
        <f t="array" ref="H783">IF($B$1="","",IFERROR(_xlfn.AGGREGATE(15,6,ROW('Journal'!$A$3:$A$2002)/(('Journal'!$D$3:$D$2002=$B$1)+('Journal'!$E$3:$E$2002=$B$1))/('Journal'!$B$3:$B$2002&gt;=$B$2)/('Journal'!$B$3:$B$2002&lt;=$B$3),778),""))</f>
        <v/>
      </c>
    </row>
    <row r="784">
      <c r="A784" s="18">
        <f>IF($H784="","",INDEX('Journal'!$A$1:$A$2002,$H784))</f>
        <v/>
      </c>
      <c r="B784" s="21">
        <f>IF($H784="","",INDEX('Journal'!$B$1:$B$2002,$H784))</f>
        <v/>
      </c>
      <c r="C784" s="5">
        <f>IF($H784="","",INDEX('Journal'!$C$1:$C$2002,$H784)&amp;"")</f>
        <v/>
      </c>
      <c r="D784" s="5">
        <f>IF($H784="","",IF(INDEX('Journal'!$D$1:$D$2002,$H784)=$B$1,INDEX('Journal'!$E$1:$E$2002,$H784),INDEX('Journal'!$D$1:$D$2002,$H784))&amp;"")</f>
        <v/>
      </c>
      <c r="E784" s="20">
        <f>IF($H784="","",IF(INDEX('Journal'!$D$1:$D$2002,$H784)=$B$1,N(INDEX('Journal'!$G$1:$G$2002,$H784)),N(INDEX('Journal'!$F$1:$F$2002,$H784))))</f>
        <v/>
      </c>
      <c r="F784" s="20">
        <f>IF($H784="","",IF(INDEX('Journal'!$D$1:$D$2002,$H784)=$B$1,N(INDEX('Journal'!$F$1:$F$2002,$H784)),N(INDEX('Journal'!$G$1:$G$2002,$H784))))</f>
        <v/>
      </c>
      <c r="G784" s="20">
        <f>IF($H784="","",G783+E784-F784)</f>
        <v/>
      </c>
      <c r="H784" s="18">
        <f t="array" ref="H784">IF($B$1="","",IFERROR(_xlfn.AGGREGATE(15,6,ROW('Journal'!$A$3:$A$2002)/(('Journal'!$D$3:$D$2002=$B$1)+('Journal'!$E$3:$E$2002=$B$1))/('Journal'!$B$3:$B$2002&gt;=$B$2)/('Journal'!$B$3:$B$2002&lt;=$B$3),779),""))</f>
        <v/>
      </c>
    </row>
    <row r="785">
      <c r="A785" s="18">
        <f>IF($H785="","",INDEX('Journal'!$A$1:$A$2002,$H785))</f>
        <v/>
      </c>
      <c r="B785" s="21">
        <f>IF($H785="","",INDEX('Journal'!$B$1:$B$2002,$H785))</f>
        <v/>
      </c>
      <c r="C785" s="5">
        <f>IF($H785="","",INDEX('Journal'!$C$1:$C$2002,$H785)&amp;"")</f>
        <v/>
      </c>
      <c r="D785" s="5">
        <f>IF($H785="","",IF(INDEX('Journal'!$D$1:$D$2002,$H785)=$B$1,INDEX('Journal'!$E$1:$E$2002,$H785),INDEX('Journal'!$D$1:$D$2002,$H785))&amp;"")</f>
        <v/>
      </c>
      <c r="E785" s="20">
        <f>IF($H785="","",IF(INDEX('Journal'!$D$1:$D$2002,$H785)=$B$1,N(INDEX('Journal'!$G$1:$G$2002,$H785)),N(INDEX('Journal'!$F$1:$F$2002,$H785))))</f>
        <v/>
      </c>
      <c r="F785" s="20">
        <f>IF($H785="","",IF(INDEX('Journal'!$D$1:$D$2002,$H785)=$B$1,N(INDEX('Journal'!$F$1:$F$2002,$H785)),N(INDEX('Journal'!$G$1:$G$2002,$H785))))</f>
        <v/>
      </c>
      <c r="G785" s="20">
        <f>IF($H785="","",G784+E785-F785)</f>
        <v/>
      </c>
      <c r="H785" s="18">
        <f t="array" ref="H785">IF($B$1="","",IFERROR(_xlfn.AGGREGATE(15,6,ROW('Journal'!$A$3:$A$2002)/(('Journal'!$D$3:$D$2002=$B$1)+('Journal'!$E$3:$E$2002=$B$1))/('Journal'!$B$3:$B$2002&gt;=$B$2)/('Journal'!$B$3:$B$2002&lt;=$B$3),780),""))</f>
        <v/>
      </c>
    </row>
    <row r="786">
      <c r="A786" s="18">
        <f>IF($H786="","",INDEX('Journal'!$A$1:$A$2002,$H786))</f>
        <v/>
      </c>
      <c r="B786" s="21">
        <f>IF($H786="","",INDEX('Journal'!$B$1:$B$2002,$H786))</f>
        <v/>
      </c>
      <c r="C786" s="5">
        <f>IF($H786="","",INDEX('Journal'!$C$1:$C$2002,$H786)&amp;"")</f>
        <v/>
      </c>
      <c r="D786" s="5">
        <f>IF($H786="","",IF(INDEX('Journal'!$D$1:$D$2002,$H786)=$B$1,INDEX('Journal'!$E$1:$E$2002,$H786),INDEX('Journal'!$D$1:$D$2002,$H786))&amp;"")</f>
        <v/>
      </c>
      <c r="E786" s="20">
        <f>IF($H786="","",IF(INDEX('Journal'!$D$1:$D$2002,$H786)=$B$1,N(INDEX('Journal'!$G$1:$G$2002,$H786)),N(INDEX('Journal'!$F$1:$F$2002,$H786))))</f>
        <v/>
      </c>
      <c r="F786" s="20">
        <f>IF($H786="","",IF(INDEX('Journal'!$D$1:$D$2002,$H786)=$B$1,N(INDEX('Journal'!$F$1:$F$2002,$H786)),N(INDEX('Journal'!$G$1:$G$2002,$H786))))</f>
        <v/>
      </c>
      <c r="G786" s="20">
        <f>IF($H786="","",G785+E786-F786)</f>
        <v/>
      </c>
      <c r="H786" s="18">
        <f t="array" ref="H786">IF($B$1="","",IFERROR(_xlfn.AGGREGATE(15,6,ROW('Journal'!$A$3:$A$2002)/(('Journal'!$D$3:$D$2002=$B$1)+('Journal'!$E$3:$E$2002=$B$1))/('Journal'!$B$3:$B$2002&gt;=$B$2)/('Journal'!$B$3:$B$2002&lt;=$B$3),781),""))</f>
        <v/>
      </c>
    </row>
    <row r="787">
      <c r="A787" s="18">
        <f>IF($H787="","",INDEX('Journal'!$A$1:$A$2002,$H787))</f>
        <v/>
      </c>
      <c r="B787" s="21">
        <f>IF($H787="","",INDEX('Journal'!$B$1:$B$2002,$H787))</f>
        <v/>
      </c>
      <c r="C787" s="5">
        <f>IF($H787="","",INDEX('Journal'!$C$1:$C$2002,$H787)&amp;"")</f>
        <v/>
      </c>
      <c r="D787" s="5">
        <f>IF($H787="","",IF(INDEX('Journal'!$D$1:$D$2002,$H787)=$B$1,INDEX('Journal'!$E$1:$E$2002,$H787),INDEX('Journal'!$D$1:$D$2002,$H787))&amp;"")</f>
        <v/>
      </c>
      <c r="E787" s="20">
        <f>IF($H787="","",IF(INDEX('Journal'!$D$1:$D$2002,$H787)=$B$1,N(INDEX('Journal'!$G$1:$G$2002,$H787)),N(INDEX('Journal'!$F$1:$F$2002,$H787))))</f>
        <v/>
      </c>
      <c r="F787" s="20">
        <f>IF($H787="","",IF(INDEX('Journal'!$D$1:$D$2002,$H787)=$B$1,N(INDEX('Journal'!$F$1:$F$2002,$H787)),N(INDEX('Journal'!$G$1:$G$2002,$H787))))</f>
        <v/>
      </c>
      <c r="G787" s="20">
        <f>IF($H787="","",G786+E787-F787)</f>
        <v/>
      </c>
      <c r="H787" s="18">
        <f t="array" ref="H787">IF($B$1="","",IFERROR(_xlfn.AGGREGATE(15,6,ROW('Journal'!$A$3:$A$2002)/(('Journal'!$D$3:$D$2002=$B$1)+('Journal'!$E$3:$E$2002=$B$1))/('Journal'!$B$3:$B$2002&gt;=$B$2)/('Journal'!$B$3:$B$2002&lt;=$B$3),782),""))</f>
        <v/>
      </c>
    </row>
    <row r="788">
      <c r="A788" s="18">
        <f>IF($H788="","",INDEX('Journal'!$A$1:$A$2002,$H788))</f>
        <v/>
      </c>
      <c r="B788" s="21">
        <f>IF($H788="","",INDEX('Journal'!$B$1:$B$2002,$H788))</f>
        <v/>
      </c>
      <c r="C788" s="5">
        <f>IF($H788="","",INDEX('Journal'!$C$1:$C$2002,$H788)&amp;"")</f>
        <v/>
      </c>
      <c r="D788" s="5">
        <f>IF($H788="","",IF(INDEX('Journal'!$D$1:$D$2002,$H788)=$B$1,INDEX('Journal'!$E$1:$E$2002,$H788),INDEX('Journal'!$D$1:$D$2002,$H788))&amp;"")</f>
        <v/>
      </c>
      <c r="E788" s="20">
        <f>IF($H788="","",IF(INDEX('Journal'!$D$1:$D$2002,$H788)=$B$1,N(INDEX('Journal'!$G$1:$G$2002,$H788)),N(INDEX('Journal'!$F$1:$F$2002,$H788))))</f>
        <v/>
      </c>
      <c r="F788" s="20">
        <f>IF($H788="","",IF(INDEX('Journal'!$D$1:$D$2002,$H788)=$B$1,N(INDEX('Journal'!$F$1:$F$2002,$H788)),N(INDEX('Journal'!$G$1:$G$2002,$H788))))</f>
        <v/>
      </c>
      <c r="G788" s="20">
        <f>IF($H788="","",G787+E788-F788)</f>
        <v/>
      </c>
      <c r="H788" s="18">
        <f t="array" ref="H788">IF($B$1="","",IFERROR(_xlfn.AGGREGATE(15,6,ROW('Journal'!$A$3:$A$2002)/(('Journal'!$D$3:$D$2002=$B$1)+('Journal'!$E$3:$E$2002=$B$1))/('Journal'!$B$3:$B$2002&gt;=$B$2)/('Journal'!$B$3:$B$2002&lt;=$B$3),783),""))</f>
        <v/>
      </c>
    </row>
    <row r="789">
      <c r="A789" s="18">
        <f>IF($H789="","",INDEX('Journal'!$A$1:$A$2002,$H789))</f>
        <v/>
      </c>
      <c r="B789" s="21">
        <f>IF($H789="","",INDEX('Journal'!$B$1:$B$2002,$H789))</f>
        <v/>
      </c>
      <c r="C789" s="5">
        <f>IF($H789="","",INDEX('Journal'!$C$1:$C$2002,$H789)&amp;"")</f>
        <v/>
      </c>
      <c r="D789" s="5">
        <f>IF($H789="","",IF(INDEX('Journal'!$D$1:$D$2002,$H789)=$B$1,INDEX('Journal'!$E$1:$E$2002,$H789),INDEX('Journal'!$D$1:$D$2002,$H789))&amp;"")</f>
        <v/>
      </c>
      <c r="E789" s="20">
        <f>IF($H789="","",IF(INDEX('Journal'!$D$1:$D$2002,$H789)=$B$1,N(INDEX('Journal'!$G$1:$G$2002,$H789)),N(INDEX('Journal'!$F$1:$F$2002,$H789))))</f>
        <v/>
      </c>
      <c r="F789" s="20">
        <f>IF($H789="","",IF(INDEX('Journal'!$D$1:$D$2002,$H789)=$B$1,N(INDEX('Journal'!$F$1:$F$2002,$H789)),N(INDEX('Journal'!$G$1:$G$2002,$H789))))</f>
        <v/>
      </c>
      <c r="G789" s="20">
        <f>IF($H789="","",G788+E789-F789)</f>
        <v/>
      </c>
      <c r="H789" s="18">
        <f t="array" ref="H789">IF($B$1="","",IFERROR(_xlfn.AGGREGATE(15,6,ROW('Journal'!$A$3:$A$2002)/(('Journal'!$D$3:$D$2002=$B$1)+('Journal'!$E$3:$E$2002=$B$1))/('Journal'!$B$3:$B$2002&gt;=$B$2)/('Journal'!$B$3:$B$2002&lt;=$B$3),784),""))</f>
        <v/>
      </c>
    </row>
    <row r="790">
      <c r="A790" s="18">
        <f>IF($H790="","",INDEX('Journal'!$A$1:$A$2002,$H790))</f>
        <v/>
      </c>
      <c r="B790" s="21">
        <f>IF($H790="","",INDEX('Journal'!$B$1:$B$2002,$H790))</f>
        <v/>
      </c>
      <c r="C790" s="5">
        <f>IF($H790="","",INDEX('Journal'!$C$1:$C$2002,$H790)&amp;"")</f>
        <v/>
      </c>
      <c r="D790" s="5">
        <f>IF($H790="","",IF(INDEX('Journal'!$D$1:$D$2002,$H790)=$B$1,INDEX('Journal'!$E$1:$E$2002,$H790),INDEX('Journal'!$D$1:$D$2002,$H790))&amp;"")</f>
        <v/>
      </c>
      <c r="E790" s="20">
        <f>IF($H790="","",IF(INDEX('Journal'!$D$1:$D$2002,$H790)=$B$1,N(INDEX('Journal'!$G$1:$G$2002,$H790)),N(INDEX('Journal'!$F$1:$F$2002,$H790))))</f>
        <v/>
      </c>
      <c r="F790" s="20">
        <f>IF($H790="","",IF(INDEX('Journal'!$D$1:$D$2002,$H790)=$B$1,N(INDEX('Journal'!$F$1:$F$2002,$H790)),N(INDEX('Journal'!$G$1:$G$2002,$H790))))</f>
        <v/>
      </c>
      <c r="G790" s="20">
        <f>IF($H790="","",G789+E790-F790)</f>
        <v/>
      </c>
      <c r="H790" s="18">
        <f t="array" ref="H790">IF($B$1="","",IFERROR(_xlfn.AGGREGATE(15,6,ROW('Journal'!$A$3:$A$2002)/(('Journal'!$D$3:$D$2002=$B$1)+('Journal'!$E$3:$E$2002=$B$1))/('Journal'!$B$3:$B$2002&gt;=$B$2)/('Journal'!$B$3:$B$2002&lt;=$B$3),785),""))</f>
        <v/>
      </c>
    </row>
    <row r="791">
      <c r="A791" s="18">
        <f>IF($H791="","",INDEX('Journal'!$A$1:$A$2002,$H791))</f>
        <v/>
      </c>
      <c r="B791" s="21">
        <f>IF($H791="","",INDEX('Journal'!$B$1:$B$2002,$H791))</f>
        <v/>
      </c>
      <c r="C791" s="5">
        <f>IF($H791="","",INDEX('Journal'!$C$1:$C$2002,$H791)&amp;"")</f>
        <v/>
      </c>
      <c r="D791" s="5">
        <f>IF($H791="","",IF(INDEX('Journal'!$D$1:$D$2002,$H791)=$B$1,INDEX('Journal'!$E$1:$E$2002,$H791),INDEX('Journal'!$D$1:$D$2002,$H791))&amp;"")</f>
        <v/>
      </c>
      <c r="E791" s="20">
        <f>IF($H791="","",IF(INDEX('Journal'!$D$1:$D$2002,$H791)=$B$1,N(INDEX('Journal'!$G$1:$G$2002,$H791)),N(INDEX('Journal'!$F$1:$F$2002,$H791))))</f>
        <v/>
      </c>
      <c r="F791" s="20">
        <f>IF($H791="","",IF(INDEX('Journal'!$D$1:$D$2002,$H791)=$B$1,N(INDEX('Journal'!$F$1:$F$2002,$H791)),N(INDEX('Journal'!$G$1:$G$2002,$H791))))</f>
        <v/>
      </c>
      <c r="G791" s="20">
        <f>IF($H791="","",G790+E791-F791)</f>
        <v/>
      </c>
      <c r="H791" s="18">
        <f t="array" ref="H791">IF($B$1="","",IFERROR(_xlfn.AGGREGATE(15,6,ROW('Journal'!$A$3:$A$2002)/(('Journal'!$D$3:$D$2002=$B$1)+('Journal'!$E$3:$E$2002=$B$1))/('Journal'!$B$3:$B$2002&gt;=$B$2)/('Journal'!$B$3:$B$2002&lt;=$B$3),786),""))</f>
        <v/>
      </c>
    </row>
    <row r="792">
      <c r="A792" s="18">
        <f>IF($H792="","",INDEX('Journal'!$A$1:$A$2002,$H792))</f>
        <v/>
      </c>
      <c r="B792" s="21">
        <f>IF($H792="","",INDEX('Journal'!$B$1:$B$2002,$H792))</f>
        <v/>
      </c>
      <c r="C792" s="5">
        <f>IF($H792="","",INDEX('Journal'!$C$1:$C$2002,$H792)&amp;"")</f>
        <v/>
      </c>
      <c r="D792" s="5">
        <f>IF($H792="","",IF(INDEX('Journal'!$D$1:$D$2002,$H792)=$B$1,INDEX('Journal'!$E$1:$E$2002,$H792),INDEX('Journal'!$D$1:$D$2002,$H792))&amp;"")</f>
        <v/>
      </c>
      <c r="E792" s="20">
        <f>IF($H792="","",IF(INDEX('Journal'!$D$1:$D$2002,$H792)=$B$1,N(INDEX('Journal'!$G$1:$G$2002,$H792)),N(INDEX('Journal'!$F$1:$F$2002,$H792))))</f>
        <v/>
      </c>
      <c r="F792" s="20">
        <f>IF($H792="","",IF(INDEX('Journal'!$D$1:$D$2002,$H792)=$B$1,N(INDEX('Journal'!$F$1:$F$2002,$H792)),N(INDEX('Journal'!$G$1:$G$2002,$H792))))</f>
        <v/>
      </c>
      <c r="G792" s="20">
        <f>IF($H792="","",G791+E792-F792)</f>
        <v/>
      </c>
      <c r="H792" s="18">
        <f t="array" ref="H792">IF($B$1="","",IFERROR(_xlfn.AGGREGATE(15,6,ROW('Journal'!$A$3:$A$2002)/(('Journal'!$D$3:$D$2002=$B$1)+('Journal'!$E$3:$E$2002=$B$1))/('Journal'!$B$3:$B$2002&gt;=$B$2)/('Journal'!$B$3:$B$2002&lt;=$B$3),787),""))</f>
        <v/>
      </c>
    </row>
    <row r="793">
      <c r="A793" s="18">
        <f>IF($H793="","",INDEX('Journal'!$A$1:$A$2002,$H793))</f>
        <v/>
      </c>
      <c r="B793" s="21">
        <f>IF($H793="","",INDEX('Journal'!$B$1:$B$2002,$H793))</f>
        <v/>
      </c>
      <c r="C793" s="5">
        <f>IF($H793="","",INDEX('Journal'!$C$1:$C$2002,$H793)&amp;"")</f>
        <v/>
      </c>
      <c r="D793" s="5">
        <f>IF($H793="","",IF(INDEX('Journal'!$D$1:$D$2002,$H793)=$B$1,INDEX('Journal'!$E$1:$E$2002,$H793),INDEX('Journal'!$D$1:$D$2002,$H793))&amp;"")</f>
        <v/>
      </c>
      <c r="E793" s="20">
        <f>IF($H793="","",IF(INDEX('Journal'!$D$1:$D$2002,$H793)=$B$1,N(INDEX('Journal'!$G$1:$G$2002,$H793)),N(INDEX('Journal'!$F$1:$F$2002,$H793))))</f>
        <v/>
      </c>
      <c r="F793" s="20">
        <f>IF($H793="","",IF(INDEX('Journal'!$D$1:$D$2002,$H793)=$B$1,N(INDEX('Journal'!$F$1:$F$2002,$H793)),N(INDEX('Journal'!$G$1:$G$2002,$H793))))</f>
        <v/>
      </c>
      <c r="G793" s="20">
        <f>IF($H793="","",G792+E793-F793)</f>
        <v/>
      </c>
      <c r="H793" s="18">
        <f t="array" ref="H793">IF($B$1="","",IFERROR(_xlfn.AGGREGATE(15,6,ROW('Journal'!$A$3:$A$2002)/(('Journal'!$D$3:$D$2002=$B$1)+('Journal'!$E$3:$E$2002=$B$1))/('Journal'!$B$3:$B$2002&gt;=$B$2)/('Journal'!$B$3:$B$2002&lt;=$B$3),788),""))</f>
        <v/>
      </c>
    </row>
    <row r="794">
      <c r="A794" s="18">
        <f>IF($H794="","",INDEX('Journal'!$A$1:$A$2002,$H794))</f>
        <v/>
      </c>
      <c r="B794" s="21">
        <f>IF($H794="","",INDEX('Journal'!$B$1:$B$2002,$H794))</f>
        <v/>
      </c>
      <c r="C794" s="5">
        <f>IF($H794="","",INDEX('Journal'!$C$1:$C$2002,$H794)&amp;"")</f>
        <v/>
      </c>
      <c r="D794" s="5">
        <f>IF($H794="","",IF(INDEX('Journal'!$D$1:$D$2002,$H794)=$B$1,INDEX('Journal'!$E$1:$E$2002,$H794),INDEX('Journal'!$D$1:$D$2002,$H794))&amp;"")</f>
        <v/>
      </c>
      <c r="E794" s="20">
        <f>IF($H794="","",IF(INDEX('Journal'!$D$1:$D$2002,$H794)=$B$1,N(INDEX('Journal'!$G$1:$G$2002,$H794)),N(INDEX('Journal'!$F$1:$F$2002,$H794))))</f>
        <v/>
      </c>
      <c r="F794" s="20">
        <f>IF($H794="","",IF(INDEX('Journal'!$D$1:$D$2002,$H794)=$B$1,N(INDEX('Journal'!$F$1:$F$2002,$H794)),N(INDEX('Journal'!$G$1:$G$2002,$H794))))</f>
        <v/>
      </c>
      <c r="G794" s="20">
        <f>IF($H794="","",G793+E794-F794)</f>
        <v/>
      </c>
      <c r="H794" s="18">
        <f t="array" ref="H794">IF($B$1="","",IFERROR(_xlfn.AGGREGATE(15,6,ROW('Journal'!$A$3:$A$2002)/(('Journal'!$D$3:$D$2002=$B$1)+('Journal'!$E$3:$E$2002=$B$1))/('Journal'!$B$3:$B$2002&gt;=$B$2)/('Journal'!$B$3:$B$2002&lt;=$B$3),789),""))</f>
        <v/>
      </c>
    </row>
    <row r="795">
      <c r="A795" s="18">
        <f>IF($H795="","",INDEX('Journal'!$A$1:$A$2002,$H795))</f>
        <v/>
      </c>
      <c r="B795" s="21">
        <f>IF($H795="","",INDEX('Journal'!$B$1:$B$2002,$H795))</f>
        <v/>
      </c>
      <c r="C795" s="5">
        <f>IF($H795="","",INDEX('Journal'!$C$1:$C$2002,$H795)&amp;"")</f>
        <v/>
      </c>
      <c r="D795" s="5">
        <f>IF($H795="","",IF(INDEX('Journal'!$D$1:$D$2002,$H795)=$B$1,INDEX('Journal'!$E$1:$E$2002,$H795),INDEX('Journal'!$D$1:$D$2002,$H795))&amp;"")</f>
        <v/>
      </c>
      <c r="E795" s="20">
        <f>IF($H795="","",IF(INDEX('Journal'!$D$1:$D$2002,$H795)=$B$1,N(INDEX('Journal'!$G$1:$G$2002,$H795)),N(INDEX('Journal'!$F$1:$F$2002,$H795))))</f>
        <v/>
      </c>
      <c r="F795" s="20">
        <f>IF($H795="","",IF(INDEX('Journal'!$D$1:$D$2002,$H795)=$B$1,N(INDEX('Journal'!$F$1:$F$2002,$H795)),N(INDEX('Journal'!$G$1:$G$2002,$H795))))</f>
        <v/>
      </c>
      <c r="G795" s="20">
        <f>IF($H795="","",G794+E795-F795)</f>
        <v/>
      </c>
      <c r="H795" s="18">
        <f t="array" ref="H795">IF($B$1="","",IFERROR(_xlfn.AGGREGATE(15,6,ROW('Journal'!$A$3:$A$2002)/(('Journal'!$D$3:$D$2002=$B$1)+('Journal'!$E$3:$E$2002=$B$1))/('Journal'!$B$3:$B$2002&gt;=$B$2)/('Journal'!$B$3:$B$2002&lt;=$B$3),790),""))</f>
        <v/>
      </c>
    </row>
    <row r="796">
      <c r="A796" s="18">
        <f>IF($H796="","",INDEX('Journal'!$A$1:$A$2002,$H796))</f>
        <v/>
      </c>
      <c r="B796" s="21">
        <f>IF($H796="","",INDEX('Journal'!$B$1:$B$2002,$H796))</f>
        <v/>
      </c>
      <c r="C796" s="5">
        <f>IF($H796="","",INDEX('Journal'!$C$1:$C$2002,$H796)&amp;"")</f>
        <v/>
      </c>
      <c r="D796" s="5">
        <f>IF($H796="","",IF(INDEX('Journal'!$D$1:$D$2002,$H796)=$B$1,INDEX('Journal'!$E$1:$E$2002,$H796),INDEX('Journal'!$D$1:$D$2002,$H796))&amp;"")</f>
        <v/>
      </c>
      <c r="E796" s="20">
        <f>IF($H796="","",IF(INDEX('Journal'!$D$1:$D$2002,$H796)=$B$1,N(INDEX('Journal'!$G$1:$G$2002,$H796)),N(INDEX('Journal'!$F$1:$F$2002,$H796))))</f>
        <v/>
      </c>
      <c r="F796" s="20">
        <f>IF($H796="","",IF(INDEX('Journal'!$D$1:$D$2002,$H796)=$B$1,N(INDEX('Journal'!$F$1:$F$2002,$H796)),N(INDEX('Journal'!$G$1:$G$2002,$H796))))</f>
        <v/>
      </c>
      <c r="G796" s="20">
        <f>IF($H796="","",G795+E796-F796)</f>
        <v/>
      </c>
      <c r="H796" s="18">
        <f t="array" ref="H796">IF($B$1="","",IFERROR(_xlfn.AGGREGATE(15,6,ROW('Journal'!$A$3:$A$2002)/(('Journal'!$D$3:$D$2002=$B$1)+('Journal'!$E$3:$E$2002=$B$1))/('Journal'!$B$3:$B$2002&gt;=$B$2)/('Journal'!$B$3:$B$2002&lt;=$B$3),791),""))</f>
        <v/>
      </c>
    </row>
    <row r="797">
      <c r="A797" s="18">
        <f>IF($H797="","",INDEX('Journal'!$A$1:$A$2002,$H797))</f>
        <v/>
      </c>
      <c r="B797" s="21">
        <f>IF($H797="","",INDEX('Journal'!$B$1:$B$2002,$H797))</f>
        <v/>
      </c>
      <c r="C797" s="5">
        <f>IF($H797="","",INDEX('Journal'!$C$1:$C$2002,$H797)&amp;"")</f>
        <v/>
      </c>
      <c r="D797" s="5">
        <f>IF($H797="","",IF(INDEX('Journal'!$D$1:$D$2002,$H797)=$B$1,INDEX('Journal'!$E$1:$E$2002,$H797),INDEX('Journal'!$D$1:$D$2002,$H797))&amp;"")</f>
        <v/>
      </c>
      <c r="E797" s="20">
        <f>IF($H797="","",IF(INDEX('Journal'!$D$1:$D$2002,$H797)=$B$1,N(INDEX('Journal'!$G$1:$G$2002,$H797)),N(INDEX('Journal'!$F$1:$F$2002,$H797))))</f>
        <v/>
      </c>
      <c r="F797" s="20">
        <f>IF($H797="","",IF(INDEX('Journal'!$D$1:$D$2002,$H797)=$B$1,N(INDEX('Journal'!$F$1:$F$2002,$H797)),N(INDEX('Journal'!$G$1:$G$2002,$H797))))</f>
        <v/>
      </c>
      <c r="G797" s="20">
        <f>IF($H797="","",G796+E797-F797)</f>
        <v/>
      </c>
      <c r="H797" s="18">
        <f t="array" ref="H797">IF($B$1="","",IFERROR(_xlfn.AGGREGATE(15,6,ROW('Journal'!$A$3:$A$2002)/(('Journal'!$D$3:$D$2002=$B$1)+('Journal'!$E$3:$E$2002=$B$1))/('Journal'!$B$3:$B$2002&gt;=$B$2)/('Journal'!$B$3:$B$2002&lt;=$B$3),792),""))</f>
        <v/>
      </c>
    </row>
    <row r="798">
      <c r="A798" s="18">
        <f>IF($H798="","",INDEX('Journal'!$A$1:$A$2002,$H798))</f>
        <v/>
      </c>
      <c r="B798" s="21">
        <f>IF($H798="","",INDEX('Journal'!$B$1:$B$2002,$H798))</f>
        <v/>
      </c>
      <c r="C798" s="5">
        <f>IF($H798="","",INDEX('Journal'!$C$1:$C$2002,$H798)&amp;"")</f>
        <v/>
      </c>
      <c r="D798" s="5">
        <f>IF($H798="","",IF(INDEX('Journal'!$D$1:$D$2002,$H798)=$B$1,INDEX('Journal'!$E$1:$E$2002,$H798),INDEX('Journal'!$D$1:$D$2002,$H798))&amp;"")</f>
        <v/>
      </c>
      <c r="E798" s="20">
        <f>IF($H798="","",IF(INDEX('Journal'!$D$1:$D$2002,$H798)=$B$1,N(INDEX('Journal'!$G$1:$G$2002,$H798)),N(INDEX('Journal'!$F$1:$F$2002,$H798))))</f>
        <v/>
      </c>
      <c r="F798" s="20">
        <f>IF($H798="","",IF(INDEX('Journal'!$D$1:$D$2002,$H798)=$B$1,N(INDEX('Journal'!$F$1:$F$2002,$H798)),N(INDEX('Journal'!$G$1:$G$2002,$H798))))</f>
        <v/>
      </c>
      <c r="G798" s="20">
        <f>IF($H798="","",G797+E798-F798)</f>
        <v/>
      </c>
      <c r="H798" s="18">
        <f t="array" ref="H798">IF($B$1="","",IFERROR(_xlfn.AGGREGATE(15,6,ROW('Journal'!$A$3:$A$2002)/(('Journal'!$D$3:$D$2002=$B$1)+('Journal'!$E$3:$E$2002=$B$1))/('Journal'!$B$3:$B$2002&gt;=$B$2)/('Journal'!$B$3:$B$2002&lt;=$B$3),793),""))</f>
        <v/>
      </c>
    </row>
    <row r="799">
      <c r="A799" s="18">
        <f>IF($H799="","",INDEX('Journal'!$A$1:$A$2002,$H799))</f>
        <v/>
      </c>
      <c r="B799" s="21">
        <f>IF($H799="","",INDEX('Journal'!$B$1:$B$2002,$H799))</f>
        <v/>
      </c>
      <c r="C799" s="5">
        <f>IF($H799="","",INDEX('Journal'!$C$1:$C$2002,$H799)&amp;"")</f>
        <v/>
      </c>
      <c r="D799" s="5">
        <f>IF($H799="","",IF(INDEX('Journal'!$D$1:$D$2002,$H799)=$B$1,INDEX('Journal'!$E$1:$E$2002,$H799),INDEX('Journal'!$D$1:$D$2002,$H799))&amp;"")</f>
        <v/>
      </c>
      <c r="E799" s="20">
        <f>IF($H799="","",IF(INDEX('Journal'!$D$1:$D$2002,$H799)=$B$1,N(INDEX('Journal'!$G$1:$G$2002,$H799)),N(INDEX('Journal'!$F$1:$F$2002,$H799))))</f>
        <v/>
      </c>
      <c r="F799" s="20">
        <f>IF($H799="","",IF(INDEX('Journal'!$D$1:$D$2002,$H799)=$B$1,N(INDEX('Journal'!$F$1:$F$2002,$H799)),N(INDEX('Journal'!$G$1:$G$2002,$H799))))</f>
        <v/>
      </c>
      <c r="G799" s="20">
        <f>IF($H799="","",G798+E799-F799)</f>
        <v/>
      </c>
      <c r="H799" s="18">
        <f t="array" ref="H799">IF($B$1="","",IFERROR(_xlfn.AGGREGATE(15,6,ROW('Journal'!$A$3:$A$2002)/(('Journal'!$D$3:$D$2002=$B$1)+('Journal'!$E$3:$E$2002=$B$1))/('Journal'!$B$3:$B$2002&gt;=$B$2)/('Journal'!$B$3:$B$2002&lt;=$B$3),794),""))</f>
        <v/>
      </c>
    </row>
    <row r="800">
      <c r="A800" s="18">
        <f>IF($H800="","",INDEX('Journal'!$A$1:$A$2002,$H800))</f>
        <v/>
      </c>
      <c r="B800" s="21">
        <f>IF($H800="","",INDEX('Journal'!$B$1:$B$2002,$H800))</f>
        <v/>
      </c>
      <c r="C800" s="5">
        <f>IF($H800="","",INDEX('Journal'!$C$1:$C$2002,$H800)&amp;"")</f>
        <v/>
      </c>
      <c r="D800" s="5">
        <f>IF($H800="","",IF(INDEX('Journal'!$D$1:$D$2002,$H800)=$B$1,INDEX('Journal'!$E$1:$E$2002,$H800),INDEX('Journal'!$D$1:$D$2002,$H800))&amp;"")</f>
        <v/>
      </c>
      <c r="E800" s="20">
        <f>IF($H800="","",IF(INDEX('Journal'!$D$1:$D$2002,$H800)=$B$1,N(INDEX('Journal'!$G$1:$G$2002,$H800)),N(INDEX('Journal'!$F$1:$F$2002,$H800))))</f>
        <v/>
      </c>
      <c r="F800" s="20">
        <f>IF($H800="","",IF(INDEX('Journal'!$D$1:$D$2002,$H800)=$B$1,N(INDEX('Journal'!$F$1:$F$2002,$H800)),N(INDEX('Journal'!$G$1:$G$2002,$H800))))</f>
        <v/>
      </c>
      <c r="G800" s="20">
        <f>IF($H800="","",G799+E800-F800)</f>
        <v/>
      </c>
      <c r="H800" s="18">
        <f t="array" ref="H800">IF($B$1="","",IFERROR(_xlfn.AGGREGATE(15,6,ROW('Journal'!$A$3:$A$2002)/(('Journal'!$D$3:$D$2002=$B$1)+('Journal'!$E$3:$E$2002=$B$1))/('Journal'!$B$3:$B$2002&gt;=$B$2)/('Journal'!$B$3:$B$2002&lt;=$B$3),795),""))</f>
        <v/>
      </c>
    </row>
    <row r="801">
      <c r="A801" s="18">
        <f>IF($H801="","",INDEX('Journal'!$A$1:$A$2002,$H801))</f>
        <v/>
      </c>
      <c r="B801" s="21">
        <f>IF($H801="","",INDEX('Journal'!$B$1:$B$2002,$H801))</f>
        <v/>
      </c>
      <c r="C801" s="5">
        <f>IF($H801="","",INDEX('Journal'!$C$1:$C$2002,$H801)&amp;"")</f>
        <v/>
      </c>
      <c r="D801" s="5">
        <f>IF($H801="","",IF(INDEX('Journal'!$D$1:$D$2002,$H801)=$B$1,INDEX('Journal'!$E$1:$E$2002,$H801),INDEX('Journal'!$D$1:$D$2002,$H801))&amp;"")</f>
        <v/>
      </c>
      <c r="E801" s="20">
        <f>IF($H801="","",IF(INDEX('Journal'!$D$1:$D$2002,$H801)=$B$1,N(INDEX('Journal'!$G$1:$G$2002,$H801)),N(INDEX('Journal'!$F$1:$F$2002,$H801))))</f>
        <v/>
      </c>
      <c r="F801" s="20">
        <f>IF($H801="","",IF(INDEX('Journal'!$D$1:$D$2002,$H801)=$B$1,N(INDEX('Journal'!$F$1:$F$2002,$H801)),N(INDEX('Journal'!$G$1:$G$2002,$H801))))</f>
        <v/>
      </c>
      <c r="G801" s="20">
        <f>IF($H801="","",G800+E801-F801)</f>
        <v/>
      </c>
      <c r="H801" s="18">
        <f t="array" ref="H801">IF($B$1="","",IFERROR(_xlfn.AGGREGATE(15,6,ROW('Journal'!$A$3:$A$2002)/(('Journal'!$D$3:$D$2002=$B$1)+('Journal'!$E$3:$E$2002=$B$1))/('Journal'!$B$3:$B$2002&gt;=$B$2)/('Journal'!$B$3:$B$2002&lt;=$B$3),796),""))</f>
        <v/>
      </c>
    </row>
    <row r="802">
      <c r="A802" s="18">
        <f>IF($H802="","",INDEX('Journal'!$A$1:$A$2002,$H802))</f>
        <v/>
      </c>
      <c r="B802" s="21">
        <f>IF($H802="","",INDEX('Journal'!$B$1:$B$2002,$H802))</f>
        <v/>
      </c>
      <c r="C802" s="5">
        <f>IF($H802="","",INDEX('Journal'!$C$1:$C$2002,$H802)&amp;"")</f>
        <v/>
      </c>
      <c r="D802" s="5">
        <f>IF($H802="","",IF(INDEX('Journal'!$D$1:$D$2002,$H802)=$B$1,INDEX('Journal'!$E$1:$E$2002,$H802),INDEX('Journal'!$D$1:$D$2002,$H802))&amp;"")</f>
        <v/>
      </c>
      <c r="E802" s="20">
        <f>IF($H802="","",IF(INDEX('Journal'!$D$1:$D$2002,$H802)=$B$1,N(INDEX('Journal'!$G$1:$G$2002,$H802)),N(INDEX('Journal'!$F$1:$F$2002,$H802))))</f>
        <v/>
      </c>
      <c r="F802" s="20">
        <f>IF($H802="","",IF(INDEX('Journal'!$D$1:$D$2002,$H802)=$B$1,N(INDEX('Journal'!$F$1:$F$2002,$H802)),N(INDEX('Journal'!$G$1:$G$2002,$H802))))</f>
        <v/>
      </c>
      <c r="G802" s="20">
        <f>IF($H802="","",G801+E802-F802)</f>
        <v/>
      </c>
      <c r="H802" s="18">
        <f t="array" ref="H802">IF($B$1="","",IFERROR(_xlfn.AGGREGATE(15,6,ROW('Journal'!$A$3:$A$2002)/(('Journal'!$D$3:$D$2002=$B$1)+('Journal'!$E$3:$E$2002=$B$1))/('Journal'!$B$3:$B$2002&gt;=$B$2)/('Journal'!$B$3:$B$2002&lt;=$B$3),797),""))</f>
        <v/>
      </c>
    </row>
    <row r="803">
      <c r="A803" s="18">
        <f>IF($H803="","",INDEX('Journal'!$A$1:$A$2002,$H803))</f>
        <v/>
      </c>
      <c r="B803" s="21">
        <f>IF($H803="","",INDEX('Journal'!$B$1:$B$2002,$H803))</f>
        <v/>
      </c>
      <c r="C803" s="5">
        <f>IF($H803="","",INDEX('Journal'!$C$1:$C$2002,$H803)&amp;"")</f>
        <v/>
      </c>
      <c r="D803" s="5">
        <f>IF($H803="","",IF(INDEX('Journal'!$D$1:$D$2002,$H803)=$B$1,INDEX('Journal'!$E$1:$E$2002,$H803),INDEX('Journal'!$D$1:$D$2002,$H803))&amp;"")</f>
        <v/>
      </c>
      <c r="E803" s="20">
        <f>IF($H803="","",IF(INDEX('Journal'!$D$1:$D$2002,$H803)=$B$1,N(INDEX('Journal'!$G$1:$G$2002,$H803)),N(INDEX('Journal'!$F$1:$F$2002,$H803))))</f>
        <v/>
      </c>
      <c r="F803" s="20">
        <f>IF($H803="","",IF(INDEX('Journal'!$D$1:$D$2002,$H803)=$B$1,N(INDEX('Journal'!$F$1:$F$2002,$H803)),N(INDEX('Journal'!$G$1:$G$2002,$H803))))</f>
        <v/>
      </c>
      <c r="G803" s="20">
        <f>IF($H803="","",G802+E803-F803)</f>
        <v/>
      </c>
      <c r="H803" s="18">
        <f t="array" ref="H803">IF($B$1="","",IFERROR(_xlfn.AGGREGATE(15,6,ROW('Journal'!$A$3:$A$2002)/(('Journal'!$D$3:$D$2002=$B$1)+('Journal'!$E$3:$E$2002=$B$1))/('Journal'!$B$3:$B$2002&gt;=$B$2)/('Journal'!$B$3:$B$2002&lt;=$B$3),798),""))</f>
        <v/>
      </c>
    </row>
    <row r="804">
      <c r="A804" s="18">
        <f>IF($H804="","",INDEX('Journal'!$A$1:$A$2002,$H804))</f>
        <v/>
      </c>
      <c r="B804" s="21">
        <f>IF($H804="","",INDEX('Journal'!$B$1:$B$2002,$H804))</f>
        <v/>
      </c>
      <c r="C804" s="5">
        <f>IF($H804="","",INDEX('Journal'!$C$1:$C$2002,$H804)&amp;"")</f>
        <v/>
      </c>
      <c r="D804" s="5">
        <f>IF($H804="","",IF(INDEX('Journal'!$D$1:$D$2002,$H804)=$B$1,INDEX('Journal'!$E$1:$E$2002,$H804),INDEX('Journal'!$D$1:$D$2002,$H804))&amp;"")</f>
        <v/>
      </c>
      <c r="E804" s="20">
        <f>IF($H804="","",IF(INDEX('Journal'!$D$1:$D$2002,$H804)=$B$1,N(INDEX('Journal'!$G$1:$G$2002,$H804)),N(INDEX('Journal'!$F$1:$F$2002,$H804))))</f>
        <v/>
      </c>
      <c r="F804" s="20">
        <f>IF($H804="","",IF(INDEX('Journal'!$D$1:$D$2002,$H804)=$B$1,N(INDEX('Journal'!$F$1:$F$2002,$H804)),N(INDEX('Journal'!$G$1:$G$2002,$H804))))</f>
        <v/>
      </c>
      <c r="G804" s="20">
        <f>IF($H804="","",G803+E804-F804)</f>
        <v/>
      </c>
      <c r="H804" s="18">
        <f t="array" ref="H804">IF($B$1="","",IFERROR(_xlfn.AGGREGATE(15,6,ROW('Journal'!$A$3:$A$2002)/(('Journal'!$D$3:$D$2002=$B$1)+('Journal'!$E$3:$E$2002=$B$1))/('Journal'!$B$3:$B$2002&gt;=$B$2)/('Journal'!$B$3:$B$2002&lt;=$B$3),799),""))</f>
        <v/>
      </c>
    </row>
    <row r="805">
      <c r="A805" s="18">
        <f>IF($H805="","",INDEX('Journal'!$A$1:$A$2002,$H805))</f>
        <v/>
      </c>
      <c r="B805" s="21">
        <f>IF($H805="","",INDEX('Journal'!$B$1:$B$2002,$H805))</f>
        <v/>
      </c>
      <c r="C805" s="5">
        <f>IF($H805="","",INDEX('Journal'!$C$1:$C$2002,$H805)&amp;"")</f>
        <v/>
      </c>
      <c r="D805" s="5">
        <f>IF($H805="","",IF(INDEX('Journal'!$D$1:$D$2002,$H805)=$B$1,INDEX('Journal'!$E$1:$E$2002,$H805),INDEX('Journal'!$D$1:$D$2002,$H805))&amp;"")</f>
        <v/>
      </c>
      <c r="E805" s="20">
        <f>IF($H805="","",IF(INDEX('Journal'!$D$1:$D$2002,$H805)=$B$1,N(INDEX('Journal'!$G$1:$G$2002,$H805)),N(INDEX('Journal'!$F$1:$F$2002,$H805))))</f>
        <v/>
      </c>
      <c r="F805" s="20">
        <f>IF($H805="","",IF(INDEX('Journal'!$D$1:$D$2002,$H805)=$B$1,N(INDEX('Journal'!$F$1:$F$2002,$H805)),N(INDEX('Journal'!$G$1:$G$2002,$H805))))</f>
        <v/>
      </c>
      <c r="G805" s="20">
        <f>IF($H805="","",G804+E805-F805)</f>
        <v/>
      </c>
      <c r="H805" s="18">
        <f t="array" ref="H805">IF($B$1="","",IFERROR(_xlfn.AGGREGATE(15,6,ROW('Journal'!$A$3:$A$2002)/(('Journal'!$D$3:$D$2002=$B$1)+('Journal'!$E$3:$E$2002=$B$1))/('Journal'!$B$3:$B$2002&gt;=$B$2)/('Journal'!$B$3:$B$2002&lt;=$B$3),800),""))</f>
        <v/>
      </c>
    </row>
    <row r="806">
      <c r="A806" s="18">
        <f>IF($H806="","",INDEX('Journal'!$A$1:$A$2002,$H806))</f>
        <v/>
      </c>
      <c r="B806" s="21">
        <f>IF($H806="","",INDEX('Journal'!$B$1:$B$2002,$H806))</f>
        <v/>
      </c>
      <c r="C806" s="5">
        <f>IF($H806="","",INDEX('Journal'!$C$1:$C$2002,$H806)&amp;"")</f>
        <v/>
      </c>
      <c r="D806" s="5">
        <f>IF($H806="","",IF(INDEX('Journal'!$D$1:$D$2002,$H806)=$B$1,INDEX('Journal'!$E$1:$E$2002,$H806),INDEX('Journal'!$D$1:$D$2002,$H806))&amp;"")</f>
        <v/>
      </c>
      <c r="E806" s="20">
        <f>IF($H806="","",IF(INDEX('Journal'!$D$1:$D$2002,$H806)=$B$1,N(INDEX('Journal'!$G$1:$G$2002,$H806)),N(INDEX('Journal'!$F$1:$F$2002,$H806))))</f>
        <v/>
      </c>
      <c r="F806" s="20">
        <f>IF($H806="","",IF(INDEX('Journal'!$D$1:$D$2002,$H806)=$B$1,N(INDEX('Journal'!$F$1:$F$2002,$H806)),N(INDEX('Journal'!$G$1:$G$2002,$H806))))</f>
        <v/>
      </c>
      <c r="G806" s="20">
        <f>IF($H806="","",G805+E806-F806)</f>
        <v/>
      </c>
      <c r="H806" s="18">
        <f t="array" ref="H806">IF($B$1="","",IFERROR(_xlfn.AGGREGATE(15,6,ROW('Journal'!$A$3:$A$2002)/(('Journal'!$D$3:$D$2002=$B$1)+('Journal'!$E$3:$E$2002=$B$1))/('Journal'!$B$3:$B$2002&gt;=$B$2)/('Journal'!$B$3:$B$2002&lt;=$B$3),801),""))</f>
        <v/>
      </c>
    </row>
    <row r="807">
      <c r="A807" s="18">
        <f>IF($H807="","",INDEX('Journal'!$A$1:$A$2002,$H807))</f>
        <v/>
      </c>
      <c r="B807" s="21">
        <f>IF($H807="","",INDEX('Journal'!$B$1:$B$2002,$H807))</f>
        <v/>
      </c>
      <c r="C807" s="5">
        <f>IF($H807="","",INDEX('Journal'!$C$1:$C$2002,$H807)&amp;"")</f>
        <v/>
      </c>
      <c r="D807" s="5">
        <f>IF($H807="","",IF(INDEX('Journal'!$D$1:$D$2002,$H807)=$B$1,INDEX('Journal'!$E$1:$E$2002,$H807),INDEX('Journal'!$D$1:$D$2002,$H807))&amp;"")</f>
        <v/>
      </c>
      <c r="E807" s="20">
        <f>IF($H807="","",IF(INDEX('Journal'!$D$1:$D$2002,$H807)=$B$1,N(INDEX('Journal'!$G$1:$G$2002,$H807)),N(INDEX('Journal'!$F$1:$F$2002,$H807))))</f>
        <v/>
      </c>
      <c r="F807" s="20">
        <f>IF($H807="","",IF(INDEX('Journal'!$D$1:$D$2002,$H807)=$B$1,N(INDEX('Journal'!$F$1:$F$2002,$H807)),N(INDEX('Journal'!$G$1:$G$2002,$H807))))</f>
        <v/>
      </c>
      <c r="G807" s="20">
        <f>IF($H807="","",G806+E807-F807)</f>
        <v/>
      </c>
      <c r="H807" s="18">
        <f t="array" ref="H807">IF($B$1="","",IFERROR(_xlfn.AGGREGATE(15,6,ROW('Journal'!$A$3:$A$2002)/(('Journal'!$D$3:$D$2002=$B$1)+('Journal'!$E$3:$E$2002=$B$1))/('Journal'!$B$3:$B$2002&gt;=$B$2)/('Journal'!$B$3:$B$2002&lt;=$B$3),802),""))</f>
        <v/>
      </c>
    </row>
    <row r="808">
      <c r="A808" s="18">
        <f>IF($H808="","",INDEX('Journal'!$A$1:$A$2002,$H808))</f>
        <v/>
      </c>
      <c r="B808" s="21">
        <f>IF($H808="","",INDEX('Journal'!$B$1:$B$2002,$H808))</f>
        <v/>
      </c>
      <c r="C808" s="5">
        <f>IF($H808="","",INDEX('Journal'!$C$1:$C$2002,$H808)&amp;"")</f>
        <v/>
      </c>
      <c r="D808" s="5">
        <f>IF($H808="","",IF(INDEX('Journal'!$D$1:$D$2002,$H808)=$B$1,INDEX('Journal'!$E$1:$E$2002,$H808),INDEX('Journal'!$D$1:$D$2002,$H808))&amp;"")</f>
        <v/>
      </c>
      <c r="E808" s="20">
        <f>IF($H808="","",IF(INDEX('Journal'!$D$1:$D$2002,$H808)=$B$1,N(INDEX('Journal'!$G$1:$G$2002,$H808)),N(INDEX('Journal'!$F$1:$F$2002,$H808))))</f>
        <v/>
      </c>
      <c r="F808" s="20">
        <f>IF($H808="","",IF(INDEX('Journal'!$D$1:$D$2002,$H808)=$B$1,N(INDEX('Journal'!$F$1:$F$2002,$H808)),N(INDEX('Journal'!$G$1:$G$2002,$H808))))</f>
        <v/>
      </c>
      <c r="G808" s="20">
        <f>IF($H808="","",G807+E808-F808)</f>
        <v/>
      </c>
      <c r="H808" s="18">
        <f t="array" ref="H808">IF($B$1="","",IFERROR(_xlfn.AGGREGATE(15,6,ROW('Journal'!$A$3:$A$2002)/(('Journal'!$D$3:$D$2002=$B$1)+('Journal'!$E$3:$E$2002=$B$1))/('Journal'!$B$3:$B$2002&gt;=$B$2)/('Journal'!$B$3:$B$2002&lt;=$B$3),803),""))</f>
        <v/>
      </c>
    </row>
    <row r="809">
      <c r="A809" s="18">
        <f>IF($H809="","",INDEX('Journal'!$A$1:$A$2002,$H809))</f>
        <v/>
      </c>
      <c r="B809" s="21">
        <f>IF($H809="","",INDEX('Journal'!$B$1:$B$2002,$H809))</f>
        <v/>
      </c>
      <c r="C809" s="5">
        <f>IF($H809="","",INDEX('Journal'!$C$1:$C$2002,$H809)&amp;"")</f>
        <v/>
      </c>
      <c r="D809" s="5">
        <f>IF($H809="","",IF(INDEX('Journal'!$D$1:$D$2002,$H809)=$B$1,INDEX('Journal'!$E$1:$E$2002,$H809),INDEX('Journal'!$D$1:$D$2002,$H809))&amp;"")</f>
        <v/>
      </c>
      <c r="E809" s="20">
        <f>IF($H809="","",IF(INDEX('Journal'!$D$1:$D$2002,$H809)=$B$1,N(INDEX('Journal'!$G$1:$G$2002,$H809)),N(INDEX('Journal'!$F$1:$F$2002,$H809))))</f>
        <v/>
      </c>
      <c r="F809" s="20">
        <f>IF($H809="","",IF(INDEX('Journal'!$D$1:$D$2002,$H809)=$B$1,N(INDEX('Journal'!$F$1:$F$2002,$H809)),N(INDEX('Journal'!$G$1:$G$2002,$H809))))</f>
        <v/>
      </c>
      <c r="G809" s="20">
        <f>IF($H809="","",G808+E809-F809)</f>
        <v/>
      </c>
      <c r="H809" s="18">
        <f t="array" ref="H809">IF($B$1="","",IFERROR(_xlfn.AGGREGATE(15,6,ROW('Journal'!$A$3:$A$2002)/(('Journal'!$D$3:$D$2002=$B$1)+('Journal'!$E$3:$E$2002=$B$1))/('Journal'!$B$3:$B$2002&gt;=$B$2)/('Journal'!$B$3:$B$2002&lt;=$B$3),804),""))</f>
        <v/>
      </c>
    </row>
    <row r="810">
      <c r="A810" s="18">
        <f>IF($H810="","",INDEX('Journal'!$A$1:$A$2002,$H810))</f>
        <v/>
      </c>
      <c r="B810" s="21">
        <f>IF($H810="","",INDEX('Journal'!$B$1:$B$2002,$H810))</f>
        <v/>
      </c>
      <c r="C810" s="5">
        <f>IF($H810="","",INDEX('Journal'!$C$1:$C$2002,$H810)&amp;"")</f>
        <v/>
      </c>
      <c r="D810" s="5">
        <f>IF($H810="","",IF(INDEX('Journal'!$D$1:$D$2002,$H810)=$B$1,INDEX('Journal'!$E$1:$E$2002,$H810),INDEX('Journal'!$D$1:$D$2002,$H810))&amp;"")</f>
        <v/>
      </c>
      <c r="E810" s="20">
        <f>IF($H810="","",IF(INDEX('Journal'!$D$1:$D$2002,$H810)=$B$1,N(INDEX('Journal'!$G$1:$G$2002,$H810)),N(INDEX('Journal'!$F$1:$F$2002,$H810))))</f>
        <v/>
      </c>
      <c r="F810" s="20">
        <f>IF($H810="","",IF(INDEX('Journal'!$D$1:$D$2002,$H810)=$B$1,N(INDEX('Journal'!$F$1:$F$2002,$H810)),N(INDEX('Journal'!$G$1:$G$2002,$H810))))</f>
        <v/>
      </c>
      <c r="G810" s="20">
        <f>IF($H810="","",G809+E810-F810)</f>
        <v/>
      </c>
      <c r="H810" s="18">
        <f t="array" ref="H810">IF($B$1="","",IFERROR(_xlfn.AGGREGATE(15,6,ROW('Journal'!$A$3:$A$2002)/(('Journal'!$D$3:$D$2002=$B$1)+('Journal'!$E$3:$E$2002=$B$1))/('Journal'!$B$3:$B$2002&gt;=$B$2)/('Journal'!$B$3:$B$2002&lt;=$B$3),805),""))</f>
        <v/>
      </c>
    </row>
    <row r="811">
      <c r="A811" s="18">
        <f>IF($H811="","",INDEX('Journal'!$A$1:$A$2002,$H811))</f>
        <v/>
      </c>
      <c r="B811" s="21">
        <f>IF($H811="","",INDEX('Journal'!$B$1:$B$2002,$H811))</f>
        <v/>
      </c>
      <c r="C811" s="5">
        <f>IF($H811="","",INDEX('Journal'!$C$1:$C$2002,$H811)&amp;"")</f>
        <v/>
      </c>
      <c r="D811" s="5">
        <f>IF($H811="","",IF(INDEX('Journal'!$D$1:$D$2002,$H811)=$B$1,INDEX('Journal'!$E$1:$E$2002,$H811),INDEX('Journal'!$D$1:$D$2002,$H811))&amp;"")</f>
        <v/>
      </c>
      <c r="E811" s="20">
        <f>IF($H811="","",IF(INDEX('Journal'!$D$1:$D$2002,$H811)=$B$1,N(INDEX('Journal'!$G$1:$G$2002,$H811)),N(INDEX('Journal'!$F$1:$F$2002,$H811))))</f>
        <v/>
      </c>
      <c r="F811" s="20">
        <f>IF($H811="","",IF(INDEX('Journal'!$D$1:$D$2002,$H811)=$B$1,N(INDEX('Journal'!$F$1:$F$2002,$H811)),N(INDEX('Journal'!$G$1:$G$2002,$H811))))</f>
        <v/>
      </c>
      <c r="G811" s="20">
        <f>IF($H811="","",G810+E811-F811)</f>
        <v/>
      </c>
      <c r="H811" s="18">
        <f t="array" ref="H811">IF($B$1="","",IFERROR(_xlfn.AGGREGATE(15,6,ROW('Journal'!$A$3:$A$2002)/(('Journal'!$D$3:$D$2002=$B$1)+('Journal'!$E$3:$E$2002=$B$1))/('Journal'!$B$3:$B$2002&gt;=$B$2)/('Journal'!$B$3:$B$2002&lt;=$B$3),806),""))</f>
        <v/>
      </c>
    </row>
    <row r="812">
      <c r="A812" s="18">
        <f>IF($H812="","",INDEX('Journal'!$A$1:$A$2002,$H812))</f>
        <v/>
      </c>
      <c r="B812" s="21">
        <f>IF($H812="","",INDEX('Journal'!$B$1:$B$2002,$H812))</f>
        <v/>
      </c>
      <c r="C812" s="5">
        <f>IF($H812="","",INDEX('Journal'!$C$1:$C$2002,$H812)&amp;"")</f>
        <v/>
      </c>
      <c r="D812" s="5">
        <f>IF($H812="","",IF(INDEX('Journal'!$D$1:$D$2002,$H812)=$B$1,INDEX('Journal'!$E$1:$E$2002,$H812),INDEX('Journal'!$D$1:$D$2002,$H812))&amp;"")</f>
        <v/>
      </c>
      <c r="E812" s="20">
        <f>IF($H812="","",IF(INDEX('Journal'!$D$1:$D$2002,$H812)=$B$1,N(INDEX('Journal'!$G$1:$G$2002,$H812)),N(INDEX('Journal'!$F$1:$F$2002,$H812))))</f>
        <v/>
      </c>
      <c r="F812" s="20">
        <f>IF($H812="","",IF(INDEX('Journal'!$D$1:$D$2002,$H812)=$B$1,N(INDEX('Journal'!$F$1:$F$2002,$H812)),N(INDEX('Journal'!$G$1:$G$2002,$H812))))</f>
        <v/>
      </c>
      <c r="G812" s="20">
        <f>IF($H812="","",G811+E812-F812)</f>
        <v/>
      </c>
      <c r="H812" s="18">
        <f t="array" ref="H812">IF($B$1="","",IFERROR(_xlfn.AGGREGATE(15,6,ROW('Journal'!$A$3:$A$2002)/(('Journal'!$D$3:$D$2002=$B$1)+('Journal'!$E$3:$E$2002=$B$1))/('Journal'!$B$3:$B$2002&gt;=$B$2)/('Journal'!$B$3:$B$2002&lt;=$B$3),807),""))</f>
        <v/>
      </c>
    </row>
    <row r="813">
      <c r="A813" s="18">
        <f>IF($H813="","",INDEX('Journal'!$A$1:$A$2002,$H813))</f>
        <v/>
      </c>
      <c r="B813" s="21">
        <f>IF($H813="","",INDEX('Journal'!$B$1:$B$2002,$H813))</f>
        <v/>
      </c>
      <c r="C813" s="5">
        <f>IF($H813="","",INDEX('Journal'!$C$1:$C$2002,$H813)&amp;"")</f>
        <v/>
      </c>
      <c r="D813" s="5">
        <f>IF($H813="","",IF(INDEX('Journal'!$D$1:$D$2002,$H813)=$B$1,INDEX('Journal'!$E$1:$E$2002,$H813),INDEX('Journal'!$D$1:$D$2002,$H813))&amp;"")</f>
        <v/>
      </c>
      <c r="E813" s="20">
        <f>IF($H813="","",IF(INDEX('Journal'!$D$1:$D$2002,$H813)=$B$1,N(INDEX('Journal'!$G$1:$G$2002,$H813)),N(INDEX('Journal'!$F$1:$F$2002,$H813))))</f>
        <v/>
      </c>
      <c r="F813" s="20">
        <f>IF($H813="","",IF(INDEX('Journal'!$D$1:$D$2002,$H813)=$B$1,N(INDEX('Journal'!$F$1:$F$2002,$H813)),N(INDEX('Journal'!$G$1:$G$2002,$H813))))</f>
        <v/>
      </c>
      <c r="G813" s="20">
        <f>IF($H813="","",G812+E813-F813)</f>
        <v/>
      </c>
      <c r="H813" s="18">
        <f t="array" ref="H813">IF($B$1="","",IFERROR(_xlfn.AGGREGATE(15,6,ROW('Journal'!$A$3:$A$2002)/(('Journal'!$D$3:$D$2002=$B$1)+('Journal'!$E$3:$E$2002=$B$1))/('Journal'!$B$3:$B$2002&gt;=$B$2)/('Journal'!$B$3:$B$2002&lt;=$B$3),808),""))</f>
        <v/>
      </c>
    </row>
    <row r="814">
      <c r="A814" s="18">
        <f>IF($H814="","",INDEX('Journal'!$A$1:$A$2002,$H814))</f>
        <v/>
      </c>
      <c r="B814" s="21">
        <f>IF($H814="","",INDEX('Journal'!$B$1:$B$2002,$H814))</f>
        <v/>
      </c>
      <c r="C814" s="5">
        <f>IF($H814="","",INDEX('Journal'!$C$1:$C$2002,$H814)&amp;"")</f>
        <v/>
      </c>
      <c r="D814" s="5">
        <f>IF($H814="","",IF(INDEX('Journal'!$D$1:$D$2002,$H814)=$B$1,INDEX('Journal'!$E$1:$E$2002,$H814),INDEX('Journal'!$D$1:$D$2002,$H814))&amp;"")</f>
        <v/>
      </c>
      <c r="E814" s="20">
        <f>IF($H814="","",IF(INDEX('Journal'!$D$1:$D$2002,$H814)=$B$1,N(INDEX('Journal'!$G$1:$G$2002,$H814)),N(INDEX('Journal'!$F$1:$F$2002,$H814))))</f>
        <v/>
      </c>
      <c r="F814" s="20">
        <f>IF($H814="","",IF(INDEX('Journal'!$D$1:$D$2002,$H814)=$B$1,N(INDEX('Journal'!$F$1:$F$2002,$H814)),N(INDEX('Journal'!$G$1:$G$2002,$H814))))</f>
        <v/>
      </c>
      <c r="G814" s="20">
        <f>IF($H814="","",G813+E814-F814)</f>
        <v/>
      </c>
      <c r="H814" s="18">
        <f t="array" ref="H814">IF($B$1="","",IFERROR(_xlfn.AGGREGATE(15,6,ROW('Journal'!$A$3:$A$2002)/(('Journal'!$D$3:$D$2002=$B$1)+('Journal'!$E$3:$E$2002=$B$1))/('Journal'!$B$3:$B$2002&gt;=$B$2)/('Journal'!$B$3:$B$2002&lt;=$B$3),809),""))</f>
        <v/>
      </c>
    </row>
    <row r="815">
      <c r="A815" s="18">
        <f>IF($H815="","",INDEX('Journal'!$A$1:$A$2002,$H815))</f>
        <v/>
      </c>
      <c r="B815" s="21">
        <f>IF($H815="","",INDEX('Journal'!$B$1:$B$2002,$H815))</f>
        <v/>
      </c>
      <c r="C815" s="5">
        <f>IF($H815="","",INDEX('Journal'!$C$1:$C$2002,$H815)&amp;"")</f>
        <v/>
      </c>
      <c r="D815" s="5">
        <f>IF($H815="","",IF(INDEX('Journal'!$D$1:$D$2002,$H815)=$B$1,INDEX('Journal'!$E$1:$E$2002,$H815),INDEX('Journal'!$D$1:$D$2002,$H815))&amp;"")</f>
        <v/>
      </c>
      <c r="E815" s="20">
        <f>IF($H815="","",IF(INDEX('Journal'!$D$1:$D$2002,$H815)=$B$1,N(INDEX('Journal'!$G$1:$G$2002,$H815)),N(INDEX('Journal'!$F$1:$F$2002,$H815))))</f>
        <v/>
      </c>
      <c r="F815" s="20">
        <f>IF($H815="","",IF(INDEX('Journal'!$D$1:$D$2002,$H815)=$B$1,N(INDEX('Journal'!$F$1:$F$2002,$H815)),N(INDEX('Journal'!$G$1:$G$2002,$H815))))</f>
        <v/>
      </c>
      <c r="G815" s="20">
        <f>IF($H815="","",G814+E815-F815)</f>
        <v/>
      </c>
      <c r="H815" s="18">
        <f t="array" ref="H815">IF($B$1="","",IFERROR(_xlfn.AGGREGATE(15,6,ROW('Journal'!$A$3:$A$2002)/(('Journal'!$D$3:$D$2002=$B$1)+('Journal'!$E$3:$E$2002=$B$1))/('Journal'!$B$3:$B$2002&gt;=$B$2)/('Journal'!$B$3:$B$2002&lt;=$B$3),810),""))</f>
        <v/>
      </c>
    </row>
    <row r="816">
      <c r="A816" s="18">
        <f>IF($H816="","",INDEX('Journal'!$A$1:$A$2002,$H816))</f>
        <v/>
      </c>
      <c r="B816" s="21">
        <f>IF($H816="","",INDEX('Journal'!$B$1:$B$2002,$H816))</f>
        <v/>
      </c>
      <c r="C816" s="5">
        <f>IF($H816="","",INDEX('Journal'!$C$1:$C$2002,$H816)&amp;"")</f>
        <v/>
      </c>
      <c r="D816" s="5">
        <f>IF($H816="","",IF(INDEX('Journal'!$D$1:$D$2002,$H816)=$B$1,INDEX('Journal'!$E$1:$E$2002,$H816),INDEX('Journal'!$D$1:$D$2002,$H816))&amp;"")</f>
        <v/>
      </c>
      <c r="E816" s="20">
        <f>IF($H816="","",IF(INDEX('Journal'!$D$1:$D$2002,$H816)=$B$1,N(INDEX('Journal'!$G$1:$G$2002,$H816)),N(INDEX('Journal'!$F$1:$F$2002,$H816))))</f>
        <v/>
      </c>
      <c r="F816" s="20">
        <f>IF($H816="","",IF(INDEX('Journal'!$D$1:$D$2002,$H816)=$B$1,N(INDEX('Journal'!$F$1:$F$2002,$H816)),N(INDEX('Journal'!$G$1:$G$2002,$H816))))</f>
        <v/>
      </c>
      <c r="G816" s="20">
        <f>IF($H816="","",G815+E816-F816)</f>
        <v/>
      </c>
      <c r="H816" s="18">
        <f t="array" ref="H816">IF($B$1="","",IFERROR(_xlfn.AGGREGATE(15,6,ROW('Journal'!$A$3:$A$2002)/(('Journal'!$D$3:$D$2002=$B$1)+('Journal'!$E$3:$E$2002=$B$1))/('Journal'!$B$3:$B$2002&gt;=$B$2)/('Journal'!$B$3:$B$2002&lt;=$B$3),811),""))</f>
        <v/>
      </c>
    </row>
    <row r="817">
      <c r="A817" s="18">
        <f>IF($H817="","",INDEX('Journal'!$A$1:$A$2002,$H817))</f>
        <v/>
      </c>
      <c r="B817" s="21">
        <f>IF($H817="","",INDEX('Journal'!$B$1:$B$2002,$H817))</f>
        <v/>
      </c>
      <c r="C817" s="5">
        <f>IF($H817="","",INDEX('Journal'!$C$1:$C$2002,$H817)&amp;"")</f>
        <v/>
      </c>
      <c r="D817" s="5">
        <f>IF($H817="","",IF(INDEX('Journal'!$D$1:$D$2002,$H817)=$B$1,INDEX('Journal'!$E$1:$E$2002,$H817),INDEX('Journal'!$D$1:$D$2002,$H817))&amp;"")</f>
        <v/>
      </c>
      <c r="E817" s="20">
        <f>IF($H817="","",IF(INDEX('Journal'!$D$1:$D$2002,$H817)=$B$1,N(INDEX('Journal'!$G$1:$G$2002,$H817)),N(INDEX('Journal'!$F$1:$F$2002,$H817))))</f>
        <v/>
      </c>
      <c r="F817" s="20">
        <f>IF($H817="","",IF(INDEX('Journal'!$D$1:$D$2002,$H817)=$B$1,N(INDEX('Journal'!$F$1:$F$2002,$H817)),N(INDEX('Journal'!$G$1:$G$2002,$H817))))</f>
        <v/>
      </c>
      <c r="G817" s="20">
        <f>IF($H817="","",G816+E817-F817)</f>
        <v/>
      </c>
      <c r="H817" s="18">
        <f t="array" ref="H817">IF($B$1="","",IFERROR(_xlfn.AGGREGATE(15,6,ROW('Journal'!$A$3:$A$2002)/(('Journal'!$D$3:$D$2002=$B$1)+('Journal'!$E$3:$E$2002=$B$1))/('Journal'!$B$3:$B$2002&gt;=$B$2)/('Journal'!$B$3:$B$2002&lt;=$B$3),812),""))</f>
        <v/>
      </c>
    </row>
    <row r="818">
      <c r="A818" s="18">
        <f>IF($H818="","",INDEX('Journal'!$A$1:$A$2002,$H818))</f>
        <v/>
      </c>
      <c r="B818" s="21">
        <f>IF($H818="","",INDEX('Journal'!$B$1:$B$2002,$H818))</f>
        <v/>
      </c>
      <c r="C818" s="5">
        <f>IF($H818="","",INDEX('Journal'!$C$1:$C$2002,$H818)&amp;"")</f>
        <v/>
      </c>
      <c r="D818" s="5">
        <f>IF($H818="","",IF(INDEX('Journal'!$D$1:$D$2002,$H818)=$B$1,INDEX('Journal'!$E$1:$E$2002,$H818),INDEX('Journal'!$D$1:$D$2002,$H818))&amp;"")</f>
        <v/>
      </c>
      <c r="E818" s="20">
        <f>IF($H818="","",IF(INDEX('Journal'!$D$1:$D$2002,$H818)=$B$1,N(INDEX('Journal'!$G$1:$G$2002,$H818)),N(INDEX('Journal'!$F$1:$F$2002,$H818))))</f>
        <v/>
      </c>
      <c r="F818" s="20">
        <f>IF($H818="","",IF(INDEX('Journal'!$D$1:$D$2002,$H818)=$B$1,N(INDEX('Journal'!$F$1:$F$2002,$H818)),N(INDEX('Journal'!$G$1:$G$2002,$H818))))</f>
        <v/>
      </c>
      <c r="G818" s="20">
        <f>IF($H818="","",G817+E818-F818)</f>
        <v/>
      </c>
      <c r="H818" s="18">
        <f t="array" ref="H818">IF($B$1="","",IFERROR(_xlfn.AGGREGATE(15,6,ROW('Journal'!$A$3:$A$2002)/(('Journal'!$D$3:$D$2002=$B$1)+('Journal'!$E$3:$E$2002=$B$1))/('Journal'!$B$3:$B$2002&gt;=$B$2)/('Journal'!$B$3:$B$2002&lt;=$B$3),813),""))</f>
        <v/>
      </c>
    </row>
    <row r="819">
      <c r="A819" s="18">
        <f>IF($H819="","",INDEX('Journal'!$A$1:$A$2002,$H819))</f>
        <v/>
      </c>
      <c r="B819" s="21">
        <f>IF($H819="","",INDEX('Journal'!$B$1:$B$2002,$H819))</f>
        <v/>
      </c>
      <c r="C819" s="5">
        <f>IF($H819="","",INDEX('Journal'!$C$1:$C$2002,$H819)&amp;"")</f>
        <v/>
      </c>
      <c r="D819" s="5">
        <f>IF($H819="","",IF(INDEX('Journal'!$D$1:$D$2002,$H819)=$B$1,INDEX('Journal'!$E$1:$E$2002,$H819),INDEX('Journal'!$D$1:$D$2002,$H819))&amp;"")</f>
        <v/>
      </c>
      <c r="E819" s="20">
        <f>IF($H819="","",IF(INDEX('Journal'!$D$1:$D$2002,$H819)=$B$1,N(INDEX('Journal'!$G$1:$G$2002,$H819)),N(INDEX('Journal'!$F$1:$F$2002,$H819))))</f>
        <v/>
      </c>
      <c r="F819" s="20">
        <f>IF($H819="","",IF(INDEX('Journal'!$D$1:$D$2002,$H819)=$B$1,N(INDEX('Journal'!$F$1:$F$2002,$H819)),N(INDEX('Journal'!$G$1:$G$2002,$H819))))</f>
        <v/>
      </c>
      <c r="G819" s="20">
        <f>IF($H819="","",G818+E819-F819)</f>
        <v/>
      </c>
      <c r="H819" s="18">
        <f t="array" ref="H819">IF($B$1="","",IFERROR(_xlfn.AGGREGATE(15,6,ROW('Journal'!$A$3:$A$2002)/(('Journal'!$D$3:$D$2002=$B$1)+('Journal'!$E$3:$E$2002=$B$1))/('Journal'!$B$3:$B$2002&gt;=$B$2)/('Journal'!$B$3:$B$2002&lt;=$B$3),814),""))</f>
        <v/>
      </c>
    </row>
    <row r="820">
      <c r="A820" s="18">
        <f>IF($H820="","",INDEX('Journal'!$A$1:$A$2002,$H820))</f>
        <v/>
      </c>
      <c r="B820" s="21">
        <f>IF($H820="","",INDEX('Journal'!$B$1:$B$2002,$H820))</f>
        <v/>
      </c>
      <c r="C820" s="5">
        <f>IF($H820="","",INDEX('Journal'!$C$1:$C$2002,$H820)&amp;"")</f>
        <v/>
      </c>
      <c r="D820" s="5">
        <f>IF($H820="","",IF(INDEX('Journal'!$D$1:$D$2002,$H820)=$B$1,INDEX('Journal'!$E$1:$E$2002,$H820),INDEX('Journal'!$D$1:$D$2002,$H820))&amp;"")</f>
        <v/>
      </c>
      <c r="E820" s="20">
        <f>IF($H820="","",IF(INDEX('Journal'!$D$1:$D$2002,$H820)=$B$1,N(INDEX('Journal'!$G$1:$G$2002,$H820)),N(INDEX('Journal'!$F$1:$F$2002,$H820))))</f>
        <v/>
      </c>
      <c r="F820" s="20">
        <f>IF($H820="","",IF(INDEX('Journal'!$D$1:$D$2002,$H820)=$B$1,N(INDEX('Journal'!$F$1:$F$2002,$H820)),N(INDEX('Journal'!$G$1:$G$2002,$H820))))</f>
        <v/>
      </c>
      <c r="G820" s="20">
        <f>IF($H820="","",G819+E820-F820)</f>
        <v/>
      </c>
      <c r="H820" s="18">
        <f t="array" ref="H820">IF($B$1="","",IFERROR(_xlfn.AGGREGATE(15,6,ROW('Journal'!$A$3:$A$2002)/(('Journal'!$D$3:$D$2002=$B$1)+('Journal'!$E$3:$E$2002=$B$1))/('Journal'!$B$3:$B$2002&gt;=$B$2)/('Journal'!$B$3:$B$2002&lt;=$B$3),815),""))</f>
        <v/>
      </c>
    </row>
    <row r="821">
      <c r="A821" s="18">
        <f>IF($H821="","",INDEX('Journal'!$A$1:$A$2002,$H821))</f>
        <v/>
      </c>
      <c r="B821" s="21">
        <f>IF($H821="","",INDEX('Journal'!$B$1:$B$2002,$H821))</f>
        <v/>
      </c>
      <c r="C821" s="5">
        <f>IF($H821="","",INDEX('Journal'!$C$1:$C$2002,$H821)&amp;"")</f>
        <v/>
      </c>
      <c r="D821" s="5">
        <f>IF($H821="","",IF(INDEX('Journal'!$D$1:$D$2002,$H821)=$B$1,INDEX('Journal'!$E$1:$E$2002,$H821),INDEX('Journal'!$D$1:$D$2002,$H821))&amp;"")</f>
        <v/>
      </c>
      <c r="E821" s="20">
        <f>IF($H821="","",IF(INDEX('Journal'!$D$1:$D$2002,$H821)=$B$1,N(INDEX('Journal'!$G$1:$G$2002,$H821)),N(INDEX('Journal'!$F$1:$F$2002,$H821))))</f>
        <v/>
      </c>
      <c r="F821" s="20">
        <f>IF($H821="","",IF(INDEX('Journal'!$D$1:$D$2002,$H821)=$B$1,N(INDEX('Journal'!$F$1:$F$2002,$H821)),N(INDEX('Journal'!$G$1:$G$2002,$H821))))</f>
        <v/>
      </c>
      <c r="G821" s="20">
        <f>IF($H821="","",G820+E821-F821)</f>
        <v/>
      </c>
      <c r="H821" s="18">
        <f t="array" ref="H821">IF($B$1="","",IFERROR(_xlfn.AGGREGATE(15,6,ROW('Journal'!$A$3:$A$2002)/(('Journal'!$D$3:$D$2002=$B$1)+('Journal'!$E$3:$E$2002=$B$1))/('Journal'!$B$3:$B$2002&gt;=$B$2)/('Journal'!$B$3:$B$2002&lt;=$B$3),816),""))</f>
        <v/>
      </c>
    </row>
    <row r="822">
      <c r="A822" s="18">
        <f>IF($H822="","",INDEX('Journal'!$A$1:$A$2002,$H822))</f>
        <v/>
      </c>
      <c r="B822" s="21">
        <f>IF($H822="","",INDEX('Journal'!$B$1:$B$2002,$H822))</f>
        <v/>
      </c>
      <c r="C822" s="5">
        <f>IF($H822="","",INDEX('Journal'!$C$1:$C$2002,$H822)&amp;"")</f>
        <v/>
      </c>
      <c r="D822" s="5">
        <f>IF($H822="","",IF(INDEX('Journal'!$D$1:$D$2002,$H822)=$B$1,INDEX('Journal'!$E$1:$E$2002,$H822),INDEX('Journal'!$D$1:$D$2002,$H822))&amp;"")</f>
        <v/>
      </c>
      <c r="E822" s="20">
        <f>IF($H822="","",IF(INDEX('Journal'!$D$1:$D$2002,$H822)=$B$1,N(INDEX('Journal'!$G$1:$G$2002,$H822)),N(INDEX('Journal'!$F$1:$F$2002,$H822))))</f>
        <v/>
      </c>
      <c r="F822" s="20">
        <f>IF($H822="","",IF(INDEX('Journal'!$D$1:$D$2002,$H822)=$B$1,N(INDEX('Journal'!$F$1:$F$2002,$H822)),N(INDEX('Journal'!$G$1:$G$2002,$H822))))</f>
        <v/>
      </c>
      <c r="G822" s="20">
        <f>IF($H822="","",G821+E822-F822)</f>
        <v/>
      </c>
      <c r="H822" s="18">
        <f t="array" ref="H822">IF($B$1="","",IFERROR(_xlfn.AGGREGATE(15,6,ROW('Journal'!$A$3:$A$2002)/(('Journal'!$D$3:$D$2002=$B$1)+('Journal'!$E$3:$E$2002=$B$1))/('Journal'!$B$3:$B$2002&gt;=$B$2)/('Journal'!$B$3:$B$2002&lt;=$B$3),817),""))</f>
        <v/>
      </c>
    </row>
    <row r="823">
      <c r="A823" s="18">
        <f>IF($H823="","",INDEX('Journal'!$A$1:$A$2002,$H823))</f>
        <v/>
      </c>
      <c r="B823" s="21">
        <f>IF($H823="","",INDEX('Journal'!$B$1:$B$2002,$H823))</f>
        <v/>
      </c>
      <c r="C823" s="5">
        <f>IF($H823="","",INDEX('Journal'!$C$1:$C$2002,$H823)&amp;"")</f>
        <v/>
      </c>
      <c r="D823" s="5">
        <f>IF($H823="","",IF(INDEX('Journal'!$D$1:$D$2002,$H823)=$B$1,INDEX('Journal'!$E$1:$E$2002,$H823),INDEX('Journal'!$D$1:$D$2002,$H823))&amp;"")</f>
        <v/>
      </c>
      <c r="E823" s="20">
        <f>IF($H823="","",IF(INDEX('Journal'!$D$1:$D$2002,$H823)=$B$1,N(INDEX('Journal'!$G$1:$G$2002,$H823)),N(INDEX('Journal'!$F$1:$F$2002,$H823))))</f>
        <v/>
      </c>
      <c r="F823" s="20">
        <f>IF($H823="","",IF(INDEX('Journal'!$D$1:$D$2002,$H823)=$B$1,N(INDEX('Journal'!$F$1:$F$2002,$H823)),N(INDEX('Journal'!$G$1:$G$2002,$H823))))</f>
        <v/>
      </c>
      <c r="G823" s="20">
        <f>IF($H823="","",G822+E823-F823)</f>
        <v/>
      </c>
      <c r="H823" s="18">
        <f t="array" ref="H823">IF($B$1="","",IFERROR(_xlfn.AGGREGATE(15,6,ROW('Journal'!$A$3:$A$2002)/(('Journal'!$D$3:$D$2002=$B$1)+('Journal'!$E$3:$E$2002=$B$1))/('Journal'!$B$3:$B$2002&gt;=$B$2)/('Journal'!$B$3:$B$2002&lt;=$B$3),818),""))</f>
        <v/>
      </c>
    </row>
    <row r="824">
      <c r="A824" s="18">
        <f>IF($H824="","",INDEX('Journal'!$A$1:$A$2002,$H824))</f>
        <v/>
      </c>
      <c r="B824" s="21">
        <f>IF($H824="","",INDEX('Journal'!$B$1:$B$2002,$H824))</f>
        <v/>
      </c>
      <c r="C824" s="5">
        <f>IF($H824="","",INDEX('Journal'!$C$1:$C$2002,$H824)&amp;"")</f>
        <v/>
      </c>
      <c r="D824" s="5">
        <f>IF($H824="","",IF(INDEX('Journal'!$D$1:$D$2002,$H824)=$B$1,INDEX('Journal'!$E$1:$E$2002,$H824),INDEX('Journal'!$D$1:$D$2002,$H824))&amp;"")</f>
        <v/>
      </c>
      <c r="E824" s="20">
        <f>IF($H824="","",IF(INDEX('Journal'!$D$1:$D$2002,$H824)=$B$1,N(INDEX('Journal'!$G$1:$G$2002,$H824)),N(INDEX('Journal'!$F$1:$F$2002,$H824))))</f>
        <v/>
      </c>
      <c r="F824" s="20">
        <f>IF($H824="","",IF(INDEX('Journal'!$D$1:$D$2002,$H824)=$B$1,N(INDEX('Journal'!$F$1:$F$2002,$H824)),N(INDEX('Journal'!$G$1:$G$2002,$H824))))</f>
        <v/>
      </c>
      <c r="G824" s="20">
        <f>IF($H824="","",G823+E824-F824)</f>
        <v/>
      </c>
      <c r="H824" s="18">
        <f t="array" ref="H824">IF($B$1="","",IFERROR(_xlfn.AGGREGATE(15,6,ROW('Journal'!$A$3:$A$2002)/(('Journal'!$D$3:$D$2002=$B$1)+('Journal'!$E$3:$E$2002=$B$1))/('Journal'!$B$3:$B$2002&gt;=$B$2)/('Journal'!$B$3:$B$2002&lt;=$B$3),819),""))</f>
        <v/>
      </c>
    </row>
    <row r="825">
      <c r="A825" s="18">
        <f>IF($H825="","",INDEX('Journal'!$A$1:$A$2002,$H825))</f>
        <v/>
      </c>
      <c r="B825" s="21">
        <f>IF($H825="","",INDEX('Journal'!$B$1:$B$2002,$H825))</f>
        <v/>
      </c>
      <c r="C825" s="5">
        <f>IF($H825="","",INDEX('Journal'!$C$1:$C$2002,$H825)&amp;"")</f>
        <v/>
      </c>
      <c r="D825" s="5">
        <f>IF($H825="","",IF(INDEX('Journal'!$D$1:$D$2002,$H825)=$B$1,INDEX('Journal'!$E$1:$E$2002,$H825),INDEX('Journal'!$D$1:$D$2002,$H825))&amp;"")</f>
        <v/>
      </c>
      <c r="E825" s="20">
        <f>IF($H825="","",IF(INDEX('Journal'!$D$1:$D$2002,$H825)=$B$1,N(INDEX('Journal'!$G$1:$G$2002,$H825)),N(INDEX('Journal'!$F$1:$F$2002,$H825))))</f>
        <v/>
      </c>
      <c r="F825" s="20">
        <f>IF($H825="","",IF(INDEX('Journal'!$D$1:$D$2002,$H825)=$B$1,N(INDEX('Journal'!$F$1:$F$2002,$H825)),N(INDEX('Journal'!$G$1:$G$2002,$H825))))</f>
        <v/>
      </c>
      <c r="G825" s="20">
        <f>IF($H825="","",G824+E825-F825)</f>
        <v/>
      </c>
      <c r="H825" s="18">
        <f t="array" ref="H825">IF($B$1="","",IFERROR(_xlfn.AGGREGATE(15,6,ROW('Journal'!$A$3:$A$2002)/(('Journal'!$D$3:$D$2002=$B$1)+('Journal'!$E$3:$E$2002=$B$1))/('Journal'!$B$3:$B$2002&gt;=$B$2)/('Journal'!$B$3:$B$2002&lt;=$B$3),820),""))</f>
        <v/>
      </c>
    </row>
    <row r="826">
      <c r="A826" s="18">
        <f>IF($H826="","",INDEX('Journal'!$A$1:$A$2002,$H826))</f>
        <v/>
      </c>
      <c r="B826" s="21">
        <f>IF($H826="","",INDEX('Journal'!$B$1:$B$2002,$H826))</f>
        <v/>
      </c>
      <c r="C826" s="5">
        <f>IF($H826="","",INDEX('Journal'!$C$1:$C$2002,$H826)&amp;"")</f>
        <v/>
      </c>
      <c r="D826" s="5">
        <f>IF($H826="","",IF(INDEX('Journal'!$D$1:$D$2002,$H826)=$B$1,INDEX('Journal'!$E$1:$E$2002,$H826),INDEX('Journal'!$D$1:$D$2002,$H826))&amp;"")</f>
        <v/>
      </c>
      <c r="E826" s="20">
        <f>IF($H826="","",IF(INDEX('Journal'!$D$1:$D$2002,$H826)=$B$1,N(INDEX('Journal'!$G$1:$G$2002,$H826)),N(INDEX('Journal'!$F$1:$F$2002,$H826))))</f>
        <v/>
      </c>
      <c r="F826" s="20">
        <f>IF($H826="","",IF(INDEX('Journal'!$D$1:$D$2002,$H826)=$B$1,N(INDEX('Journal'!$F$1:$F$2002,$H826)),N(INDEX('Journal'!$G$1:$G$2002,$H826))))</f>
        <v/>
      </c>
      <c r="G826" s="20">
        <f>IF($H826="","",G825+E826-F826)</f>
        <v/>
      </c>
      <c r="H826" s="18">
        <f t="array" ref="H826">IF($B$1="","",IFERROR(_xlfn.AGGREGATE(15,6,ROW('Journal'!$A$3:$A$2002)/(('Journal'!$D$3:$D$2002=$B$1)+('Journal'!$E$3:$E$2002=$B$1))/('Journal'!$B$3:$B$2002&gt;=$B$2)/('Journal'!$B$3:$B$2002&lt;=$B$3),821),""))</f>
        <v/>
      </c>
    </row>
    <row r="827">
      <c r="A827" s="18">
        <f>IF($H827="","",INDEX('Journal'!$A$1:$A$2002,$H827))</f>
        <v/>
      </c>
      <c r="B827" s="21">
        <f>IF($H827="","",INDEX('Journal'!$B$1:$B$2002,$H827))</f>
        <v/>
      </c>
      <c r="C827" s="5">
        <f>IF($H827="","",INDEX('Journal'!$C$1:$C$2002,$H827)&amp;"")</f>
        <v/>
      </c>
      <c r="D827" s="5">
        <f>IF($H827="","",IF(INDEX('Journal'!$D$1:$D$2002,$H827)=$B$1,INDEX('Journal'!$E$1:$E$2002,$H827),INDEX('Journal'!$D$1:$D$2002,$H827))&amp;"")</f>
        <v/>
      </c>
      <c r="E827" s="20">
        <f>IF($H827="","",IF(INDEX('Journal'!$D$1:$D$2002,$H827)=$B$1,N(INDEX('Journal'!$G$1:$G$2002,$H827)),N(INDEX('Journal'!$F$1:$F$2002,$H827))))</f>
        <v/>
      </c>
      <c r="F827" s="20">
        <f>IF($H827="","",IF(INDEX('Journal'!$D$1:$D$2002,$H827)=$B$1,N(INDEX('Journal'!$F$1:$F$2002,$H827)),N(INDEX('Journal'!$G$1:$G$2002,$H827))))</f>
        <v/>
      </c>
      <c r="G827" s="20">
        <f>IF($H827="","",G826+E827-F827)</f>
        <v/>
      </c>
      <c r="H827" s="18">
        <f t="array" ref="H827">IF($B$1="","",IFERROR(_xlfn.AGGREGATE(15,6,ROW('Journal'!$A$3:$A$2002)/(('Journal'!$D$3:$D$2002=$B$1)+('Journal'!$E$3:$E$2002=$B$1))/('Journal'!$B$3:$B$2002&gt;=$B$2)/('Journal'!$B$3:$B$2002&lt;=$B$3),822),""))</f>
        <v/>
      </c>
    </row>
    <row r="828">
      <c r="A828" s="18">
        <f>IF($H828="","",INDEX('Journal'!$A$1:$A$2002,$H828))</f>
        <v/>
      </c>
      <c r="B828" s="21">
        <f>IF($H828="","",INDEX('Journal'!$B$1:$B$2002,$H828))</f>
        <v/>
      </c>
      <c r="C828" s="5">
        <f>IF($H828="","",INDEX('Journal'!$C$1:$C$2002,$H828)&amp;"")</f>
        <v/>
      </c>
      <c r="D828" s="5">
        <f>IF($H828="","",IF(INDEX('Journal'!$D$1:$D$2002,$H828)=$B$1,INDEX('Journal'!$E$1:$E$2002,$H828),INDEX('Journal'!$D$1:$D$2002,$H828))&amp;"")</f>
        <v/>
      </c>
      <c r="E828" s="20">
        <f>IF($H828="","",IF(INDEX('Journal'!$D$1:$D$2002,$H828)=$B$1,N(INDEX('Journal'!$G$1:$G$2002,$H828)),N(INDEX('Journal'!$F$1:$F$2002,$H828))))</f>
        <v/>
      </c>
      <c r="F828" s="20">
        <f>IF($H828="","",IF(INDEX('Journal'!$D$1:$D$2002,$H828)=$B$1,N(INDEX('Journal'!$F$1:$F$2002,$H828)),N(INDEX('Journal'!$G$1:$G$2002,$H828))))</f>
        <v/>
      </c>
      <c r="G828" s="20">
        <f>IF($H828="","",G827+E828-F828)</f>
        <v/>
      </c>
      <c r="H828" s="18">
        <f t="array" ref="H828">IF($B$1="","",IFERROR(_xlfn.AGGREGATE(15,6,ROW('Journal'!$A$3:$A$2002)/(('Journal'!$D$3:$D$2002=$B$1)+('Journal'!$E$3:$E$2002=$B$1))/('Journal'!$B$3:$B$2002&gt;=$B$2)/('Journal'!$B$3:$B$2002&lt;=$B$3),823),""))</f>
        <v/>
      </c>
    </row>
    <row r="829">
      <c r="A829" s="18">
        <f>IF($H829="","",INDEX('Journal'!$A$1:$A$2002,$H829))</f>
        <v/>
      </c>
      <c r="B829" s="21">
        <f>IF($H829="","",INDEX('Journal'!$B$1:$B$2002,$H829))</f>
        <v/>
      </c>
      <c r="C829" s="5">
        <f>IF($H829="","",INDEX('Journal'!$C$1:$C$2002,$H829)&amp;"")</f>
        <v/>
      </c>
      <c r="D829" s="5">
        <f>IF($H829="","",IF(INDEX('Journal'!$D$1:$D$2002,$H829)=$B$1,INDEX('Journal'!$E$1:$E$2002,$H829),INDEX('Journal'!$D$1:$D$2002,$H829))&amp;"")</f>
        <v/>
      </c>
      <c r="E829" s="20">
        <f>IF($H829="","",IF(INDEX('Journal'!$D$1:$D$2002,$H829)=$B$1,N(INDEX('Journal'!$G$1:$G$2002,$H829)),N(INDEX('Journal'!$F$1:$F$2002,$H829))))</f>
        <v/>
      </c>
      <c r="F829" s="20">
        <f>IF($H829="","",IF(INDEX('Journal'!$D$1:$D$2002,$H829)=$B$1,N(INDEX('Journal'!$F$1:$F$2002,$H829)),N(INDEX('Journal'!$G$1:$G$2002,$H829))))</f>
        <v/>
      </c>
      <c r="G829" s="20">
        <f>IF($H829="","",G828+E829-F829)</f>
        <v/>
      </c>
      <c r="H829" s="18">
        <f t="array" ref="H829">IF($B$1="","",IFERROR(_xlfn.AGGREGATE(15,6,ROW('Journal'!$A$3:$A$2002)/(('Journal'!$D$3:$D$2002=$B$1)+('Journal'!$E$3:$E$2002=$B$1))/('Journal'!$B$3:$B$2002&gt;=$B$2)/('Journal'!$B$3:$B$2002&lt;=$B$3),824),""))</f>
        <v/>
      </c>
    </row>
    <row r="830">
      <c r="A830" s="18">
        <f>IF($H830="","",INDEX('Journal'!$A$1:$A$2002,$H830))</f>
        <v/>
      </c>
      <c r="B830" s="21">
        <f>IF($H830="","",INDEX('Journal'!$B$1:$B$2002,$H830))</f>
        <v/>
      </c>
      <c r="C830" s="5">
        <f>IF($H830="","",INDEX('Journal'!$C$1:$C$2002,$H830)&amp;"")</f>
        <v/>
      </c>
      <c r="D830" s="5">
        <f>IF($H830="","",IF(INDEX('Journal'!$D$1:$D$2002,$H830)=$B$1,INDEX('Journal'!$E$1:$E$2002,$H830),INDEX('Journal'!$D$1:$D$2002,$H830))&amp;"")</f>
        <v/>
      </c>
      <c r="E830" s="20">
        <f>IF($H830="","",IF(INDEX('Journal'!$D$1:$D$2002,$H830)=$B$1,N(INDEX('Journal'!$G$1:$G$2002,$H830)),N(INDEX('Journal'!$F$1:$F$2002,$H830))))</f>
        <v/>
      </c>
      <c r="F830" s="20">
        <f>IF($H830="","",IF(INDEX('Journal'!$D$1:$D$2002,$H830)=$B$1,N(INDEX('Journal'!$F$1:$F$2002,$H830)),N(INDEX('Journal'!$G$1:$G$2002,$H830))))</f>
        <v/>
      </c>
      <c r="G830" s="20">
        <f>IF($H830="","",G829+E830-F830)</f>
        <v/>
      </c>
      <c r="H830" s="18">
        <f t="array" ref="H830">IF($B$1="","",IFERROR(_xlfn.AGGREGATE(15,6,ROW('Journal'!$A$3:$A$2002)/(('Journal'!$D$3:$D$2002=$B$1)+('Journal'!$E$3:$E$2002=$B$1))/('Journal'!$B$3:$B$2002&gt;=$B$2)/('Journal'!$B$3:$B$2002&lt;=$B$3),825),""))</f>
        <v/>
      </c>
    </row>
    <row r="831">
      <c r="A831" s="18">
        <f>IF($H831="","",INDEX('Journal'!$A$1:$A$2002,$H831))</f>
        <v/>
      </c>
      <c r="B831" s="21">
        <f>IF($H831="","",INDEX('Journal'!$B$1:$B$2002,$H831))</f>
        <v/>
      </c>
      <c r="C831" s="5">
        <f>IF($H831="","",INDEX('Journal'!$C$1:$C$2002,$H831)&amp;"")</f>
        <v/>
      </c>
      <c r="D831" s="5">
        <f>IF($H831="","",IF(INDEX('Journal'!$D$1:$D$2002,$H831)=$B$1,INDEX('Journal'!$E$1:$E$2002,$H831),INDEX('Journal'!$D$1:$D$2002,$H831))&amp;"")</f>
        <v/>
      </c>
      <c r="E831" s="20">
        <f>IF($H831="","",IF(INDEX('Journal'!$D$1:$D$2002,$H831)=$B$1,N(INDEX('Journal'!$G$1:$G$2002,$H831)),N(INDEX('Journal'!$F$1:$F$2002,$H831))))</f>
        <v/>
      </c>
      <c r="F831" s="20">
        <f>IF($H831="","",IF(INDEX('Journal'!$D$1:$D$2002,$H831)=$B$1,N(INDEX('Journal'!$F$1:$F$2002,$H831)),N(INDEX('Journal'!$G$1:$G$2002,$H831))))</f>
        <v/>
      </c>
      <c r="G831" s="20">
        <f>IF($H831="","",G830+E831-F831)</f>
        <v/>
      </c>
      <c r="H831" s="18">
        <f t="array" ref="H831">IF($B$1="","",IFERROR(_xlfn.AGGREGATE(15,6,ROW('Journal'!$A$3:$A$2002)/(('Journal'!$D$3:$D$2002=$B$1)+('Journal'!$E$3:$E$2002=$B$1))/('Journal'!$B$3:$B$2002&gt;=$B$2)/('Journal'!$B$3:$B$2002&lt;=$B$3),826),""))</f>
        <v/>
      </c>
    </row>
    <row r="832">
      <c r="A832" s="18">
        <f>IF($H832="","",INDEX('Journal'!$A$1:$A$2002,$H832))</f>
        <v/>
      </c>
      <c r="B832" s="21">
        <f>IF($H832="","",INDEX('Journal'!$B$1:$B$2002,$H832))</f>
        <v/>
      </c>
      <c r="C832" s="5">
        <f>IF($H832="","",INDEX('Journal'!$C$1:$C$2002,$H832)&amp;"")</f>
        <v/>
      </c>
      <c r="D832" s="5">
        <f>IF($H832="","",IF(INDEX('Journal'!$D$1:$D$2002,$H832)=$B$1,INDEX('Journal'!$E$1:$E$2002,$H832),INDEX('Journal'!$D$1:$D$2002,$H832))&amp;"")</f>
        <v/>
      </c>
      <c r="E832" s="20">
        <f>IF($H832="","",IF(INDEX('Journal'!$D$1:$D$2002,$H832)=$B$1,N(INDEX('Journal'!$G$1:$G$2002,$H832)),N(INDEX('Journal'!$F$1:$F$2002,$H832))))</f>
        <v/>
      </c>
      <c r="F832" s="20">
        <f>IF($H832="","",IF(INDEX('Journal'!$D$1:$D$2002,$H832)=$B$1,N(INDEX('Journal'!$F$1:$F$2002,$H832)),N(INDEX('Journal'!$G$1:$G$2002,$H832))))</f>
        <v/>
      </c>
      <c r="G832" s="20">
        <f>IF($H832="","",G831+E832-F832)</f>
        <v/>
      </c>
      <c r="H832" s="18">
        <f t="array" ref="H832">IF($B$1="","",IFERROR(_xlfn.AGGREGATE(15,6,ROW('Journal'!$A$3:$A$2002)/(('Journal'!$D$3:$D$2002=$B$1)+('Journal'!$E$3:$E$2002=$B$1))/('Journal'!$B$3:$B$2002&gt;=$B$2)/('Journal'!$B$3:$B$2002&lt;=$B$3),827),""))</f>
        <v/>
      </c>
    </row>
    <row r="833">
      <c r="A833" s="18">
        <f>IF($H833="","",INDEX('Journal'!$A$1:$A$2002,$H833))</f>
        <v/>
      </c>
      <c r="B833" s="21">
        <f>IF($H833="","",INDEX('Journal'!$B$1:$B$2002,$H833))</f>
        <v/>
      </c>
      <c r="C833" s="5">
        <f>IF($H833="","",INDEX('Journal'!$C$1:$C$2002,$H833)&amp;"")</f>
        <v/>
      </c>
      <c r="D833" s="5">
        <f>IF($H833="","",IF(INDEX('Journal'!$D$1:$D$2002,$H833)=$B$1,INDEX('Journal'!$E$1:$E$2002,$H833),INDEX('Journal'!$D$1:$D$2002,$H833))&amp;"")</f>
        <v/>
      </c>
      <c r="E833" s="20">
        <f>IF($H833="","",IF(INDEX('Journal'!$D$1:$D$2002,$H833)=$B$1,N(INDEX('Journal'!$G$1:$G$2002,$H833)),N(INDEX('Journal'!$F$1:$F$2002,$H833))))</f>
        <v/>
      </c>
      <c r="F833" s="20">
        <f>IF($H833="","",IF(INDEX('Journal'!$D$1:$D$2002,$H833)=$B$1,N(INDEX('Journal'!$F$1:$F$2002,$H833)),N(INDEX('Journal'!$G$1:$G$2002,$H833))))</f>
        <v/>
      </c>
      <c r="G833" s="20">
        <f>IF($H833="","",G832+E833-F833)</f>
        <v/>
      </c>
      <c r="H833" s="18">
        <f t="array" ref="H833">IF($B$1="","",IFERROR(_xlfn.AGGREGATE(15,6,ROW('Journal'!$A$3:$A$2002)/(('Journal'!$D$3:$D$2002=$B$1)+('Journal'!$E$3:$E$2002=$B$1))/('Journal'!$B$3:$B$2002&gt;=$B$2)/('Journal'!$B$3:$B$2002&lt;=$B$3),828),""))</f>
        <v/>
      </c>
    </row>
    <row r="834">
      <c r="A834" s="18">
        <f>IF($H834="","",INDEX('Journal'!$A$1:$A$2002,$H834))</f>
        <v/>
      </c>
      <c r="B834" s="21">
        <f>IF($H834="","",INDEX('Journal'!$B$1:$B$2002,$H834))</f>
        <v/>
      </c>
      <c r="C834" s="5">
        <f>IF($H834="","",INDEX('Journal'!$C$1:$C$2002,$H834)&amp;"")</f>
        <v/>
      </c>
      <c r="D834" s="5">
        <f>IF($H834="","",IF(INDEX('Journal'!$D$1:$D$2002,$H834)=$B$1,INDEX('Journal'!$E$1:$E$2002,$H834),INDEX('Journal'!$D$1:$D$2002,$H834))&amp;"")</f>
        <v/>
      </c>
      <c r="E834" s="20">
        <f>IF($H834="","",IF(INDEX('Journal'!$D$1:$D$2002,$H834)=$B$1,N(INDEX('Journal'!$G$1:$G$2002,$H834)),N(INDEX('Journal'!$F$1:$F$2002,$H834))))</f>
        <v/>
      </c>
      <c r="F834" s="20">
        <f>IF($H834="","",IF(INDEX('Journal'!$D$1:$D$2002,$H834)=$B$1,N(INDEX('Journal'!$F$1:$F$2002,$H834)),N(INDEX('Journal'!$G$1:$G$2002,$H834))))</f>
        <v/>
      </c>
      <c r="G834" s="20">
        <f>IF($H834="","",G833+E834-F834)</f>
        <v/>
      </c>
      <c r="H834" s="18">
        <f t="array" ref="H834">IF($B$1="","",IFERROR(_xlfn.AGGREGATE(15,6,ROW('Journal'!$A$3:$A$2002)/(('Journal'!$D$3:$D$2002=$B$1)+('Journal'!$E$3:$E$2002=$B$1))/('Journal'!$B$3:$B$2002&gt;=$B$2)/('Journal'!$B$3:$B$2002&lt;=$B$3),829),""))</f>
        <v/>
      </c>
    </row>
    <row r="835">
      <c r="A835" s="18">
        <f>IF($H835="","",INDEX('Journal'!$A$1:$A$2002,$H835))</f>
        <v/>
      </c>
      <c r="B835" s="21">
        <f>IF($H835="","",INDEX('Journal'!$B$1:$B$2002,$H835))</f>
        <v/>
      </c>
      <c r="C835" s="5">
        <f>IF($H835="","",INDEX('Journal'!$C$1:$C$2002,$H835)&amp;"")</f>
        <v/>
      </c>
      <c r="D835" s="5">
        <f>IF($H835="","",IF(INDEX('Journal'!$D$1:$D$2002,$H835)=$B$1,INDEX('Journal'!$E$1:$E$2002,$H835),INDEX('Journal'!$D$1:$D$2002,$H835))&amp;"")</f>
        <v/>
      </c>
      <c r="E835" s="20">
        <f>IF($H835="","",IF(INDEX('Journal'!$D$1:$D$2002,$H835)=$B$1,N(INDEX('Journal'!$G$1:$G$2002,$H835)),N(INDEX('Journal'!$F$1:$F$2002,$H835))))</f>
        <v/>
      </c>
      <c r="F835" s="20">
        <f>IF($H835="","",IF(INDEX('Journal'!$D$1:$D$2002,$H835)=$B$1,N(INDEX('Journal'!$F$1:$F$2002,$H835)),N(INDEX('Journal'!$G$1:$G$2002,$H835))))</f>
        <v/>
      </c>
      <c r="G835" s="20">
        <f>IF($H835="","",G834+E835-F835)</f>
        <v/>
      </c>
      <c r="H835" s="18">
        <f t="array" ref="H835">IF($B$1="","",IFERROR(_xlfn.AGGREGATE(15,6,ROW('Journal'!$A$3:$A$2002)/(('Journal'!$D$3:$D$2002=$B$1)+('Journal'!$E$3:$E$2002=$B$1))/('Journal'!$B$3:$B$2002&gt;=$B$2)/('Journal'!$B$3:$B$2002&lt;=$B$3),830),""))</f>
        <v/>
      </c>
    </row>
    <row r="836">
      <c r="A836" s="18">
        <f>IF($H836="","",INDEX('Journal'!$A$1:$A$2002,$H836))</f>
        <v/>
      </c>
      <c r="B836" s="21">
        <f>IF($H836="","",INDEX('Journal'!$B$1:$B$2002,$H836))</f>
        <v/>
      </c>
      <c r="C836" s="5">
        <f>IF($H836="","",INDEX('Journal'!$C$1:$C$2002,$H836)&amp;"")</f>
        <v/>
      </c>
      <c r="D836" s="5">
        <f>IF($H836="","",IF(INDEX('Journal'!$D$1:$D$2002,$H836)=$B$1,INDEX('Journal'!$E$1:$E$2002,$H836),INDEX('Journal'!$D$1:$D$2002,$H836))&amp;"")</f>
        <v/>
      </c>
      <c r="E836" s="20">
        <f>IF($H836="","",IF(INDEX('Journal'!$D$1:$D$2002,$H836)=$B$1,N(INDEX('Journal'!$G$1:$G$2002,$H836)),N(INDEX('Journal'!$F$1:$F$2002,$H836))))</f>
        <v/>
      </c>
      <c r="F836" s="20">
        <f>IF($H836="","",IF(INDEX('Journal'!$D$1:$D$2002,$H836)=$B$1,N(INDEX('Journal'!$F$1:$F$2002,$H836)),N(INDEX('Journal'!$G$1:$G$2002,$H836))))</f>
        <v/>
      </c>
      <c r="G836" s="20">
        <f>IF($H836="","",G835+E836-F836)</f>
        <v/>
      </c>
      <c r="H836" s="18">
        <f t="array" ref="H836">IF($B$1="","",IFERROR(_xlfn.AGGREGATE(15,6,ROW('Journal'!$A$3:$A$2002)/(('Journal'!$D$3:$D$2002=$B$1)+('Journal'!$E$3:$E$2002=$B$1))/('Journal'!$B$3:$B$2002&gt;=$B$2)/('Journal'!$B$3:$B$2002&lt;=$B$3),831),""))</f>
        <v/>
      </c>
    </row>
    <row r="837">
      <c r="A837" s="18">
        <f>IF($H837="","",INDEX('Journal'!$A$1:$A$2002,$H837))</f>
        <v/>
      </c>
      <c r="B837" s="21">
        <f>IF($H837="","",INDEX('Journal'!$B$1:$B$2002,$H837))</f>
        <v/>
      </c>
      <c r="C837" s="5">
        <f>IF($H837="","",INDEX('Journal'!$C$1:$C$2002,$H837)&amp;"")</f>
        <v/>
      </c>
      <c r="D837" s="5">
        <f>IF($H837="","",IF(INDEX('Journal'!$D$1:$D$2002,$H837)=$B$1,INDEX('Journal'!$E$1:$E$2002,$H837),INDEX('Journal'!$D$1:$D$2002,$H837))&amp;"")</f>
        <v/>
      </c>
      <c r="E837" s="20">
        <f>IF($H837="","",IF(INDEX('Journal'!$D$1:$D$2002,$H837)=$B$1,N(INDEX('Journal'!$G$1:$G$2002,$H837)),N(INDEX('Journal'!$F$1:$F$2002,$H837))))</f>
        <v/>
      </c>
      <c r="F837" s="20">
        <f>IF($H837="","",IF(INDEX('Journal'!$D$1:$D$2002,$H837)=$B$1,N(INDEX('Journal'!$F$1:$F$2002,$H837)),N(INDEX('Journal'!$G$1:$G$2002,$H837))))</f>
        <v/>
      </c>
      <c r="G837" s="20">
        <f>IF($H837="","",G836+E837-F837)</f>
        <v/>
      </c>
      <c r="H837" s="18">
        <f t="array" ref="H837">IF($B$1="","",IFERROR(_xlfn.AGGREGATE(15,6,ROW('Journal'!$A$3:$A$2002)/(('Journal'!$D$3:$D$2002=$B$1)+('Journal'!$E$3:$E$2002=$B$1))/('Journal'!$B$3:$B$2002&gt;=$B$2)/('Journal'!$B$3:$B$2002&lt;=$B$3),832),""))</f>
        <v/>
      </c>
    </row>
    <row r="838">
      <c r="A838" s="18">
        <f>IF($H838="","",INDEX('Journal'!$A$1:$A$2002,$H838))</f>
        <v/>
      </c>
      <c r="B838" s="21">
        <f>IF($H838="","",INDEX('Journal'!$B$1:$B$2002,$H838))</f>
        <v/>
      </c>
      <c r="C838" s="5">
        <f>IF($H838="","",INDEX('Journal'!$C$1:$C$2002,$H838)&amp;"")</f>
        <v/>
      </c>
      <c r="D838" s="5">
        <f>IF($H838="","",IF(INDEX('Journal'!$D$1:$D$2002,$H838)=$B$1,INDEX('Journal'!$E$1:$E$2002,$H838),INDEX('Journal'!$D$1:$D$2002,$H838))&amp;"")</f>
        <v/>
      </c>
      <c r="E838" s="20">
        <f>IF($H838="","",IF(INDEX('Journal'!$D$1:$D$2002,$H838)=$B$1,N(INDEX('Journal'!$G$1:$G$2002,$H838)),N(INDEX('Journal'!$F$1:$F$2002,$H838))))</f>
        <v/>
      </c>
      <c r="F838" s="20">
        <f>IF($H838="","",IF(INDEX('Journal'!$D$1:$D$2002,$H838)=$B$1,N(INDEX('Journal'!$F$1:$F$2002,$H838)),N(INDEX('Journal'!$G$1:$G$2002,$H838))))</f>
        <v/>
      </c>
      <c r="G838" s="20">
        <f>IF($H838="","",G837+E838-F838)</f>
        <v/>
      </c>
      <c r="H838" s="18">
        <f t="array" ref="H838">IF($B$1="","",IFERROR(_xlfn.AGGREGATE(15,6,ROW('Journal'!$A$3:$A$2002)/(('Journal'!$D$3:$D$2002=$B$1)+('Journal'!$E$3:$E$2002=$B$1))/('Journal'!$B$3:$B$2002&gt;=$B$2)/('Journal'!$B$3:$B$2002&lt;=$B$3),833),""))</f>
        <v/>
      </c>
    </row>
    <row r="839">
      <c r="A839" s="18">
        <f>IF($H839="","",INDEX('Journal'!$A$1:$A$2002,$H839))</f>
        <v/>
      </c>
      <c r="B839" s="21">
        <f>IF($H839="","",INDEX('Journal'!$B$1:$B$2002,$H839))</f>
        <v/>
      </c>
      <c r="C839" s="5">
        <f>IF($H839="","",INDEX('Journal'!$C$1:$C$2002,$H839)&amp;"")</f>
        <v/>
      </c>
      <c r="D839" s="5">
        <f>IF($H839="","",IF(INDEX('Journal'!$D$1:$D$2002,$H839)=$B$1,INDEX('Journal'!$E$1:$E$2002,$H839),INDEX('Journal'!$D$1:$D$2002,$H839))&amp;"")</f>
        <v/>
      </c>
      <c r="E839" s="20">
        <f>IF($H839="","",IF(INDEX('Journal'!$D$1:$D$2002,$H839)=$B$1,N(INDEX('Journal'!$G$1:$G$2002,$H839)),N(INDEX('Journal'!$F$1:$F$2002,$H839))))</f>
        <v/>
      </c>
      <c r="F839" s="20">
        <f>IF($H839="","",IF(INDEX('Journal'!$D$1:$D$2002,$H839)=$B$1,N(INDEX('Journal'!$F$1:$F$2002,$H839)),N(INDEX('Journal'!$G$1:$G$2002,$H839))))</f>
        <v/>
      </c>
      <c r="G839" s="20">
        <f>IF($H839="","",G838+E839-F839)</f>
        <v/>
      </c>
      <c r="H839" s="18">
        <f t="array" ref="H839">IF($B$1="","",IFERROR(_xlfn.AGGREGATE(15,6,ROW('Journal'!$A$3:$A$2002)/(('Journal'!$D$3:$D$2002=$B$1)+('Journal'!$E$3:$E$2002=$B$1))/('Journal'!$B$3:$B$2002&gt;=$B$2)/('Journal'!$B$3:$B$2002&lt;=$B$3),834),""))</f>
        <v/>
      </c>
    </row>
    <row r="840">
      <c r="A840" s="18">
        <f>IF($H840="","",INDEX('Journal'!$A$1:$A$2002,$H840))</f>
        <v/>
      </c>
      <c r="B840" s="21">
        <f>IF($H840="","",INDEX('Journal'!$B$1:$B$2002,$H840))</f>
        <v/>
      </c>
      <c r="C840" s="5">
        <f>IF($H840="","",INDEX('Journal'!$C$1:$C$2002,$H840)&amp;"")</f>
        <v/>
      </c>
      <c r="D840" s="5">
        <f>IF($H840="","",IF(INDEX('Journal'!$D$1:$D$2002,$H840)=$B$1,INDEX('Journal'!$E$1:$E$2002,$H840),INDEX('Journal'!$D$1:$D$2002,$H840))&amp;"")</f>
        <v/>
      </c>
      <c r="E840" s="20">
        <f>IF($H840="","",IF(INDEX('Journal'!$D$1:$D$2002,$H840)=$B$1,N(INDEX('Journal'!$G$1:$G$2002,$H840)),N(INDEX('Journal'!$F$1:$F$2002,$H840))))</f>
        <v/>
      </c>
      <c r="F840" s="20">
        <f>IF($H840="","",IF(INDEX('Journal'!$D$1:$D$2002,$H840)=$B$1,N(INDEX('Journal'!$F$1:$F$2002,$H840)),N(INDEX('Journal'!$G$1:$G$2002,$H840))))</f>
        <v/>
      </c>
      <c r="G840" s="20">
        <f>IF($H840="","",G839+E840-F840)</f>
        <v/>
      </c>
      <c r="H840" s="18">
        <f t="array" ref="H840">IF($B$1="","",IFERROR(_xlfn.AGGREGATE(15,6,ROW('Journal'!$A$3:$A$2002)/(('Journal'!$D$3:$D$2002=$B$1)+('Journal'!$E$3:$E$2002=$B$1))/('Journal'!$B$3:$B$2002&gt;=$B$2)/('Journal'!$B$3:$B$2002&lt;=$B$3),835),""))</f>
        <v/>
      </c>
    </row>
    <row r="841">
      <c r="A841" s="18">
        <f>IF($H841="","",INDEX('Journal'!$A$1:$A$2002,$H841))</f>
        <v/>
      </c>
      <c r="B841" s="21">
        <f>IF($H841="","",INDEX('Journal'!$B$1:$B$2002,$H841))</f>
        <v/>
      </c>
      <c r="C841" s="5">
        <f>IF($H841="","",INDEX('Journal'!$C$1:$C$2002,$H841)&amp;"")</f>
        <v/>
      </c>
      <c r="D841" s="5">
        <f>IF($H841="","",IF(INDEX('Journal'!$D$1:$D$2002,$H841)=$B$1,INDEX('Journal'!$E$1:$E$2002,$H841),INDEX('Journal'!$D$1:$D$2002,$H841))&amp;"")</f>
        <v/>
      </c>
      <c r="E841" s="20">
        <f>IF($H841="","",IF(INDEX('Journal'!$D$1:$D$2002,$H841)=$B$1,N(INDEX('Journal'!$G$1:$G$2002,$H841)),N(INDEX('Journal'!$F$1:$F$2002,$H841))))</f>
        <v/>
      </c>
      <c r="F841" s="20">
        <f>IF($H841="","",IF(INDEX('Journal'!$D$1:$D$2002,$H841)=$B$1,N(INDEX('Journal'!$F$1:$F$2002,$H841)),N(INDEX('Journal'!$G$1:$G$2002,$H841))))</f>
        <v/>
      </c>
      <c r="G841" s="20">
        <f>IF($H841="","",G840+E841-F841)</f>
        <v/>
      </c>
      <c r="H841" s="18">
        <f t="array" ref="H841">IF($B$1="","",IFERROR(_xlfn.AGGREGATE(15,6,ROW('Journal'!$A$3:$A$2002)/(('Journal'!$D$3:$D$2002=$B$1)+('Journal'!$E$3:$E$2002=$B$1))/('Journal'!$B$3:$B$2002&gt;=$B$2)/('Journal'!$B$3:$B$2002&lt;=$B$3),836),""))</f>
        <v/>
      </c>
    </row>
    <row r="842">
      <c r="A842" s="18">
        <f>IF($H842="","",INDEX('Journal'!$A$1:$A$2002,$H842))</f>
        <v/>
      </c>
      <c r="B842" s="21">
        <f>IF($H842="","",INDEX('Journal'!$B$1:$B$2002,$H842))</f>
        <v/>
      </c>
      <c r="C842" s="5">
        <f>IF($H842="","",INDEX('Journal'!$C$1:$C$2002,$H842)&amp;"")</f>
        <v/>
      </c>
      <c r="D842" s="5">
        <f>IF($H842="","",IF(INDEX('Journal'!$D$1:$D$2002,$H842)=$B$1,INDEX('Journal'!$E$1:$E$2002,$H842),INDEX('Journal'!$D$1:$D$2002,$H842))&amp;"")</f>
        <v/>
      </c>
      <c r="E842" s="20">
        <f>IF($H842="","",IF(INDEX('Journal'!$D$1:$D$2002,$H842)=$B$1,N(INDEX('Journal'!$G$1:$G$2002,$H842)),N(INDEX('Journal'!$F$1:$F$2002,$H842))))</f>
        <v/>
      </c>
      <c r="F842" s="20">
        <f>IF($H842="","",IF(INDEX('Journal'!$D$1:$D$2002,$H842)=$B$1,N(INDEX('Journal'!$F$1:$F$2002,$H842)),N(INDEX('Journal'!$G$1:$G$2002,$H842))))</f>
        <v/>
      </c>
      <c r="G842" s="20">
        <f>IF($H842="","",G841+E842-F842)</f>
        <v/>
      </c>
      <c r="H842" s="18">
        <f t="array" ref="H842">IF($B$1="","",IFERROR(_xlfn.AGGREGATE(15,6,ROW('Journal'!$A$3:$A$2002)/(('Journal'!$D$3:$D$2002=$B$1)+('Journal'!$E$3:$E$2002=$B$1))/('Journal'!$B$3:$B$2002&gt;=$B$2)/('Journal'!$B$3:$B$2002&lt;=$B$3),837),""))</f>
        <v/>
      </c>
    </row>
    <row r="843">
      <c r="A843" s="18">
        <f>IF($H843="","",INDEX('Journal'!$A$1:$A$2002,$H843))</f>
        <v/>
      </c>
      <c r="B843" s="21">
        <f>IF($H843="","",INDEX('Journal'!$B$1:$B$2002,$H843))</f>
        <v/>
      </c>
      <c r="C843" s="5">
        <f>IF($H843="","",INDEX('Journal'!$C$1:$C$2002,$H843)&amp;"")</f>
        <v/>
      </c>
      <c r="D843" s="5">
        <f>IF($H843="","",IF(INDEX('Journal'!$D$1:$D$2002,$H843)=$B$1,INDEX('Journal'!$E$1:$E$2002,$H843),INDEX('Journal'!$D$1:$D$2002,$H843))&amp;"")</f>
        <v/>
      </c>
      <c r="E843" s="20">
        <f>IF($H843="","",IF(INDEX('Journal'!$D$1:$D$2002,$H843)=$B$1,N(INDEX('Journal'!$G$1:$G$2002,$H843)),N(INDEX('Journal'!$F$1:$F$2002,$H843))))</f>
        <v/>
      </c>
      <c r="F843" s="20">
        <f>IF($H843="","",IF(INDEX('Journal'!$D$1:$D$2002,$H843)=$B$1,N(INDEX('Journal'!$F$1:$F$2002,$H843)),N(INDEX('Journal'!$G$1:$G$2002,$H843))))</f>
        <v/>
      </c>
      <c r="G843" s="20">
        <f>IF($H843="","",G842+E843-F843)</f>
        <v/>
      </c>
      <c r="H843" s="18">
        <f t="array" ref="H843">IF($B$1="","",IFERROR(_xlfn.AGGREGATE(15,6,ROW('Journal'!$A$3:$A$2002)/(('Journal'!$D$3:$D$2002=$B$1)+('Journal'!$E$3:$E$2002=$B$1))/('Journal'!$B$3:$B$2002&gt;=$B$2)/('Journal'!$B$3:$B$2002&lt;=$B$3),838),""))</f>
        <v/>
      </c>
    </row>
    <row r="844">
      <c r="A844" s="18">
        <f>IF($H844="","",INDEX('Journal'!$A$1:$A$2002,$H844))</f>
        <v/>
      </c>
      <c r="B844" s="21">
        <f>IF($H844="","",INDEX('Journal'!$B$1:$B$2002,$H844))</f>
        <v/>
      </c>
      <c r="C844" s="5">
        <f>IF($H844="","",INDEX('Journal'!$C$1:$C$2002,$H844)&amp;"")</f>
        <v/>
      </c>
      <c r="D844" s="5">
        <f>IF($H844="","",IF(INDEX('Journal'!$D$1:$D$2002,$H844)=$B$1,INDEX('Journal'!$E$1:$E$2002,$H844),INDEX('Journal'!$D$1:$D$2002,$H844))&amp;"")</f>
        <v/>
      </c>
      <c r="E844" s="20">
        <f>IF($H844="","",IF(INDEX('Journal'!$D$1:$D$2002,$H844)=$B$1,N(INDEX('Journal'!$G$1:$G$2002,$H844)),N(INDEX('Journal'!$F$1:$F$2002,$H844))))</f>
        <v/>
      </c>
      <c r="F844" s="20">
        <f>IF($H844="","",IF(INDEX('Journal'!$D$1:$D$2002,$H844)=$B$1,N(INDEX('Journal'!$F$1:$F$2002,$H844)),N(INDEX('Journal'!$G$1:$G$2002,$H844))))</f>
        <v/>
      </c>
      <c r="G844" s="20">
        <f>IF($H844="","",G843+E844-F844)</f>
        <v/>
      </c>
      <c r="H844" s="18">
        <f t="array" ref="H844">IF($B$1="","",IFERROR(_xlfn.AGGREGATE(15,6,ROW('Journal'!$A$3:$A$2002)/(('Journal'!$D$3:$D$2002=$B$1)+('Journal'!$E$3:$E$2002=$B$1))/('Journal'!$B$3:$B$2002&gt;=$B$2)/('Journal'!$B$3:$B$2002&lt;=$B$3),839),""))</f>
        <v/>
      </c>
    </row>
    <row r="845">
      <c r="A845" s="18">
        <f>IF($H845="","",INDEX('Journal'!$A$1:$A$2002,$H845))</f>
        <v/>
      </c>
      <c r="B845" s="21">
        <f>IF($H845="","",INDEX('Journal'!$B$1:$B$2002,$H845))</f>
        <v/>
      </c>
      <c r="C845" s="5">
        <f>IF($H845="","",INDEX('Journal'!$C$1:$C$2002,$H845)&amp;"")</f>
        <v/>
      </c>
      <c r="D845" s="5">
        <f>IF($H845="","",IF(INDEX('Journal'!$D$1:$D$2002,$H845)=$B$1,INDEX('Journal'!$E$1:$E$2002,$H845),INDEX('Journal'!$D$1:$D$2002,$H845))&amp;"")</f>
        <v/>
      </c>
      <c r="E845" s="20">
        <f>IF($H845="","",IF(INDEX('Journal'!$D$1:$D$2002,$H845)=$B$1,N(INDEX('Journal'!$G$1:$G$2002,$H845)),N(INDEX('Journal'!$F$1:$F$2002,$H845))))</f>
        <v/>
      </c>
      <c r="F845" s="20">
        <f>IF($H845="","",IF(INDEX('Journal'!$D$1:$D$2002,$H845)=$B$1,N(INDEX('Journal'!$F$1:$F$2002,$H845)),N(INDEX('Journal'!$G$1:$G$2002,$H845))))</f>
        <v/>
      </c>
      <c r="G845" s="20">
        <f>IF($H845="","",G844+E845-F845)</f>
        <v/>
      </c>
      <c r="H845" s="18">
        <f t="array" ref="H845">IF($B$1="","",IFERROR(_xlfn.AGGREGATE(15,6,ROW('Journal'!$A$3:$A$2002)/(('Journal'!$D$3:$D$2002=$B$1)+('Journal'!$E$3:$E$2002=$B$1))/('Journal'!$B$3:$B$2002&gt;=$B$2)/('Journal'!$B$3:$B$2002&lt;=$B$3),840),""))</f>
        <v/>
      </c>
    </row>
    <row r="846">
      <c r="A846" s="18">
        <f>IF($H846="","",INDEX('Journal'!$A$1:$A$2002,$H846))</f>
        <v/>
      </c>
      <c r="B846" s="21">
        <f>IF($H846="","",INDEX('Journal'!$B$1:$B$2002,$H846))</f>
        <v/>
      </c>
      <c r="C846" s="5">
        <f>IF($H846="","",INDEX('Journal'!$C$1:$C$2002,$H846)&amp;"")</f>
        <v/>
      </c>
      <c r="D846" s="5">
        <f>IF($H846="","",IF(INDEX('Journal'!$D$1:$D$2002,$H846)=$B$1,INDEX('Journal'!$E$1:$E$2002,$H846),INDEX('Journal'!$D$1:$D$2002,$H846))&amp;"")</f>
        <v/>
      </c>
      <c r="E846" s="20">
        <f>IF($H846="","",IF(INDEX('Journal'!$D$1:$D$2002,$H846)=$B$1,N(INDEX('Journal'!$G$1:$G$2002,$H846)),N(INDEX('Journal'!$F$1:$F$2002,$H846))))</f>
        <v/>
      </c>
      <c r="F846" s="20">
        <f>IF($H846="","",IF(INDEX('Journal'!$D$1:$D$2002,$H846)=$B$1,N(INDEX('Journal'!$F$1:$F$2002,$H846)),N(INDEX('Journal'!$G$1:$G$2002,$H846))))</f>
        <v/>
      </c>
      <c r="G846" s="20">
        <f>IF($H846="","",G845+E846-F846)</f>
        <v/>
      </c>
      <c r="H846" s="18">
        <f t="array" ref="H846">IF($B$1="","",IFERROR(_xlfn.AGGREGATE(15,6,ROW('Journal'!$A$3:$A$2002)/(('Journal'!$D$3:$D$2002=$B$1)+('Journal'!$E$3:$E$2002=$B$1))/('Journal'!$B$3:$B$2002&gt;=$B$2)/('Journal'!$B$3:$B$2002&lt;=$B$3),841),""))</f>
        <v/>
      </c>
    </row>
    <row r="847">
      <c r="A847" s="18">
        <f>IF($H847="","",INDEX('Journal'!$A$1:$A$2002,$H847))</f>
        <v/>
      </c>
      <c r="B847" s="21">
        <f>IF($H847="","",INDEX('Journal'!$B$1:$B$2002,$H847))</f>
        <v/>
      </c>
      <c r="C847" s="5">
        <f>IF($H847="","",INDEX('Journal'!$C$1:$C$2002,$H847)&amp;"")</f>
        <v/>
      </c>
      <c r="D847" s="5">
        <f>IF($H847="","",IF(INDEX('Journal'!$D$1:$D$2002,$H847)=$B$1,INDEX('Journal'!$E$1:$E$2002,$H847),INDEX('Journal'!$D$1:$D$2002,$H847))&amp;"")</f>
        <v/>
      </c>
      <c r="E847" s="20">
        <f>IF($H847="","",IF(INDEX('Journal'!$D$1:$D$2002,$H847)=$B$1,N(INDEX('Journal'!$G$1:$G$2002,$H847)),N(INDEX('Journal'!$F$1:$F$2002,$H847))))</f>
        <v/>
      </c>
      <c r="F847" s="20">
        <f>IF($H847="","",IF(INDEX('Journal'!$D$1:$D$2002,$H847)=$B$1,N(INDEX('Journal'!$F$1:$F$2002,$H847)),N(INDEX('Journal'!$G$1:$G$2002,$H847))))</f>
        <v/>
      </c>
      <c r="G847" s="20">
        <f>IF($H847="","",G846+E847-F847)</f>
        <v/>
      </c>
      <c r="H847" s="18">
        <f t="array" ref="H847">IF($B$1="","",IFERROR(_xlfn.AGGREGATE(15,6,ROW('Journal'!$A$3:$A$2002)/(('Journal'!$D$3:$D$2002=$B$1)+('Journal'!$E$3:$E$2002=$B$1))/('Journal'!$B$3:$B$2002&gt;=$B$2)/('Journal'!$B$3:$B$2002&lt;=$B$3),842),""))</f>
        <v/>
      </c>
    </row>
    <row r="848">
      <c r="A848" s="18">
        <f>IF($H848="","",INDEX('Journal'!$A$1:$A$2002,$H848))</f>
        <v/>
      </c>
      <c r="B848" s="21">
        <f>IF($H848="","",INDEX('Journal'!$B$1:$B$2002,$H848))</f>
        <v/>
      </c>
      <c r="C848" s="5">
        <f>IF($H848="","",INDEX('Journal'!$C$1:$C$2002,$H848)&amp;"")</f>
        <v/>
      </c>
      <c r="D848" s="5">
        <f>IF($H848="","",IF(INDEX('Journal'!$D$1:$D$2002,$H848)=$B$1,INDEX('Journal'!$E$1:$E$2002,$H848),INDEX('Journal'!$D$1:$D$2002,$H848))&amp;"")</f>
        <v/>
      </c>
      <c r="E848" s="20">
        <f>IF($H848="","",IF(INDEX('Journal'!$D$1:$D$2002,$H848)=$B$1,N(INDEX('Journal'!$G$1:$G$2002,$H848)),N(INDEX('Journal'!$F$1:$F$2002,$H848))))</f>
        <v/>
      </c>
      <c r="F848" s="20">
        <f>IF($H848="","",IF(INDEX('Journal'!$D$1:$D$2002,$H848)=$B$1,N(INDEX('Journal'!$F$1:$F$2002,$H848)),N(INDEX('Journal'!$G$1:$G$2002,$H848))))</f>
        <v/>
      </c>
      <c r="G848" s="20">
        <f>IF($H848="","",G847+E848-F848)</f>
        <v/>
      </c>
      <c r="H848" s="18">
        <f t="array" ref="H848">IF($B$1="","",IFERROR(_xlfn.AGGREGATE(15,6,ROW('Journal'!$A$3:$A$2002)/(('Journal'!$D$3:$D$2002=$B$1)+('Journal'!$E$3:$E$2002=$B$1))/('Journal'!$B$3:$B$2002&gt;=$B$2)/('Journal'!$B$3:$B$2002&lt;=$B$3),843),""))</f>
        <v/>
      </c>
    </row>
    <row r="849">
      <c r="A849" s="18">
        <f>IF($H849="","",INDEX('Journal'!$A$1:$A$2002,$H849))</f>
        <v/>
      </c>
      <c r="B849" s="21">
        <f>IF($H849="","",INDEX('Journal'!$B$1:$B$2002,$H849))</f>
        <v/>
      </c>
      <c r="C849" s="5">
        <f>IF($H849="","",INDEX('Journal'!$C$1:$C$2002,$H849)&amp;"")</f>
        <v/>
      </c>
      <c r="D849" s="5">
        <f>IF($H849="","",IF(INDEX('Journal'!$D$1:$D$2002,$H849)=$B$1,INDEX('Journal'!$E$1:$E$2002,$H849),INDEX('Journal'!$D$1:$D$2002,$H849))&amp;"")</f>
        <v/>
      </c>
      <c r="E849" s="20">
        <f>IF($H849="","",IF(INDEX('Journal'!$D$1:$D$2002,$H849)=$B$1,N(INDEX('Journal'!$G$1:$G$2002,$H849)),N(INDEX('Journal'!$F$1:$F$2002,$H849))))</f>
        <v/>
      </c>
      <c r="F849" s="20">
        <f>IF($H849="","",IF(INDEX('Journal'!$D$1:$D$2002,$H849)=$B$1,N(INDEX('Journal'!$F$1:$F$2002,$H849)),N(INDEX('Journal'!$G$1:$G$2002,$H849))))</f>
        <v/>
      </c>
      <c r="G849" s="20">
        <f>IF($H849="","",G848+E849-F849)</f>
        <v/>
      </c>
      <c r="H849" s="18">
        <f t="array" ref="H849">IF($B$1="","",IFERROR(_xlfn.AGGREGATE(15,6,ROW('Journal'!$A$3:$A$2002)/(('Journal'!$D$3:$D$2002=$B$1)+('Journal'!$E$3:$E$2002=$B$1))/('Journal'!$B$3:$B$2002&gt;=$B$2)/('Journal'!$B$3:$B$2002&lt;=$B$3),844),""))</f>
        <v/>
      </c>
    </row>
    <row r="850">
      <c r="A850" s="18">
        <f>IF($H850="","",INDEX('Journal'!$A$1:$A$2002,$H850))</f>
        <v/>
      </c>
      <c r="B850" s="21">
        <f>IF($H850="","",INDEX('Journal'!$B$1:$B$2002,$H850))</f>
        <v/>
      </c>
      <c r="C850" s="5">
        <f>IF($H850="","",INDEX('Journal'!$C$1:$C$2002,$H850)&amp;"")</f>
        <v/>
      </c>
      <c r="D850" s="5">
        <f>IF($H850="","",IF(INDEX('Journal'!$D$1:$D$2002,$H850)=$B$1,INDEX('Journal'!$E$1:$E$2002,$H850),INDEX('Journal'!$D$1:$D$2002,$H850))&amp;"")</f>
        <v/>
      </c>
      <c r="E850" s="20">
        <f>IF($H850="","",IF(INDEX('Journal'!$D$1:$D$2002,$H850)=$B$1,N(INDEX('Journal'!$G$1:$G$2002,$H850)),N(INDEX('Journal'!$F$1:$F$2002,$H850))))</f>
        <v/>
      </c>
      <c r="F850" s="20">
        <f>IF($H850="","",IF(INDEX('Journal'!$D$1:$D$2002,$H850)=$B$1,N(INDEX('Journal'!$F$1:$F$2002,$H850)),N(INDEX('Journal'!$G$1:$G$2002,$H850))))</f>
        <v/>
      </c>
      <c r="G850" s="20">
        <f>IF($H850="","",G849+E850-F850)</f>
        <v/>
      </c>
      <c r="H850" s="18">
        <f t="array" ref="H850">IF($B$1="","",IFERROR(_xlfn.AGGREGATE(15,6,ROW('Journal'!$A$3:$A$2002)/(('Journal'!$D$3:$D$2002=$B$1)+('Journal'!$E$3:$E$2002=$B$1))/('Journal'!$B$3:$B$2002&gt;=$B$2)/('Journal'!$B$3:$B$2002&lt;=$B$3),845),""))</f>
        <v/>
      </c>
    </row>
    <row r="851">
      <c r="A851" s="18">
        <f>IF($H851="","",INDEX('Journal'!$A$1:$A$2002,$H851))</f>
        <v/>
      </c>
      <c r="B851" s="21">
        <f>IF($H851="","",INDEX('Journal'!$B$1:$B$2002,$H851))</f>
        <v/>
      </c>
      <c r="C851" s="5">
        <f>IF($H851="","",INDEX('Journal'!$C$1:$C$2002,$H851)&amp;"")</f>
        <v/>
      </c>
      <c r="D851" s="5">
        <f>IF($H851="","",IF(INDEX('Journal'!$D$1:$D$2002,$H851)=$B$1,INDEX('Journal'!$E$1:$E$2002,$H851),INDEX('Journal'!$D$1:$D$2002,$H851))&amp;"")</f>
        <v/>
      </c>
      <c r="E851" s="20">
        <f>IF($H851="","",IF(INDEX('Journal'!$D$1:$D$2002,$H851)=$B$1,N(INDEX('Journal'!$G$1:$G$2002,$H851)),N(INDEX('Journal'!$F$1:$F$2002,$H851))))</f>
        <v/>
      </c>
      <c r="F851" s="20">
        <f>IF($H851="","",IF(INDEX('Journal'!$D$1:$D$2002,$H851)=$B$1,N(INDEX('Journal'!$F$1:$F$2002,$H851)),N(INDEX('Journal'!$G$1:$G$2002,$H851))))</f>
        <v/>
      </c>
      <c r="G851" s="20">
        <f>IF($H851="","",G850+E851-F851)</f>
        <v/>
      </c>
      <c r="H851" s="18">
        <f t="array" ref="H851">IF($B$1="","",IFERROR(_xlfn.AGGREGATE(15,6,ROW('Journal'!$A$3:$A$2002)/(('Journal'!$D$3:$D$2002=$B$1)+('Journal'!$E$3:$E$2002=$B$1))/('Journal'!$B$3:$B$2002&gt;=$B$2)/('Journal'!$B$3:$B$2002&lt;=$B$3),846),""))</f>
        <v/>
      </c>
    </row>
    <row r="852">
      <c r="A852" s="18">
        <f>IF($H852="","",INDEX('Journal'!$A$1:$A$2002,$H852))</f>
        <v/>
      </c>
      <c r="B852" s="21">
        <f>IF($H852="","",INDEX('Journal'!$B$1:$B$2002,$H852))</f>
        <v/>
      </c>
      <c r="C852" s="5">
        <f>IF($H852="","",INDEX('Journal'!$C$1:$C$2002,$H852)&amp;"")</f>
        <v/>
      </c>
      <c r="D852" s="5">
        <f>IF($H852="","",IF(INDEX('Journal'!$D$1:$D$2002,$H852)=$B$1,INDEX('Journal'!$E$1:$E$2002,$H852),INDEX('Journal'!$D$1:$D$2002,$H852))&amp;"")</f>
        <v/>
      </c>
      <c r="E852" s="20">
        <f>IF($H852="","",IF(INDEX('Journal'!$D$1:$D$2002,$H852)=$B$1,N(INDEX('Journal'!$G$1:$G$2002,$H852)),N(INDEX('Journal'!$F$1:$F$2002,$H852))))</f>
        <v/>
      </c>
      <c r="F852" s="20">
        <f>IF($H852="","",IF(INDEX('Journal'!$D$1:$D$2002,$H852)=$B$1,N(INDEX('Journal'!$F$1:$F$2002,$H852)),N(INDEX('Journal'!$G$1:$G$2002,$H852))))</f>
        <v/>
      </c>
      <c r="G852" s="20">
        <f>IF($H852="","",G851+E852-F852)</f>
        <v/>
      </c>
      <c r="H852" s="18">
        <f t="array" ref="H852">IF($B$1="","",IFERROR(_xlfn.AGGREGATE(15,6,ROW('Journal'!$A$3:$A$2002)/(('Journal'!$D$3:$D$2002=$B$1)+('Journal'!$E$3:$E$2002=$B$1))/('Journal'!$B$3:$B$2002&gt;=$B$2)/('Journal'!$B$3:$B$2002&lt;=$B$3),847),""))</f>
        <v/>
      </c>
    </row>
    <row r="853">
      <c r="A853" s="18">
        <f>IF($H853="","",INDEX('Journal'!$A$1:$A$2002,$H853))</f>
        <v/>
      </c>
      <c r="B853" s="21">
        <f>IF($H853="","",INDEX('Journal'!$B$1:$B$2002,$H853))</f>
        <v/>
      </c>
      <c r="C853" s="5">
        <f>IF($H853="","",INDEX('Journal'!$C$1:$C$2002,$H853)&amp;"")</f>
        <v/>
      </c>
      <c r="D853" s="5">
        <f>IF($H853="","",IF(INDEX('Journal'!$D$1:$D$2002,$H853)=$B$1,INDEX('Journal'!$E$1:$E$2002,$H853),INDEX('Journal'!$D$1:$D$2002,$H853))&amp;"")</f>
        <v/>
      </c>
      <c r="E853" s="20">
        <f>IF($H853="","",IF(INDEX('Journal'!$D$1:$D$2002,$H853)=$B$1,N(INDEX('Journal'!$G$1:$G$2002,$H853)),N(INDEX('Journal'!$F$1:$F$2002,$H853))))</f>
        <v/>
      </c>
      <c r="F853" s="20">
        <f>IF($H853="","",IF(INDEX('Journal'!$D$1:$D$2002,$H853)=$B$1,N(INDEX('Journal'!$F$1:$F$2002,$H853)),N(INDEX('Journal'!$G$1:$G$2002,$H853))))</f>
        <v/>
      </c>
      <c r="G853" s="20">
        <f>IF($H853="","",G852+E853-F853)</f>
        <v/>
      </c>
      <c r="H853" s="18">
        <f t="array" ref="H853">IF($B$1="","",IFERROR(_xlfn.AGGREGATE(15,6,ROW('Journal'!$A$3:$A$2002)/(('Journal'!$D$3:$D$2002=$B$1)+('Journal'!$E$3:$E$2002=$B$1))/('Journal'!$B$3:$B$2002&gt;=$B$2)/('Journal'!$B$3:$B$2002&lt;=$B$3),848),""))</f>
        <v/>
      </c>
    </row>
    <row r="854">
      <c r="A854" s="18">
        <f>IF($H854="","",INDEX('Journal'!$A$1:$A$2002,$H854))</f>
        <v/>
      </c>
      <c r="B854" s="21">
        <f>IF($H854="","",INDEX('Journal'!$B$1:$B$2002,$H854))</f>
        <v/>
      </c>
      <c r="C854" s="5">
        <f>IF($H854="","",INDEX('Journal'!$C$1:$C$2002,$H854)&amp;"")</f>
        <v/>
      </c>
      <c r="D854" s="5">
        <f>IF($H854="","",IF(INDEX('Journal'!$D$1:$D$2002,$H854)=$B$1,INDEX('Journal'!$E$1:$E$2002,$H854),INDEX('Journal'!$D$1:$D$2002,$H854))&amp;"")</f>
        <v/>
      </c>
      <c r="E854" s="20">
        <f>IF($H854="","",IF(INDEX('Journal'!$D$1:$D$2002,$H854)=$B$1,N(INDEX('Journal'!$G$1:$G$2002,$H854)),N(INDEX('Journal'!$F$1:$F$2002,$H854))))</f>
        <v/>
      </c>
      <c r="F854" s="20">
        <f>IF($H854="","",IF(INDEX('Journal'!$D$1:$D$2002,$H854)=$B$1,N(INDEX('Journal'!$F$1:$F$2002,$H854)),N(INDEX('Journal'!$G$1:$G$2002,$H854))))</f>
        <v/>
      </c>
      <c r="G854" s="20">
        <f>IF($H854="","",G853+E854-F854)</f>
        <v/>
      </c>
      <c r="H854" s="18">
        <f t="array" ref="H854">IF($B$1="","",IFERROR(_xlfn.AGGREGATE(15,6,ROW('Journal'!$A$3:$A$2002)/(('Journal'!$D$3:$D$2002=$B$1)+('Journal'!$E$3:$E$2002=$B$1))/('Journal'!$B$3:$B$2002&gt;=$B$2)/('Journal'!$B$3:$B$2002&lt;=$B$3),849),""))</f>
        <v/>
      </c>
    </row>
    <row r="855">
      <c r="A855" s="18">
        <f>IF($H855="","",INDEX('Journal'!$A$1:$A$2002,$H855))</f>
        <v/>
      </c>
      <c r="B855" s="21">
        <f>IF($H855="","",INDEX('Journal'!$B$1:$B$2002,$H855))</f>
        <v/>
      </c>
      <c r="C855" s="5">
        <f>IF($H855="","",INDEX('Journal'!$C$1:$C$2002,$H855)&amp;"")</f>
        <v/>
      </c>
      <c r="D855" s="5">
        <f>IF($H855="","",IF(INDEX('Journal'!$D$1:$D$2002,$H855)=$B$1,INDEX('Journal'!$E$1:$E$2002,$H855),INDEX('Journal'!$D$1:$D$2002,$H855))&amp;"")</f>
        <v/>
      </c>
      <c r="E855" s="20">
        <f>IF($H855="","",IF(INDEX('Journal'!$D$1:$D$2002,$H855)=$B$1,N(INDEX('Journal'!$G$1:$G$2002,$H855)),N(INDEX('Journal'!$F$1:$F$2002,$H855))))</f>
        <v/>
      </c>
      <c r="F855" s="20">
        <f>IF($H855="","",IF(INDEX('Journal'!$D$1:$D$2002,$H855)=$B$1,N(INDEX('Journal'!$F$1:$F$2002,$H855)),N(INDEX('Journal'!$G$1:$G$2002,$H855))))</f>
        <v/>
      </c>
      <c r="G855" s="20">
        <f>IF($H855="","",G854+E855-F855)</f>
        <v/>
      </c>
      <c r="H855" s="18">
        <f t="array" ref="H855">IF($B$1="","",IFERROR(_xlfn.AGGREGATE(15,6,ROW('Journal'!$A$3:$A$2002)/(('Journal'!$D$3:$D$2002=$B$1)+('Journal'!$E$3:$E$2002=$B$1))/('Journal'!$B$3:$B$2002&gt;=$B$2)/('Journal'!$B$3:$B$2002&lt;=$B$3),850),""))</f>
        <v/>
      </c>
    </row>
    <row r="856">
      <c r="A856" s="18">
        <f>IF($H856="","",INDEX('Journal'!$A$1:$A$2002,$H856))</f>
        <v/>
      </c>
      <c r="B856" s="21">
        <f>IF($H856="","",INDEX('Journal'!$B$1:$B$2002,$H856))</f>
        <v/>
      </c>
      <c r="C856" s="5">
        <f>IF($H856="","",INDEX('Journal'!$C$1:$C$2002,$H856)&amp;"")</f>
        <v/>
      </c>
      <c r="D856" s="5">
        <f>IF($H856="","",IF(INDEX('Journal'!$D$1:$D$2002,$H856)=$B$1,INDEX('Journal'!$E$1:$E$2002,$H856),INDEX('Journal'!$D$1:$D$2002,$H856))&amp;"")</f>
        <v/>
      </c>
      <c r="E856" s="20">
        <f>IF($H856="","",IF(INDEX('Journal'!$D$1:$D$2002,$H856)=$B$1,N(INDEX('Journal'!$G$1:$G$2002,$H856)),N(INDEX('Journal'!$F$1:$F$2002,$H856))))</f>
        <v/>
      </c>
      <c r="F856" s="20">
        <f>IF($H856="","",IF(INDEX('Journal'!$D$1:$D$2002,$H856)=$B$1,N(INDEX('Journal'!$F$1:$F$2002,$H856)),N(INDEX('Journal'!$G$1:$G$2002,$H856))))</f>
        <v/>
      </c>
      <c r="G856" s="20">
        <f>IF($H856="","",G855+E856-F856)</f>
        <v/>
      </c>
      <c r="H856" s="18">
        <f t="array" ref="H856">IF($B$1="","",IFERROR(_xlfn.AGGREGATE(15,6,ROW('Journal'!$A$3:$A$2002)/(('Journal'!$D$3:$D$2002=$B$1)+('Journal'!$E$3:$E$2002=$B$1))/('Journal'!$B$3:$B$2002&gt;=$B$2)/('Journal'!$B$3:$B$2002&lt;=$B$3),851),""))</f>
        <v/>
      </c>
    </row>
    <row r="857">
      <c r="A857" s="18">
        <f>IF($H857="","",INDEX('Journal'!$A$1:$A$2002,$H857))</f>
        <v/>
      </c>
      <c r="B857" s="21">
        <f>IF($H857="","",INDEX('Journal'!$B$1:$B$2002,$H857))</f>
        <v/>
      </c>
      <c r="C857" s="5">
        <f>IF($H857="","",INDEX('Journal'!$C$1:$C$2002,$H857)&amp;"")</f>
        <v/>
      </c>
      <c r="D857" s="5">
        <f>IF($H857="","",IF(INDEX('Journal'!$D$1:$D$2002,$H857)=$B$1,INDEX('Journal'!$E$1:$E$2002,$H857),INDEX('Journal'!$D$1:$D$2002,$H857))&amp;"")</f>
        <v/>
      </c>
      <c r="E857" s="20">
        <f>IF($H857="","",IF(INDEX('Journal'!$D$1:$D$2002,$H857)=$B$1,N(INDEX('Journal'!$G$1:$G$2002,$H857)),N(INDEX('Journal'!$F$1:$F$2002,$H857))))</f>
        <v/>
      </c>
      <c r="F857" s="20">
        <f>IF($H857="","",IF(INDEX('Journal'!$D$1:$D$2002,$H857)=$B$1,N(INDEX('Journal'!$F$1:$F$2002,$H857)),N(INDEX('Journal'!$G$1:$G$2002,$H857))))</f>
        <v/>
      </c>
      <c r="G857" s="20">
        <f>IF($H857="","",G856+E857-F857)</f>
        <v/>
      </c>
      <c r="H857" s="18">
        <f t="array" ref="H857">IF($B$1="","",IFERROR(_xlfn.AGGREGATE(15,6,ROW('Journal'!$A$3:$A$2002)/(('Journal'!$D$3:$D$2002=$B$1)+('Journal'!$E$3:$E$2002=$B$1))/('Journal'!$B$3:$B$2002&gt;=$B$2)/('Journal'!$B$3:$B$2002&lt;=$B$3),852),""))</f>
        <v/>
      </c>
    </row>
    <row r="858">
      <c r="A858" s="18">
        <f>IF($H858="","",INDEX('Journal'!$A$1:$A$2002,$H858))</f>
        <v/>
      </c>
      <c r="B858" s="21">
        <f>IF($H858="","",INDEX('Journal'!$B$1:$B$2002,$H858))</f>
        <v/>
      </c>
      <c r="C858" s="5">
        <f>IF($H858="","",INDEX('Journal'!$C$1:$C$2002,$H858)&amp;"")</f>
        <v/>
      </c>
      <c r="D858" s="5">
        <f>IF($H858="","",IF(INDEX('Journal'!$D$1:$D$2002,$H858)=$B$1,INDEX('Journal'!$E$1:$E$2002,$H858),INDEX('Journal'!$D$1:$D$2002,$H858))&amp;"")</f>
        <v/>
      </c>
      <c r="E858" s="20">
        <f>IF($H858="","",IF(INDEX('Journal'!$D$1:$D$2002,$H858)=$B$1,N(INDEX('Journal'!$G$1:$G$2002,$H858)),N(INDEX('Journal'!$F$1:$F$2002,$H858))))</f>
        <v/>
      </c>
      <c r="F858" s="20">
        <f>IF($H858="","",IF(INDEX('Journal'!$D$1:$D$2002,$H858)=$B$1,N(INDEX('Journal'!$F$1:$F$2002,$H858)),N(INDEX('Journal'!$G$1:$G$2002,$H858))))</f>
        <v/>
      </c>
      <c r="G858" s="20">
        <f>IF($H858="","",G857+E858-F858)</f>
        <v/>
      </c>
      <c r="H858" s="18">
        <f t="array" ref="H858">IF($B$1="","",IFERROR(_xlfn.AGGREGATE(15,6,ROW('Journal'!$A$3:$A$2002)/(('Journal'!$D$3:$D$2002=$B$1)+('Journal'!$E$3:$E$2002=$B$1))/('Journal'!$B$3:$B$2002&gt;=$B$2)/('Journal'!$B$3:$B$2002&lt;=$B$3),853),""))</f>
        <v/>
      </c>
    </row>
    <row r="859">
      <c r="A859" s="18">
        <f>IF($H859="","",INDEX('Journal'!$A$1:$A$2002,$H859))</f>
        <v/>
      </c>
      <c r="B859" s="21">
        <f>IF($H859="","",INDEX('Journal'!$B$1:$B$2002,$H859))</f>
        <v/>
      </c>
      <c r="C859" s="5">
        <f>IF($H859="","",INDEX('Journal'!$C$1:$C$2002,$H859)&amp;"")</f>
        <v/>
      </c>
      <c r="D859" s="5">
        <f>IF($H859="","",IF(INDEX('Journal'!$D$1:$D$2002,$H859)=$B$1,INDEX('Journal'!$E$1:$E$2002,$H859),INDEX('Journal'!$D$1:$D$2002,$H859))&amp;"")</f>
        <v/>
      </c>
      <c r="E859" s="20">
        <f>IF($H859="","",IF(INDEX('Journal'!$D$1:$D$2002,$H859)=$B$1,N(INDEX('Journal'!$G$1:$G$2002,$H859)),N(INDEX('Journal'!$F$1:$F$2002,$H859))))</f>
        <v/>
      </c>
      <c r="F859" s="20">
        <f>IF($H859="","",IF(INDEX('Journal'!$D$1:$D$2002,$H859)=$B$1,N(INDEX('Journal'!$F$1:$F$2002,$H859)),N(INDEX('Journal'!$G$1:$G$2002,$H859))))</f>
        <v/>
      </c>
      <c r="G859" s="20">
        <f>IF($H859="","",G858+E859-F859)</f>
        <v/>
      </c>
      <c r="H859" s="18">
        <f t="array" ref="H859">IF($B$1="","",IFERROR(_xlfn.AGGREGATE(15,6,ROW('Journal'!$A$3:$A$2002)/(('Journal'!$D$3:$D$2002=$B$1)+('Journal'!$E$3:$E$2002=$B$1))/('Journal'!$B$3:$B$2002&gt;=$B$2)/('Journal'!$B$3:$B$2002&lt;=$B$3),854),""))</f>
        <v/>
      </c>
    </row>
    <row r="860">
      <c r="A860" s="18">
        <f>IF($H860="","",INDEX('Journal'!$A$1:$A$2002,$H860))</f>
        <v/>
      </c>
      <c r="B860" s="21">
        <f>IF($H860="","",INDEX('Journal'!$B$1:$B$2002,$H860))</f>
        <v/>
      </c>
      <c r="C860" s="5">
        <f>IF($H860="","",INDEX('Journal'!$C$1:$C$2002,$H860)&amp;"")</f>
        <v/>
      </c>
      <c r="D860" s="5">
        <f>IF($H860="","",IF(INDEX('Journal'!$D$1:$D$2002,$H860)=$B$1,INDEX('Journal'!$E$1:$E$2002,$H860),INDEX('Journal'!$D$1:$D$2002,$H860))&amp;"")</f>
        <v/>
      </c>
      <c r="E860" s="20">
        <f>IF($H860="","",IF(INDEX('Journal'!$D$1:$D$2002,$H860)=$B$1,N(INDEX('Journal'!$G$1:$G$2002,$H860)),N(INDEX('Journal'!$F$1:$F$2002,$H860))))</f>
        <v/>
      </c>
      <c r="F860" s="20">
        <f>IF($H860="","",IF(INDEX('Journal'!$D$1:$D$2002,$H860)=$B$1,N(INDEX('Journal'!$F$1:$F$2002,$H860)),N(INDEX('Journal'!$G$1:$G$2002,$H860))))</f>
        <v/>
      </c>
      <c r="G860" s="20">
        <f>IF($H860="","",G859+E860-F860)</f>
        <v/>
      </c>
      <c r="H860" s="18">
        <f t="array" ref="H860">IF($B$1="","",IFERROR(_xlfn.AGGREGATE(15,6,ROW('Journal'!$A$3:$A$2002)/(('Journal'!$D$3:$D$2002=$B$1)+('Journal'!$E$3:$E$2002=$B$1))/('Journal'!$B$3:$B$2002&gt;=$B$2)/('Journal'!$B$3:$B$2002&lt;=$B$3),855),""))</f>
        <v/>
      </c>
    </row>
    <row r="861">
      <c r="A861" s="18">
        <f>IF($H861="","",INDEX('Journal'!$A$1:$A$2002,$H861))</f>
        <v/>
      </c>
      <c r="B861" s="21">
        <f>IF($H861="","",INDEX('Journal'!$B$1:$B$2002,$H861))</f>
        <v/>
      </c>
      <c r="C861" s="5">
        <f>IF($H861="","",INDEX('Journal'!$C$1:$C$2002,$H861)&amp;"")</f>
        <v/>
      </c>
      <c r="D861" s="5">
        <f>IF($H861="","",IF(INDEX('Journal'!$D$1:$D$2002,$H861)=$B$1,INDEX('Journal'!$E$1:$E$2002,$H861),INDEX('Journal'!$D$1:$D$2002,$H861))&amp;"")</f>
        <v/>
      </c>
      <c r="E861" s="20">
        <f>IF($H861="","",IF(INDEX('Journal'!$D$1:$D$2002,$H861)=$B$1,N(INDEX('Journal'!$G$1:$G$2002,$H861)),N(INDEX('Journal'!$F$1:$F$2002,$H861))))</f>
        <v/>
      </c>
      <c r="F861" s="20">
        <f>IF($H861="","",IF(INDEX('Journal'!$D$1:$D$2002,$H861)=$B$1,N(INDEX('Journal'!$F$1:$F$2002,$H861)),N(INDEX('Journal'!$G$1:$G$2002,$H861))))</f>
        <v/>
      </c>
      <c r="G861" s="20">
        <f>IF($H861="","",G860+E861-F861)</f>
        <v/>
      </c>
      <c r="H861" s="18">
        <f t="array" ref="H861">IF($B$1="","",IFERROR(_xlfn.AGGREGATE(15,6,ROW('Journal'!$A$3:$A$2002)/(('Journal'!$D$3:$D$2002=$B$1)+('Journal'!$E$3:$E$2002=$B$1))/('Journal'!$B$3:$B$2002&gt;=$B$2)/('Journal'!$B$3:$B$2002&lt;=$B$3),856),""))</f>
        <v/>
      </c>
    </row>
    <row r="862">
      <c r="A862" s="18">
        <f>IF($H862="","",INDEX('Journal'!$A$1:$A$2002,$H862))</f>
        <v/>
      </c>
      <c r="B862" s="21">
        <f>IF($H862="","",INDEX('Journal'!$B$1:$B$2002,$H862))</f>
        <v/>
      </c>
      <c r="C862" s="5">
        <f>IF($H862="","",INDEX('Journal'!$C$1:$C$2002,$H862)&amp;"")</f>
        <v/>
      </c>
      <c r="D862" s="5">
        <f>IF($H862="","",IF(INDEX('Journal'!$D$1:$D$2002,$H862)=$B$1,INDEX('Journal'!$E$1:$E$2002,$H862),INDEX('Journal'!$D$1:$D$2002,$H862))&amp;"")</f>
        <v/>
      </c>
      <c r="E862" s="20">
        <f>IF($H862="","",IF(INDEX('Journal'!$D$1:$D$2002,$H862)=$B$1,N(INDEX('Journal'!$G$1:$G$2002,$H862)),N(INDEX('Journal'!$F$1:$F$2002,$H862))))</f>
        <v/>
      </c>
      <c r="F862" s="20">
        <f>IF($H862="","",IF(INDEX('Journal'!$D$1:$D$2002,$H862)=$B$1,N(INDEX('Journal'!$F$1:$F$2002,$H862)),N(INDEX('Journal'!$G$1:$G$2002,$H862))))</f>
        <v/>
      </c>
      <c r="G862" s="20">
        <f>IF($H862="","",G861+E862-F862)</f>
        <v/>
      </c>
      <c r="H862" s="18">
        <f t="array" ref="H862">IF($B$1="","",IFERROR(_xlfn.AGGREGATE(15,6,ROW('Journal'!$A$3:$A$2002)/(('Journal'!$D$3:$D$2002=$B$1)+('Journal'!$E$3:$E$2002=$B$1))/('Journal'!$B$3:$B$2002&gt;=$B$2)/('Journal'!$B$3:$B$2002&lt;=$B$3),857),""))</f>
        <v/>
      </c>
    </row>
    <row r="863">
      <c r="A863" s="18">
        <f>IF($H863="","",INDEX('Journal'!$A$1:$A$2002,$H863))</f>
        <v/>
      </c>
      <c r="B863" s="21">
        <f>IF($H863="","",INDEX('Journal'!$B$1:$B$2002,$H863))</f>
        <v/>
      </c>
      <c r="C863" s="5">
        <f>IF($H863="","",INDEX('Journal'!$C$1:$C$2002,$H863)&amp;"")</f>
        <v/>
      </c>
      <c r="D863" s="5">
        <f>IF($H863="","",IF(INDEX('Journal'!$D$1:$D$2002,$H863)=$B$1,INDEX('Journal'!$E$1:$E$2002,$H863),INDEX('Journal'!$D$1:$D$2002,$H863))&amp;"")</f>
        <v/>
      </c>
      <c r="E863" s="20">
        <f>IF($H863="","",IF(INDEX('Journal'!$D$1:$D$2002,$H863)=$B$1,N(INDEX('Journal'!$G$1:$G$2002,$H863)),N(INDEX('Journal'!$F$1:$F$2002,$H863))))</f>
        <v/>
      </c>
      <c r="F863" s="20">
        <f>IF($H863="","",IF(INDEX('Journal'!$D$1:$D$2002,$H863)=$B$1,N(INDEX('Journal'!$F$1:$F$2002,$H863)),N(INDEX('Journal'!$G$1:$G$2002,$H863))))</f>
        <v/>
      </c>
      <c r="G863" s="20">
        <f>IF($H863="","",G862+E863-F863)</f>
        <v/>
      </c>
      <c r="H863" s="18">
        <f t="array" ref="H863">IF($B$1="","",IFERROR(_xlfn.AGGREGATE(15,6,ROW('Journal'!$A$3:$A$2002)/(('Journal'!$D$3:$D$2002=$B$1)+('Journal'!$E$3:$E$2002=$B$1))/('Journal'!$B$3:$B$2002&gt;=$B$2)/('Journal'!$B$3:$B$2002&lt;=$B$3),858),""))</f>
        <v/>
      </c>
    </row>
    <row r="864">
      <c r="A864" s="18">
        <f>IF($H864="","",INDEX('Journal'!$A$1:$A$2002,$H864))</f>
        <v/>
      </c>
      <c r="B864" s="21">
        <f>IF($H864="","",INDEX('Journal'!$B$1:$B$2002,$H864))</f>
        <v/>
      </c>
      <c r="C864" s="5">
        <f>IF($H864="","",INDEX('Journal'!$C$1:$C$2002,$H864)&amp;"")</f>
        <v/>
      </c>
      <c r="D864" s="5">
        <f>IF($H864="","",IF(INDEX('Journal'!$D$1:$D$2002,$H864)=$B$1,INDEX('Journal'!$E$1:$E$2002,$H864),INDEX('Journal'!$D$1:$D$2002,$H864))&amp;"")</f>
        <v/>
      </c>
      <c r="E864" s="20">
        <f>IF($H864="","",IF(INDEX('Journal'!$D$1:$D$2002,$H864)=$B$1,N(INDEX('Journal'!$G$1:$G$2002,$H864)),N(INDEX('Journal'!$F$1:$F$2002,$H864))))</f>
        <v/>
      </c>
      <c r="F864" s="20">
        <f>IF($H864="","",IF(INDEX('Journal'!$D$1:$D$2002,$H864)=$B$1,N(INDEX('Journal'!$F$1:$F$2002,$H864)),N(INDEX('Journal'!$G$1:$G$2002,$H864))))</f>
        <v/>
      </c>
      <c r="G864" s="20">
        <f>IF($H864="","",G863+E864-F864)</f>
        <v/>
      </c>
      <c r="H864" s="18">
        <f t="array" ref="H864">IF($B$1="","",IFERROR(_xlfn.AGGREGATE(15,6,ROW('Journal'!$A$3:$A$2002)/(('Journal'!$D$3:$D$2002=$B$1)+('Journal'!$E$3:$E$2002=$B$1))/('Journal'!$B$3:$B$2002&gt;=$B$2)/('Journal'!$B$3:$B$2002&lt;=$B$3),859),""))</f>
        <v/>
      </c>
    </row>
    <row r="865">
      <c r="A865" s="18">
        <f>IF($H865="","",INDEX('Journal'!$A$1:$A$2002,$H865))</f>
        <v/>
      </c>
      <c r="B865" s="21">
        <f>IF($H865="","",INDEX('Journal'!$B$1:$B$2002,$H865))</f>
        <v/>
      </c>
      <c r="C865" s="5">
        <f>IF($H865="","",INDEX('Journal'!$C$1:$C$2002,$H865)&amp;"")</f>
        <v/>
      </c>
      <c r="D865" s="5">
        <f>IF($H865="","",IF(INDEX('Journal'!$D$1:$D$2002,$H865)=$B$1,INDEX('Journal'!$E$1:$E$2002,$H865),INDEX('Journal'!$D$1:$D$2002,$H865))&amp;"")</f>
        <v/>
      </c>
      <c r="E865" s="20">
        <f>IF($H865="","",IF(INDEX('Journal'!$D$1:$D$2002,$H865)=$B$1,N(INDEX('Journal'!$G$1:$G$2002,$H865)),N(INDEX('Journal'!$F$1:$F$2002,$H865))))</f>
        <v/>
      </c>
      <c r="F865" s="20">
        <f>IF($H865="","",IF(INDEX('Journal'!$D$1:$D$2002,$H865)=$B$1,N(INDEX('Journal'!$F$1:$F$2002,$H865)),N(INDEX('Journal'!$G$1:$G$2002,$H865))))</f>
        <v/>
      </c>
      <c r="G865" s="20">
        <f>IF($H865="","",G864+E865-F865)</f>
        <v/>
      </c>
      <c r="H865" s="18">
        <f t="array" ref="H865">IF($B$1="","",IFERROR(_xlfn.AGGREGATE(15,6,ROW('Journal'!$A$3:$A$2002)/(('Journal'!$D$3:$D$2002=$B$1)+('Journal'!$E$3:$E$2002=$B$1))/('Journal'!$B$3:$B$2002&gt;=$B$2)/('Journal'!$B$3:$B$2002&lt;=$B$3),860),""))</f>
        <v/>
      </c>
    </row>
    <row r="866">
      <c r="A866" s="18">
        <f>IF($H866="","",INDEX('Journal'!$A$1:$A$2002,$H866))</f>
        <v/>
      </c>
      <c r="B866" s="21">
        <f>IF($H866="","",INDEX('Journal'!$B$1:$B$2002,$H866))</f>
        <v/>
      </c>
      <c r="C866" s="5">
        <f>IF($H866="","",INDEX('Journal'!$C$1:$C$2002,$H866)&amp;"")</f>
        <v/>
      </c>
      <c r="D866" s="5">
        <f>IF($H866="","",IF(INDEX('Journal'!$D$1:$D$2002,$H866)=$B$1,INDEX('Journal'!$E$1:$E$2002,$H866),INDEX('Journal'!$D$1:$D$2002,$H866))&amp;"")</f>
        <v/>
      </c>
      <c r="E866" s="20">
        <f>IF($H866="","",IF(INDEX('Journal'!$D$1:$D$2002,$H866)=$B$1,N(INDEX('Journal'!$G$1:$G$2002,$H866)),N(INDEX('Journal'!$F$1:$F$2002,$H866))))</f>
        <v/>
      </c>
      <c r="F866" s="20">
        <f>IF($H866="","",IF(INDEX('Journal'!$D$1:$D$2002,$H866)=$B$1,N(INDEX('Journal'!$F$1:$F$2002,$H866)),N(INDEX('Journal'!$G$1:$G$2002,$H866))))</f>
        <v/>
      </c>
      <c r="G866" s="20">
        <f>IF($H866="","",G865+E866-F866)</f>
        <v/>
      </c>
      <c r="H866" s="18">
        <f t="array" ref="H866">IF($B$1="","",IFERROR(_xlfn.AGGREGATE(15,6,ROW('Journal'!$A$3:$A$2002)/(('Journal'!$D$3:$D$2002=$B$1)+('Journal'!$E$3:$E$2002=$B$1))/('Journal'!$B$3:$B$2002&gt;=$B$2)/('Journal'!$B$3:$B$2002&lt;=$B$3),861),""))</f>
        <v/>
      </c>
    </row>
    <row r="867">
      <c r="A867" s="18">
        <f>IF($H867="","",INDEX('Journal'!$A$1:$A$2002,$H867))</f>
        <v/>
      </c>
      <c r="B867" s="21">
        <f>IF($H867="","",INDEX('Journal'!$B$1:$B$2002,$H867))</f>
        <v/>
      </c>
      <c r="C867" s="5">
        <f>IF($H867="","",INDEX('Journal'!$C$1:$C$2002,$H867)&amp;"")</f>
        <v/>
      </c>
      <c r="D867" s="5">
        <f>IF($H867="","",IF(INDEX('Journal'!$D$1:$D$2002,$H867)=$B$1,INDEX('Journal'!$E$1:$E$2002,$H867),INDEX('Journal'!$D$1:$D$2002,$H867))&amp;"")</f>
        <v/>
      </c>
      <c r="E867" s="20">
        <f>IF($H867="","",IF(INDEX('Journal'!$D$1:$D$2002,$H867)=$B$1,N(INDEX('Journal'!$G$1:$G$2002,$H867)),N(INDEX('Journal'!$F$1:$F$2002,$H867))))</f>
        <v/>
      </c>
      <c r="F867" s="20">
        <f>IF($H867="","",IF(INDEX('Journal'!$D$1:$D$2002,$H867)=$B$1,N(INDEX('Journal'!$F$1:$F$2002,$H867)),N(INDEX('Journal'!$G$1:$G$2002,$H867))))</f>
        <v/>
      </c>
      <c r="G867" s="20">
        <f>IF($H867="","",G866+E867-F867)</f>
        <v/>
      </c>
      <c r="H867" s="18">
        <f t="array" ref="H867">IF($B$1="","",IFERROR(_xlfn.AGGREGATE(15,6,ROW('Journal'!$A$3:$A$2002)/(('Journal'!$D$3:$D$2002=$B$1)+('Journal'!$E$3:$E$2002=$B$1))/('Journal'!$B$3:$B$2002&gt;=$B$2)/('Journal'!$B$3:$B$2002&lt;=$B$3),862),""))</f>
        <v/>
      </c>
    </row>
    <row r="868">
      <c r="A868" s="18">
        <f>IF($H868="","",INDEX('Journal'!$A$1:$A$2002,$H868))</f>
        <v/>
      </c>
      <c r="B868" s="21">
        <f>IF($H868="","",INDEX('Journal'!$B$1:$B$2002,$H868))</f>
        <v/>
      </c>
      <c r="C868" s="5">
        <f>IF($H868="","",INDEX('Journal'!$C$1:$C$2002,$H868)&amp;"")</f>
        <v/>
      </c>
      <c r="D868" s="5">
        <f>IF($H868="","",IF(INDEX('Journal'!$D$1:$D$2002,$H868)=$B$1,INDEX('Journal'!$E$1:$E$2002,$H868),INDEX('Journal'!$D$1:$D$2002,$H868))&amp;"")</f>
        <v/>
      </c>
      <c r="E868" s="20">
        <f>IF($H868="","",IF(INDEX('Journal'!$D$1:$D$2002,$H868)=$B$1,N(INDEX('Journal'!$G$1:$G$2002,$H868)),N(INDEX('Journal'!$F$1:$F$2002,$H868))))</f>
        <v/>
      </c>
      <c r="F868" s="20">
        <f>IF($H868="","",IF(INDEX('Journal'!$D$1:$D$2002,$H868)=$B$1,N(INDEX('Journal'!$F$1:$F$2002,$H868)),N(INDEX('Journal'!$G$1:$G$2002,$H868))))</f>
        <v/>
      </c>
      <c r="G868" s="20">
        <f>IF($H868="","",G867+E868-F868)</f>
        <v/>
      </c>
      <c r="H868" s="18">
        <f t="array" ref="H868">IF($B$1="","",IFERROR(_xlfn.AGGREGATE(15,6,ROW('Journal'!$A$3:$A$2002)/(('Journal'!$D$3:$D$2002=$B$1)+('Journal'!$E$3:$E$2002=$B$1))/('Journal'!$B$3:$B$2002&gt;=$B$2)/('Journal'!$B$3:$B$2002&lt;=$B$3),863),""))</f>
        <v/>
      </c>
    </row>
    <row r="869">
      <c r="A869" s="18">
        <f>IF($H869="","",INDEX('Journal'!$A$1:$A$2002,$H869))</f>
        <v/>
      </c>
      <c r="B869" s="21">
        <f>IF($H869="","",INDEX('Journal'!$B$1:$B$2002,$H869))</f>
        <v/>
      </c>
      <c r="C869" s="5">
        <f>IF($H869="","",INDEX('Journal'!$C$1:$C$2002,$H869)&amp;"")</f>
        <v/>
      </c>
      <c r="D869" s="5">
        <f>IF($H869="","",IF(INDEX('Journal'!$D$1:$D$2002,$H869)=$B$1,INDEX('Journal'!$E$1:$E$2002,$H869),INDEX('Journal'!$D$1:$D$2002,$H869))&amp;"")</f>
        <v/>
      </c>
      <c r="E869" s="20">
        <f>IF($H869="","",IF(INDEX('Journal'!$D$1:$D$2002,$H869)=$B$1,N(INDEX('Journal'!$G$1:$G$2002,$H869)),N(INDEX('Journal'!$F$1:$F$2002,$H869))))</f>
        <v/>
      </c>
      <c r="F869" s="20">
        <f>IF($H869="","",IF(INDEX('Journal'!$D$1:$D$2002,$H869)=$B$1,N(INDEX('Journal'!$F$1:$F$2002,$H869)),N(INDEX('Journal'!$G$1:$G$2002,$H869))))</f>
        <v/>
      </c>
      <c r="G869" s="20">
        <f>IF($H869="","",G868+E869-F869)</f>
        <v/>
      </c>
      <c r="H869" s="18">
        <f t="array" ref="H869">IF($B$1="","",IFERROR(_xlfn.AGGREGATE(15,6,ROW('Journal'!$A$3:$A$2002)/(('Journal'!$D$3:$D$2002=$B$1)+('Journal'!$E$3:$E$2002=$B$1))/('Journal'!$B$3:$B$2002&gt;=$B$2)/('Journal'!$B$3:$B$2002&lt;=$B$3),864),""))</f>
        <v/>
      </c>
    </row>
    <row r="870">
      <c r="A870" s="18">
        <f>IF($H870="","",INDEX('Journal'!$A$1:$A$2002,$H870))</f>
        <v/>
      </c>
      <c r="B870" s="21">
        <f>IF($H870="","",INDEX('Journal'!$B$1:$B$2002,$H870))</f>
        <v/>
      </c>
      <c r="C870" s="5">
        <f>IF($H870="","",INDEX('Journal'!$C$1:$C$2002,$H870)&amp;"")</f>
        <v/>
      </c>
      <c r="D870" s="5">
        <f>IF($H870="","",IF(INDEX('Journal'!$D$1:$D$2002,$H870)=$B$1,INDEX('Journal'!$E$1:$E$2002,$H870),INDEX('Journal'!$D$1:$D$2002,$H870))&amp;"")</f>
        <v/>
      </c>
      <c r="E870" s="20">
        <f>IF($H870="","",IF(INDEX('Journal'!$D$1:$D$2002,$H870)=$B$1,N(INDEX('Journal'!$G$1:$G$2002,$H870)),N(INDEX('Journal'!$F$1:$F$2002,$H870))))</f>
        <v/>
      </c>
      <c r="F870" s="20">
        <f>IF($H870="","",IF(INDEX('Journal'!$D$1:$D$2002,$H870)=$B$1,N(INDEX('Journal'!$F$1:$F$2002,$H870)),N(INDEX('Journal'!$G$1:$G$2002,$H870))))</f>
        <v/>
      </c>
      <c r="G870" s="20">
        <f>IF($H870="","",G869+E870-F870)</f>
        <v/>
      </c>
      <c r="H870" s="18">
        <f t="array" ref="H870">IF($B$1="","",IFERROR(_xlfn.AGGREGATE(15,6,ROW('Journal'!$A$3:$A$2002)/(('Journal'!$D$3:$D$2002=$B$1)+('Journal'!$E$3:$E$2002=$B$1))/('Journal'!$B$3:$B$2002&gt;=$B$2)/('Journal'!$B$3:$B$2002&lt;=$B$3),865),""))</f>
        <v/>
      </c>
    </row>
    <row r="871">
      <c r="A871" s="18">
        <f>IF($H871="","",INDEX('Journal'!$A$1:$A$2002,$H871))</f>
        <v/>
      </c>
      <c r="B871" s="21">
        <f>IF($H871="","",INDEX('Journal'!$B$1:$B$2002,$H871))</f>
        <v/>
      </c>
      <c r="C871" s="5">
        <f>IF($H871="","",INDEX('Journal'!$C$1:$C$2002,$H871)&amp;"")</f>
        <v/>
      </c>
      <c r="D871" s="5">
        <f>IF($H871="","",IF(INDEX('Journal'!$D$1:$D$2002,$H871)=$B$1,INDEX('Journal'!$E$1:$E$2002,$H871),INDEX('Journal'!$D$1:$D$2002,$H871))&amp;"")</f>
        <v/>
      </c>
      <c r="E871" s="20">
        <f>IF($H871="","",IF(INDEX('Journal'!$D$1:$D$2002,$H871)=$B$1,N(INDEX('Journal'!$G$1:$G$2002,$H871)),N(INDEX('Journal'!$F$1:$F$2002,$H871))))</f>
        <v/>
      </c>
      <c r="F871" s="20">
        <f>IF($H871="","",IF(INDEX('Journal'!$D$1:$D$2002,$H871)=$B$1,N(INDEX('Journal'!$F$1:$F$2002,$H871)),N(INDEX('Journal'!$G$1:$G$2002,$H871))))</f>
        <v/>
      </c>
      <c r="G871" s="20">
        <f>IF($H871="","",G870+E871-F871)</f>
        <v/>
      </c>
      <c r="H871" s="18">
        <f t="array" ref="H871">IF($B$1="","",IFERROR(_xlfn.AGGREGATE(15,6,ROW('Journal'!$A$3:$A$2002)/(('Journal'!$D$3:$D$2002=$B$1)+('Journal'!$E$3:$E$2002=$B$1))/('Journal'!$B$3:$B$2002&gt;=$B$2)/('Journal'!$B$3:$B$2002&lt;=$B$3),866),""))</f>
        <v/>
      </c>
    </row>
    <row r="872">
      <c r="A872" s="18">
        <f>IF($H872="","",INDEX('Journal'!$A$1:$A$2002,$H872))</f>
        <v/>
      </c>
      <c r="B872" s="21">
        <f>IF($H872="","",INDEX('Journal'!$B$1:$B$2002,$H872))</f>
        <v/>
      </c>
      <c r="C872" s="5">
        <f>IF($H872="","",INDEX('Journal'!$C$1:$C$2002,$H872)&amp;"")</f>
        <v/>
      </c>
      <c r="D872" s="5">
        <f>IF($H872="","",IF(INDEX('Journal'!$D$1:$D$2002,$H872)=$B$1,INDEX('Journal'!$E$1:$E$2002,$H872),INDEX('Journal'!$D$1:$D$2002,$H872))&amp;"")</f>
        <v/>
      </c>
      <c r="E872" s="20">
        <f>IF($H872="","",IF(INDEX('Journal'!$D$1:$D$2002,$H872)=$B$1,N(INDEX('Journal'!$G$1:$G$2002,$H872)),N(INDEX('Journal'!$F$1:$F$2002,$H872))))</f>
        <v/>
      </c>
      <c r="F872" s="20">
        <f>IF($H872="","",IF(INDEX('Journal'!$D$1:$D$2002,$H872)=$B$1,N(INDEX('Journal'!$F$1:$F$2002,$H872)),N(INDEX('Journal'!$G$1:$G$2002,$H872))))</f>
        <v/>
      </c>
      <c r="G872" s="20">
        <f>IF($H872="","",G871+E872-F872)</f>
        <v/>
      </c>
      <c r="H872" s="18">
        <f t="array" ref="H872">IF($B$1="","",IFERROR(_xlfn.AGGREGATE(15,6,ROW('Journal'!$A$3:$A$2002)/(('Journal'!$D$3:$D$2002=$B$1)+('Journal'!$E$3:$E$2002=$B$1))/('Journal'!$B$3:$B$2002&gt;=$B$2)/('Journal'!$B$3:$B$2002&lt;=$B$3),867),""))</f>
        <v/>
      </c>
    </row>
    <row r="873">
      <c r="A873" s="18">
        <f>IF($H873="","",INDEX('Journal'!$A$1:$A$2002,$H873))</f>
        <v/>
      </c>
      <c r="B873" s="21">
        <f>IF($H873="","",INDEX('Journal'!$B$1:$B$2002,$H873))</f>
        <v/>
      </c>
      <c r="C873" s="5">
        <f>IF($H873="","",INDEX('Journal'!$C$1:$C$2002,$H873)&amp;"")</f>
        <v/>
      </c>
      <c r="D873" s="5">
        <f>IF($H873="","",IF(INDEX('Journal'!$D$1:$D$2002,$H873)=$B$1,INDEX('Journal'!$E$1:$E$2002,$H873),INDEX('Journal'!$D$1:$D$2002,$H873))&amp;"")</f>
        <v/>
      </c>
      <c r="E873" s="20">
        <f>IF($H873="","",IF(INDEX('Journal'!$D$1:$D$2002,$H873)=$B$1,N(INDEX('Journal'!$G$1:$G$2002,$H873)),N(INDEX('Journal'!$F$1:$F$2002,$H873))))</f>
        <v/>
      </c>
      <c r="F873" s="20">
        <f>IF($H873="","",IF(INDEX('Journal'!$D$1:$D$2002,$H873)=$B$1,N(INDEX('Journal'!$F$1:$F$2002,$H873)),N(INDEX('Journal'!$G$1:$G$2002,$H873))))</f>
        <v/>
      </c>
      <c r="G873" s="20">
        <f>IF($H873="","",G872+E873-F873)</f>
        <v/>
      </c>
      <c r="H873" s="18">
        <f t="array" ref="H873">IF($B$1="","",IFERROR(_xlfn.AGGREGATE(15,6,ROW('Journal'!$A$3:$A$2002)/(('Journal'!$D$3:$D$2002=$B$1)+('Journal'!$E$3:$E$2002=$B$1))/('Journal'!$B$3:$B$2002&gt;=$B$2)/('Journal'!$B$3:$B$2002&lt;=$B$3),868),""))</f>
        <v/>
      </c>
    </row>
    <row r="874">
      <c r="A874" s="18">
        <f>IF($H874="","",INDEX('Journal'!$A$1:$A$2002,$H874))</f>
        <v/>
      </c>
      <c r="B874" s="21">
        <f>IF($H874="","",INDEX('Journal'!$B$1:$B$2002,$H874))</f>
        <v/>
      </c>
      <c r="C874" s="5">
        <f>IF($H874="","",INDEX('Journal'!$C$1:$C$2002,$H874)&amp;"")</f>
        <v/>
      </c>
      <c r="D874" s="5">
        <f>IF($H874="","",IF(INDEX('Journal'!$D$1:$D$2002,$H874)=$B$1,INDEX('Journal'!$E$1:$E$2002,$H874),INDEX('Journal'!$D$1:$D$2002,$H874))&amp;"")</f>
        <v/>
      </c>
      <c r="E874" s="20">
        <f>IF($H874="","",IF(INDEX('Journal'!$D$1:$D$2002,$H874)=$B$1,N(INDEX('Journal'!$G$1:$G$2002,$H874)),N(INDEX('Journal'!$F$1:$F$2002,$H874))))</f>
        <v/>
      </c>
      <c r="F874" s="20">
        <f>IF($H874="","",IF(INDEX('Journal'!$D$1:$D$2002,$H874)=$B$1,N(INDEX('Journal'!$F$1:$F$2002,$H874)),N(INDEX('Journal'!$G$1:$G$2002,$H874))))</f>
        <v/>
      </c>
      <c r="G874" s="20">
        <f>IF($H874="","",G873+E874-F874)</f>
        <v/>
      </c>
      <c r="H874" s="18">
        <f t="array" ref="H874">IF($B$1="","",IFERROR(_xlfn.AGGREGATE(15,6,ROW('Journal'!$A$3:$A$2002)/(('Journal'!$D$3:$D$2002=$B$1)+('Journal'!$E$3:$E$2002=$B$1))/('Journal'!$B$3:$B$2002&gt;=$B$2)/('Journal'!$B$3:$B$2002&lt;=$B$3),869),""))</f>
        <v/>
      </c>
    </row>
    <row r="875">
      <c r="A875" s="18">
        <f>IF($H875="","",INDEX('Journal'!$A$1:$A$2002,$H875))</f>
        <v/>
      </c>
      <c r="B875" s="21">
        <f>IF($H875="","",INDEX('Journal'!$B$1:$B$2002,$H875))</f>
        <v/>
      </c>
      <c r="C875" s="5">
        <f>IF($H875="","",INDEX('Journal'!$C$1:$C$2002,$H875)&amp;"")</f>
        <v/>
      </c>
      <c r="D875" s="5">
        <f>IF($H875="","",IF(INDEX('Journal'!$D$1:$D$2002,$H875)=$B$1,INDEX('Journal'!$E$1:$E$2002,$H875),INDEX('Journal'!$D$1:$D$2002,$H875))&amp;"")</f>
        <v/>
      </c>
      <c r="E875" s="20">
        <f>IF($H875="","",IF(INDEX('Journal'!$D$1:$D$2002,$H875)=$B$1,N(INDEX('Journal'!$G$1:$G$2002,$H875)),N(INDEX('Journal'!$F$1:$F$2002,$H875))))</f>
        <v/>
      </c>
      <c r="F875" s="20">
        <f>IF($H875="","",IF(INDEX('Journal'!$D$1:$D$2002,$H875)=$B$1,N(INDEX('Journal'!$F$1:$F$2002,$H875)),N(INDEX('Journal'!$G$1:$G$2002,$H875))))</f>
        <v/>
      </c>
      <c r="G875" s="20">
        <f>IF($H875="","",G874+E875-F875)</f>
        <v/>
      </c>
      <c r="H875" s="18">
        <f t="array" ref="H875">IF($B$1="","",IFERROR(_xlfn.AGGREGATE(15,6,ROW('Journal'!$A$3:$A$2002)/(('Journal'!$D$3:$D$2002=$B$1)+('Journal'!$E$3:$E$2002=$B$1))/('Journal'!$B$3:$B$2002&gt;=$B$2)/('Journal'!$B$3:$B$2002&lt;=$B$3),870),""))</f>
        <v/>
      </c>
    </row>
    <row r="876">
      <c r="A876" s="18">
        <f>IF($H876="","",INDEX('Journal'!$A$1:$A$2002,$H876))</f>
        <v/>
      </c>
      <c r="B876" s="21">
        <f>IF($H876="","",INDEX('Journal'!$B$1:$B$2002,$H876))</f>
        <v/>
      </c>
      <c r="C876" s="5">
        <f>IF($H876="","",INDEX('Journal'!$C$1:$C$2002,$H876)&amp;"")</f>
        <v/>
      </c>
      <c r="D876" s="5">
        <f>IF($H876="","",IF(INDEX('Journal'!$D$1:$D$2002,$H876)=$B$1,INDEX('Journal'!$E$1:$E$2002,$H876),INDEX('Journal'!$D$1:$D$2002,$H876))&amp;"")</f>
        <v/>
      </c>
      <c r="E876" s="20">
        <f>IF($H876="","",IF(INDEX('Journal'!$D$1:$D$2002,$H876)=$B$1,N(INDEX('Journal'!$G$1:$G$2002,$H876)),N(INDEX('Journal'!$F$1:$F$2002,$H876))))</f>
        <v/>
      </c>
      <c r="F876" s="20">
        <f>IF($H876="","",IF(INDEX('Journal'!$D$1:$D$2002,$H876)=$B$1,N(INDEX('Journal'!$F$1:$F$2002,$H876)),N(INDEX('Journal'!$G$1:$G$2002,$H876))))</f>
        <v/>
      </c>
      <c r="G876" s="20">
        <f>IF($H876="","",G875+E876-F876)</f>
        <v/>
      </c>
      <c r="H876" s="18">
        <f t="array" ref="H876">IF($B$1="","",IFERROR(_xlfn.AGGREGATE(15,6,ROW('Journal'!$A$3:$A$2002)/(('Journal'!$D$3:$D$2002=$B$1)+('Journal'!$E$3:$E$2002=$B$1))/('Journal'!$B$3:$B$2002&gt;=$B$2)/('Journal'!$B$3:$B$2002&lt;=$B$3),871),""))</f>
        <v/>
      </c>
    </row>
    <row r="877">
      <c r="A877" s="18">
        <f>IF($H877="","",INDEX('Journal'!$A$1:$A$2002,$H877))</f>
        <v/>
      </c>
      <c r="B877" s="21">
        <f>IF($H877="","",INDEX('Journal'!$B$1:$B$2002,$H877))</f>
        <v/>
      </c>
      <c r="C877" s="5">
        <f>IF($H877="","",INDEX('Journal'!$C$1:$C$2002,$H877)&amp;"")</f>
        <v/>
      </c>
      <c r="D877" s="5">
        <f>IF($H877="","",IF(INDEX('Journal'!$D$1:$D$2002,$H877)=$B$1,INDEX('Journal'!$E$1:$E$2002,$H877),INDEX('Journal'!$D$1:$D$2002,$H877))&amp;"")</f>
        <v/>
      </c>
      <c r="E877" s="20">
        <f>IF($H877="","",IF(INDEX('Journal'!$D$1:$D$2002,$H877)=$B$1,N(INDEX('Journal'!$G$1:$G$2002,$H877)),N(INDEX('Journal'!$F$1:$F$2002,$H877))))</f>
        <v/>
      </c>
      <c r="F877" s="20">
        <f>IF($H877="","",IF(INDEX('Journal'!$D$1:$D$2002,$H877)=$B$1,N(INDEX('Journal'!$F$1:$F$2002,$H877)),N(INDEX('Journal'!$G$1:$G$2002,$H877))))</f>
        <v/>
      </c>
      <c r="G877" s="20">
        <f>IF($H877="","",G876+E877-F877)</f>
        <v/>
      </c>
      <c r="H877" s="18">
        <f t="array" ref="H877">IF($B$1="","",IFERROR(_xlfn.AGGREGATE(15,6,ROW('Journal'!$A$3:$A$2002)/(('Journal'!$D$3:$D$2002=$B$1)+('Journal'!$E$3:$E$2002=$B$1))/('Journal'!$B$3:$B$2002&gt;=$B$2)/('Journal'!$B$3:$B$2002&lt;=$B$3),872),""))</f>
        <v/>
      </c>
    </row>
    <row r="878">
      <c r="A878" s="18">
        <f>IF($H878="","",INDEX('Journal'!$A$1:$A$2002,$H878))</f>
        <v/>
      </c>
      <c r="B878" s="21">
        <f>IF($H878="","",INDEX('Journal'!$B$1:$B$2002,$H878))</f>
        <v/>
      </c>
      <c r="C878" s="5">
        <f>IF($H878="","",INDEX('Journal'!$C$1:$C$2002,$H878)&amp;"")</f>
        <v/>
      </c>
      <c r="D878" s="5">
        <f>IF($H878="","",IF(INDEX('Journal'!$D$1:$D$2002,$H878)=$B$1,INDEX('Journal'!$E$1:$E$2002,$H878),INDEX('Journal'!$D$1:$D$2002,$H878))&amp;"")</f>
        <v/>
      </c>
      <c r="E878" s="20">
        <f>IF($H878="","",IF(INDEX('Journal'!$D$1:$D$2002,$H878)=$B$1,N(INDEX('Journal'!$G$1:$G$2002,$H878)),N(INDEX('Journal'!$F$1:$F$2002,$H878))))</f>
        <v/>
      </c>
      <c r="F878" s="20">
        <f>IF($H878="","",IF(INDEX('Journal'!$D$1:$D$2002,$H878)=$B$1,N(INDEX('Journal'!$F$1:$F$2002,$H878)),N(INDEX('Journal'!$G$1:$G$2002,$H878))))</f>
        <v/>
      </c>
      <c r="G878" s="20">
        <f>IF($H878="","",G877+E878-F878)</f>
        <v/>
      </c>
      <c r="H878" s="18">
        <f t="array" ref="H878">IF($B$1="","",IFERROR(_xlfn.AGGREGATE(15,6,ROW('Journal'!$A$3:$A$2002)/(('Journal'!$D$3:$D$2002=$B$1)+('Journal'!$E$3:$E$2002=$B$1))/('Journal'!$B$3:$B$2002&gt;=$B$2)/('Journal'!$B$3:$B$2002&lt;=$B$3),873),""))</f>
        <v/>
      </c>
    </row>
    <row r="879">
      <c r="A879" s="18">
        <f>IF($H879="","",INDEX('Journal'!$A$1:$A$2002,$H879))</f>
        <v/>
      </c>
      <c r="B879" s="21">
        <f>IF($H879="","",INDEX('Journal'!$B$1:$B$2002,$H879))</f>
        <v/>
      </c>
      <c r="C879" s="5">
        <f>IF($H879="","",INDEX('Journal'!$C$1:$C$2002,$H879)&amp;"")</f>
        <v/>
      </c>
      <c r="D879" s="5">
        <f>IF($H879="","",IF(INDEX('Journal'!$D$1:$D$2002,$H879)=$B$1,INDEX('Journal'!$E$1:$E$2002,$H879),INDEX('Journal'!$D$1:$D$2002,$H879))&amp;"")</f>
        <v/>
      </c>
      <c r="E879" s="20">
        <f>IF($H879="","",IF(INDEX('Journal'!$D$1:$D$2002,$H879)=$B$1,N(INDEX('Journal'!$G$1:$G$2002,$H879)),N(INDEX('Journal'!$F$1:$F$2002,$H879))))</f>
        <v/>
      </c>
      <c r="F879" s="20">
        <f>IF($H879="","",IF(INDEX('Journal'!$D$1:$D$2002,$H879)=$B$1,N(INDEX('Journal'!$F$1:$F$2002,$H879)),N(INDEX('Journal'!$G$1:$G$2002,$H879))))</f>
        <v/>
      </c>
      <c r="G879" s="20">
        <f>IF($H879="","",G878+E879-F879)</f>
        <v/>
      </c>
      <c r="H879" s="18">
        <f t="array" ref="H879">IF($B$1="","",IFERROR(_xlfn.AGGREGATE(15,6,ROW('Journal'!$A$3:$A$2002)/(('Journal'!$D$3:$D$2002=$B$1)+('Journal'!$E$3:$E$2002=$B$1))/('Journal'!$B$3:$B$2002&gt;=$B$2)/('Journal'!$B$3:$B$2002&lt;=$B$3),874),""))</f>
        <v/>
      </c>
    </row>
    <row r="880">
      <c r="A880" s="18">
        <f>IF($H880="","",INDEX('Journal'!$A$1:$A$2002,$H880))</f>
        <v/>
      </c>
      <c r="B880" s="21">
        <f>IF($H880="","",INDEX('Journal'!$B$1:$B$2002,$H880))</f>
        <v/>
      </c>
      <c r="C880" s="5">
        <f>IF($H880="","",INDEX('Journal'!$C$1:$C$2002,$H880)&amp;"")</f>
        <v/>
      </c>
      <c r="D880" s="5">
        <f>IF($H880="","",IF(INDEX('Journal'!$D$1:$D$2002,$H880)=$B$1,INDEX('Journal'!$E$1:$E$2002,$H880),INDEX('Journal'!$D$1:$D$2002,$H880))&amp;"")</f>
        <v/>
      </c>
      <c r="E880" s="20">
        <f>IF($H880="","",IF(INDEX('Journal'!$D$1:$D$2002,$H880)=$B$1,N(INDEX('Journal'!$G$1:$G$2002,$H880)),N(INDEX('Journal'!$F$1:$F$2002,$H880))))</f>
        <v/>
      </c>
      <c r="F880" s="20">
        <f>IF($H880="","",IF(INDEX('Journal'!$D$1:$D$2002,$H880)=$B$1,N(INDEX('Journal'!$F$1:$F$2002,$H880)),N(INDEX('Journal'!$G$1:$G$2002,$H880))))</f>
        <v/>
      </c>
      <c r="G880" s="20">
        <f>IF($H880="","",G879+E880-F880)</f>
        <v/>
      </c>
      <c r="H880" s="18">
        <f t="array" ref="H880">IF($B$1="","",IFERROR(_xlfn.AGGREGATE(15,6,ROW('Journal'!$A$3:$A$2002)/(('Journal'!$D$3:$D$2002=$B$1)+('Journal'!$E$3:$E$2002=$B$1))/('Journal'!$B$3:$B$2002&gt;=$B$2)/('Journal'!$B$3:$B$2002&lt;=$B$3),875),""))</f>
        <v/>
      </c>
    </row>
    <row r="881">
      <c r="A881" s="18">
        <f>IF($H881="","",INDEX('Journal'!$A$1:$A$2002,$H881))</f>
        <v/>
      </c>
      <c r="B881" s="21">
        <f>IF($H881="","",INDEX('Journal'!$B$1:$B$2002,$H881))</f>
        <v/>
      </c>
      <c r="C881" s="5">
        <f>IF($H881="","",INDEX('Journal'!$C$1:$C$2002,$H881)&amp;"")</f>
        <v/>
      </c>
      <c r="D881" s="5">
        <f>IF($H881="","",IF(INDEX('Journal'!$D$1:$D$2002,$H881)=$B$1,INDEX('Journal'!$E$1:$E$2002,$H881),INDEX('Journal'!$D$1:$D$2002,$H881))&amp;"")</f>
        <v/>
      </c>
      <c r="E881" s="20">
        <f>IF($H881="","",IF(INDEX('Journal'!$D$1:$D$2002,$H881)=$B$1,N(INDEX('Journal'!$G$1:$G$2002,$H881)),N(INDEX('Journal'!$F$1:$F$2002,$H881))))</f>
        <v/>
      </c>
      <c r="F881" s="20">
        <f>IF($H881="","",IF(INDEX('Journal'!$D$1:$D$2002,$H881)=$B$1,N(INDEX('Journal'!$F$1:$F$2002,$H881)),N(INDEX('Journal'!$G$1:$G$2002,$H881))))</f>
        <v/>
      </c>
      <c r="G881" s="20">
        <f>IF($H881="","",G880+E881-F881)</f>
        <v/>
      </c>
      <c r="H881" s="18">
        <f t="array" ref="H881">IF($B$1="","",IFERROR(_xlfn.AGGREGATE(15,6,ROW('Journal'!$A$3:$A$2002)/(('Journal'!$D$3:$D$2002=$B$1)+('Journal'!$E$3:$E$2002=$B$1))/('Journal'!$B$3:$B$2002&gt;=$B$2)/('Journal'!$B$3:$B$2002&lt;=$B$3),876),""))</f>
        <v/>
      </c>
    </row>
    <row r="882">
      <c r="A882" s="18">
        <f>IF($H882="","",INDEX('Journal'!$A$1:$A$2002,$H882))</f>
        <v/>
      </c>
      <c r="B882" s="21">
        <f>IF($H882="","",INDEX('Journal'!$B$1:$B$2002,$H882))</f>
        <v/>
      </c>
      <c r="C882" s="5">
        <f>IF($H882="","",INDEX('Journal'!$C$1:$C$2002,$H882)&amp;"")</f>
        <v/>
      </c>
      <c r="D882" s="5">
        <f>IF($H882="","",IF(INDEX('Journal'!$D$1:$D$2002,$H882)=$B$1,INDEX('Journal'!$E$1:$E$2002,$H882),INDEX('Journal'!$D$1:$D$2002,$H882))&amp;"")</f>
        <v/>
      </c>
      <c r="E882" s="20">
        <f>IF($H882="","",IF(INDEX('Journal'!$D$1:$D$2002,$H882)=$B$1,N(INDEX('Journal'!$G$1:$G$2002,$H882)),N(INDEX('Journal'!$F$1:$F$2002,$H882))))</f>
        <v/>
      </c>
      <c r="F882" s="20">
        <f>IF($H882="","",IF(INDEX('Journal'!$D$1:$D$2002,$H882)=$B$1,N(INDEX('Journal'!$F$1:$F$2002,$H882)),N(INDEX('Journal'!$G$1:$G$2002,$H882))))</f>
        <v/>
      </c>
      <c r="G882" s="20">
        <f>IF($H882="","",G881+E882-F882)</f>
        <v/>
      </c>
      <c r="H882" s="18">
        <f t="array" ref="H882">IF($B$1="","",IFERROR(_xlfn.AGGREGATE(15,6,ROW('Journal'!$A$3:$A$2002)/(('Journal'!$D$3:$D$2002=$B$1)+('Journal'!$E$3:$E$2002=$B$1))/('Journal'!$B$3:$B$2002&gt;=$B$2)/('Journal'!$B$3:$B$2002&lt;=$B$3),877),""))</f>
        <v/>
      </c>
    </row>
    <row r="883">
      <c r="A883" s="18">
        <f>IF($H883="","",INDEX('Journal'!$A$1:$A$2002,$H883))</f>
        <v/>
      </c>
      <c r="B883" s="21">
        <f>IF($H883="","",INDEX('Journal'!$B$1:$B$2002,$H883))</f>
        <v/>
      </c>
      <c r="C883" s="5">
        <f>IF($H883="","",INDEX('Journal'!$C$1:$C$2002,$H883)&amp;"")</f>
        <v/>
      </c>
      <c r="D883" s="5">
        <f>IF($H883="","",IF(INDEX('Journal'!$D$1:$D$2002,$H883)=$B$1,INDEX('Journal'!$E$1:$E$2002,$H883),INDEX('Journal'!$D$1:$D$2002,$H883))&amp;"")</f>
        <v/>
      </c>
      <c r="E883" s="20">
        <f>IF($H883="","",IF(INDEX('Journal'!$D$1:$D$2002,$H883)=$B$1,N(INDEX('Journal'!$G$1:$G$2002,$H883)),N(INDEX('Journal'!$F$1:$F$2002,$H883))))</f>
        <v/>
      </c>
      <c r="F883" s="20">
        <f>IF($H883="","",IF(INDEX('Journal'!$D$1:$D$2002,$H883)=$B$1,N(INDEX('Journal'!$F$1:$F$2002,$H883)),N(INDEX('Journal'!$G$1:$G$2002,$H883))))</f>
        <v/>
      </c>
      <c r="G883" s="20">
        <f>IF($H883="","",G882+E883-F883)</f>
        <v/>
      </c>
      <c r="H883" s="18">
        <f t="array" ref="H883">IF($B$1="","",IFERROR(_xlfn.AGGREGATE(15,6,ROW('Journal'!$A$3:$A$2002)/(('Journal'!$D$3:$D$2002=$B$1)+('Journal'!$E$3:$E$2002=$B$1))/('Journal'!$B$3:$B$2002&gt;=$B$2)/('Journal'!$B$3:$B$2002&lt;=$B$3),878),""))</f>
        <v/>
      </c>
    </row>
    <row r="884">
      <c r="A884" s="18">
        <f>IF($H884="","",INDEX('Journal'!$A$1:$A$2002,$H884))</f>
        <v/>
      </c>
      <c r="B884" s="21">
        <f>IF($H884="","",INDEX('Journal'!$B$1:$B$2002,$H884))</f>
        <v/>
      </c>
      <c r="C884" s="5">
        <f>IF($H884="","",INDEX('Journal'!$C$1:$C$2002,$H884)&amp;"")</f>
        <v/>
      </c>
      <c r="D884" s="5">
        <f>IF($H884="","",IF(INDEX('Journal'!$D$1:$D$2002,$H884)=$B$1,INDEX('Journal'!$E$1:$E$2002,$H884),INDEX('Journal'!$D$1:$D$2002,$H884))&amp;"")</f>
        <v/>
      </c>
      <c r="E884" s="20">
        <f>IF($H884="","",IF(INDEX('Journal'!$D$1:$D$2002,$H884)=$B$1,N(INDEX('Journal'!$G$1:$G$2002,$H884)),N(INDEX('Journal'!$F$1:$F$2002,$H884))))</f>
        <v/>
      </c>
      <c r="F884" s="20">
        <f>IF($H884="","",IF(INDEX('Journal'!$D$1:$D$2002,$H884)=$B$1,N(INDEX('Journal'!$F$1:$F$2002,$H884)),N(INDEX('Journal'!$G$1:$G$2002,$H884))))</f>
        <v/>
      </c>
      <c r="G884" s="20">
        <f>IF($H884="","",G883+E884-F884)</f>
        <v/>
      </c>
      <c r="H884" s="18">
        <f t="array" ref="H884">IF($B$1="","",IFERROR(_xlfn.AGGREGATE(15,6,ROW('Journal'!$A$3:$A$2002)/(('Journal'!$D$3:$D$2002=$B$1)+('Journal'!$E$3:$E$2002=$B$1))/('Journal'!$B$3:$B$2002&gt;=$B$2)/('Journal'!$B$3:$B$2002&lt;=$B$3),879),""))</f>
        <v/>
      </c>
    </row>
    <row r="885">
      <c r="A885" s="18">
        <f>IF($H885="","",INDEX('Journal'!$A$1:$A$2002,$H885))</f>
        <v/>
      </c>
      <c r="B885" s="21">
        <f>IF($H885="","",INDEX('Journal'!$B$1:$B$2002,$H885))</f>
        <v/>
      </c>
      <c r="C885" s="5">
        <f>IF($H885="","",INDEX('Journal'!$C$1:$C$2002,$H885)&amp;"")</f>
        <v/>
      </c>
      <c r="D885" s="5">
        <f>IF($H885="","",IF(INDEX('Journal'!$D$1:$D$2002,$H885)=$B$1,INDEX('Journal'!$E$1:$E$2002,$H885),INDEX('Journal'!$D$1:$D$2002,$H885))&amp;"")</f>
        <v/>
      </c>
      <c r="E885" s="20">
        <f>IF($H885="","",IF(INDEX('Journal'!$D$1:$D$2002,$H885)=$B$1,N(INDEX('Journal'!$G$1:$G$2002,$H885)),N(INDEX('Journal'!$F$1:$F$2002,$H885))))</f>
        <v/>
      </c>
      <c r="F885" s="20">
        <f>IF($H885="","",IF(INDEX('Journal'!$D$1:$D$2002,$H885)=$B$1,N(INDEX('Journal'!$F$1:$F$2002,$H885)),N(INDEX('Journal'!$G$1:$G$2002,$H885))))</f>
        <v/>
      </c>
      <c r="G885" s="20">
        <f>IF($H885="","",G884+E885-F885)</f>
        <v/>
      </c>
      <c r="H885" s="18">
        <f t="array" ref="H885">IF($B$1="","",IFERROR(_xlfn.AGGREGATE(15,6,ROW('Journal'!$A$3:$A$2002)/(('Journal'!$D$3:$D$2002=$B$1)+('Journal'!$E$3:$E$2002=$B$1))/('Journal'!$B$3:$B$2002&gt;=$B$2)/('Journal'!$B$3:$B$2002&lt;=$B$3),880),""))</f>
        <v/>
      </c>
    </row>
    <row r="886">
      <c r="A886" s="18">
        <f>IF($H886="","",INDEX('Journal'!$A$1:$A$2002,$H886))</f>
        <v/>
      </c>
      <c r="B886" s="21">
        <f>IF($H886="","",INDEX('Journal'!$B$1:$B$2002,$H886))</f>
        <v/>
      </c>
      <c r="C886" s="5">
        <f>IF($H886="","",INDEX('Journal'!$C$1:$C$2002,$H886)&amp;"")</f>
        <v/>
      </c>
      <c r="D886" s="5">
        <f>IF($H886="","",IF(INDEX('Journal'!$D$1:$D$2002,$H886)=$B$1,INDEX('Journal'!$E$1:$E$2002,$H886),INDEX('Journal'!$D$1:$D$2002,$H886))&amp;"")</f>
        <v/>
      </c>
      <c r="E886" s="20">
        <f>IF($H886="","",IF(INDEX('Journal'!$D$1:$D$2002,$H886)=$B$1,N(INDEX('Journal'!$G$1:$G$2002,$H886)),N(INDEX('Journal'!$F$1:$F$2002,$H886))))</f>
        <v/>
      </c>
      <c r="F886" s="20">
        <f>IF($H886="","",IF(INDEX('Journal'!$D$1:$D$2002,$H886)=$B$1,N(INDEX('Journal'!$F$1:$F$2002,$H886)),N(INDEX('Journal'!$G$1:$G$2002,$H886))))</f>
        <v/>
      </c>
      <c r="G886" s="20">
        <f>IF($H886="","",G885+E886-F886)</f>
        <v/>
      </c>
      <c r="H886" s="18">
        <f t="array" ref="H886">IF($B$1="","",IFERROR(_xlfn.AGGREGATE(15,6,ROW('Journal'!$A$3:$A$2002)/(('Journal'!$D$3:$D$2002=$B$1)+('Journal'!$E$3:$E$2002=$B$1))/('Journal'!$B$3:$B$2002&gt;=$B$2)/('Journal'!$B$3:$B$2002&lt;=$B$3),881),""))</f>
        <v/>
      </c>
    </row>
    <row r="887">
      <c r="A887" s="18">
        <f>IF($H887="","",INDEX('Journal'!$A$1:$A$2002,$H887))</f>
        <v/>
      </c>
      <c r="B887" s="21">
        <f>IF($H887="","",INDEX('Journal'!$B$1:$B$2002,$H887))</f>
        <v/>
      </c>
      <c r="C887" s="5">
        <f>IF($H887="","",INDEX('Journal'!$C$1:$C$2002,$H887)&amp;"")</f>
        <v/>
      </c>
      <c r="D887" s="5">
        <f>IF($H887="","",IF(INDEX('Journal'!$D$1:$D$2002,$H887)=$B$1,INDEX('Journal'!$E$1:$E$2002,$H887),INDEX('Journal'!$D$1:$D$2002,$H887))&amp;"")</f>
        <v/>
      </c>
      <c r="E887" s="20">
        <f>IF($H887="","",IF(INDEX('Journal'!$D$1:$D$2002,$H887)=$B$1,N(INDEX('Journal'!$G$1:$G$2002,$H887)),N(INDEX('Journal'!$F$1:$F$2002,$H887))))</f>
        <v/>
      </c>
      <c r="F887" s="20">
        <f>IF($H887="","",IF(INDEX('Journal'!$D$1:$D$2002,$H887)=$B$1,N(INDEX('Journal'!$F$1:$F$2002,$H887)),N(INDEX('Journal'!$G$1:$G$2002,$H887))))</f>
        <v/>
      </c>
      <c r="G887" s="20">
        <f>IF($H887="","",G886+E887-F887)</f>
        <v/>
      </c>
      <c r="H887" s="18">
        <f t="array" ref="H887">IF($B$1="","",IFERROR(_xlfn.AGGREGATE(15,6,ROW('Journal'!$A$3:$A$2002)/(('Journal'!$D$3:$D$2002=$B$1)+('Journal'!$E$3:$E$2002=$B$1))/('Journal'!$B$3:$B$2002&gt;=$B$2)/('Journal'!$B$3:$B$2002&lt;=$B$3),882),""))</f>
        <v/>
      </c>
    </row>
    <row r="888">
      <c r="A888" s="18">
        <f>IF($H888="","",INDEX('Journal'!$A$1:$A$2002,$H888))</f>
        <v/>
      </c>
      <c r="B888" s="21">
        <f>IF($H888="","",INDEX('Journal'!$B$1:$B$2002,$H888))</f>
        <v/>
      </c>
      <c r="C888" s="5">
        <f>IF($H888="","",INDEX('Journal'!$C$1:$C$2002,$H888)&amp;"")</f>
        <v/>
      </c>
      <c r="D888" s="5">
        <f>IF($H888="","",IF(INDEX('Journal'!$D$1:$D$2002,$H888)=$B$1,INDEX('Journal'!$E$1:$E$2002,$H888),INDEX('Journal'!$D$1:$D$2002,$H888))&amp;"")</f>
        <v/>
      </c>
      <c r="E888" s="20">
        <f>IF($H888="","",IF(INDEX('Journal'!$D$1:$D$2002,$H888)=$B$1,N(INDEX('Journal'!$G$1:$G$2002,$H888)),N(INDEX('Journal'!$F$1:$F$2002,$H888))))</f>
        <v/>
      </c>
      <c r="F888" s="20">
        <f>IF($H888="","",IF(INDEX('Journal'!$D$1:$D$2002,$H888)=$B$1,N(INDEX('Journal'!$F$1:$F$2002,$H888)),N(INDEX('Journal'!$G$1:$G$2002,$H888))))</f>
        <v/>
      </c>
      <c r="G888" s="20">
        <f>IF($H888="","",G887+E888-F888)</f>
        <v/>
      </c>
      <c r="H888" s="18">
        <f t="array" ref="H888">IF($B$1="","",IFERROR(_xlfn.AGGREGATE(15,6,ROW('Journal'!$A$3:$A$2002)/(('Journal'!$D$3:$D$2002=$B$1)+('Journal'!$E$3:$E$2002=$B$1))/('Journal'!$B$3:$B$2002&gt;=$B$2)/('Journal'!$B$3:$B$2002&lt;=$B$3),883),""))</f>
        <v/>
      </c>
    </row>
    <row r="889">
      <c r="A889" s="18">
        <f>IF($H889="","",INDEX('Journal'!$A$1:$A$2002,$H889))</f>
        <v/>
      </c>
      <c r="B889" s="21">
        <f>IF($H889="","",INDEX('Journal'!$B$1:$B$2002,$H889))</f>
        <v/>
      </c>
      <c r="C889" s="5">
        <f>IF($H889="","",INDEX('Journal'!$C$1:$C$2002,$H889)&amp;"")</f>
        <v/>
      </c>
      <c r="D889" s="5">
        <f>IF($H889="","",IF(INDEX('Journal'!$D$1:$D$2002,$H889)=$B$1,INDEX('Journal'!$E$1:$E$2002,$H889),INDEX('Journal'!$D$1:$D$2002,$H889))&amp;"")</f>
        <v/>
      </c>
      <c r="E889" s="20">
        <f>IF($H889="","",IF(INDEX('Journal'!$D$1:$D$2002,$H889)=$B$1,N(INDEX('Journal'!$G$1:$G$2002,$H889)),N(INDEX('Journal'!$F$1:$F$2002,$H889))))</f>
        <v/>
      </c>
      <c r="F889" s="20">
        <f>IF($H889="","",IF(INDEX('Journal'!$D$1:$D$2002,$H889)=$B$1,N(INDEX('Journal'!$F$1:$F$2002,$H889)),N(INDEX('Journal'!$G$1:$G$2002,$H889))))</f>
        <v/>
      </c>
      <c r="G889" s="20">
        <f>IF($H889="","",G888+E889-F889)</f>
        <v/>
      </c>
      <c r="H889" s="18">
        <f t="array" ref="H889">IF($B$1="","",IFERROR(_xlfn.AGGREGATE(15,6,ROW('Journal'!$A$3:$A$2002)/(('Journal'!$D$3:$D$2002=$B$1)+('Journal'!$E$3:$E$2002=$B$1))/('Journal'!$B$3:$B$2002&gt;=$B$2)/('Journal'!$B$3:$B$2002&lt;=$B$3),884),""))</f>
        <v/>
      </c>
    </row>
    <row r="890">
      <c r="A890" s="18">
        <f>IF($H890="","",INDEX('Journal'!$A$1:$A$2002,$H890))</f>
        <v/>
      </c>
      <c r="B890" s="21">
        <f>IF($H890="","",INDEX('Journal'!$B$1:$B$2002,$H890))</f>
        <v/>
      </c>
      <c r="C890" s="5">
        <f>IF($H890="","",INDEX('Journal'!$C$1:$C$2002,$H890)&amp;"")</f>
        <v/>
      </c>
      <c r="D890" s="5">
        <f>IF($H890="","",IF(INDEX('Journal'!$D$1:$D$2002,$H890)=$B$1,INDEX('Journal'!$E$1:$E$2002,$H890),INDEX('Journal'!$D$1:$D$2002,$H890))&amp;"")</f>
        <v/>
      </c>
      <c r="E890" s="20">
        <f>IF($H890="","",IF(INDEX('Journal'!$D$1:$D$2002,$H890)=$B$1,N(INDEX('Journal'!$G$1:$G$2002,$H890)),N(INDEX('Journal'!$F$1:$F$2002,$H890))))</f>
        <v/>
      </c>
      <c r="F890" s="20">
        <f>IF($H890="","",IF(INDEX('Journal'!$D$1:$D$2002,$H890)=$B$1,N(INDEX('Journal'!$F$1:$F$2002,$H890)),N(INDEX('Journal'!$G$1:$G$2002,$H890))))</f>
        <v/>
      </c>
      <c r="G890" s="20">
        <f>IF($H890="","",G889+E890-F890)</f>
        <v/>
      </c>
      <c r="H890" s="18">
        <f t="array" ref="H890">IF($B$1="","",IFERROR(_xlfn.AGGREGATE(15,6,ROW('Journal'!$A$3:$A$2002)/(('Journal'!$D$3:$D$2002=$B$1)+('Journal'!$E$3:$E$2002=$B$1))/('Journal'!$B$3:$B$2002&gt;=$B$2)/('Journal'!$B$3:$B$2002&lt;=$B$3),885),""))</f>
        <v/>
      </c>
    </row>
    <row r="891">
      <c r="A891" s="18">
        <f>IF($H891="","",INDEX('Journal'!$A$1:$A$2002,$H891))</f>
        <v/>
      </c>
      <c r="B891" s="21">
        <f>IF($H891="","",INDEX('Journal'!$B$1:$B$2002,$H891))</f>
        <v/>
      </c>
      <c r="C891" s="5">
        <f>IF($H891="","",INDEX('Journal'!$C$1:$C$2002,$H891)&amp;"")</f>
        <v/>
      </c>
      <c r="D891" s="5">
        <f>IF($H891="","",IF(INDEX('Journal'!$D$1:$D$2002,$H891)=$B$1,INDEX('Journal'!$E$1:$E$2002,$H891),INDEX('Journal'!$D$1:$D$2002,$H891))&amp;"")</f>
        <v/>
      </c>
      <c r="E891" s="20">
        <f>IF($H891="","",IF(INDEX('Journal'!$D$1:$D$2002,$H891)=$B$1,N(INDEX('Journal'!$G$1:$G$2002,$H891)),N(INDEX('Journal'!$F$1:$F$2002,$H891))))</f>
        <v/>
      </c>
      <c r="F891" s="20">
        <f>IF($H891="","",IF(INDEX('Journal'!$D$1:$D$2002,$H891)=$B$1,N(INDEX('Journal'!$F$1:$F$2002,$H891)),N(INDEX('Journal'!$G$1:$G$2002,$H891))))</f>
        <v/>
      </c>
      <c r="G891" s="20">
        <f>IF($H891="","",G890+E891-F891)</f>
        <v/>
      </c>
      <c r="H891" s="18">
        <f t="array" ref="H891">IF($B$1="","",IFERROR(_xlfn.AGGREGATE(15,6,ROW('Journal'!$A$3:$A$2002)/(('Journal'!$D$3:$D$2002=$B$1)+('Journal'!$E$3:$E$2002=$B$1))/('Journal'!$B$3:$B$2002&gt;=$B$2)/('Journal'!$B$3:$B$2002&lt;=$B$3),886),""))</f>
        <v/>
      </c>
    </row>
    <row r="892">
      <c r="A892" s="18">
        <f>IF($H892="","",INDEX('Journal'!$A$1:$A$2002,$H892))</f>
        <v/>
      </c>
      <c r="B892" s="21">
        <f>IF($H892="","",INDEX('Journal'!$B$1:$B$2002,$H892))</f>
        <v/>
      </c>
      <c r="C892" s="5">
        <f>IF($H892="","",INDEX('Journal'!$C$1:$C$2002,$H892)&amp;"")</f>
        <v/>
      </c>
      <c r="D892" s="5">
        <f>IF($H892="","",IF(INDEX('Journal'!$D$1:$D$2002,$H892)=$B$1,INDEX('Journal'!$E$1:$E$2002,$H892),INDEX('Journal'!$D$1:$D$2002,$H892))&amp;"")</f>
        <v/>
      </c>
      <c r="E892" s="20">
        <f>IF($H892="","",IF(INDEX('Journal'!$D$1:$D$2002,$H892)=$B$1,N(INDEX('Journal'!$G$1:$G$2002,$H892)),N(INDEX('Journal'!$F$1:$F$2002,$H892))))</f>
        <v/>
      </c>
      <c r="F892" s="20">
        <f>IF($H892="","",IF(INDEX('Journal'!$D$1:$D$2002,$H892)=$B$1,N(INDEX('Journal'!$F$1:$F$2002,$H892)),N(INDEX('Journal'!$G$1:$G$2002,$H892))))</f>
        <v/>
      </c>
      <c r="G892" s="20">
        <f>IF($H892="","",G891+E892-F892)</f>
        <v/>
      </c>
      <c r="H892" s="18">
        <f t="array" ref="H892">IF($B$1="","",IFERROR(_xlfn.AGGREGATE(15,6,ROW('Journal'!$A$3:$A$2002)/(('Journal'!$D$3:$D$2002=$B$1)+('Journal'!$E$3:$E$2002=$B$1))/('Journal'!$B$3:$B$2002&gt;=$B$2)/('Journal'!$B$3:$B$2002&lt;=$B$3),887),""))</f>
        <v/>
      </c>
    </row>
    <row r="893">
      <c r="A893" s="18">
        <f>IF($H893="","",INDEX('Journal'!$A$1:$A$2002,$H893))</f>
        <v/>
      </c>
      <c r="B893" s="21">
        <f>IF($H893="","",INDEX('Journal'!$B$1:$B$2002,$H893))</f>
        <v/>
      </c>
      <c r="C893" s="5">
        <f>IF($H893="","",INDEX('Journal'!$C$1:$C$2002,$H893)&amp;"")</f>
        <v/>
      </c>
      <c r="D893" s="5">
        <f>IF($H893="","",IF(INDEX('Journal'!$D$1:$D$2002,$H893)=$B$1,INDEX('Journal'!$E$1:$E$2002,$H893),INDEX('Journal'!$D$1:$D$2002,$H893))&amp;"")</f>
        <v/>
      </c>
      <c r="E893" s="20">
        <f>IF($H893="","",IF(INDEX('Journal'!$D$1:$D$2002,$H893)=$B$1,N(INDEX('Journal'!$G$1:$G$2002,$H893)),N(INDEX('Journal'!$F$1:$F$2002,$H893))))</f>
        <v/>
      </c>
      <c r="F893" s="20">
        <f>IF($H893="","",IF(INDEX('Journal'!$D$1:$D$2002,$H893)=$B$1,N(INDEX('Journal'!$F$1:$F$2002,$H893)),N(INDEX('Journal'!$G$1:$G$2002,$H893))))</f>
        <v/>
      </c>
      <c r="G893" s="20">
        <f>IF($H893="","",G892+E893-F893)</f>
        <v/>
      </c>
      <c r="H893" s="18">
        <f t="array" ref="H893">IF($B$1="","",IFERROR(_xlfn.AGGREGATE(15,6,ROW('Journal'!$A$3:$A$2002)/(('Journal'!$D$3:$D$2002=$B$1)+('Journal'!$E$3:$E$2002=$B$1))/('Journal'!$B$3:$B$2002&gt;=$B$2)/('Journal'!$B$3:$B$2002&lt;=$B$3),888),""))</f>
        <v/>
      </c>
    </row>
    <row r="894">
      <c r="A894" s="18">
        <f>IF($H894="","",INDEX('Journal'!$A$1:$A$2002,$H894))</f>
        <v/>
      </c>
      <c r="B894" s="21">
        <f>IF($H894="","",INDEX('Journal'!$B$1:$B$2002,$H894))</f>
        <v/>
      </c>
      <c r="C894" s="5">
        <f>IF($H894="","",INDEX('Journal'!$C$1:$C$2002,$H894)&amp;"")</f>
        <v/>
      </c>
      <c r="D894" s="5">
        <f>IF($H894="","",IF(INDEX('Journal'!$D$1:$D$2002,$H894)=$B$1,INDEX('Journal'!$E$1:$E$2002,$H894),INDEX('Journal'!$D$1:$D$2002,$H894))&amp;"")</f>
        <v/>
      </c>
      <c r="E894" s="20">
        <f>IF($H894="","",IF(INDEX('Journal'!$D$1:$D$2002,$H894)=$B$1,N(INDEX('Journal'!$G$1:$G$2002,$H894)),N(INDEX('Journal'!$F$1:$F$2002,$H894))))</f>
        <v/>
      </c>
      <c r="F894" s="20">
        <f>IF($H894="","",IF(INDEX('Journal'!$D$1:$D$2002,$H894)=$B$1,N(INDEX('Journal'!$F$1:$F$2002,$H894)),N(INDEX('Journal'!$G$1:$G$2002,$H894))))</f>
        <v/>
      </c>
      <c r="G894" s="20">
        <f>IF($H894="","",G893+E894-F894)</f>
        <v/>
      </c>
      <c r="H894" s="18">
        <f t="array" ref="H894">IF($B$1="","",IFERROR(_xlfn.AGGREGATE(15,6,ROW('Journal'!$A$3:$A$2002)/(('Journal'!$D$3:$D$2002=$B$1)+('Journal'!$E$3:$E$2002=$B$1))/('Journal'!$B$3:$B$2002&gt;=$B$2)/('Journal'!$B$3:$B$2002&lt;=$B$3),889),""))</f>
        <v/>
      </c>
    </row>
    <row r="895">
      <c r="A895" s="18">
        <f>IF($H895="","",INDEX('Journal'!$A$1:$A$2002,$H895))</f>
        <v/>
      </c>
      <c r="B895" s="21">
        <f>IF($H895="","",INDEX('Journal'!$B$1:$B$2002,$H895))</f>
        <v/>
      </c>
      <c r="C895" s="5">
        <f>IF($H895="","",INDEX('Journal'!$C$1:$C$2002,$H895)&amp;"")</f>
        <v/>
      </c>
      <c r="D895" s="5">
        <f>IF($H895="","",IF(INDEX('Journal'!$D$1:$D$2002,$H895)=$B$1,INDEX('Journal'!$E$1:$E$2002,$H895),INDEX('Journal'!$D$1:$D$2002,$H895))&amp;"")</f>
        <v/>
      </c>
      <c r="E895" s="20">
        <f>IF($H895="","",IF(INDEX('Journal'!$D$1:$D$2002,$H895)=$B$1,N(INDEX('Journal'!$G$1:$G$2002,$H895)),N(INDEX('Journal'!$F$1:$F$2002,$H895))))</f>
        <v/>
      </c>
      <c r="F895" s="20">
        <f>IF($H895="","",IF(INDEX('Journal'!$D$1:$D$2002,$H895)=$B$1,N(INDEX('Journal'!$F$1:$F$2002,$H895)),N(INDEX('Journal'!$G$1:$G$2002,$H895))))</f>
        <v/>
      </c>
      <c r="G895" s="20">
        <f>IF($H895="","",G894+E895-F895)</f>
        <v/>
      </c>
      <c r="H895" s="18">
        <f t="array" ref="H895">IF($B$1="","",IFERROR(_xlfn.AGGREGATE(15,6,ROW('Journal'!$A$3:$A$2002)/(('Journal'!$D$3:$D$2002=$B$1)+('Journal'!$E$3:$E$2002=$B$1))/('Journal'!$B$3:$B$2002&gt;=$B$2)/('Journal'!$B$3:$B$2002&lt;=$B$3),890),""))</f>
        <v/>
      </c>
    </row>
    <row r="896">
      <c r="A896" s="18">
        <f>IF($H896="","",INDEX('Journal'!$A$1:$A$2002,$H896))</f>
        <v/>
      </c>
      <c r="B896" s="21">
        <f>IF($H896="","",INDEX('Journal'!$B$1:$B$2002,$H896))</f>
        <v/>
      </c>
      <c r="C896" s="5">
        <f>IF($H896="","",INDEX('Journal'!$C$1:$C$2002,$H896)&amp;"")</f>
        <v/>
      </c>
      <c r="D896" s="5">
        <f>IF($H896="","",IF(INDEX('Journal'!$D$1:$D$2002,$H896)=$B$1,INDEX('Journal'!$E$1:$E$2002,$H896),INDEX('Journal'!$D$1:$D$2002,$H896))&amp;"")</f>
        <v/>
      </c>
      <c r="E896" s="20">
        <f>IF($H896="","",IF(INDEX('Journal'!$D$1:$D$2002,$H896)=$B$1,N(INDEX('Journal'!$G$1:$G$2002,$H896)),N(INDEX('Journal'!$F$1:$F$2002,$H896))))</f>
        <v/>
      </c>
      <c r="F896" s="20">
        <f>IF($H896="","",IF(INDEX('Journal'!$D$1:$D$2002,$H896)=$B$1,N(INDEX('Journal'!$F$1:$F$2002,$H896)),N(INDEX('Journal'!$G$1:$G$2002,$H896))))</f>
        <v/>
      </c>
      <c r="G896" s="20">
        <f>IF($H896="","",G895+E896-F896)</f>
        <v/>
      </c>
      <c r="H896" s="18">
        <f t="array" ref="H896">IF($B$1="","",IFERROR(_xlfn.AGGREGATE(15,6,ROW('Journal'!$A$3:$A$2002)/(('Journal'!$D$3:$D$2002=$B$1)+('Journal'!$E$3:$E$2002=$B$1))/('Journal'!$B$3:$B$2002&gt;=$B$2)/('Journal'!$B$3:$B$2002&lt;=$B$3),891),""))</f>
        <v/>
      </c>
    </row>
    <row r="897">
      <c r="A897" s="18">
        <f>IF($H897="","",INDEX('Journal'!$A$1:$A$2002,$H897))</f>
        <v/>
      </c>
      <c r="B897" s="21">
        <f>IF($H897="","",INDEX('Journal'!$B$1:$B$2002,$H897))</f>
        <v/>
      </c>
      <c r="C897" s="5">
        <f>IF($H897="","",INDEX('Journal'!$C$1:$C$2002,$H897)&amp;"")</f>
        <v/>
      </c>
      <c r="D897" s="5">
        <f>IF($H897="","",IF(INDEX('Journal'!$D$1:$D$2002,$H897)=$B$1,INDEX('Journal'!$E$1:$E$2002,$H897),INDEX('Journal'!$D$1:$D$2002,$H897))&amp;"")</f>
        <v/>
      </c>
      <c r="E897" s="20">
        <f>IF($H897="","",IF(INDEX('Journal'!$D$1:$D$2002,$H897)=$B$1,N(INDEX('Journal'!$G$1:$G$2002,$H897)),N(INDEX('Journal'!$F$1:$F$2002,$H897))))</f>
        <v/>
      </c>
      <c r="F897" s="20">
        <f>IF($H897="","",IF(INDEX('Journal'!$D$1:$D$2002,$H897)=$B$1,N(INDEX('Journal'!$F$1:$F$2002,$H897)),N(INDEX('Journal'!$G$1:$G$2002,$H897))))</f>
        <v/>
      </c>
      <c r="G897" s="20">
        <f>IF($H897="","",G896+E897-F897)</f>
        <v/>
      </c>
      <c r="H897" s="18">
        <f t="array" ref="H897">IF($B$1="","",IFERROR(_xlfn.AGGREGATE(15,6,ROW('Journal'!$A$3:$A$2002)/(('Journal'!$D$3:$D$2002=$B$1)+('Journal'!$E$3:$E$2002=$B$1))/('Journal'!$B$3:$B$2002&gt;=$B$2)/('Journal'!$B$3:$B$2002&lt;=$B$3),892),""))</f>
        <v/>
      </c>
    </row>
    <row r="898">
      <c r="A898" s="18">
        <f>IF($H898="","",INDEX('Journal'!$A$1:$A$2002,$H898))</f>
        <v/>
      </c>
      <c r="B898" s="21">
        <f>IF($H898="","",INDEX('Journal'!$B$1:$B$2002,$H898))</f>
        <v/>
      </c>
      <c r="C898" s="5">
        <f>IF($H898="","",INDEX('Journal'!$C$1:$C$2002,$H898)&amp;"")</f>
        <v/>
      </c>
      <c r="D898" s="5">
        <f>IF($H898="","",IF(INDEX('Journal'!$D$1:$D$2002,$H898)=$B$1,INDEX('Journal'!$E$1:$E$2002,$H898),INDEX('Journal'!$D$1:$D$2002,$H898))&amp;"")</f>
        <v/>
      </c>
      <c r="E898" s="20">
        <f>IF($H898="","",IF(INDEX('Journal'!$D$1:$D$2002,$H898)=$B$1,N(INDEX('Journal'!$G$1:$G$2002,$H898)),N(INDEX('Journal'!$F$1:$F$2002,$H898))))</f>
        <v/>
      </c>
      <c r="F898" s="20">
        <f>IF($H898="","",IF(INDEX('Journal'!$D$1:$D$2002,$H898)=$B$1,N(INDEX('Journal'!$F$1:$F$2002,$H898)),N(INDEX('Journal'!$G$1:$G$2002,$H898))))</f>
        <v/>
      </c>
      <c r="G898" s="20">
        <f>IF($H898="","",G897+E898-F898)</f>
        <v/>
      </c>
      <c r="H898" s="18">
        <f t="array" ref="H898">IF($B$1="","",IFERROR(_xlfn.AGGREGATE(15,6,ROW('Journal'!$A$3:$A$2002)/(('Journal'!$D$3:$D$2002=$B$1)+('Journal'!$E$3:$E$2002=$B$1))/('Journal'!$B$3:$B$2002&gt;=$B$2)/('Journal'!$B$3:$B$2002&lt;=$B$3),893),""))</f>
        <v/>
      </c>
    </row>
    <row r="899">
      <c r="A899" s="18">
        <f>IF($H899="","",INDEX('Journal'!$A$1:$A$2002,$H899))</f>
        <v/>
      </c>
      <c r="B899" s="21">
        <f>IF($H899="","",INDEX('Journal'!$B$1:$B$2002,$H899))</f>
        <v/>
      </c>
      <c r="C899" s="5">
        <f>IF($H899="","",INDEX('Journal'!$C$1:$C$2002,$H899)&amp;"")</f>
        <v/>
      </c>
      <c r="D899" s="5">
        <f>IF($H899="","",IF(INDEX('Journal'!$D$1:$D$2002,$H899)=$B$1,INDEX('Journal'!$E$1:$E$2002,$H899),INDEX('Journal'!$D$1:$D$2002,$H899))&amp;"")</f>
        <v/>
      </c>
      <c r="E899" s="20">
        <f>IF($H899="","",IF(INDEX('Journal'!$D$1:$D$2002,$H899)=$B$1,N(INDEX('Journal'!$G$1:$G$2002,$H899)),N(INDEX('Journal'!$F$1:$F$2002,$H899))))</f>
        <v/>
      </c>
      <c r="F899" s="20">
        <f>IF($H899="","",IF(INDEX('Journal'!$D$1:$D$2002,$H899)=$B$1,N(INDEX('Journal'!$F$1:$F$2002,$H899)),N(INDEX('Journal'!$G$1:$G$2002,$H899))))</f>
        <v/>
      </c>
      <c r="G899" s="20">
        <f>IF($H899="","",G898+E899-F899)</f>
        <v/>
      </c>
      <c r="H899" s="18">
        <f t="array" ref="H899">IF($B$1="","",IFERROR(_xlfn.AGGREGATE(15,6,ROW('Journal'!$A$3:$A$2002)/(('Journal'!$D$3:$D$2002=$B$1)+('Journal'!$E$3:$E$2002=$B$1))/('Journal'!$B$3:$B$2002&gt;=$B$2)/('Journal'!$B$3:$B$2002&lt;=$B$3),894),""))</f>
        <v/>
      </c>
    </row>
    <row r="900">
      <c r="A900" s="18">
        <f>IF($H900="","",INDEX('Journal'!$A$1:$A$2002,$H900))</f>
        <v/>
      </c>
      <c r="B900" s="21">
        <f>IF($H900="","",INDEX('Journal'!$B$1:$B$2002,$H900))</f>
        <v/>
      </c>
      <c r="C900" s="5">
        <f>IF($H900="","",INDEX('Journal'!$C$1:$C$2002,$H900)&amp;"")</f>
        <v/>
      </c>
      <c r="D900" s="5">
        <f>IF($H900="","",IF(INDEX('Journal'!$D$1:$D$2002,$H900)=$B$1,INDEX('Journal'!$E$1:$E$2002,$H900),INDEX('Journal'!$D$1:$D$2002,$H900))&amp;"")</f>
        <v/>
      </c>
      <c r="E900" s="20">
        <f>IF($H900="","",IF(INDEX('Journal'!$D$1:$D$2002,$H900)=$B$1,N(INDEX('Journal'!$G$1:$G$2002,$H900)),N(INDEX('Journal'!$F$1:$F$2002,$H900))))</f>
        <v/>
      </c>
      <c r="F900" s="20">
        <f>IF($H900="","",IF(INDEX('Journal'!$D$1:$D$2002,$H900)=$B$1,N(INDEX('Journal'!$F$1:$F$2002,$H900)),N(INDEX('Journal'!$G$1:$G$2002,$H900))))</f>
        <v/>
      </c>
      <c r="G900" s="20">
        <f>IF($H900="","",G899+E900-F900)</f>
        <v/>
      </c>
      <c r="H900" s="18">
        <f t="array" ref="H900">IF($B$1="","",IFERROR(_xlfn.AGGREGATE(15,6,ROW('Journal'!$A$3:$A$2002)/(('Journal'!$D$3:$D$2002=$B$1)+('Journal'!$E$3:$E$2002=$B$1))/('Journal'!$B$3:$B$2002&gt;=$B$2)/('Journal'!$B$3:$B$2002&lt;=$B$3),895),""))</f>
        <v/>
      </c>
    </row>
    <row r="901">
      <c r="A901" s="18">
        <f>IF($H901="","",INDEX('Journal'!$A$1:$A$2002,$H901))</f>
        <v/>
      </c>
      <c r="B901" s="21">
        <f>IF($H901="","",INDEX('Journal'!$B$1:$B$2002,$H901))</f>
        <v/>
      </c>
      <c r="C901" s="5">
        <f>IF($H901="","",INDEX('Journal'!$C$1:$C$2002,$H901)&amp;"")</f>
        <v/>
      </c>
      <c r="D901" s="5">
        <f>IF($H901="","",IF(INDEX('Journal'!$D$1:$D$2002,$H901)=$B$1,INDEX('Journal'!$E$1:$E$2002,$H901),INDEX('Journal'!$D$1:$D$2002,$H901))&amp;"")</f>
        <v/>
      </c>
      <c r="E901" s="20">
        <f>IF($H901="","",IF(INDEX('Journal'!$D$1:$D$2002,$H901)=$B$1,N(INDEX('Journal'!$G$1:$G$2002,$H901)),N(INDEX('Journal'!$F$1:$F$2002,$H901))))</f>
        <v/>
      </c>
      <c r="F901" s="20">
        <f>IF($H901="","",IF(INDEX('Journal'!$D$1:$D$2002,$H901)=$B$1,N(INDEX('Journal'!$F$1:$F$2002,$H901)),N(INDEX('Journal'!$G$1:$G$2002,$H901))))</f>
        <v/>
      </c>
      <c r="G901" s="20">
        <f>IF($H901="","",G900+E901-F901)</f>
        <v/>
      </c>
      <c r="H901" s="18">
        <f t="array" ref="H901">IF($B$1="","",IFERROR(_xlfn.AGGREGATE(15,6,ROW('Journal'!$A$3:$A$2002)/(('Journal'!$D$3:$D$2002=$B$1)+('Journal'!$E$3:$E$2002=$B$1))/('Journal'!$B$3:$B$2002&gt;=$B$2)/('Journal'!$B$3:$B$2002&lt;=$B$3),896),""))</f>
        <v/>
      </c>
    </row>
    <row r="902">
      <c r="A902" s="18">
        <f>IF($H902="","",INDEX('Journal'!$A$1:$A$2002,$H902))</f>
        <v/>
      </c>
      <c r="B902" s="21">
        <f>IF($H902="","",INDEX('Journal'!$B$1:$B$2002,$H902))</f>
        <v/>
      </c>
      <c r="C902" s="5">
        <f>IF($H902="","",INDEX('Journal'!$C$1:$C$2002,$H902)&amp;"")</f>
        <v/>
      </c>
      <c r="D902" s="5">
        <f>IF($H902="","",IF(INDEX('Journal'!$D$1:$D$2002,$H902)=$B$1,INDEX('Journal'!$E$1:$E$2002,$H902),INDEX('Journal'!$D$1:$D$2002,$H902))&amp;"")</f>
        <v/>
      </c>
      <c r="E902" s="20">
        <f>IF($H902="","",IF(INDEX('Journal'!$D$1:$D$2002,$H902)=$B$1,N(INDEX('Journal'!$G$1:$G$2002,$H902)),N(INDEX('Journal'!$F$1:$F$2002,$H902))))</f>
        <v/>
      </c>
      <c r="F902" s="20">
        <f>IF($H902="","",IF(INDEX('Journal'!$D$1:$D$2002,$H902)=$B$1,N(INDEX('Journal'!$F$1:$F$2002,$H902)),N(INDEX('Journal'!$G$1:$G$2002,$H902))))</f>
        <v/>
      </c>
      <c r="G902" s="20">
        <f>IF($H902="","",G901+E902-F902)</f>
        <v/>
      </c>
      <c r="H902" s="18">
        <f t="array" ref="H902">IF($B$1="","",IFERROR(_xlfn.AGGREGATE(15,6,ROW('Journal'!$A$3:$A$2002)/(('Journal'!$D$3:$D$2002=$B$1)+('Journal'!$E$3:$E$2002=$B$1))/('Journal'!$B$3:$B$2002&gt;=$B$2)/('Journal'!$B$3:$B$2002&lt;=$B$3),897),""))</f>
        <v/>
      </c>
    </row>
    <row r="903">
      <c r="A903" s="18">
        <f>IF($H903="","",INDEX('Journal'!$A$1:$A$2002,$H903))</f>
        <v/>
      </c>
      <c r="B903" s="21">
        <f>IF($H903="","",INDEX('Journal'!$B$1:$B$2002,$H903))</f>
        <v/>
      </c>
      <c r="C903" s="5">
        <f>IF($H903="","",INDEX('Journal'!$C$1:$C$2002,$H903)&amp;"")</f>
        <v/>
      </c>
      <c r="D903" s="5">
        <f>IF($H903="","",IF(INDEX('Journal'!$D$1:$D$2002,$H903)=$B$1,INDEX('Journal'!$E$1:$E$2002,$H903),INDEX('Journal'!$D$1:$D$2002,$H903))&amp;"")</f>
        <v/>
      </c>
      <c r="E903" s="20">
        <f>IF($H903="","",IF(INDEX('Journal'!$D$1:$D$2002,$H903)=$B$1,N(INDEX('Journal'!$G$1:$G$2002,$H903)),N(INDEX('Journal'!$F$1:$F$2002,$H903))))</f>
        <v/>
      </c>
      <c r="F903" s="20">
        <f>IF($H903="","",IF(INDEX('Journal'!$D$1:$D$2002,$H903)=$B$1,N(INDEX('Journal'!$F$1:$F$2002,$H903)),N(INDEX('Journal'!$G$1:$G$2002,$H903))))</f>
        <v/>
      </c>
      <c r="G903" s="20">
        <f>IF($H903="","",G902+E903-F903)</f>
        <v/>
      </c>
      <c r="H903" s="18">
        <f t="array" ref="H903">IF($B$1="","",IFERROR(_xlfn.AGGREGATE(15,6,ROW('Journal'!$A$3:$A$2002)/(('Journal'!$D$3:$D$2002=$B$1)+('Journal'!$E$3:$E$2002=$B$1))/('Journal'!$B$3:$B$2002&gt;=$B$2)/('Journal'!$B$3:$B$2002&lt;=$B$3),898),""))</f>
        <v/>
      </c>
    </row>
    <row r="904">
      <c r="A904" s="18">
        <f>IF($H904="","",INDEX('Journal'!$A$1:$A$2002,$H904))</f>
        <v/>
      </c>
      <c r="B904" s="21">
        <f>IF($H904="","",INDEX('Journal'!$B$1:$B$2002,$H904))</f>
        <v/>
      </c>
      <c r="C904" s="5">
        <f>IF($H904="","",INDEX('Journal'!$C$1:$C$2002,$H904)&amp;"")</f>
        <v/>
      </c>
      <c r="D904" s="5">
        <f>IF($H904="","",IF(INDEX('Journal'!$D$1:$D$2002,$H904)=$B$1,INDEX('Journal'!$E$1:$E$2002,$H904),INDEX('Journal'!$D$1:$D$2002,$H904))&amp;"")</f>
        <v/>
      </c>
      <c r="E904" s="20">
        <f>IF($H904="","",IF(INDEX('Journal'!$D$1:$D$2002,$H904)=$B$1,N(INDEX('Journal'!$G$1:$G$2002,$H904)),N(INDEX('Journal'!$F$1:$F$2002,$H904))))</f>
        <v/>
      </c>
      <c r="F904" s="20">
        <f>IF($H904="","",IF(INDEX('Journal'!$D$1:$D$2002,$H904)=$B$1,N(INDEX('Journal'!$F$1:$F$2002,$H904)),N(INDEX('Journal'!$G$1:$G$2002,$H904))))</f>
        <v/>
      </c>
      <c r="G904" s="20">
        <f>IF($H904="","",G903+E904-F904)</f>
        <v/>
      </c>
      <c r="H904" s="18">
        <f t="array" ref="H904">IF($B$1="","",IFERROR(_xlfn.AGGREGATE(15,6,ROW('Journal'!$A$3:$A$2002)/(('Journal'!$D$3:$D$2002=$B$1)+('Journal'!$E$3:$E$2002=$B$1))/('Journal'!$B$3:$B$2002&gt;=$B$2)/('Journal'!$B$3:$B$2002&lt;=$B$3),899),""))</f>
        <v/>
      </c>
    </row>
    <row r="905">
      <c r="A905" s="18">
        <f>IF($H905="","",INDEX('Journal'!$A$1:$A$2002,$H905))</f>
        <v/>
      </c>
      <c r="B905" s="21">
        <f>IF($H905="","",INDEX('Journal'!$B$1:$B$2002,$H905))</f>
        <v/>
      </c>
      <c r="C905" s="5">
        <f>IF($H905="","",INDEX('Journal'!$C$1:$C$2002,$H905)&amp;"")</f>
        <v/>
      </c>
      <c r="D905" s="5">
        <f>IF($H905="","",IF(INDEX('Journal'!$D$1:$D$2002,$H905)=$B$1,INDEX('Journal'!$E$1:$E$2002,$H905),INDEX('Journal'!$D$1:$D$2002,$H905))&amp;"")</f>
        <v/>
      </c>
      <c r="E905" s="20">
        <f>IF($H905="","",IF(INDEX('Journal'!$D$1:$D$2002,$H905)=$B$1,N(INDEX('Journal'!$G$1:$G$2002,$H905)),N(INDEX('Journal'!$F$1:$F$2002,$H905))))</f>
        <v/>
      </c>
      <c r="F905" s="20">
        <f>IF($H905="","",IF(INDEX('Journal'!$D$1:$D$2002,$H905)=$B$1,N(INDEX('Journal'!$F$1:$F$2002,$H905)),N(INDEX('Journal'!$G$1:$G$2002,$H905))))</f>
        <v/>
      </c>
      <c r="G905" s="20">
        <f>IF($H905="","",G904+E905-F905)</f>
        <v/>
      </c>
      <c r="H905" s="18">
        <f t="array" ref="H905">IF($B$1="","",IFERROR(_xlfn.AGGREGATE(15,6,ROW('Journal'!$A$3:$A$2002)/(('Journal'!$D$3:$D$2002=$B$1)+('Journal'!$E$3:$E$2002=$B$1))/('Journal'!$B$3:$B$2002&gt;=$B$2)/('Journal'!$B$3:$B$2002&lt;=$B$3),900),""))</f>
        <v/>
      </c>
    </row>
    <row r="906">
      <c r="A906" s="18">
        <f>IF($H906="","",INDEX('Journal'!$A$1:$A$2002,$H906))</f>
        <v/>
      </c>
      <c r="B906" s="21">
        <f>IF($H906="","",INDEX('Journal'!$B$1:$B$2002,$H906))</f>
        <v/>
      </c>
      <c r="C906" s="5">
        <f>IF($H906="","",INDEX('Journal'!$C$1:$C$2002,$H906)&amp;"")</f>
        <v/>
      </c>
      <c r="D906" s="5">
        <f>IF($H906="","",IF(INDEX('Journal'!$D$1:$D$2002,$H906)=$B$1,INDEX('Journal'!$E$1:$E$2002,$H906),INDEX('Journal'!$D$1:$D$2002,$H906))&amp;"")</f>
        <v/>
      </c>
      <c r="E906" s="20">
        <f>IF($H906="","",IF(INDEX('Journal'!$D$1:$D$2002,$H906)=$B$1,N(INDEX('Journal'!$G$1:$G$2002,$H906)),N(INDEX('Journal'!$F$1:$F$2002,$H906))))</f>
        <v/>
      </c>
      <c r="F906" s="20">
        <f>IF($H906="","",IF(INDEX('Journal'!$D$1:$D$2002,$H906)=$B$1,N(INDEX('Journal'!$F$1:$F$2002,$H906)),N(INDEX('Journal'!$G$1:$G$2002,$H906))))</f>
        <v/>
      </c>
      <c r="G906" s="20">
        <f>IF($H906="","",G905+E906-F906)</f>
        <v/>
      </c>
      <c r="H906" s="18">
        <f t="array" ref="H906">IF($B$1="","",IFERROR(_xlfn.AGGREGATE(15,6,ROW('Journal'!$A$3:$A$2002)/(('Journal'!$D$3:$D$2002=$B$1)+('Journal'!$E$3:$E$2002=$B$1))/('Journal'!$B$3:$B$2002&gt;=$B$2)/('Journal'!$B$3:$B$2002&lt;=$B$3),901),""))</f>
        <v/>
      </c>
    </row>
    <row r="907">
      <c r="A907" s="18">
        <f>IF($H907="","",INDEX('Journal'!$A$1:$A$2002,$H907))</f>
        <v/>
      </c>
      <c r="B907" s="21">
        <f>IF($H907="","",INDEX('Journal'!$B$1:$B$2002,$H907))</f>
        <v/>
      </c>
      <c r="C907" s="5">
        <f>IF($H907="","",INDEX('Journal'!$C$1:$C$2002,$H907)&amp;"")</f>
        <v/>
      </c>
      <c r="D907" s="5">
        <f>IF($H907="","",IF(INDEX('Journal'!$D$1:$D$2002,$H907)=$B$1,INDEX('Journal'!$E$1:$E$2002,$H907),INDEX('Journal'!$D$1:$D$2002,$H907))&amp;"")</f>
        <v/>
      </c>
      <c r="E907" s="20">
        <f>IF($H907="","",IF(INDEX('Journal'!$D$1:$D$2002,$H907)=$B$1,N(INDEX('Journal'!$G$1:$G$2002,$H907)),N(INDEX('Journal'!$F$1:$F$2002,$H907))))</f>
        <v/>
      </c>
      <c r="F907" s="20">
        <f>IF($H907="","",IF(INDEX('Journal'!$D$1:$D$2002,$H907)=$B$1,N(INDEX('Journal'!$F$1:$F$2002,$H907)),N(INDEX('Journal'!$G$1:$G$2002,$H907))))</f>
        <v/>
      </c>
      <c r="G907" s="20">
        <f>IF($H907="","",G906+E907-F907)</f>
        <v/>
      </c>
      <c r="H907" s="18">
        <f t="array" ref="H907">IF($B$1="","",IFERROR(_xlfn.AGGREGATE(15,6,ROW('Journal'!$A$3:$A$2002)/(('Journal'!$D$3:$D$2002=$B$1)+('Journal'!$E$3:$E$2002=$B$1))/('Journal'!$B$3:$B$2002&gt;=$B$2)/('Journal'!$B$3:$B$2002&lt;=$B$3),902),""))</f>
        <v/>
      </c>
    </row>
    <row r="908">
      <c r="A908" s="18">
        <f>IF($H908="","",INDEX('Journal'!$A$1:$A$2002,$H908))</f>
        <v/>
      </c>
      <c r="B908" s="21">
        <f>IF($H908="","",INDEX('Journal'!$B$1:$B$2002,$H908))</f>
        <v/>
      </c>
      <c r="C908" s="5">
        <f>IF($H908="","",INDEX('Journal'!$C$1:$C$2002,$H908)&amp;"")</f>
        <v/>
      </c>
      <c r="D908" s="5">
        <f>IF($H908="","",IF(INDEX('Journal'!$D$1:$D$2002,$H908)=$B$1,INDEX('Journal'!$E$1:$E$2002,$H908),INDEX('Journal'!$D$1:$D$2002,$H908))&amp;"")</f>
        <v/>
      </c>
      <c r="E908" s="20">
        <f>IF($H908="","",IF(INDEX('Journal'!$D$1:$D$2002,$H908)=$B$1,N(INDEX('Journal'!$G$1:$G$2002,$H908)),N(INDEX('Journal'!$F$1:$F$2002,$H908))))</f>
        <v/>
      </c>
      <c r="F908" s="20">
        <f>IF($H908="","",IF(INDEX('Journal'!$D$1:$D$2002,$H908)=$B$1,N(INDEX('Journal'!$F$1:$F$2002,$H908)),N(INDEX('Journal'!$G$1:$G$2002,$H908))))</f>
        <v/>
      </c>
      <c r="G908" s="20">
        <f>IF($H908="","",G907+E908-F908)</f>
        <v/>
      </c>
      <c r="H908" s="18">
        <f t="array" ref="H908">IF($B$1="","",IFERROR(_xlfn.AGGREGATE(15,6,ROW('Journal'!$A$3:$A$2002)/(('Journal'!$D$3:$D$2002=$B$1)+('Journal'!$E$3:$E$2002=$B$1))/('Journal'!$B$3:$B$2002&gt;=$B$2)/('Journal'!$B$3:$B$2002&lt;=$B$3),903),""))</f>
        <v/>
      </c>
    </row>
    <row r="909">
      <c r="A909" s="18">
        <f>IF($H909="","",INDEX('Journal'!$A$1:$A$2002,$H909))</f>
        <v/>
      </c>
      <c r="B909" s="21">
        <f>IF($H909="","",INDEX('Journal'!$B$1:$B$2002,$H909))</f>
        <v/>
      </c>
      <c r="C909" s="5">
        <f>IF($H909="","",INDEX('Journal'!$C$1:$C$2002,$H909)&amp;"")</f>
        <v/>
      </c>
      <c r="D909" s="5">
        <f>IF($H909="","",IF(INDEX('Journal'!$D$1:$D$2002,$H909)=$B$1,INDEX('Journal'!$E$1:$E$2002,$H909),INDEX('Journal'!$D$1:$D$2002,$H909))&amp;"")</f>
        <v/>
      </c>
      <c r="E909" s="20">
        <f>IF($H909="","",IF(INDEX('Journal'!$D$1:$D$2002,$H909)=$B$1,N(INDEX('Journal'!$G$1:$G$2002,$H909)),N(INDEX('Journal'!$F$1:$F$2002,$H909))))</f>
        <v/>
      </c>
      <c r="F909" s="20">
        <f>IF($H909="","",IF(INDEX('Journal'!$D$1:$D$2002,$H909)=$B$1,N(INDEX('Journal'!$F$1:$F$2002,$H909)),N(INDEX('Journal'!$G$1:$G$2002,$H909))))</f>
        <v/>
      </c>
      <c r="G909" s="20">
        <f>IF($H909="","",G908+E909-F909)</f>
        <v/>
      </c>
      <c r="H909" s="18">
        <f t="array" ref="H909">IF($B$1="","",IFERROR(_xlfn.AGGREGATE(15,6,ROW('Journal'!$A$3:$A$2002)/(('Journal'!$D$3:$D$2002=$B$1)+('Journal'!$E$3:$E$2002=$B$1))/('Journal'!$B$3:$B$2002&gt;=$B$2)/('Journal'!$B$3:$B$2002&lt;=$B$3),904),""))</f>
        <v/>
      </c>
    </row>
    <row r="910">
      <c r="A910" s="18">
        <f>IF($H910="","",INDEX('Journal'!$A$1:$A$2002,$H910))</f>
        <v/>
      </c>
      <c r="B910" s="21">
        <f>IF($H910="","",INDEX('Journal'!$B$1:$B$2002,$H910))</f>
        <v/>
      </c>
      <c r="C910" s="5">
        <f>IF($H910="","",INDEX('Journal'!$C$1:$C$2002,$H910)&amp;"")</f>
        <v/>
      </c>
      <c r="D910" s="5">
        <f>IF($H910="","",IF(INDEX('Journal'!$D$1:$D$2002,$H910)=$B$1,INDEX('Journal'!$E$1:$E$2002,$H910),INDEX('Journal'!$D$1:$D$2002,$H910))&amp;"")</f>
        <v/>
      </c>
      <c r="E910" s="20">
        <f>IF($H910="","",IF(INDEX('Journal'!$D$1:$D$2002,$H910)=$B$1,N(INDEX('Journal'!$G$1:$G$2002,$H910)),N(INDEX('Journal'!$F$1:$F$2002,$H910))))</f>
        <v/>
      </c>
      <c r="F910" s="20">
        <f>IF($H910="","",IF(INDEX('Journal'!$D$1:$D$2002,$H910)=$B$1,N(INDEX('Journal'!$F$1:$F$2002,$H910)),N(INDEX('Journal'!$G$1:$G$2002,$H910))))</f>
        <v/>
      </c>
      <c r="G910" s="20">
        <f>IF($H910="","",G909+E910-F910)</f>
        <v/>
      </c>
      <c r="H910" s="18">
        <f t="array" ref="H910">IF($B$1="","",IFERROR(_xlfn.AGGREGATE(15,6,ROW('Journal'!$A$3:$A$2002)/(('Journal'!$D$3:$D$2002=$B$1)+('Journal'!$E$3:$E$2002=$B$1))/('Journal'!$B$3:$B$2002&gt;=$B$2)/('Journal'!$B$3:$B$2002&lt;=$B$3),905),""))</f>
        <v/>
      </c>
    </row>
    <row r="911">
      <c r="A911" s="18">
        <f>IF($H911="","",INDEX('Journal'!$A$1:$A$2002,$H911))</f>
        <v/>
      </c>
      <c r="B911" s="21">
        <f>IF($H911="","",INDEX('Journal'!$B$1:$B$2002,$H911))</f>
        <v/>
      </c>
      <c r="C911" s="5">
        <f>IF($H911="","",INDEX('Journal'!$C$1:$C$2002,$H911)&amp;"")</f>
        <v/>
      </c>
      <c r="D911" s="5">
        <f>IF($H911="","",IF(INDEX('Journal'!$D$1:$D$2002,$H911)=$B$1,INDEX('Journal'!$E$1:$E$2002,$H911),INDEX('Journal'!$D$1:$D$2002,$H911))&amp;"")</f>
        <v/>
      </c>
      <c r="E911" s="20">
        <f>IF($H911="","",IF(INDEX('Journal'!$D$1:$D$2002,$H911)=$B$1,N(INDEX('Journal'!$G$1:$G$2002,$H911)),N(INDEX('Journal'!$F$1:$F$2002,$H911))))</f>
        <v/>
      </c>
      <c r="F911" s="20">
        <f>IF($H911="","",IF(INDEX('Journal'!$D$1:$D$2002,$H911)=$B$1,N(INDEX('Journal'!$F$1:$F$2002,$H911)),N(INDEX('Journal'!$G$1:$G$2002,$H911))))</f>
        <v/>
      </c>
      <c r="G911" s="20">
        <f>IF($H911="","",G910+E911-F911)</f>
        <v/>
      </c>
      <c r="H911" s="18">
        <f t="array" ref="H911">IF($B$1="","",IFERROR(_xlfn.AGGREGATE(15,6,ROW('Journal'!$A$3:$A$2002)/(('Journal'!$D$3:$D$2002=$B$1)+('Journal'!$E$3:$E$2002=$B$1))/('Journal'!$B$3:$B$2002&gt;=$B$2)/('Journal'!$B$3:$B$2002&lt;=$B$3),906),""))</f>
        <v/>
      </c>
    </row>
    <row r="912">
      <c r="A912" s="18">
        <f>IF($H912="","",INDEX('Journal'!$A$1:$A$2002,$H912))</f>
        <v/>
      </c>
      <c r="B912" s="21">
        <f>IF($H912="","",INDEX('Journal'!$B$1:$B$2002,$H912))</f>
        <v/>
      </c>
      <c r="C912" s="5">
        <f>IF($H912="","",INDEX('Journal'!$C$1:$C$2002,$H912)&amp;"")</f>
        <v/>
      </c>
      <c r="D912" s="5">
        <f>IF($H912="","",IF(INDEX('Journal'!$D$1:$D$2002,$H912)=$B$1,INDEX('Journal'!$E$1:$E$2002,$H912),INDEX('Journal'!$D$1:$D$2002,$H912))&amp;"")</f>
        <v/>
      </c>
      <c r="E912" s="20">
        <f>IF($H912="","",IF(INDEX('Journal'!$D$1:$D$2002,$H912)=$B$1,N(INDEX('Journal'!$G$1:$G$2002,$H912)),N(INDEX('Journal'!$F$1:$F$2002,$H912))))</f>
        <v/>
      </c>
      <c r="F912" s="20">
        <f>IF($H912="","",IF(INDEX('Journal'!$D$1:$D$2002,$H912)=$B$1,N(INDEX('Journal'!$F$1:$F$2002,$H912)),N(INDEX('Journal'!$G$1:$G$2002,$H912))))</f>
        <v/>
      </c>
      <c r="G912" s="20">
        <f>IF($H912="","",G911+E912-F912)</f>
        <v/>
      </c>
      <c r="H912" s="18">
        <f t="array" ref="H912">IF($B$1="","",IFERROR(_xlfn.AGGREGATE(15,6,ROW('Journal'!$A$3:$A$2002)/(('Journal'!$D$3:$D$2002=$B$1)+('Journal'!$E$3:$E$2002=$B$1))/('Journal'!$B$3:$B$2002&gt;=$B$2)/('Journal'!$B$3:$B$2002&lt;=$B$3),907),""))</f>
        <v/>
      </c>
    </row>
    <row r="913">
      <c r="A913" s="18">
        <f>IF($H913="","",INDEX('Journal'!$A$1:$A$2002,$H913))</f>
        <v/>
      </c>
      <c r="B913" s="21">
        <f>IF($H913="","",INDEX('Journal'!$B$1:$B$2002,$H913))</f>
        <v/>
      </c>
      <c r="C913" s="5">
        <f>IF($H913="","",INDEX('Journal'!$C$1:$C$2002,$H913)&amp;"")</f>
        <v/>
      </c>
      <c r="D913" s="5">
        <f>IF($H913="","",IF(INDEX('Journal'!$D$1:$D$2002,$H913)=$B$1,INDEX('Journal'!$E$1:$E$2002,$H913),INDEX('Journal'!$D$1:$D$2002,$H913))&amp;"")</f>
        <v/>
      </c>
      <c r="E913" s="20">
        <f>IF($H913="","",IF(INDEX('Journal'!$D$1:$D$2002,$H913)=$B$1,N(INDEX('Journal'!$G$1:$G$2002,$H913)),N(INDEX('Journal'!$F$1:$F$2002,$H913))))</f>
        <v/>
      </c>
      <c r="F913" s="20">
        <f>IF($H913="","",IF(INDEX('Journal'!$D$1:$D$2002,$H913)=$B$1,N(INDEX('Journal'!$F$1:$F$2002,$H913)),N(INDEX('Journal'!$G$1:$G$2002,$H913))))</f>
        <v/>
      </c>
      <c r="G913" s="20">
        <f>IF($H913="","",G912+E913-F913)</f>
        <v/>
      </c>
      <c r="H913" s="18">
        <f t="array" ref="H913">IF($B$1="","",IFERROR(_xlfn.AGGREGATE(15,6,ROW('Journal'!$A$3:$A$2002)/(('Journal'!$D$3:$D$2002=$B$1)+('Journal'!$E$3:$E$2002=$B$1))/('Journal'!$B$3:$B$2002&gt;=$B$2)/('Journal'!$B$3:$B$2002&lt;=$B$3),908),""))</f>
        <v/>
      </c>
    </row>
    <row r="914">
      <c r="A914" s="18">
        <f>IF($H914="","",INDEX('Journal'!$A$1:$A$2002,$H914))</f>
        <v/>
      </c>
      <c r="B914" s="21">
        <f>IF($H914="","",INDEX('Journal'!$B$1:$B$2002,$H914))</f>
        <v/>
      </c>
      <c r="C914" s="5">
        <f>IF($H914="","",INDEX('Journal'!$C$1:$C$2002,$H914)&amp;"")</f>
        <v/>
      </c>
      <c r="D914" s="5">
        <f>IF($H914="","",IF(INDEX('Journal'!$D$1:$D$2002,$H914)=$B$1,INDEX('Journal'!$E$1:$E$2002,$H914),INDEX('Journal'!$D$1:$D$2002,$H914))&amp;"")</f>
        <v/>
      </c>
      <c r="E914" s="20">
        <f>IF($H914="","",IF(INDEX('Journal'!$D$1:$D$2002,$H914)=$B$1,N(INDEX('Journal'!$G$1:$G$2002,$H914)),N(INDEX('Journal'!$F$1:$F$2002,$H914))))</f>
        <v/>
      </c>
      <c r="F914" s="20">
        <f>IF($H914="","",IF(INDEX('Journal'!$D$1:$D$2002,$H914)=$B$1,N(INDEX('Journal'!$F$1:$F$2002,$H914)),N(INDEX('Journal'!$G$1:$G$2002,$H914))))</f>
        <v/>
      </c>
      <c r="G914" s="20">
        <f>IF($H914="","",G913+E914-F914)</f>
        <v/>
      </c>
      <c r="H914" s="18">
        <f t="array" ref="H914">IF($B$1="","",IFERROR(_xlfn.AGGREGATE(15,6,ROW('Journal'!$A$3:$A$2002)/(('Journal'!$D$3:$D$2002=$B$1)+('Journal'!$E$3:$E$2002=$B$1))/('Journal'!$B$3:$B$2002&gt;=$B$2)/('Journal'!$B$3:$B$2002&lt;=$B$3),909),""))</f>
        <v/>
      </c>
    </row>
    <row r="915">
      <c r="A915" s="18">
        <f>IF($H915="","",INDEX('Journal'!$A$1:$A$2002,$H915))</f>
        <v/>
      </c>
      <c r="B915" s="21">
        <f>IF($H915="","",INDEX('Journal'!$B$1:$B$2002,$H915))</f>
        <v/>
      </c>
      <c r="C915" s="5">
        <f>IF($H915="","",INDEX('Journal'!$C$1:$C$2002,$H915)&amp;"")</f>
        <v/>
      </c>
      <c r="D915" s="5">
        <f>IF($H915="","",IF(INDEX('Journal'!$D$1:$D$2002,$H915)=$B$1,INDEX('Journal'!$E$1:$E$2002,$H915),INDEX('Journal'!$D$1:$D$2002,$H915))&amp;"")</f>
        <v/>
      </c>
      <c r="E915" s="20">
        <f>IF($H915="","",IF(INDEX('Journal'!$D$1:$D$2002,$H915)=$B$1,N(INDEX('Journal'!$G$1:$G$2002,$H915)),N(INDEX('Journal'!$F$1:$F$2002,$H915))))</f>
        <v/>
      </c>
      <c r="F915" s="20">
        <f>IF($H915="","",IF(INDEX('Journal'!$D$1:$D$2002,$H915)=$B$1,N(INDEX('Journal'!$F$1:$F$2002,$H915)),N(INDEX('Journal'!$G$1:$G$2002,$H915))))</f>
        <v/>
      </c>
      <c r="G915" s="20">
        <f>IF($H915="","",G914+E915-F915)</f>
        <v/>
      </c>
      <c r="H915" s="18">
        <f t="array" ref="H915">IF($B$1="","",IFERROR(_xlfn.AGGREGATE(15,6,ROW('Journal'!$A$3:$A$2002)/(('Journal'!$D$3:$D$2002=$B$1)+('Journal'!$E$3:$E$2002=$B$1))/('Journal'!$B$3:$B$2002&gt;=$B$2)/('Journal'!$B$3:$B$2002&lt;=$B$3),910),""))</f>
        <v/>
      </c>
    </row>
    <row r="916">
      <c r="A916" s="18">
        <f>IF($H916="","",INDEX('Journal'!$A$1:$A$2002,$H916))</f>
        <v/>
      </c>
      <c r="B916" s="21">
        <f>IF($H916="","",INDEX('Journal'!$B$1:$B$2002,$H916))</f>
        <v/>
      </c>
      <c r="C916" s="5">
        <f>IF($H916="","",INDEX('Journal'!$C$1:$C$2002,$H916)&amp;"")</f>
        <v/>
      </c>
      <c r="D916" s="5">
        <f>IF($H916="","",IF(INDEX('Journal'!$D$1:$D$2002,$H916)=$B$1,INDEX('Journal'!$E$1:$E$2002,$H916),INDEX('Journal'!$D$1:$D$2002,$H916))&amp;"")</f>
        <v/>
      </c>
      <c r="E916" s="20">
        <f>IF($H916="","",IF(INDEX('Journal'!$D$1:$D$2002,$H916)=$B$1,N(INDEX('Journal'!$G$1:$G$2002,$H916)),N(INDEX('Journal'!$F$1:$F$2002,$H916))))</f>
        <v/>
      </c>
      <c r="F916" s="20">
        <f>IF($H916="","",IF(INDEX('Journal'!$D$1:$D$2002,$H916)=$B$1,N(INDEX('Journal'!$F$1:$F$2002,$H916)),N(INDEX('Journal'!$G$1:$G$2002,$H916))))</f>
        <v/>
      </c>
      <c r="G916" s="20">
        <f>IF($H916="","",G915+E916-F916)</f>
        <v/>
      </c>
      <c r="H916" s="18">
        <f t="array" ref="H916">IF($B$1="","",IFERROR(_xlfn.AGGREGATE(15,6,ROW('Journal'!$A$3:$A$2002)/(('Journal'!$D$3:$D$2002=$B$1)+('Journal'!$E$3:$E$2002=$B$1))/('Journal'!$B$3:$B$2002&gt;=$B$2)/('Journal'!$B$3:$B$2002&lt;=$B$3),911),""))</f>
        <v/>
      </c>
    </row>
    <row r="917">
      <c r="A917" s="18">
        <f>IF($H917="","",INDEX('Journal'!$A$1:$A$2002,$H917))</f>
        <v/>
      </c>
      <c r="B917" s="21">
        <f>IF($H917="","",INDEX('Journal'!$B$1:$B$2002,$H917))</f>
        <v/>
      </c>
      <c r="C917" s="5">
        <f>IF($H917="","",INDEX('Journal'!$C$1:$C$2002,$H917)&amp;"")</f>
        <v/>
      </c>
      <c r="D917" s="5">
        <f>IF($H917="","",IF(INDEX('Journal'!$D$1:$D$2002,$H917)=$B$1,INDEX('Journal'!$E$1:$E$2002,$H917),INDEX('Journal'!$D$1:$D$2002,$H917))&amp;"")</f>
        <v/>
      </c>
      <c r="E917" s="20">
        <f>IF($H917="","",IF(INDEX('Journal'!$D$1:$D$2002,$H917)=$B$1,N(INDEX('Journal'!$G$1:$G$2002,$H917)),N(INDEX('Journal'!$F$1:$F$2002,$H917))))</f>
        <v/>
      </c>
      <c r="F917" s="20">
        <f>IF($H917="","",IF(INDEX('Journal'!$D$1:$D$2002,$H917)=$B$1,N(INDEX('Journal'!$F$1:$F$2002,$H917)),N(INDEX('Journal'!$G$1:$G$2002,$H917))))</f>
        <v/>
      </c>
      <c r="G917" s="20">
        <f>IF($H917="","",G916+E917-F917)</f>
        <v/>
      </c>
      <c r="H917" s="18">
        <f t="array" ref="H917">IF($B$1="","",IFERROR(_xlfn.AGGREGATE(15,6,ROW('Journal'!$A$3:$A$2002)/(('Journal'!$D$3:$D$2002=$B$1)+('Journal'!$E$3:$E$2002=$B$1))/('Journal'!$B$3:$B$2002&gt;=$B$2)/('Journal'!$B$3:$B$2002&lt;=$B$3),912),""))</f>
        <v/>
      </c>
    </row>
    <row r="918">
      <c r="A918" s="18">
        <f>IF($H918="","",INDEX('Journal'!$A$1:$A$2002,$H918))</f>
        <v/>
      </c>
      <c r="B918" s="21">
        <f>IF($H918="","",INDEX('Journal'!$B$1:$B$2002,$H918))</f>
        <v/>
      </c>
      <c r="C918" s="5">
        <f>IF($H918="","",INDEX('Journal'!$C$1:$C$2002,$H918)&amp;"")</f>
        <v/>
      </c>
      <c r="D918" s="5">
        <f>IF($H918="","",IF(INDEX('Journal'!$D$1:$D$2002,$H918)=$B$1,INDEX('Journal'!$E$1:$E$2002,$H918),INDEX('Journal'!$D$1:$D$2002,$H918))&amp;"")</f>
        <v/>
      </c>
      <c r="E918" s="20">
        <f>IF($H918="","",IF(INDEX('Journal'!$D$1:$D$2002,$H918)=$B$1,N(INDEX('Journal'!$G$1:$G$2002,$H918)),N(INDEX('Journal'!$F$1:$F$2002,$H918))))</f>
        <v/>
      </c>
      <c r="F918" s="20">
        <f>IF($H918="","",IF(INDEX('Journal'!$D$1:$D$2002,$H918)=$B$1,N(INDEX('Journal'!$F$1:$F$2002,$H918)),N(INDEX('Journal'!$G$1:$G$2002,$H918))))</f>
        <v/>
      </c>
      <c r="G918" s="20">
        <f>IF($H918="","",G917+E918-F918)</f>
        <v/>
      </c>
      <c r="H918" s="18">
        <f t="array" ref="H918">IF($B$1="","",IFERROR(_xlfn.AGGREGATE(15,6,ROW('Journal'!$A$3:$A$2002)/(('Journal'!$D$3:$D$2002=$B$1)+('Journal'!$E$3:$E$2002=$B$1))/('Journal'!$B$3:$B$2002&gt;=$B$2)/('Journal'!$B$3:$B$2002&lt;=$B$3),913),""))</f>
        <v/>
      </c>
    </row>
    <row r="919">
      <c r="A919" s="18">
        <f>IF($H919="","",INDEX('Journal'!$A$1:$A$2002,$H919))</f>
        <v/>
      </c>
      <c r="B919" s="21">
        <f>IF($H919="","",INDEX('Journal'!$B$1:$B$2002,$H919))</f>
        <v/>
      </c>
      <c r="C919" s="5">
        <f>IF($H919="","",INDEX('Journal'!$C$1:$C$2002,$H919)&amp;"")</f>
        <v/>
      </c>
      <c r="D919" s="5">
        <f>IF($H919="","",IF(INDEX('Journal'!$D$1:$D$2002,$H919)=$B$1,INDEX('Journal'!$E$1:$E$2002,$H919),INDEX('Journal'!$D$1:$D$2002,$H919))&amp;"")</f>
        <v/>
      </c>
      <c r="E919" s="20">
        <f>IF($H919="","",IF(INDEX('Journal'!$D$1:$D$2002,$H919)=$B$1,N(INDEX('Journal'!$G$1:$G$2002,$H919)),N(INDEX('Journal'!$F$1:$F$2002,$H919))))</f>
        <v/>
      </c>
      <c r="F919" s="20">
        <f>IF($H919="","",IF(INDEX('Journal'!$D$1:$D$2002,$H919)=$B$1,N(INDEX('Journal'!$F$1:$F$2002,$H919)),N(INDEX('Journal'!$G$1:$G$2002,$H919))))</f>
        <v/>
      </c>
      <c r="G919" s="20">
        <f>IF($H919="","",G918+E919-F919)</f>
        <v/>
      </c>
      <c r="H919" s="18">
        <f t="array" ref="H919">IF($B$1="","",IFERROR(_xlfn.AGGREGATE(15,6,ROW('Journal'!$A$3:$A$2002)/(('Journal'!$D$3:$D$2002=$B$1)+('Journal'!$E$3:$E$2002=$B$1))/('Journal'!$B$3:$B$2002&gt;=$B$2)/('Journal'!$B$3:$B$2002&lt;=$B$3),914),""))</f>
        <v/>
      </c>
    </row>
    <row r="920">
      <c r="A920" s="18">
        <f>IF($H920="","",INDEX('Journal'!$A$1:$A$2002,$H920))</f>
        <v/>
      </c>
      <c r="B920" s="21">
        <f>IF($H920="","",INDEX('Journal'!$B$1:$B$2002,$H920))</f>
        <v/>
      </c>
      <c r="C920" s="5">
        <f>IF($H920="","",INDEX('Journal'!$C$1:$C$2002,$H920)&amp;"")</f>
        <v/>
      </c>
      <c r="D920" s="5">
        <f>IF($H920="","",IF(INDEX('Journal'!$D$1:$D$2002,$H920)=$B$1,INDEX('Journal'!$E$1:$E$2002,$H920),INDEX('Journal'!$D$1:$D$2002,$H920))&amp;"")</f>
        <v/>
      </c>
      <c r="E920" s="20">
        <f>IF($H920="","",IF(INDEX('Journal'!$D$1:$D$2002,$H920)=$B$1,N(INDEX('Journal'!$G$1:$G$2002,$H920)),N(INDEX('Journal'!$F$1:$F$2002,$H920))))</f>
        <v/>
      </c>
      <c r="F920" s="20">
        <f>IF($H920="","",IF(INDEX('Journal'!$D$1:$D$2002,$H920)=$B$1,N(INDEX('Journal'!$F$1:$F$2002,$H920)),N(INDEX('Journal'!$G$1:$G$2002,$H920))))</f>
        <v/>
      </c>
      <c r="G920" s="20">
        <f>IF($H920="","",G919+E920-F920)</f>
        <v/>
      </c>
      <c r="H920" s="18">
        <f t="array" ref="H920">IF($B$1="","",IFERROR(_xlfn.AGGREGATE(15,6,ROW('Journal'!$A$3:$A$2002)/(('Journal'!$D$3:$D$2002=$B$1)+('Journal'!$E$3:$E$2002=$B$1))/('Journal'!$B$3:$B$2002&gt;=$B$2)/('Journal'!$B$3:$B$2002&lt;=$B$3),915),""))</f>
        <v/>
      </c>
    </row>
    <row r="921">
      <c r="A921" s="18">
        <f>IF($H921="","",INDEX('Journal'!$A$1:$A$2002,$H921))</f>
        <v/>
      </c>
      <c r="B921" s="21">
        <f>IF($H921="","",INDEX('Journal'!$B$1:$B$2002,$H921))</f>
        <v/>
      </c>
      <c r="C921" s="5">
        <f>IF($H921="","",INDEX('Journal'!$C$1:$C$2002,$H921)&amp;"")</f>
        <v/>
      </c>
      <c r="D921" s="5">
        <f>IF($H921="","",IF(INDEX('Journal'!$D$1:$D$2002,$H921)=$B$1,INDEX('Journal'!$E$1:$E$2002,$H921),INDEX('Journal'!$D$1:$D$2002,$H921))&amp;"")</f>
        <v/>
      </c>
      <c r="E921" s="20">
        <f>IF($H921="","",IF(INDEX('Journal'!$D$1:$D$2002,$H921)=$B$1,N(INDEX('Journal'!$G$1:$G$2002,$H921)),N(INDEX('Journal'!$F$1:$F$2002,$H921))))</f>
        <v/>
      </c>
      <c r="F921" s="20">
        <f>IF($H921="","",IF(INDEX('Journal'!$D$1:$D$2002,$H921)=$B$1,N(INDEX('Journal'!$F$1:$F$2002,$H921)),N(INDEX('Journal'!$G$1:$G$2002,$H921))))</f>
        <v/>
      </c>
      <c r="G921" s="20">
        <f>IF($H921="","",G920+E921-F921)</f>
        <v/>
      </c>
      <c r="H921" s="18">
        <f t="array" ref="H921">IF($B$1="","",IFERROR(_xlfn.AGGREGATE(15,6,ROW('Journal'!$A$3:$A$2002)/(('Journal'!$D$3:$D$2002=$B$1)+('Journal'!$E$3:$E$2002=$B$1))/('Journal'!$B$3:$B$2002&gt;=$B$2)/('Journal'!$B$3:$B$2002&lt;=$B$3),916),""))</f>
        <v/>
      </c>
    </row>
    <row r="922">
      <c r="A922" s="18">
        <f>IF($H922="","",INDEX('Journal'!$A$1:$A$2002,$H922))</f>
        <v/>
      </c>
      <c r="B922" s="21">
        <f>IF($H922="","",INDEX('Journal'!$B$1:$B$2002,$H922))</f>
        <v/>
      </c>
      <c r="C922" s="5">
        <f>IF($H922="","",INDEX('Journal'!$C$1:$C$2002,$H922)&amp;"")</f>
        <v/>
      </c>
      <c r="D922" s="5">
        <f>IF($H922="","",IF(INDEX('Journal'!$D$1:$D$2002,$H922)=$B$1,INDEX('Journal'!$E$1:$E$2002,$H922),INDEX('Journal'!$D$1:$D$2002,$H922))&amp;"")</f>
        <v/>
      </c>
      <c r="E922" s="20">
        <f>IF($H922="","",IF(INDEX('Journal'!$D$1:$D$2002,$H922)=$B$1,N(INDEX('Journal'!$G$1:$G$2002,$H922)),N(INDEX('Journal'!$F$1:$F$2002,$H922))))</f>
        <v/>
      </c>
      <c r="F922" s="20">
        <f>IF($H922="","",IF(INDEX('Journal'!$D$1:$D$2002,$H922)=$B$1,N(INDEX('Journal'!$F$1:$F$2002,$H922)),N(INDEX('Journal'!$G$1:$G$2002,$H922))))</f>
        <v/>
      </c>
      <c r="G922" s="20">
        <f>IF($H922="","",G921+E922-F922)</f>
        <v/>
      </c>
      <c r="H922" s="18">
        <f t="array" ref="H922">IF($B$1="","",IFERROR(_xlfn.AGGREGATE(15,6,ROW('Journal'!$A$3:$A$2002)/(('Journal'!$D$3:$D$2002=$B$1)+('Journal'!$E$3:$E$2002=$B$1))/('Journal'!$B$3:$B$2002&gt;=$B$2)/('Journal'!$B$3:$B$2002&lt;=$B$3),917),""))</f>
        <v/>
      </c>
    </row>
    <row r="923">
      <c r="A923" s="18">
        <f>IF($H923="","",INDEX('Journal'!$A$1:$A$2002,$H923))</f>
        <v/>
      </c>
      <c r="B923" s="21">
        <f>IF($H923="","",INDEX('Journal'!$B$1:$B$2002,$H923))</f>
        <v/>
      </c>
      <c r="C923" s="5">
        <f>IF($H923="","",INDEX('Journal'!$C$1:$C$2002,$H923)&amp;"")</f>
        <v/>
      </c>
      <c r="D923" s="5">
        <f>IF($H923="","",IF(INDEX('Journal'!$D$1:$D$2002,$H923)=$B$1,INDEX('Journal'!$E$1:$E$2002,$H923),INDEX('Journal'!$D$1:$D$2002,$H923))&amp;"")</f>
        <v/>
      </c>
      <c r="E923" s="20">
        <f>IF($H923="","",IF(INDEX('Journal'!$D$1:$D$2002,$H923)=$B$1,N(INDEX('Journal'!$G$1:$G$2002,$H923)),N(INDEX('Journal'!$F$1:$F$2002,$H923))))</f>
        <v/>
      </c>
      <c r="F923" s="20">
        <f>IF($H923="","",IF(INDEX('Journal'!$D$1:$D$2002,$H923)=$B$1,N(INDEX('Journal'!$F$1:$F$2002,$H923)),N(INDEX('Journal'!$G$1:$G$2002,$H923))))</f>
        <v/>
      </c>
      <c r="G923" s="20">
        <f>IF($H923="","",G922+E923-F923)</f>
        <v/>
      </c>
      <c r="H923" s="18">
        <f t="array" ref="H923">IF($B$1="","",IFERROR(_xlfn.AGGREGATE(15,6,ROW('Journal'!$A$3:$A$2002)/(('Journal'!$D$3:$D$2002=$B$1)+('Journal'!$E$3:$E$2002=$B$1))/('Journal'!$B$3:$B$2002&gt;=$B$2)/('Journal'!$B$3:$B$2002&lt;=$B$3),918),""))</f>
        <v/>
      </c>
    </row>
    <row r="924">
      <c r="A924" s="18">
        <f>IF($H924="","",INDEX('Journal'!$A$1:$A$2002,$H924))</f>
        <v/>
      </c>
      <c r="B924" s="21">
        <f>IF($H924="","",INDEX('Journal'!$B$1:$B$2002,$H924))</f>
        <v/>
      </c>
      <c r="C924" s="5">
        <f>IF($H924="","",INDEX('Journal'!$C$1:$C$2002,$H924)&amp;"")</f>
        <v/>
      </c>
      <c r="D924" s="5">
        <f>IF($H924="","",IF(INDEX('Journal'!$D$1:$D$2002,$H924)=$B$1,INDEX('Journal'!$E$1:$E$2002,$H924),INDEX('Journal'!$D$1:$D$2002,$H924))&amp;"")</f>
        <v/>
      </c>
      <c r="E924" s="20">
        <f>IF($H924="","",IF(INDEX('Journal'!$D$1:$D$2002,$H924)=$B$1,N(INDEX('Journal'!$G$1:$G$2002,$H924)),N(INDEX('Journal'!$F$1:$F$2002,$H924))))</f>
        <v/>
      </c>
      <c r="F924" s="20">
        <f>IF($H924="","",IF(INDEX('Journal'!$D$1:$D$2002,$H924)=$B$1,N(INDEX('Journal'!$F$1:$F$2002,$H924)),N(INDEX('Journal'!$G$1:$G$2002,$H924))))</f>
        <v/>
      </c>
      <c r="G924" s="20">
        <f>IF($H924="","",G923+E924-F924)</f>
        <v/>
      </c>
      <c r="H924" s="18">
        <f t="array" ref="H924">IF($B$1="","",IFERROR(_xlfn.AGGREGATE(15,6,ROW('Journal'!$A$3:$A$2002)/(('Journal'!$D$3:$D$2002=$B$1)+('Journal'!$E$3:$E$2002=$B$1))/('Journal'!$B$3:$B$2002&gt;=$B$2)/('Journal'!$B$3:$B$2002&lt;=$B$3),919),""))</f>
        <v/>
      </c>
    </row>
    <row r="925">
      <c r="A925" s="18">
        <f>IF($H925="","",INDEX('Journal'!$A$1:$A$2002,$H925))</f>
        <v/>
      </c>
      <c r="B925" s="21">
        <f>IF($H925="","",INDEX('Journal'!$B$1:$B$2002,$H925))</f>
        <v/>
      </c>
      <c r="C925" s="5">
        <f>IF($H925="","",INDEX('Journal'!$C$1:$C$2002,$H925)&amp;"")</f>
        <v/>
      </c>
      <c r="D925" s="5">
        <f>IF($H925="","",IF(INDEX('Journal'!$D$1:$D$2002,$H925)=$B$1,INDEX('Journal'!$E$1:$E$2002,$H925),INDEX('Journal'!$D$1:$D$2002,$H925))&amp;"")</f>
        <v/>
      </c>
      <c r="E925" s="20">
        <f>IF($H925="","",IF(INDEX('Journal'!$D$1:$D$2002,$H925)=$B$1,N(INDEX('Journal'!$G$1:$G$2002,$H925)),N(INDEX('Journal'!$F$1:$F$2002,$H925))))</f>
        <v/>
      </c>
      <c r="F925" s="20">
        <f>IF($H925="","",IF(INDEX('Journal'!$D$1:$D$2002,$H925)=$B$1,N(INDEX('Journal'!$F$1:$F$2002,$H925)),N(INDEX('Journal'!$G$1:$G$2002,$H925))))</f>
        <v/>
      </c>
      <c r="G925" s="20">
        <f>IF($H925="","",G924+E925-F925)</f>
        <v/>
      </c>
      <c r="H925" s="18">
        <f t="array" ref="H925">IF($B$1="","",IFERROR(_xlfn.AGGREGATE(15,6,ROW('Journal'!$A$3:$A$2002)/(('Journal'!$D$3:$D$2002=$B$1)+('Journal'!$E$3:$E$2002=$B$1))/('Journal'!$B$3:$B$2002&gt;=$B$2)/('Journal'!$B$3:$B$2002&lt;=$B$3),920),""))</f>
        <v/>
      </c>
    </row>
    <row r="926">
      <c r="A926" s="18">
        <f>IF($H926="","",INDEX('Journal'!$A$1:$A$2002,$H926))</f>
        <v/>
      </c>
      <c r="B926" s="21">
        <f>IF($H926="","",INDEX('Journal'!$B$1:$B$2002,$H926))</f>
        <v/>
      </c>
      <c r="C926" s="5">
        <f>IF($H926="","",INDEX('Journal'!$C$1:$C$2002,$H926)&amp;"")</f>
        <v/>
      </c>
      <c r="D926" s="5">
        <f>IF($H926="","",IF(INDEX('Journal'!$D$1:$D$2002,$H926)=$B$1,INDEX('Journal'!$E$1:$E$2002,$H926),INDEX('Journal'!$D$1:$D$2002,$H926))&amp;"")</f>
        <v/>
      </c>
      <c r="E926" s="20">
        <f>IF($H926="","",IF(INDEX('Journal'!$D$1:$D$2002,$H926)=$B$1,N(INDEX('Journal'!$G$1:$G$2002,$H926)),N(INDEX('Journal'!$F$1:$F$2002,$H926))))</f>
        <v/>
      </c>
      <c r="F926" s="20">
        <f>IF($H926="","",IF(INDEX('Journal'!$D$1:$D$2002,$H926)=$B$1,N(INDEX('Journal'!$F$1:$F$2002,$H926)),N(INDEX('Journal'!$G$1:$G$2002,$H926))))</f>
        <v/>
      </c>
      <c r="G926" s="20">
        <f>IF($H926="","",G925+E926-F926)</f>
        <v/>
      </c>
      <c r="H926" s="18">
        <f t="array" ref="H926">IF($B$1="","",IFERROR(_xlfn.AGGREGATE(15,6,ROW('Journal'!$A$3:$A$2002)/(('Journal'!$D$3:$D$2002=$B$1)+('Journal'!$E$3:$E$2002=$B$1))/('Journal'!$B$3:$B$2002&gt;=$B$2)/('Journal'!$B$3:$B$2002&lt;=$B$3),921),""))</f>
        <v/>
      </c>
    </row>
    <row r="927">
      <c r="A927" s="18">
        <f>IF($H927="","",INDEX('Journal'!$A$1:$A$2002,$H927))</f>
        <v/>
      </c>
      <c r="B927" s="21">
        <f>IF($H927="","",INDEX('Journal'!$B$1:$B$2002,$H927))</f>
        <v/>
      </c>
      <c r="C927" s="5">
        <f>IF($H927="","",INDEX('Journal'!$C$1:$C$2002,$H927)&amp;"")</f>
        <v/>
      </c>
      <c r="D927" s="5">
        <f>IF($H927="","",IF(INDEX('Journal'!$D$1:$D$2002,$H927)=$B$1,INDEX('Journal'!$E$1:$E$2002,$H927),INDEX('Journal'!$D$1:$D$2002,$H927))&amp;"")</f>
        <v/>
      </c>
      <c r="E927" s="20">
        <f>IF($H927="","",IF(INDEX('Journal'!$D$1:$D$2002,$H927)=$B$1,N(INDEX('Journal'!$G$1:$G$2002,$H927)),N(INDEX('Journal'!$F$1:$F$2002,$H927))))</f>
        <v/>
      </c>
      <c r="F927" s="20">
        <f>IF($H927="","",IF(INDEX('Journal'!$D$1:$D$2002,$H927)=$B$1,N(INDEX('Journal'!$F$1:$F$2002,$H927)),N(INDEX('Journal'!$G$1:$G$2002,$H927))))</f>
        <v/>
      </c>
      <c r="G927" s="20">
        <f>IF($H927="","",G926+E927-F927)</f>
        <v/>
      </c>
      <c r="H927" s="18">
        <f t="array" ref="H927">IF($B$1="","",IFERROR(_xlfn.AGGREGATE(15,6,ROW('Journal'!$A$3:$A$2002)/(('Journal'!$D$3:$D$2002=$B$1)+('Journal'!$E$3:$E$2002=$B$1))/('Journal'!$B$3:$B$2002&gt;=$B$2)/('Journal'!$B$3:$B$2002&lt;=$B$3),922),""))</f>
        <v/>
      </c>
    </row>
    <row r="928">
      <c r="A928" s="18">
        <f>IF($H928="","",INDEX('Journal'!$A$1:$A$2002,$H928))</f>
        <v/>
      </c>
      <c r="B928" s="21">
        <f>IF($H928="","",INDEX('Journal'!$B$1:$B$2002,$H928))</f>
        <v/>
      </c>
      <c r="C928" s="5">
        <f>IF($H928="","",INDEX('Journal'!$C$1:$C$2002,$H928)&amp;"")</f>
        <v/>
      </c>
      <c r="D928" s="5">
        <f>IF($H928="","",IF(INDEX('Journal'!$D$1:$D$2002,$H928)=$B$1,INDEX('Journal'!$E$1:$E$2002,$H928),INDEX('Journal'!$D$1:$D$2002,$H928))&amp;"")</f>
        <v/>
      </c>
      <c r="E928" s="20">
        <f>IF($H928="","",IF(INDEX('Journal'!$D$1:$D$2002,$H928)=$B$1,N(INDEX('Journal'!$G$1:$G$2002,$H928)),N(INDEX('Journal'!$F$1:$F$2002,$H928))))</f>
        <v/>
      </c>
      <c r="F928" s="20">
        <f>IF($H928="","",IF(INDEX('Journal'!$D$1:$D$2002,$H928)=$B$1,N(INDEX('Journal'!$F$1:$F$2002,$H928)),N(INDEX('Journal'!$G$1:$G$2002,$H928))))</f>
        <v/>
      </c>
      <c r="G928" s="20">
        <f>IF($H928="","",G927+E928-F928)</f>
        <v/>
      </c>
      <c r="H928" s="18">
        <f t="array" ref="H928">IF($B$1="","",IFERROR(_xlfn.AGGREGATE(15,6,ROW('Journal'!$A$3:$A$2002)/(('Journal'!$D$3:$D$2002=$B$1)+('Journal'!$E$3:$E$2002=$B$1))/('Journal'!$B$3:$B$2002&gt;=$B$2)/('Journal'!$B$3:$B$2002&lt;=$B$3),923),""))</f>
        <v/>
      </c>
    </row>
    <row r="929">
      <c r="A929" s="18">
        <f>IF($H929="","",INDEX('Journal'!$A$1:$A$2002,$H929))</f>
        <v/>
      </c>
      <c r="B929" s="21">
        <f>IF($H929="","",INDEX('Journal'!$B$1:$B$2002,$H929))</f>
        <v/>
      </c>
      <c r="C929" s="5">
        <f>IF($H929="","",INDEX('Journal'!$C$1:$C$2002,$H929)&amp;"")</f>
        <v/>
      </c>
      <c r="D929" s="5">
        <f>IF($H929="","",IF(INDEX('Journal'!$D$1:$D$2002,$H929)=$B$1,INDEX('Journal'!$E$1:$E$2002,$H929),INDEX('Journal'!$D$1:$D$2002,$H929))&amp;"")</f>
        <v/>
      </c>
      <c r="E929" s="20">
        <f>IF($H929="","",IF(INDEX('Journal'!$D$1:$D$2002,$H929)=$B$1,N(INDEX('Journal'!$G$1:$G$2002,$H929)),N(INDEX('Journal'!$F$1:$F$2002,$H929))))</f>
        <v/>
      </c>
      <c r="F929" s="20">
        <f>IF($H929="","",IF(INDEX('Journal'!$D$1:$D$2002,$H929)=$B$1,N(INDEX('Journal'!$F$1:$F$2002,$H929)),N(INDEX('Journal'!$G$1:$G$2002,$H929))))</f>
        <v/>
      </c>
      <c r="G929" s="20">
        <f>IF($H929="","",G928+E929-F929)</f>
        <v/>
      </c>
      <c r="H929" s="18">
        <f t="array" ref="H929">IF($B$1="","",IFERROR(_xlfn.AGGREGATE(15,6,ROW('Journal'!$A$3:$A$2002)/(('Journal'!$D$3:$D$2002=$B$1)+('Journal'!$E$3:$E$2002=$B$1))/('Journal'!$B$3:$B$2002&gt;=$B$2)/('Journal'!$B$3:$B$2002&lt;=$B$3),924),""))</f>
        <v/>
      </c>
    </row>
    <row r="930">
      <c r="A930" s="18">
        <f>IF($H930="","",INDEX('Journal'!$A$1:$A$2002,$H930))</f>
        <v/>
      </c>
      <c r="B930" s="21">
        <f>IF($H930="","",INDEX('Journal'!$B$1:$B$2002,$H930))</f>
        <v/>
      </c>
      <c r="C930" s="5">
        <f>IF($H930="","",INDEX('Journal'!$C$1:$C$2002,$H930)&amp;"")</f>
        <v/>
      </c>
      <c r="D930" s="5">
        <f>IF($H930="","",IF(INDEX('Journal'!$D$1:$D$2002,$H930)=$B$1,INDEX('Journal'!$E$1:$E$2002,$H930),INDEX('Journal'!$D$1:$D$2002,$H930))&amp;"")</f>
        <v/>
      </c>
      <c r="E930" s="20">
        <f>IF($H930="","",IF(INDEX('Journal'!$D$1:$D$2002,$H930)=$B$1,N(INDEX('Journal'!$G$1:$G$2002,$H930)),N(INDEX('Journal'!$F$1:$F$2002,$H930))))</f>
        <v/>
      </c>
      <c r="F930" s="20">
        <f>IF($H930="","",IF(INDEX('Journal'!$D$1:$D$2002,$H930)=$B$1,N(INDEX('Journal'!$F$1:$F$2002,$H930)),N(INDEX('Journal'!$G$1:$G$2002,$H930))))</f>
        <v/>
      </c>
      <c r="G930" s="20">
        <f>IF($H930="","",G929+E930-F930)</f>
        <v/>
      </c>
      <c r="H930" s="18">
        <f t="array" ref="H930">IF($B$1="","",IFERROR(_xlfn.AGGREGATE(15,6,ROW('Journal'!$A$3:$A$2002)/(('Journal'!$D$3:$D$2002=$B$1)+('Journal'!$E$3:$E$2002=$B$1))/('Journal'!$B$3:$B$2002&gt;=$B$2)/('Journal'!$B$3:$B$2002&lt;=$B$3),925),""))</f>
        <v/>
      </c>
    </row>
    <row r="931">
      <c r="A931" s="18">
        <f>IF($H931="","",INDEX('Journal'!$A$1:$A$2002,$H931))</f>
        <v/>
      </c>
      <c r="B931" s="21">
        <f>IF($H931="","",INDEX('Journal'!$B$1:$B$2002,$H931))</f>
        <v/>
      </c>
      <c r="C931" s="5">
        <f>IF($H931="","",INDEX('Journal'!$C$1:$C$2002,$H931)&amp;"")</f>
        <v/>
      </c>
      <c r="D931" s="5">
        <f>IF($H931="","",IF(INDEX('Journal'!$D$1:$D$2002,$H931)=$B$1,INDEX('Journal'!$E$1:$E$2002,$H931),INDEX('Journal'!$D$1:$D$2002,$H931))&amp;"")</f>
        <v/>
      </c>
      <c r="E931" s="20">
        <f>IF($H931="","",IF(INDEX('Journal'!$D$1:$D$2002,$H931)=$B$1,N(INDEX('Journal'!$G$1:$G$2002,$H931)),N(INDEX('Journal'!$F$1:$F$2002,$H931))))</f>
        <v/>
      </c>
      <c r="F931" s="20">
        <f>IF($H931="","",IF(INDEX('Journal'!$D$1:$D$2002,$H931)=$B$1,N(INDEX('Journal'!$F$1:$F$2002,$H931)),N(INDEX('Journal'!$G$1:$G$2002,$H931))))</f>
        <v/>
      </c>
      <c r="G931" s="20">
        <f>IF($H931="","",G930+E931-F931)</f>
        <v/>
      </c>
      <c r="H931" s="18">
        <f t="array" ref="H931">IF($B$1="","",IFERROR(_xlfn.AGGREGATE(15,6,ROW('Journal'!$A$3:$A$2002)/(('Journal'!$D$3:$D$2002=$B$1)+('Journal'!$E$3:$E$2002=$B$1))/('Journal'!$B$3:$B$2002&gt;=$B$2)/('Journal'!$B$3:$B$2002&lt;=$B$3),926),""))</f>
        <v/>
      </c>
    </row>
    <row r="932">
      <c r="A932" s="18">
        <f>IF($H932="","",INDEX('Journal'!$A$1:$A$2002,$H932))</f>
        <v/>
      </c>
      <c r="B932" s="21">
        <f>IF($H932="","",INDEX('Journal'!$B$1:$B$2002,$H932))</f>
        <v/>
      </c>
      <c r="C932" s="5">
        <f>IF($H932="","",INDEX('Journal'!$C$1:$C$2002,$H932)&amp;"")</f>
        <v/>
      </c>
      <c r="D932" s="5">
        <f>IF($H932="","",IF(INDEX('Journal'!$D$1:$D$2002,$H932)=$B$1,INDEX('Journal'!$E$1:$E$2002,$H932),INDEX('Journal'!$D$1:$D$2002,$H932))&amp;"")</f>
        <v/>
      </c>
      <c r="E932" s="20">
        <f>IF($H932="","",IF(INDEX('Journal'!$D$1:$D$2002,$H932)=$B$1,N(INDEX('Journal'!$G$1:$G$2002,$H932)),N(INDEX('Journal'!$F$1:$F$2002,$H932))))</f>
        <v/>
      </c>
      <c r="F932" s="20">
        <f>IF($H932="","",IF(INDEX('Journal'!$D$1:$D$2002,$H932)=$B$1,N(INDEX('Journal'!$F$1:$F$2002,$H932)),N(INDEX('Journal'!$G$1:$G$2002,$H932))))</f>
        <v/>
      </c>
      <c r="G932" s="20">
        <f>IF($H932="","",G931+E932-F932)</f>
        <v/>
      </c>
      <c r="H932" s="18">
        <f t="array" ref="H932">IF($B$1="","",IFERROR(_xlfn.AGGREGATE(15,6,ROW('Journal'!$A$3:$A$2002)/(('Journal'!$D$3:$D$2002=$B$1)+('Journal'!$E$3:$E$2002=$B$1))/('Journal'!$B$3:$B$2002&gt;=$B$2)/('Journal'!$B$3:$B$2002&lt;=$B$3),927),""))</f>
        <v/>
      </c>
    </row>
    <row r="933">
      <c r="A933" s="18">
        <f>IF($H933="","",INDEX('Journal'!$A$1:$A$2002,$H933))</f>
        <v/>
      </c>
      <c r="B933" s="21">
        <f>IF($H933="","",INDEX('Journal'!$B$1:$B$2002,$H933))</f>
        <v/>
      </c>
      <c r="C933" s="5">
        <f>IF($H933="","",INDEX('Journal'!$C$1:$C$2002,$H933)&amp;"")</f>
        <v/>
      </c>
      <c r="D933" s="5">
        <f>IF($H933="","",IF(INDEX('Journal'!$D$1:$D$2002,$H933)=$B$1,INDEX('Journal'!$E$1:$E$2002,$H933),INDEX('Journal'!$D$1:$D$2002,$H933))&amp;"")</f>
        <v/>
      </c>
      <c r="E933" s="20">
        <f>IF($H933="","",IF(INDEX('Journal'!$D$1:$D$2002,$H933)=$B$1,N(INDEX('Journal'!$G$1:$G$2002,$H933)),N(INDEX('Journal'!$F$1:$F$2002,$H933))))</f>
        <v/>
      </c>
      <c r="F933" s="20">
        <f>IF($H933="","",IF(INDEX('Journal'!$D$1:$D$2002,$H933)=$B$1,N(INDEX('Journal'!$F$1:$F$2002,$H933)),N(INDEX('Journal'!$G$1:$G$2002,$H933))))</f>
        <v/>
      </c>
      <c r="G933" s="20">
        <f>IF($H933="","",G932+E933-F933)</f>
        <v/>
      </c>
      <c r="H933" s="18">
        <f t="array" ref="H933">IF($B$1="","",IFERROR(_xlfn.AGGREGATE(15,6,ROW('Journal'!$A$3:$A$2002)/(('Journal'!$D$3:$D$2002=$B$1)+('Journal'!$E$3:$E$2002=$B$1))/('Journal'!$B$3:$B$2002&gt;=$B$2)/('Journal'!$B$3:$B$2002&lt;=$B$3),928),""))</f>
        <v/>
      </c>
    </row>
    <row r="934">
      <c r="A934" s="18">
        <f>IF($H934="","",INDEX('Journal'!$A$1:$A$2002,$H934))</f>
        <v/>
      </c>
      <c r="B934" s="21">
        <f>IF($H934="","",INDEX('Journal'!$B$1:$B$2002,$H934))</f>
        <v/>
      </c>
      <c r="C934" s="5">
        <f>IF($H934="","",INDEX('Journal'!$C$1:$C$2002,$H934)&amp;"")</f>
        <v/>
      </c>
      <c r="D934" s="5">
        <f>IF($H934="","",IF(INDEX('Journal'!$D$1:$D$2002,$H934)=$B$1,INDEX('Journal'!$E$1:$E$2002,$H934),INDEX('Journal'!$D$1:$D$2002,$H934))&amp;"")</f>
        <v/>
      </c>
      <c r="E934" s="20">
        <f>IF($H934="","",IF(INDEX('Journal'!$D$1:$D$2002,$H934)=$B$1,N(INDEX('Journal'!$G$1:$G$2002,$H934)),N(INDEX('Journal'!$F$1:$F$2002,$H934))))</f>
        <v/>
      </c>
      <c r="F934" s="20">
        <f>IF($H934="","",IF(INDEX('Journal'!$D$1:$D$2002,$H934)=$B$1,N(INDEX('Journal'!$F$1:$F$2002,$H934)),N(INDEX('Journal'!$G$1:$G$2002,$H934))))</f>
        <v/>
      </c>
      <c r="G934" s="20">
        <f>IF($H934="","",G933+E934-F934)</f>
        <v/>
      </c>
      <c r="H934" s="18">
        <f t="array" ref="H934">IF($B$1="","",IFERROR(_xlfn.AGGREGATE(15,6,ROW('Journal'!$A$3:$A$2002)/(('Journal'!$D$3:$D$2002=$B$1)+('Journal'!$E$3:$E$2002=$B$1))/('Journal'!$B$3:$B$2002&gt;=$B$2)/('Journal'!$B$3:$B$2002&lt;=$B$3),929),""))</f>
        <v/>
      </c>
    </row>
    <row r="935">
      <c r="A935" s="18">
        <f>IF($H935="","",INDEX('Journal'!$A$1:$A$2002,$H935))</f>
        <v/>
      </c>
      <c r="B935" s="21">
        <f>IF($H935="","",INDEX('Journal'!$B$1:$B$2002,$H935))</f>
        <v/>
      </c>
      <c r="C935" s="5">
        <f>IF($H935="","",INDEX('Journal'!$C$1:$C$2002,$H935)&amp;"")</f>
        <v/>
      </c>
      <c r="D935" s="5">
        <f>IF($H935="","",IF(INDEX('Journal'!$D$1:$D$2002,$H935)=$B$1,INDEX('Journal'!$E$1:$E$2002,$H935),INDEX('Journal'!$D$1:$D$2002,$H935))&amp;"")</f>
        <v/>
      </c>
      <c r="E935" s="20">
        <f>IF($H935="","",IF(INDEX('Journal'!$D$1:$D$2002,$H935)=$B$1,N(INDEX('Journal'!$G$1:$G$2002,$H935)),N(INDEX('Journal'!$F$1:$F$2002,$H935))))</f>
        <v/>
      </c>
      <c r="F935" s="20">
        <f>IF($H935="","",IF(INDEX('Journal'!$D$1:$D$2002,$H935)=$B$1,N(INDEX('Journal'!$F$1:$F$2002,$H935)),N(INDEX('Journal'!$G$1:$G$2002,$H935))))</f>
        <v/>
      </c>
      <c r="G935" s="20">
        <f>IF($H935="","",G934+E935-F935)</f>
        <v/>
      </c>
      <c r="H935" s="18">
        <f t="array" ref="H935">IF($B$1="","",IFERROR(_xlfn.AGGREGATE(15,6,ROW('Journal'!$A$3:$A$2002)/(('Journal'!$D$3:$D$2002=$B$1)+('Journal'!$E$3:$E$2002=$B$1))/('Journal'!$B$3:$B$2002&gt;=$B$2)/('Journal'!$B$3:$B$2002&lt;=$B$3),930),""))</f>
        <v/>
      </c>
    </row>
    <row r="936">
      <c r="A936" s="18">
        <f>IF($H936="","",INDEX('Journal'!$A$1:$A$2002,$H936))</f>
        <v/>
      </c>
      <c r="B936" s="21">
        <f>IF($H936="","",INDEX('Journal'!$B$1:$B$2002,$H936))</f>
        <v/>
      </c>
      <c r="C936" s="5">
        <f>IF($H936="","",INDEX('Journal'!$C$1:$C$2002,$H936)&amp;"")</f>
        <v/>
      </c>
      <c r="D936" s="5">
        <f>IF($H936="","",IF(INDEX('Journal'!$D$1:$D$2002,$H936)=$B$1,INDEX('Journal'!$E$1:$E$2002,$H936),INDEX('Journal'!$D$1:$D$2002,$H936))&amp;"")</f>
        <v/>
      </c>
      <c r="E936" s="20">
        <f>IF($H936="","",IF(INDEX('Journal'!$D$1:$D$2002,$H936)=$B$1,N(INDEX('Journal'!$G$1:$G$2002,$H936)),N(INDEX('Journal'!$F$1:$F$2002,$H936))))</f>
        <v/>
      </c>
      <c r="F936" s="20">
        <f>IF($H936="","",IF(INDEX('Journal'!$D$1:$D$2002,$H936)=$B$1,N(INDEX('Journal'!$F$1:$F$2002,$H936)),N(INDEX('Journal'!$G$1:$G$2002,$H936))))</f>
        <v/>
      </c>
      <c r="G936" s="20">
        <f>IF($H936="","",G935+E936-F936)</f>
        <v/>
      </c>
      <c r="H936" s="18">
        <f t="array" ref="H936">IF($B$1="","",IFERROR(_xlfn.AGGREGATE(15,6,ROW('Journal'!$A$3:$A$2002)/(('Journal'!$D$3:$D$2002=$B$1)+('Journal'!$E$3:$E$2002=$B$1))/('Journal'!$B$3:$B$2002&gt;=$B$2)/('Journal'!$B$3:$B$2002&lt;=$B$3),931),""))</f>
        <v/>
      </c>
    </row>
    <row r="937">
      <c r="A937" s="18">
        <f>IF($H937="","",INDEX('Journal'!$A$1:$A$2002,$H937))</f>
        <v/>
      </c>
      <c r="B937" s="21">
        <f>IF($H937="","",INDEX('Journal'!$B$1:$B$2002,$H937))</f>
        <v/>
      </c>
      <c r="C937" s="5">
        <f>IF($H937="","",INDEX('Journal'!$C$1:$C$2002,$H937)&amp;"")</f>
        <v/>
      </c>
      <c r="D937" s="5">
        <f>IF($H937="","",IF(INDEX('Journal'!$D$1:$D$2002,$H937)=$B$1,INDEX('Journal'!$E$1:$E$2002,$H937),INDEX('Journal'!$D$1:$D$2002,$H937))&amp;"")</f>
        <v/>
      </c>
      <c r="E937" s="20">
        <f>IF($H937="","",IF(INDEX('Journal'!$D$1:$D$2002,$H937)=$B$1,N(INDEX('Journal'!$G$1:$G$2002,$H937)),N(INDEX('Journal'!$F$1:$F$2002,$H937))))</f>
        <v/>
      </c>
      <c r="F937" s="20">
        <f>IF($H937="","",IF(INDEX('Journal'!$D$1:$D$2002,$H937)=$B$1,N(INDEX('Journal'!$F$1:$F$2002,$H937)),N(INDEX('Journal'!$G$1:$G$2002,$H937))))</f>
        <v/>
      </c>
      <c r="G937" s="20">
        <f>IF($H937="","",G936+E937-F937)</f>
        <v/>
      </c>
      <c r="H937" s="18">
        <f t="array" ref="H937">IF($B$1="","",IFERROR(_xlfn.AGGREGATE(15,6,ROW('Journal'!$A$3:$A$2002)/(('Journal'!$D$3:$D$2002=$B$1)+('Journal'!$E$3:$E$2002=$B$1))/('Journal'!$B$3:$B$2002&gt;=$B$2)/('Journal'!$B$3:$B$2002&lt;=$B$3),932),""))</f>
        <v/>
      </c>
    </row>
    <row r="938">
      <c r="A938" s="18">
        <f>IF($H938="","",INDEX('Journal'!$A$1:$A$2002,$H938))</f>
        <v/>
      </c>
      <c r="B938" s="21">
        <f>IF($H938="","",INDEX('Journal'!$B$1:$B$2002,$H938))</f>
        <v/>
      </c>
      <c r="C938" s="5">
        <f>IF($H938="","",INDEX('Journal'!$C$1:$C$2002,$H938)&amp;"")</f>
        <v/>
      </c>
      <c r="D938" s="5">
        <f>IF($H938="","",IF(INDEX('Journal'!$D$1:$D$2002,$H938)=$B$1,INDEX('Journal'!$E$1:$E$2002,$H938),INDEX('Journal'!$D$1:$D$2002,$H938))&amp;"")</f>
        <v/>
      </c>
      <c r="E938" s="20">
        <f>IF($H938="","",IF(INDEX('Journal'!$D$1:$D$2002,$H938)=$B$1,N(INDEX('Journal'!$G$1:$G$2002,$H938)),N(INDEX('Journal'!$F$1:$F$2002,$H938))))</f>
        <v/>
      </c>
      <c r="F938" s="20">
        <f>IF($H938="","",IF(INDEX('Journal'!$D$1:$D$2002,$H938)=$B$1,N(INDEX('Journal'!$F$1:$F$2002,$H938)),N(INDEX('Journal'!$G$1:$G$2002,$H938))))</f>
        <v/>
      </c>
      <c r="G938" s="20">
        <f>IF($H938="","",G937+E938-F938)</f>
        <v/>
      </c>
      <c r="H938" s="18">
        <f t="array" ref="H938">IF($B$1="","",IFERROR(_xlfn.AGGREGATE(15,6,ROW('Journal'!$A$3:$A$2002)/(('Journal'!$D$3:$D$2002=$B$1)+('Journal'!$E$3:$E$2002=$B$1))/('Journal'!$B$3:$B$2002&gt;=$B$2)/('Journal'!$B$3:$B$2002&lt;=$B$3),933),""))</f>
        <v/>
      </c>
    </row>
    <row r="939">
      <c r="A939" s="18">
        <f>IF($H939="","",INDEX('Journal'!$A$1:$A$2002,$H939))</f>
        <v/>
      </c>
      <c r="B939" s="21">
        <f>IF($H939="","",INDEX('Journal'!$B$1:$B$2002,$H939))</f>
        <v/>
      </c>
      <c r="C939" s="5">
        <f>IF($H939="","",INDEX('Journal'!$C$1:$C$2002,$H939)&amp;"")</f>
        <v/>
      </c>
      <c r="D939" s="5">
        <f>IF($H939="","",IF(INDEX('Journal'!$D$1:$D$2002,$H939)=$B$1,INDEX('Journal'!$E$1:$E$2002,$H939),INDEX('Journal'!$D$1:$D$2002,$H939))&amp;"")</f>
        <v/>
      </c>
      <c r="E939" s="20">
        <f>IF($H939="","",IF(INDEX('Journal'!$D$1:$D$2002,$H939)=$B$1,N(INDEX('Journal'!$G$1:$G$2002,$H939)),N(INDEX('Journal'!$F$1:$F$2002,$H939))))</f>
        <v/>
      </c>
      <c r="F939" s="20">
        <f>IF($H939="","",IF(INDEX('Journal'!$D$1:$D$2002,$H939)=$B$1,N(INDEX('Journal'!$F$1:$F$2002,$H939)),N(INDEX('Journal'!$G$1:$G$2002,$H939))))</f>
        <v/>
      </c>
      <c r="G939" s="20">
        <f>IF($H939="","",G938+E939-F939)</f>
        <v/>
      </c>
      <c r="H939" s="18">
        <f t="array" ref="H939">IF($B$1="","",IFERROR(_xlfn.AGGREGATE(15,6,ROW('Journal'!$A$3:$A$2002)/(('Journal'!$D$3:$D$2002=$B$1)+('Journal'!$E$3:$E$2002=$B$1))/('Journal'!$B$3:$B$2002&gt;=$B$2)/('Journal'!$B$3:$B$2002&lt;=$B$3),934),""))</f>
        <v/>
      </c>
    </row>
    <row r="940">
      <c r="A940" s="18">
        <f>IF($H940="","",INDEX('Journal'!$A$1:$A$2002,$H940))</f>
        <v/>
      </c>
      <c r="B940" s="21">
        <f>IF($H940="","",INDEX('Journal'!$B$1:$B$2002,$H940))</f>
        <v/>
      </c>
      <c r="C940" s="5">
        <f>IF($H940="","",INDEX('Journal'!$C$1:$C$2002,$H940)&amp;"")</f>
        <v/>
      </c>
      <c r="D940" s="5">
        <f>IF($H940="","",IF(INDEX('Journal'!$D$1:$D$2002,$H940)=$B$1,INDEX('Journal'!$E$1:$E$2002,$H940),INDEX('Journal'!$D$1:$D$2002,$H940))&amp;"")</f>
        <v/>
      </c>
      <c r="E940" s="20">
        <f>IF($H940="","",IF(INDEX('Journal'!$D$1:$D$2002,$H940)=$B$1,N(INDEX('Journal'!$G$1:$G$2002,$H940)),N(INDEX('Journal'!$F$1:$F$2002,$H940))))</f>
        <v/>
      </c>
      <c r="F940" s="20">
        <f>IF($H940="","",IF(INDEX('Journal'!$D$1:$D$2002,$H940)=$B$1,N(INDEX('Journal'!$F$1:$F$2002,$H940)),N(INDEX('Journal'!$G$1:$G$2002,$H940))))</f>
        <v/>
      </c>
      <c r="G940" s="20">
        <f>IF($H940="","",G939+E940-F940)</f>
        <v/>
      </c>
      <c r="H940" s="18">
        <f t="array" ref="H940">IF($B$1="","",IFERROR(_xlfn.AGGREGATE(15,6,ROW('Journal'!$A$3:$A$2002)/(('Journal'!$D$3:$D$2002=$B$1)+('Journal'!$E$3:$E$2002=$B$1))/('Journal'!$B$3:$B$2002&gt;=$B$2)/('Journal'!$B$3:$B$2002&lt;=$B$3),935),""))</f>
        <v/>
      </c>
    </row>
    <row r="941">
      <c r="A941" s="18">
        <f>IF($H941="","",INDEX('Journal'!$A$1:$A$2002,$H941))</f>
        <v/>
      </c>
      <c r="B941" s="21">
        <f>IF($H941="","",INDEX('Journal'!$B$1:$B$2002,$H941))</f>
        <v/>
      </c>
      <c r="C941" s="5">
        <f>IF($H941="","",INDEX('Journal'!$C$1:$C$2002,$H941)&amp;"")</f>
        <v/>
      </c>
      <c r="D941" s="5">
        <f>IF($H941="","",IF(INDEX('Journal'!$D$1:$D$2002,$H941)=$B$1,INDEX('Journal'!$E$1:$E$2002,$H941),INDEX('Journal'!$D$1:$D$2002,$H941))&amp;"")</f>
        <v/>
      </c>
      <c r="E941" s="20">
        <f>IF($H941="","",IF(INDEX('Journal'!$D$1:$D$2002,$H941)=$B$1,N(INDEX('Journal'!$G$1:$G$2002,$H941)),N(INDEX('Journal'!$F$1:$F$2002,$H941))))</f>
        <v/>
      </c>
      <c r="F941" s="20">
        <f>IF($H941="","",IF(INDEX('Journal'!$D$1:$D$2002,$H941)=$B$1,N(INDEX('Journal'!$F$1:$F$2002,$H941)),N(INDEX('Journal'!$G$1:$G$2002,$H941))))</f>
        <v/>
      </c>
      <c r="G941" s="20">
        <f>IF($H941="","",G940+E941-F941)</f>
        <v/>
      </c>
      <c r="H941" s="18">
        <f t="array" ref="H941">IF($B$1="","",IFERROR(_xlfn.AGGREGATE(15,6,ROW('Journal'!$A$3:$A$2002)/(('Journal'!$D$3:$D$2002=$B$1)+('Journal'!$E$3:$E$2002=$B$1))/('Journal'!$B$3:$B$2002&gt;=$B$2)/('Journal'!$B$3:$B$2002&lt;=$B$3),936),""))</f>
        <v/>
      </c>
    </row>
    <row r="942">
      <c r="A942" s="18">
        <f>IF($H942="","",INDEX('Journal'!$A$1:$A$2002,$H942))</f>
        <v/>
      </c>
      <c r="B942" s="21">
        <f>IF($H942="","",INDEX('Journal'!$B$1:$B$2002,$H942))</f>
        <v/>
      </c>
      <c r="C942" s="5">
        <f>IF($H942="","",INDEX('Journal'!$C$1:$C$2002,$H942)&amp;"")</f>
        <v/>
      </c>
      <c r="D942" s="5">
        <f>IF($H942="","",IF(INDEX('Journal'!$D$1:$D$2002,$H942)=$B$1,INDEX('Journal'!$E$1:$E$2002,$H942),INDEX('Journal'!$D$1:$D$2002,$H942))&amp;"")</f>
        <v/>
      </c>
      <c r="E942" s="20">
        <f>IF($H942="","",IF(INDEX('Journal'!$D$1:$D$2002,$H942)=$B$1,N(INDEX('Journal'!$G$1:$G$2002,$H942)),N(INDEX('Journal'!$F$1:$F$2002,$H942))))</f>
        <v/>
      </c>
      <c r="F942" s="20">
        <f>IF($H942="","",IF(INDEX('Journal'!$D$1:$D$2002,$H942)=$B$1,N(INDEX('Journal'!$F$1:$F$2002,$H942)),N(INDEX('Journal'!$G$1:$G$2002,$H942))))</f>
        <v/>
      </c>
      <c r="G942" s="20">
        <f>IF($H942="","",G941+E942-F942)</f>
        <v/>
      </c>
      <c r="H942" s="18">
        <f t="array" ref="H942">IF($B$1="","",IFERROR(_xlfn.AGGREGATE(15,6,ROW('Journal'!$A$3:$A$2002)/(('Journal'!$D$3:$D$2002=$B$1)+('Journal'!$E$3:$E$2002=$B$1))/('Journal'!$B$3:$B$2002&gt;=$B$2)/('Journal'!$B$3:$B$2002&lt;=$B$3),937),""))</f>
        <v/>
      </c>
    </row>
    <row r="943">
      <c r="A943" s="18">
        <f>IF($H943="","",INDEX('Journal'!$A$1:$A$2002,$H943))</f>
        <v/>
      </c>
      <c r="B943" s="21">
        <f>IF($H943="","",INDEX('Journal'!$B$1:$B$2002,$H943))</f>
        <v/>
      </c>
      <c r="C943" s="5">
        <f>IF($H943="","",INDEX('Journal'!$C$1:$C$2002,$H943)&amp;"")</f>
        <v/>
      </c>
      <c r="D943" s="5">
        <f>IF($H943="","",IF(INDEX('Journal'!$D$1:$D$2002,$H943)=$B$1,INDEX('Journal'!$E$1:$E$2002,$H943),INDEX('Journal'!$D$1:$D$2002,$H943))&amp;"")</f>
        <v/>
      </c>
      <c r="E943" s="20">
        <f>IF($H943="","",IF(INDEX('Journal'!$D$1:$D$2002,$H943)=$B$1,N(INDEX('Journal'!$G$1:$G$2002,$H943)),N(INDEX('Journal'!$F$1:$F$2002,$H943))))</f>
        <v/>
      </c>
      <c r="F943" s="20">
        <f>IF($H943="","",IF(INDEX('Journal'!$D$1:$D$2002,$H943)=$B$1,N(INDEX('Journal'!$F$1:$F$2002,$H943)),N(INDEX('Journal'!$G$1:$G$2002,$H943))))</f>
        <v/>
      </c>
      <c r="G943" s="20">
        <f>IF($H943="","",G942+E943-F943)</f>
        <v/>
      </c>
      <c r="H943" s="18">
        <f t="array" ref="H943">IF($B$1="","",IFERROR(_xlfn.AGGREGATE(15,6,ROW('Journal'!$A$3:$A$2002)/(('Journal'!$D$3:$D$2002=$B$1)+('Journal'!$E$3:$E$2002=$B$1))/('Journal'!$B$3:$B$2002&gt;=$B$2)/('Journal'!$B$3:$B$2002&lt;=$B$3),938),""))</f>
        <v/>
      </c>
    </row>
    <row r="944">
      <c r="A944" s="18">
        <f>IF($H944="","",INDEX('Journal'!$A$1:$A$2002,$H944))</f>
        <v/>
      </c>
      <c r="B944" s="21">
        <f>IF($H944="","",INDEX('Journal'!$B$1:$B$2002,$H944))</f>
        <v/>
      </c>
      <c r="C944" s="5">
        <f>IF($H944="","",INDEX('Journal'!$C$1:$C$2002,$H944)&amp;"")</f>
        <v/>
      </c>
      <c r="D944" s="5">
        <f>IF($H944="","",IF(INDEX('Journal'!$D$1:$D$2002,$H944)=$B$1,INDEX('Journal'!$E$1:$E$2002,$H944),INDEX('Journal'!$D$1:$D$2002,$H944))&amp;"")</f>
        <v/>
      </c>
      <c r="E944" s="20">
        <f>IF($H944="","",IF(INDEX('Journal'!$D$1:$D$2002,$H944)=$B$1,N(INDEX('Journal'!$G$1:$G$2002,$H944)),N(INDEX('Journal'!$F$1:$F$2002,$H944))))</f>
        <v/>
      </c>
      <c r="F944" s="20">
        <f>IF($H944="","",IF(INDEX('Journal'!$D$1:$D$2002,$H944)=$B$1,N(INDEX('Journal'!$F$1:$F$2002,$H944)),N(INDEX('Journal'!$G$1:$G$2002,$H944))))</f>
        <v/>
      </c>
      <c r="G944" s="20">
        <f>IF($H944="","",G943+E944-F944)</f>
        <v/>
      </c>
      <c r="H944" s="18">
        <f t="array" ref="H944">IF($B$1="","",IFERROR(_xlfn.AGGREGATE(15,6,ROW('Journal'!$A$3:$A$2002)/(('Journal'!$D$3:$D$2002=$B$1)+('Journal'!$E$3:$E$2002=$B$1))/('Journal'!$B$3:$B$2002&gt;=$B$2)/('Journal'!$B$3:$B$2002&lt;=$B$3),939),""))</f>
        <v/>
      </c>
    </row>
    <row r="945">
      <c r="A945" s="18">
        <f>IF($H945="","",INDEX('Journal'!$A$1:$A$2002,$H945))</f>
        <v/>
      </c>
      <c r="B945" s="21">
        <f>IF($H945="","",INDEX('Journal'!$B$1:$B$2002,$H945))</f>
        <v/>
      </c>
      <c r="C945" s="5">
        <f>IF($H945="","",INDEX('Journal'!$C$1:$C$2002,$H945)&amp;"")</f>
        <v/>
      </c>
      <c r="D945" s="5">
        <f>IF($H945="","",IF(INDEX('Journal'!$D$1:$D$2002,$H945)=$B$1,INDEX('Journal'!$E$1:$E$2002,$H945),INDEX('Journal'!$D$1:$D$2002,$H945))&amp;"")</f>
        <v/>
      </c>
      <c r="E945" s="20">
        <f>IF($H945="","",IF(INDEX('Journal'!$D$1:$D$2002,$H945)=$B$1,N(INDEX('Journal'!$G$1:$G$2002,$H945)),N(INDEX('Journal'!$F$1:$F$2002,$H945))))</f>
        <v/>
      </c>
      <c r="F945" s="20">
        <f>IF($H945="","",IF(INDEX('Journal'!$D$1:$D$2002,$H945)=$B$1,N(INDEX('Journal'!$F$1:$F$2002,$H945)),N(INDEX('Journal'!$G$1:$G$2002,$H945))))</f>
        <v/>
      </c>
      <c r="G945" s="20">
        <f>IF($H945="","",G944+E945-F945)</f>
        <v/>
      </c>
      <c r="H945" s="18">
        <f t="array" ref="H945">IF($B$1="","",IFERROR(_xlfn.AGGREGATE(15,6,ROW('Journal'!$A$3:$A$2002)/(('Journal'!$D$3:$D$2002=$B$1)+('Journal'!$E$3:$E$2002=$B$1))/('Journal'!$B$3:$B$2002&gt;=$B$2)/('Journal'!$B$3:$B$2002&lt;=$B$3),940),""))</f>
        <v/>
      </c>
    </row>
    <row r="946">
      <c r="A946" s="18">
        <f>IF($H946="","",INDEX('Journal'!$A$1:$A$2002,$H946))</f>
        <v/>
      </c>
      <c r="B946" s="21">
        <f>IF($H946="","",INDEX('Journal'!$B$1:$B$2002,$H946))</f>
        <v/>
      </c>
      <c r="C946" s="5">
        <f>IF($H946="","",INDEX('Journal'!$C$1:$C$2002,$H946)&amp;"")</f>
        <v/>
      </c>
      <c r="D946" s="5">
        <f>IF($H946="","",IF(INDEX('Journal'!$D$1:$D$2002,$H946)=$B$1,INDEX('Journal'!$E$1:$E$2002,$H946),INDEX('Journal'!$D$1:$D$2002,$H946))&amp;"")</f>
        <v/>
      </c>
      <c r="E946" s="20">
        <f>IF($H946="","",IF(INDEX('Journal'!$D$1:$D$2002,$H946)=$B$1,N(INDEX('Journal'!$G$1:$G$2002,$H946)),N(INDEX('Journal'!$F$1:$F$2002,$H946))))</f>
        <v/>
      </c>
      <c r="F946" s="20">
        <f>IF($H946="","",IF(INDEX('Journal'!$D$1:$D$2002,$H946)=$B$1,N(INDEX('Journal'!$F$1:$F$2002,$H946)),N(INDEX('Journal'!$G$1:$G$2002,$H946))))</f>
        <v/>
      </c>
      <c r="G946" s="20">
        <f>IF($H946="","",G945+E946-F946)</f>
        <v/>
      </c>
      <c r="H946" s="18">
        <f t="array" ref="H946">IF($B$1="","",IFERROR(_xlfn.AGGREGATE(15,6,ROW('Journal'!$A$3:$A$2002)/(('Journal'!$D$3:$D$2002=$B$1)+('Journal'!$E$3:$E$2002=$B$1))/('Journal'!$B$3:$B$2002&gt;=$B$2)/('Journal'!$B$3:$B$2002&lt;=$B$3),941),""))</f>
        <v/>
      </c>
    </row>
    <row r="947">
      <c r="A947" s="18">
        <f>IF($H947="","",INDEX('Journal'!$A$1:$A$2002,$H947))</f>
        <v/>
      </c>
      <c r="B947" s="21">
        <f>IF($H947="","",INDEX('Journal'!$B$1:$B$2002,$H947))</f>
        <v/>
      </c>
      <c r="C947" s="5">
        <f>IF($H947="","",INDEX('Journal'!$C$1:$C$2002,$H947)&amp;"")</f>
        <v/>
      </c>
      <c r="D947" s="5">
        <f>IF($H947="","",IF(INDEX('Journal'!$D$1:$D$2002,$H947)=$B$1,INDEX('Journal'!$E$1:$E$2002,$H947),INDEX('Journal'!$D$1:$D$2002,$H947))&amp;"")</f>
        <v/>
      </c>
      <c r="E947" s="20">
        <f>IF($H947="","",IF(INDEX('Journal'!$D$1:$D$2002,$H947)=$B$1,N(INDEX('Journal'!$G$1:$G$2002,$H947)),N(INDEX('Journal'!$F$1:$F$2002,$H947))))</f>
        <v/>
      </c>
      <c r="F947" s="20">
        <f>IF($H947="","",IF(INDEX('Journal'!$D$1:$D$2002,$H947)=$B$1,N(INDEX('Journal'!$F$1:$F$2002,$H947)),N(INDEX('Journal'!$G$1:$G$2002,$H947))))</f>
        <v/>
      </c>
      <c r="G947" s="20">
        <f>IF($H947="","",G946+E947-F947)</f>
        <v/>
      </c>
      <c r="H947" s="18">
        <f t="array" ref="H947">IF($B$1="","",IFERROR(_xlfn.AGGREGATE(15,6,ROW('Journal'!$A$3:$A$2002)/(('Journal'!$D$3:$D$2002=$B$1)+('Journal'!$E$3:$E$2002=$B$1))/('Journal'!$B$3:$B$2002&gt;=$B$2)/('Journal'!$B$3:$B$2002&lt;=$B$3),942),""))</f>
        <v/>
      </c>
    </row>
    <row r="948">
      <c r="A948" s="18">
        <f>IF($H948="","",INDEX('Journal'!$A$1:$A$2002,$H948))</f>
        <v/>
      </c>
      <c r="B948" s="21">
        <f>IF($H948="","",INDEX('Journal'!$B$1:$B$2002,$H948))</f>
        <v/>
      </c>
      <c r="C948" s="5">
        <f>IF($H948="","",INDEX('Journal'!$C$1:$C$2002,$H948)&amp;"")</f>
        <v/>
      </c>
      <c r="D948" s="5">
        <f>IF($H948="","",IF(INDEX('Journal'!$D$1:$D$2002,$H948)=$B$1,INDEX('Journal'!$E$1:$E$2002,$H948),INDEX('Journal'!$D$1:$D$2002,$H948))&amp;"")</f>
        <v/>
      </c>
      <c r="E948" s="20">
        <f>IF($H948="","",IF(INDEX('Journal'!$D$1:$D$2002,$H948)=$B$1,N(INDEX('Journal'!$G$1:$G$2002,$H948)),N(INDEX('Journal'!$F$1:$F$2002,$H948))))</f>
        <v/>
      </c>
      <c r="F948" s="20">
        <f>IF($H948="","",IF(INDEX('Journal'!$D$1:$D$2002,$H948)=$B$1,N(INDEX('Journal'!$F$1:$F$2002,$H948)),N(INDEX('Journal'!$G$1:$G$2002,$H948))))</f>
        <v/>
      </c>
      <c r="G948" s="20">
        <f>IF($H948="","",G947+E948-F948)</f>
        <v/>
      </c>
      <c r="H948" s="18">
        <f t="array" ref="H948">IF($B$1="","",IFERROR(_xlfn.AGGREGATE(15,6,ROW('Journal'!$A$3:$A$2002)/(('Journal'!$D$3:$D$2002=$B$1)+('Journal'!$E$3:$E$2002=$B$1))/('Journal'!$B$3:$B$2002&gt;=$B$2)/('Journal'!$B$3:$B$2002&lt;=$B$3),943),""))</f>
        <v/>
      </c>
    </row>
    <row r="949">
      <c r="A949" s="18">
        <f>IF($H949="","",INDEX('Journal'!$A$1:$A$2002,$H949))</f>
        <v/>
      </c>
      <c r="B949" s="21">
        <f>IF($H949="","",INDEX('Journal'!$B$1:$B$2002,$H949))</f>
        <v/>
      </c>
      <c r="C949" s="5">
        <f>IF($H949="","",INDEX('Journal'!$C$1:$C$2002,$H949)&amp;"")</f>
        <v/>
      </c>
      <c r="D949" s="5">
        <f>IF($H949="","",IF(INDEX('Journal'!$D$1:$D$2002,$H949)=$B$1,INDEX('Journal'!$E$1:$E$2002,$H949),INDEX('Journal'!$D$1:$D$2002,$H949))&amp;"")</f>
        <v/>
      </c>
      <c r="E949" s="20">
        <f>IF($H949="","",IF(INDEX('Journal'!$D$1:$D$2002,$H949)=$B$1,N(INDEX('Journal'!$G$1:$G$2002,$H949)),N(INDEX('Journal'!$F$1:$F$2002,$H949))))</f>
        <v/>
      </c>
      <c r="F949" s="20">
        <f>IF($H949="","",IF(INDEX('Journal'!$D$1:$D$2002,$H949)=$B$1,N(INDEX('Journal'!$F$1:$F$2002,$H949)),N(INDEX('Journal'!$G$1:$G$2002,$H949))))</f>
        <v/>
      </c>
      <c r="G949" s="20">
        <f>IF($H949="","",G948+E949-F949)</f>
        <v/>
      </c>
      <c r="H949" s="18">
        <f t="array" ref="H949">IF($B$1="","",IFERROR(_xlfn.AGGREGATE(15,6,ROW('Journal'!$A$3:$A$2002)/(('Journal'!$D$3:$D$2002=$B$1)+('Journal'!$E$3:$E$2002=$B$1))/('Journal'!$B$3:$B$2002&gt;=$B$2)/('Journal'!$B$3:$B$2002&lt;=$B$3),944),""))</f>
        <v/>
      </c>
    </row>
    <row r="950">
      <c r="A950" s="18">
        <f>IF($H950="","",INDEX('Journal'!$A$1:$A$2002,$H950))</f>
        <v/>
      </c>
      <c r="B950" s="21">
        <f>IF($H950="","",INDEX('Journal'!$B$1:$B$2002,$H950))</f>
        <v/>
      </c>
      <c r="C950" s="5">
        <f>IF($H950="","",INDEX('Journal'!$C$1:$C$2002,$H950)&amp;"")</f>
        <v/>
      </c>
      <c r="D950" s="5">
        <f>IF($H950="","",IF(INDEX('Journal'!$D$1:$D$2002,$H950)=$B$1,INDEX('Journal'!$E$1:$E$2002,$H950),INDEX('Journal'!$D$1:$D$2002,$H950))&amp;"")</f>
        <v/>
      </c>
      <c r="E950" s="20">
        <f>IF($H950="","",IF(INDEX('Journal'!$D$1:$D$2002,$H950)=$B$1,N(INDEX('Journal'!$G$1:$G$2002,$H950)),N(INDEX('Journal'!$F$1:$F$2002,$H950))))</f>
        <v/>
      </c>
      <c r="F950" s="20">
        <f>IF($H950="","",IF(INDEX('Journal'!$D$1:$D$2002,$H950)=$B$1,N(INDEX('Journal'!$F$1:$F$2002,$H950)),N(INDEX('Journal'!$G$1:$G$2002,$H950))))</f>
        <v/>
      </c>
      <c r="G950" s="20">
        <f>IF($H950="","",G949+E950-F950)</f>
        <v/>
      </c>
      <c r="H950" s="18">
        <f t="array" ref="H950">IF($B$1="","",IFERROR(_xlfn.AGGREGATE(15,6,ROW('Journal'!$A$3:$A$2002)/(('Journal'!$D$3:$D$2002=$B$1)+('Journal'!$E$3:$E$2002=$B$1))/('Journal'!$B$3:$B$2002&gt;=$B$2)/('Journal'!$B$3:$B$2002&lt;=$B$3),945),""))</f>
        <v/>
      </c>
    </row>
    <row r="951">
      <c r="A951" s="18">
        <f>IF($H951="","",INDEX('Journal'!$A$1:$A$2002,$H951))</f>
        <v/>
      </c>
      <c r="B951" s="21">
        <f>IF($H951="","",INDEX('Journal'!$B$1:$B$2002,$H951))</f>
        <v/>
      </c>
      <c r="C951" s="5">
        <f>IF($H951="","",INDEX('Journal'!$C$1:$C$2002,$H951)&amp;"")</f>
        <v/>
      </c>
      <c r="D951" s="5">
        <f>IF($H951="","",IF(INDEX('Journal'!$D$1:$D$2002,$H951)=$B$1,INDEX('Journal'!$E$1:$E$2002,$H951),INDEX('Journal'!$D$1:$D$2002,$H951))&amp;"")</f>
        <v/>
      </c>
      <c r="E951" s="20">
        <f>IF($H951="","",IF(INDEX('Journal'!$D$1:$D$2002,$H951)=$B$1,N(INDEX('Journal'!$G$1:$G$2002,$H951)),N(INDEX('Journal'!$F$1:$F$2002,$H951))))</f>
        <v/>
      </c>
      <c r="F951" s="20">
        <f>IF($H951="","",IF(INDEX('Journal'!$D$1:$D$2002,$H951)=$B$1,N(INDEX('Journal'!$F$1:$F$2002,$H951)),N(INDEX('Journal'!$G$1:$G$2002,$H951))))</f>
        <v/>
      </c>
      <c r="G951" s="20">
        <f>IF($H951="","",G950+E951-F951)</f>
        <v/>
      </c>
      <c r="H951" s="18">
        <f t="array" ref="H951">IF($B$1="","",IFERROR(_xlfn.AGGREGATE(15,6,ROW('Journal'!$A$3:$A$2002)/(('Journal'!$D$3:$D$2002=$B$1)+('Journal'!$E$3:$E$2002=$B$1))/('Journal'!$B$3:$B$2002&gt;=$B$2)/('Journal'!$B$3:$B$2002&lt;=$B$3),946),""))</f>
        <v/>
      </c>
    </row>
    <row r="952">
      <c r="A952" s="18">
        <f>IF($H952="","",INDEX('Journal'!$A$1:$A$2002,$H952))</f>
        <v/>
      </c>
      <c r="B952" s="21">
        <f>IF($H952="","",INDEX('Journal'!$B$1:$B$2002,$H952))</f>
        <v/>
      </c>
      <c r="C952" s="5">
        <f>IF($H952="","",INDEX('Journal'!$C$1:$C$2002,$H952)&amp;"")</f>
        <v/>
      </c>
      <c r="D952" s="5">
        <f>IF($H952="","",IF(INDEX('Journal'!$D$1:$D$2002,$H952)=$B$1,INDEX('Journal'!$E$1:$E$2002,$H952),INDEX('Journal'!$D$1:$D$2002,$H952))&amp;"")</f>
        <v/>
      </c>
      <c r="E952" s="20">
        <f>IF($H952="","",IF(INDEX('Journal'!$D$1:$D$2002,$H952)=$B$1,N(INDEX('Journal'!$G$1:$G$2002,$H952)),N(INDEX('Journal'!$F$1:$F$2002,$H952))))</f>
        <v/>
      </c>
      <c r="F952" s="20">
        <f>IF($H952="","",IF(INDEX('Journal'!$D$1:$D$2002,$H952)=$B$1,N(INDEX('Journal'!$F$1:$F$2002,$H952)),N(INDEX('Journal'!$G$1:$G$2002,$H952))))</f>
        <v/>
      </c>
      <c r="G952" s="20">
        <f>IF($H952="","",G951+E952-F952)</f>
        <v/>
      </c>
      <c r="H952" s="18">
        <f t="array" ref="H952">IF($B$1="","",IFERROR(_xlfn.AGGREGATE(15,6,ROW('Journal'!$A$3:$A$2002)/(('Journal'!$D$3:$D$2002=$B$1)+('Journal'!$E$3:$E$2002=$B$1))/('Journal'!$B$3:$B$2002&gt;=$B$2)/('Journal'!$B$3:$B$2002&lt;=$B$3),947),""))</f>
        <v/>
      </c>
    </row>
    <row r="953">
      <c r="A953" s="18">
        <f>IF($H953="","",INDEX('Journal'!$A$1:$A$2002,$H953))</f>
        <v/>
      </c>
      <c r="B953" s="21">
        <f>IF($H953="","",INDEX('Journal'!$B$1:$B$2002,$H953))</f>
        <v/>
      </c>
      <c r="C953" s="5">
        <f>IF($H953="","",INDEX('Journal'!$C$1:$C$2002,$H953)&amp;"")</f>
        <v/>
      </c>
      <c r="D953" s="5">
        <f>IF($H953="","",IF(INDEX('Journal'!$D$1:$D$2002,$H953)=$B$1,INDEX('Journal'!$E$1:$E$2002,$H953),INDEX('Journal'!$D$1:$D$2002,$H953))&amp;"")</f>
        <v/>
      </c>
      <c r="E953" s="20">
        <f>IF($H953="","",IF(INDEX('Journal'!$D$1:$D$2002,$H953)=$B$1,N(INDEX('Journal'!$G$1:$G$2002,$H953)),N(INDEX('Journal'!$F$1:$F$2002,$H953))))</f>
        <v/>
      </c>
      <c r="F953" s="20">
        <f>IF($H953="","",IF(INDEX('Journal'!$D$1:$D$2002,$H953)=$B$1,N(INDEX('Journal'!$F$1:$F$2002,$H953)),N(INDEX('Journal'!$G$1:$G$2002,$H953))))</f>
        <v/>
      </c>
      <c r="G953" s="20">
        <f>IF($H953="","",G952+E953-F953)</f>
        <v/>
      </c>
      <c r="H953" s="18">
        <f t="array" ref="H953">IF($B$1="","",IFERROR(_xlfn.AGGREGATE(15,6,ROW('Journal'!$A$3:$A$2002)/(('Journal'!$D$3:$D$2002=$B$1)+('Journal'!$E$3:$E$2002=$B$1))/('Journal'!$B$3:$B$2002&gt;=$B$2)/('Journal'!$B$3:$B$2002&lt;=$B$3),948),""))</f>
        <v/>
      </c>
    </row>
    <row r="954">
      <c r="A954" s="18">
        <f>IF($H954="","",INDEX('Journal'!$A$1:$A$2002,$H954))</f>
        <v/>
      </c>
      <c r="B954" s="21">
        <f>IF($H954="","",INDEX('Journal'!$B$1:$B$2002,$H954))</f>
        <v/>
      </c>
      <c r="C954" s="5">
        <f>IF($H954="","",INDEX('Journal'!$C$1:$C$2002,$H954)&amp;"")</f>
        <v/>
      </c>
      <c r="D954" s="5">
        <f>IF($H954="","",IF(INDEX('Journal'!$D$1:$D$2002,$H954)=$B$1,INDEX('Journal'!$E$1:$E$2002,$H954),INDEX('Journal'!$D$1:$D$2002,$H954))&amp;"")</f>
        <v/>
      </c>
      <c r="E954" s="20">
        <f>IF($H954="","",IF(INDEX('Journal'!$D$1:$D$2002,$H954)=$B$1,N(INDEX('Journal'!$G$1:$G$2002,$H954)),N(INDEX('Journal'!$F$1:$F$2002,$H954))))</f>
        <v/>
      </c>
      <c r="F954" s="20">
        <f>IF($H954="","",IF(INDEX('Journal'!$D$1:$D$2002,$H954)=$B$1,N(INDEX('Journal'!$F$1:$F$2002,$H954)),N(INDEX('Journal'!$G$1:$G$2002,$H954))))</f>
        <v/>
      </c>
      <c r="G954" s="20">
        <f>IF($H954="","",G953+E954-F954)</f>
        <v/>
      </c>
      <c r="H954" s="18">
        <f t="array" ref="H954">IF($B$1="","",IFERROR(_xlfn.AGGREGATE(15,6,ROW('Journal'!$A$3:$A$2002)/(('Journal'!$D$3:$D$2002=$B$1)+('Journal'!$E$3:$E$2002=$B$1))/('Journal'!$B$3:$B$2002&gt;=$B$2)/('Journal'!$B$3:$B$2002&lt;=$B$3),949),""))</f>
        <v/>
      </c>
    </row>
    <row r="955">
      <c r="A955" s="18">
        <f>IF($H955="","",INDEX('Journal'!$A$1:$A$2002,$H955))</f>
        <v/>
      </c>
      <c r="B955" s="21">
        <f>IF($H955="","",INDEX('Journal'!$B$1:$B$2002,$H955))</f>
        <v/>
      </c>
      <c r="C955" s="5">
        <f>IF($H955="","",INDEX('Journal'!$C$1:$C$2002,$H955)&amp;"")</f>
        <v/>
      </c>
      <c r="D955" s="5">
        <f>IF($H955="","",IF(INDEX('Journal'!$D$1:$D$2002,$H955)=$B$1,INDEX('Journal'!$E$1:$E$2002,$H955),INDEX('Journal'!$D$1:$D$2002,$H955))&amp;"")</f>
        <v/>
      </c>
      <c r="E955" s="20">
        <f>IF($H955="","",IF(INDEX('Journal'!$D$1:$D$2002,$H955)=$B$1,N(INDEX('Journal'!$G$1:$G$2002,$H955)),N(INDEX('Journal'!$F$1:$F$2002,$H955))))</f>
        <v/>
      </c>
      <c r="F955" s="20">
        <f>IF($H955="","",IF(INDEX('Journal'!$D$1:$D$2002,$H955)=$B$1,N(INDEX('Journal'!$F$1:$F$2002,$H955)),N(INDEX('Journal'!$G$1:$G$2002,$H955))))</f>
        <v/>
      </c>
      <c r="G955" s="20">
        <f>IF($H955="","",G954+E955-F955)</f>
        <v/>
      </c>
      <c r="H955" s="18">
        <f t="array" ref="H955">IF($B$1="","",IFERROR(_xlfn.AGGREGATE(15,6,ROW('Journal'!$A$3:$A$2002)/(('Journal'!$D$3:$D$2002=$B$1)+('Journal'!$E$3:$E$2002=$B$1))/('Journal'!$B$3:$B$2002&gt;=$B$2)/('Journal'!$B$3:$B$2002&lt;=$B$3),950),""))</f>
        <v/>
      </c>
    </row>
    <row r="956">
      <c r="A956" s="18">
        <f>IF($H956="","",INDEX('Journal'!$A$1:$A$2002,$H956))</f>
        <v/>
      </c>
      <c r="B956" s="21">
        <f>IF($H956="","",INDEX('Journal'!$B$1:$B$2002,$H956))</f>
        <v/>
      </c>
      <c r="C956" s="5">
        <f>IF($H956="","",INDEX('Journal'!$C$1:$C$2002,$H956)&amp;"")</f>
        <v/>
      </c>
      <c r="D956" s="5">
        <f>IF($H956="","",IF(INDEX('Journal'!$D$1:$D$2002,$H956)=$B$1,INDEX('Journal'!$E$1:$E$2002,$H956),INDEX('Journal'!$D$1:$D$2002,$H956))&amp;"")</f>
        <v/>
      </c>
      <c r="E956" s="20">
        <f>IF($H956="","",IF(INDEX('Journal'!$D$1:$D$2002,$H956)=$B$1,N(INDEX('Journal'!$G$1:$G$2002,$H956)),N(INDEX('Journal'!$F$1:$F$2002,$H956))))</f>
        <v/>
      </c>
      <c r="F956" s="20">
        <f>IF($H956="","",IF(INDEX('Journal'!$D$1:$D$2002,$H956)=$B$1,N(INDEX('Journal'!$F$1:$F$2002,$H956)),N(INDEX('Journal'!$G$1:$G$2002,$H956))))</f>
        <v/>
      </c>
      <c r="G956" s="20">
        <f>IF($H956="","",G955+E956-F956)</f>
        <v/>
      </c>
      <c r="H956" s="18">
        <f t="array" ref="H956">IF($B$1="","",IFERROR(_xlfn.AGGREGATE(15,6,ROW('Journal'!$A$3:$A$2002)/(('Journal'!$D$3:$D$2002=$B$1)+('Journal'!$E$3:$E$2002=$B$1))/('Journal'!$B$3:$B$2002&gt;=$B$2)/('Journal'!$B$3:$B$2002&lt;=$B$3),951),""))</f>
        <v/>
      </c>
    </row>
    <row r="957">
      <c r="A957" s="18">
        <f>IF($H957="","",INDEX('Journal'!$A$1:$A$2002,$H957))</f>
        <v/>
      </c>
      <c r="B957" s="21">
        <f>IF($H957="","",INDEX('Journal'!$B$1:$B$2002,$H957))</f>
        <v/>
      </c>
      <c r="C957" s="5">
        <f>IF($H957="","",INDEX('Journal'!$C$1:$C$2002,$H957)&amp;"")</f>
        <v/>
      </c>
      <c r="D957" s="5">
        <f>IF($H957="","",IF(INDEX('Journal'!$D$1:$D$2002,$H957)=$B$1,INDEX('Journal'!$E$1:$E$2002,$H957),INDEX('Journal'!$D$1:$D$2002,$H957))&amp;"")</f>
        <v/>
      </c>
      <c r="E957" s="20">
        <f>IF($H957="","",IF(INDEX('Journal'!$D$1:$D$2002,$H957)=$B$1,N(INDEX('Journal'!$G$1:$G$2002,$H957)),N(INDEX('Journal'!$F$1:$F$2002,$H957))))</f>
        <v/>
      </c>
      <c r="F957" s="20">
        <f>IF($H957="","",IF(INDEX('Journal'!$D$1:$D$2002,$H957)=$B$1,N(INDEX('Journal'!$F$1:$F$2002,$H957)),N(INDEX('Journal'!$G$1:$G$2002,$H957))))</f>
        <v/>
      </c>
      <c r="G957" s="20">
        <f>IF($H957="","",G956+E957-F957)</f>
        <v/>
      </c>
      <c r="H957" s="18">
        <f t="array" ref="H957">IF($B$1="","",IFERROR(_xlfn.AGGREGATE(15,6,ROW('Journal'!$A$3:$A$2002)/(('Journal'!$D$3:$D$2002=$B$1)+('Journal'!$E$3:$E$2002=$B$1))/('Journal'!$B$3:$B$2002&gt;=$B$2)/('Journal'!$B$3:$B$2002&lt;=$B$3),952),""))</f>
        <v/>
      </c>
    </row>
    <row r="958">
      <c r="A958" s="18">
        <f>IF($H958="","",INDEX('Journal'!$A$1:$A$2002,$H958))</f>
        <v/>
      </c>
      <c r="B958" s="21">
        <f>IF($H958="","",INDEX('Journal'!$B$1:$B$2002,$H958))</f>
        <v/>
      </c>
      <c r="C958" s="5">
        <f>IF($H958="","",INDEX('Journal'!$C$1:$C$2002,$H958)&amp;"")</f>
        <v/>
      </c>
      <c r="D958" s="5">
        <f>IF($H958="","",IF(INDEX('Journal'!$D$1:$D$2002,$H958)=$B$1,INDEX('Journal'!$E$1:$E$2002,$H958),INDEX('Journal'!$D$1:$D$2002,$H958))&amp;"")</f>
        <v/>
      </c>
      <c r="E958" s="20">
        <f>IF($H958="","",IF(INDEX('Journal'!$D$1:$D$2002,$H958)=$B$1,N(INDEX('Journal'!$G$1:$G$2002,$H958)),N(INDEX('Journal'!$F$1:$F$2002,$H958))))</f>
        <v/>
      </c>
      <c r="F958" s="20">
        <f>IF($H958="","",IF(INDEX('Journal'!$D$1:$D$2002,$H958)=$B$1,N(INDEX('Journal'!$F$1:$F$2002,$H958)),N(INDEX('Journal'!$G$1:$G$2002,$H958))))</f>
        <v/>
      </c>
      <c r="G958" s="20">
        <f>IF($H958="","",G957+E958-F958)</f>
        <v/>
      </c>
      <c r="H958" s="18">
        <f t="array" ref="H958">IF($B$1="","",IFERROR(_xlfn.AGGREGATE(15,6,ROW('Journal'!$A$3:$A$2002)/(('Journal'!$D$3:$D$2002=$B$1)+('Journal'!$E$3:$E$2002=$B$1))/('Journal'!$B$3:$B$2002&gt;=$B$2)/('Journal'!$B$3:$B$2002&lt;=$B$3),953),""))</f>
        <v/>
      </c>
    </row>
    <row r="959">
      <c r="A959" s="18">
        <f>IF($H959="","",INDEX('Journal'!$A$1:$A$2002,$H959))</f>
        <v/>
      </c>
      <c r="B959" s="21">
        <f>IF($H959="","",INDEX('Journal'!$B$1:$B$2002,$H959))</f>
        <v/>
      </c>
      <c r="C959" s="5">
        <f>IF($H959="","",INDEX('Journal'!$C$1:$C$2002,$H959)&amp;"")</f>
        <v/>
      </c>
      <c r="D959" s="5">
        <f>IF($H959="","",IF(INDEX('Journal'!$D$1:$D$2002,$H959)=$B$1,INDEX('Journal'!$E$1:$E$2002,$H959),INDEX('Journal'!$D$1:$D$2002,$H959))&amp;"")</f>
        <v/>
      </c>
      <c r="E959" s="20">
        <f>IF($H959="","",IF(INDEX('Journal'!$D$1:$D$2002,$H959)=$B$1,N(INDEX('Journal'!$G$1:$G$2002,$H959)),N(INDEX('Journal'!$F$1:$F$2002,$H959))))</f>
        <v/>
      </c>
      <c r="F959" s="20">
        <f>IF($H959="","",IF(INDEX('Journal'!$D$1:$D$2002,$H959)=$B$1,N(INDEX('Journal'!$F$1:$F$2002,$H959)),N(INDEX('Journal'!$G$1:$G$2002,$H959))))</f>
        <v/>
      </c>
      <c r="G959" s="20">
        <f>IF($H959="","",G958+E959-F959)</f>
        <v/>
      </c>
      <c r="H959" s="18">
        <f t="array" ref="H959">IF($B$1="","",IFERROR(_xlfn.AGGREGATE(15,6,ROW('Journal'!$A$3:$A$2002)/(('Journal'!$D$3:$D$2002=$B$1)+('Journal'!$E$3:$E$2002=$B$1))/('Journal'!$B$3:$B$2002&gt;=$B$2)/('Journal'!$B$3:$B$2002&lt;=$B$3),954),""))</f>
        <v/>
      </c>
    </row>
    <row r="960">
      <c r="A960" s="18">
        <f>IF($H960="","",INDEX('Journal'!$A$1:$A$2002,$H960))</f>
        <v/>
      </c>
      <c r="B960" s="21">
        <f>IF($H960="","",INDEX('Journal'!$B$1:$B$2002,$H960))</f>
        <v/>
      </c>
      <c r="C960" s="5">
        <f>IF($H960="","",INDEX('Journal'!$C$1:$C$2002,$H960)&amp;"")</f>
        <v/>
      </c>
      <c r="D960" s="5">
        <f>IF($H960="","",IF(INDEX('Journal'!$D$1:$D$2002,$H960)=$B$1,INDEX('Journal'!$E$1:$E$2002,$H960),INDEX('Journal'!$D$1:$D$2002,$H960))&amp;"")</f>
        <v/>
      </c>
      <c r="E960" s="20">
        <f>IF($H960="","",IF(INDEX('Journal'!$D$1:$D$2002,$H960)=$B$1,N(INDEX('Journal'!$G$1:$G$2002,$H960)),N(INDEX('Journal'!$F$1:$F$2002,$H960))))</f>
        <v/>
      </c>
      <c r="F960" s="20">
        <f>IF($H960="","",IF(INDEX('Journal'!$D$1:$D$2002,$H960)=$B$1,N(INDEX('Journal'!$F$1:$F$2002,$H960)),N(INDEX('Journal'!$G$1:$G$2002,$H960))))</f>
        <v/>
      </c>
      <c r="G960" s="20">
        <f>IF($H960="","",G959+E960-F960)</f>
        <v/>
      </c>
      <c r="H960" s="18">
        <f t="array" ref="H960">IF($B$1="","",IFERROR(_xlfn.AGGREGATE(15,6,ROW('Journal'!$A$3:$A$2002)/(('Journal'!$D$3:$D$2002=$B$1)+('Journal'!$E$3:$E$2002=$B$1))/('Journal'!$B$3:$B$2002&gt;=$B$2)/('Journal'!$B$3:$B$2002&lt;=$B$3),955),""))</f>
        <v/>
      </c>
    </row>
    <row r="961">
      <c r="A961" s="18">
        <f>IF($H961="","",INDEX('Journal'!$A$1:$A$2002,$H961))</f>
        <v/>
      </c>
      <c r="B961" s="21">
        <f>IF($H961="","",INDEX('Journal'!$B$1:$B$2002,$H961))</f>
        <v/>
      </c>
      <c r="C961" s="5">
        <f>IF($H961="","",INDEX('Journal'!$C$1:$C$2002,$H961)&amp;"")</f>
        <v/>
      </c>
      <c r="D961" s="5">
        <f>IF($H961="","",IF(INDEX('Journal'!$D$1:$D$2002,$H961)=$B$1,INDEX('Journal'!$E$1:$E$2002,$H961),INDEX('Journal'!$D$1:$D$2002,$H961))&amp;"")</f>
        <v/>
      </c>
      <c r="E961" s="20">
        <f>IF($H961="","",IF(INDEX('Journal'!$D$1:$D$2002,$H961)=$B$1,N(INDEX('Journal'!$G$1:$G$2002,$H961)),N(INDEX('Journal'!$F$1:$F$2002,$H961))))</f>
        <v/>
      </c>
      <c r="F961" s="20">
        <f>IF($H961="","",IF(INDEX('Journal'!$D$1:$D$2002,$H961)=$B$1,N(INDEX('Journal'!$F$1:$F$2002,$H961)),N(INDEX('Journal'!$G$1:$G$2002,$H961))))</f>
        <v/>
      </c>
      <c r="G961" s="20">
        <f>IF($H961="","",G960+E961-F961)</f>
        <v/>
      </c>
      <c r="H961" s="18">
        <f t="array" ref="H961">IF($B$1="","",IFERROR(_xlfn.AGGREGATE(15,6,ROW('Journal'!$A$3:$A$2002)/(('Journal'!$D$3:$D$2002=$B$1)+('Journal'!$E$3:$E$2002=$B$1))/('Journal'!$B$3:$B$2002&gt;=$B$2)/('Journal'!$B$3:$B$2002&lt;=$B$3),956),""))</f>
        <v/>
      </c>
    </row>
    <row r="962">
      <c r="A962" s="18">
        <f>IF($H962="","",INDEX('Journal'!$A$1:$A$2002,$H962))</f>
        <v/>
      </c>
      <c r="B962" s="21">
        <f>IF($H962="","",INDEX('Journal'!$B$1:$B$2002,$H962))</f>
        <v/>
      </c>
      <c r="C962" s="5">
        <f>IF($H962="","",INDEX('Journal'!$C$1:$C$2002,$H962)&amp;"")</f>
        <v/>
      </c>
      <c r="D962" s="5">
        <f>IF($H962="","",IF(INDEX('Journal'!$D$1:$D$2002,$H962)=$B$1,INDEX('Journal'!$E$1:$E$2002,$H962),INDEX('Journal'!$D$1:$D$2002,$H962))&amp;"")</f>
        <v/>
      </c>
      <c r="E962" s="20">
        <f>IF($H962="","",IF(INDEX('Journal'!$D$1:$D$2002,$H962)=$B$1,N(INDEX('Journal'!$G$1:$G$2002,$H962)),N(INDEX('Journal'!$F$1:$F$2002,$H962))))</f>
        <v/>
      </c>
      <c r="F962" s="20">
        <f>IF($H962="","",IF(INDEX('Journal'!$D$1:$D$2002,$H962)=$B$1,N(INDEX('Journal'!$F$1:$F$2002,$H962)),N(INDEX('Journal'!$G$1:$G$2002,$H962))))</f>
        <v/>
      </c>
      <c r="G962" s="20">
        <f>IF($H962="","",G961+E962-F962)</f>
        <v/>
      </c>
      <c r="H962" s="18">
        <f t="array" ref="H962">IF($B$1="","",IFERROR(_xlfn.AGGREGATE(15,6,ROW('Journal'!$A$3:$A$2002)/(('Journal'!$D$3:$D$2002=$B$1)+('Journal'!$E$3:$E$2002=$B$1))/('Journal'!$B$3:$B$2002&gt;=$B$2)/('Journal'!$B$3:$B$2002&lt;=$B$3),957),""))</f>
        <v/>
      </c>
    </row>
    <row r="963">
      <c r="A963" s="18">
        <f>IF($H963="","",INDEX('Journal'!$A$1:$A$2002,$H963))</f>
        <v/>
      </c>
      <c r="B963" s="21">
        <f>IF($H963="","",INDEX('Journal'!$B$1:$B$2002,$H963))</f>
        <v/>
      </c>
      <c r="C963" s="5">
        <f>IF($H963="","",INDEX('Journal'!$C$1:$C$2002,$H963)&amp;"")</f>
        <v/>
      </c>
      <c r="D963" s="5">
        <f>IF($H963="","",IF(INDEX('Journal'!$D$1:$D$2002,$H963)=$B$1,INDEX('Journal'!$E$1:$E$2002,$H963),INDEX('Journal'!$D$1:$D$2002,$H963))&amp;"")</f>
        <v/>
      </c>
      <c r="E963" s="20">
        <f>IF($H963="","",IF(INDEX('Journal'!$D$1:$D$2002,$H963)=$B$1,N(INDEX('Journal'!$G$1:$G$2002,$H963)),N(INDEX('Journal'!$F$1:$F$2002,$H963))))</f>
        <v/>
      </c>
      <c r="F963" s="20">
        <f>IF($H963="","",IF(INDEX('Journal'!$D$1:$D$2002,$H963)=$B$1,N(INDEX('Journal'!$F$1:$F$2002,$H963)),N(INDEX('Journal'!$G$1:$G$2002,$H963))))</f>
        <v/>
      </c>
      <c r="G963" s="20">
        <f>IF($H963="","",G962+E963-F963)</f>
        <v/>
      </c>
      <c r="H963" s="18">
        <f t="array" ref="H963">IF($B$1="","",IFERROR(_xlfn.AGGREGATE(15,6,ROW('Journal'!$A$3:$A$2002)/(('Journal'!$D$3:$D$2002=$B$1)+('Journal'!$E$3:$E$2002=$B$1))/('Journal'!$B$3:$B$2002&gt;=$B$2)/('Journal'!$B$3:$B$2002&lt;=$B$3),958),""))</f>
        <v/>
      </c>
    </row>
    <row r="964">
      <c r="A964" s="18">
        <f>IF($H964="","",INDEX('Journal'!$A$1:$A$2002,$H964))</f>
        <v/>
      </c>
      <c r="B964" s="21">
        <f>IF($H964="","",INDEX('Journal'!$B$1:$B$2002,$H964))</f>
        <v/>
      </c>
      <c r="C964" s="5">
        <f>IF($H964="","",INDEX('Journal'!$C$1:$C$2002,$H964)&amp;"")</f>
        <v/>
      </c>
      <c r="D964" s="5">
        <f>IF($H964="","",IF(INDEX('Journal'!$D$1:$D$2002,$H964)=$B$1,INDEX('Journal'!$E$1:$E$2002,$H964),INDEX('Journal'!$D$1:$D$2002,$H964))&amp;"")</f>
        <v/>
      </c>
      <c r="E964" s="20">
        <f>IF($H964="","",IF(INDEX('Journal'!$D$1:$D$2002,$H964)=$B$1,N(INDEX('Journal'!$G$1:$G$2002,$H964)),N(INDEX('Journal'!$F$1:$F$2002,$H964))))</f>
        <v/>
      </c>
      <c r="F964" s="20">
        <f>IF($H964="","",IF(INDEX('Journal'!$D$1:$D$2002,$H964)=$B$1,N(INDEX('Journal'!$F$1:$F$2002,$H964)),N(INDEX('Journal'!$G$1:$G$2002,$H964))))</f>
        <v/>
      </c>
      <c r="G964" s="20">
        <f>IF($H964="","",G963+E964-F964)</f>
        <v/>
      </c>
      <c r="H964" s="18">
        <f t="array" ref="H964">IF($B$1="","",IFERROR(_xlfn.AGGREGATE(15,6,ROW('Journal'!$A$3:$A$2002)/(('Journal'!$D$3:$D$2002=$B$1)+('Journal'!$E$3:$E$2002=$B$1))/('Journal'!$B$3:$B$2002&gt;=$B$2)/('Journal'!$B$3:$B$2002&lt;=$B$3),959),""))</f>
        <v/>
      </c>
    </row>
    <row r="965">
      <c r="A965" s="18">
        <f>IF($H965="","",INDEX('Journal'!$A$1:$A$2002,$H965))</f>
        <v/>
      </c>
      <c r="B965" s="21">
        <f>IF($H965="","",INDEX('Journal'!$B$1:$B$2002,$H965))</f>
        <v/>
      </c>
      <c r="C965" s="5">
        <f>IF($H965="","",INDEX('Journal'!$C$1:$C$2002,$H965)&amp;"")</f>
        <v/>
      </c>
      <c r="D965" s="5">
        <f>IF($H965="","",IF(INDEX('Journal'!$D$1:$D$2002,$H965)=$B$1,INDEX('Journal'!$E$1:$E$2002,$H965),INDEX('Journal'!$D$1:$D$2002,$H965))&amp;"")</f>
        <v/>
      </c>
      <c r="E965" s="20">
        <f>IF($H965="","",IF(INDEX('Journal'!$D$1:$D$2002,$H965)=$B$1,N(INDEX('Journal'!$G$1:$G$2002,$H965)),N(INDEX('Journal'!$F$1:$F$2002,$H965))))</f>
        <v/>
      </c>
      <c r="F965" s="20">
        <f>IF($H965="","",IF(INDEX('Journal'!$D$1:$D$2002,$H965)=$B$1,N(INDEX('Journal'!$F$1:$F$2002,$H965)),N(INDEX('Journal'!$G$1:$G$2002,$H965))))</f>
        <v/>
      </c>
      <c r="G965" s="20">
        <f>IF($H965="","",G964+E965-F965)</f>
        <v/>
      </c>
      <c r="H965" s="18">
        <f t="array" ref="H965">IF($B$1="","",IFERROR(_xlfn.AGGREGATE(15,6,ROW('Journal'!$A$3:$A$2002)/(('Journal'!$D$3:$D$2002=$B$1)+('Journal'!$E$3:$E$2002=$B$1))/('Journal'!$B$3:$B$2002&gt;=$B$2)/('Journal'!$B$3:$B$2002&lt;=$B$3),960),""))</f>
        <v/>
      </c>
    </row>
    <row r="966">
      <c r="A966" s="18">
        <f>IF($H966="","",INDEX('Journal'!$A$1:$A$2002,$H966))</f>
        <v/>
      </c>
      <c r="B966" s="21">
        <f>IF($H966="","",INDEX('Journal'!$B$1:$B$2002,$H966))</f>
        <v/>
      </c>
      <c r="C966" s="5">
        <f>IF($H966="","",INDEX('Journal'!$C$1:$C$2002,$H966)&amp;"")</f>
        <v/>
      </c>
      <c r="D966" s="5">
        <f>IF($H966="","",IF(INDEX('Journal'!$D$1:$D$2002,$H966)=$B$1,INDEX('Journal'!$E$1:$E$2002,$H966),INDEX('Journal'!$D$1:$D$2002,$H966))&amp;"")</f>
        <v/>
      </c>
      <c r="E966" s="20">
        <f>IF($H966="","",IF(INDEX('Journal'!$D$1:$D$2002,$H966)=$B$1,N(INDEX('Journal'!$G$1:$G$2002,$H966)),N(INDEX('Journal'!$F$1:$F$2002,$H966))))</f>
        <v/>
      </c>
      <c r="F966" s="20">
        <f>IF($H966="","",IF(INDEX('Journal'!$D$1:$D$2002,$H966)=$B$1,N(INDEX('Journal'!$F$1:$F$2002,$H966)),N(INDEX('Journal'!$G$1:$G$2002,$H966))))</f>
        <v/>
      </c>
      <c r="G966" s="20">
        <f>IF($H966="","",G965+E966-F966)</f>
        <v/>
      </c>
      <c r="H966" s="18">
        <f t="array" ref="H966">IF($B$1="","",IFERROR(_xlfn.AGGREGATE(15,6,ROW('Journal'!$A$3:$A$2002)/(('Journal'!$D$3:$D$2002=$B$1)+('Journal'!$E$3:$E$2002=$B$1))/('Journal'!$B$3:$B$2002&gt;=$B$2)/('Journal'!$B$3:$B$2002&lt;=$B$3),961),""))</f>
        <v/>
      </c>
    </row>
    <row r="967">
      <c r="A967" s="18">
        <f>IF($H967="","",INDEX('Journal'!$A$1:$A$2002,$H967))</f>
        <v/>
      </c>
      <c r="B967" s="21">
        <f>IF($H967="","",INDEX('Journal'!$B$1:$B$2002,$H967))</f>
        <v/>
      </c>
      <c r="C967" s="5">
        <f>IF($H967="","",INDEX('Journal'!$C$1:$C$2002,$H967)&amp;"")</f>
        <v/>
      </c>
      <c r="D967" s="5">
        <f>IF($H967="","",IF(INDEX('Journal'!$D$1:$D$2002,$H967)=$B$1,INDEX('Journal'!$E$1:$E$2002,$H967),INDEX('Journal'!$D$1:$D$2002,$H967))&amp;"")</f>
        <v/>
      </c>
      <c r="E967" s="20">
        <f>IF($H967="","",IF(INDEX('Journal'!$D$1:$D$2002,$H967)=$B$1,N(INDEX('Journal'!$G$1:$G$2002,$H967)),N(INDEX('Journal'!$F$1:$F$2002,$H967))))</f>
        <v/>
      </c>
      <c r="F967" s="20">
        <f>IF($H967="","",IF(INDEX('Journal'!$D$1:$D$2002,$H967)=$B$1,N(INDEX('Journal'!$F$1:$F$2002,$H967)),N(INDEX('Journal'!$G$1:$G$2002,$H967))))</f>
        <v/>
      </c>
      <c r="G967" s="20">
        <f>IF($H967="","",G966+E967-F967)</f>
        <v/>
      </c>
      <c r="H967" s="18">
        <f t="array" ref="H967">IF($B$1="","",IFERROR(_xlfn.AGGREGATE(15,6,ROW('Journal'!$A$3:$A$2002)/(('Journal'!$D$3:$D$2002=$B$1)+('Journal'!$E$3:$E$2002=$B$1))/('Journal'!$B$3:$B$2002&gt;=$B$2)/('Journal'!$B$3:$B$2002&lt;=$B$3),962),""))</f>
        <v/>
      </c>
    </row>
    <row r="968">
      <c r="A968" s="18">
        <f>IF($H968="","",INDEX('Journal'!$A$1:$A$2002,$H968))</f>
        <v/>
      </c>
      <c r="B968" s="21">
        <f>IF($H968="","",INDEX('Journal'!$B$1:$B$2002,$H968))</f>
        <v/>
      </c>
      <c r="C968" s="5">
        <f>IF($H968="","",INDEX('Journal'!$C$1:$C$2002,$H968)&amp;"")</f>
        <v/>
      </c>
      <c r="D968" s="5">
        <f>IF($H968="","",IF(INDEX('Journal'!$D$1:$D$2002,$H968)=$B$1,INDEX('Journal'!$E$1:$E$2002,$H968),INDEX('Journal'!$D$1:$D$2002,$H968))&amp;"")</f>
        <v/>
      </c>
      <c r="E968" s="20">
        <f>IF($H968="","",IF(INDEX('Journal'!$D$1:$D$2002,$H968)=$B$1,N(INDEX('Journal'!$G$1:$G$2002,$H968)),N(INDEX('Journal'!$F$1:$F$2002,$H968))))</f>
        <v/>
      </c>
      <c r="F968" s="20">
        <f>IF($H968="","",IF(INDEX('Journal'!$D$1:$D$2002,$H968)=$B$1,N(INDEX('Journal'!$F$1:$F$2002,$H968)),N(INDEX('Journal'!$G$1:$G$2002,$H968))))</f>
        <v/>
      </c>
      <c r="G968" s="20">
        <f>IF($H968="","",G967+E968-F968)</f>
        <v/>
      </c>
      <c r="H968" s="18">
        <f t="array" ref="H968">IF($B$1="","",IFERROR(_xlfn.AGGREGATE(15,6,ROW('Journal'!$A$3:$A$2002)/(('Journal'!$D$3:$D$2002=$B$1)+('Journal'!$E$3:$E$2002=$B$1))/('Journal'!$B$3:$B$2002&gt;=$B$2)/('Journal'!$B$3:$B$2002&lt;=$B$3),963),""))</f>
        <v/>
      </c>
    </row>
    <row r="969">
      <c r="A969" s="18">
        <f>IF($H969="","",INDEX('Journal'!$A$1:$A$2002,$H969))</f>
        <v/>
      </c>
      <c r="B969" s="21">
        <f>IF($H969="","",INDEX('Journal'!$B$1:$B$2002,$H969))</f>
        <v/>
      </c>
      <c r="C969" s="5">
        <f>IF($H969="","",INDEX('Journal'!$C$1:$C$2002,$H969)&amp;"")</f>
        <v/>
      </c>
      <c r="D969" s="5">
        <f>IF($H969="","",IF(INDEX('Journal'!$D$1:$D$2002,$H969)=$B$1,INDEX('Journal'!$E$1:$E$2002,$H969),INDEX('Journal'!$D$1:$D$2002,$H969))&amp;"")</f>
        <v/>
      </c>
      <c r="E969" s="20">
        <f>IF($H969="","",IF(INDEX('Journal'!$D$1:$D$2002,$H969)=$B$1,N(INDEX('Journal'!$G$1:$G$2002,$H969)),N(INDEX('Journal'!$F$1:$F$2002,$H969))))</f>
        <v/>
      </c>
      <c r="F969" s="20">
        <f>IF($H969="","",IF(INDEX('Journal'!$D$1:$D$2002,$H969)=$B$1,N(INDEX('Journal'!$F$1:$F$2002,$H969)),N(INDEX('Journal'!$G$1:$G$2002,$H969))))</f>
        <v/>
      </c>
      <c r="G969" s="20">
        <f>IF($H969="","",G968+E969-F969)</f>
        <v/>
      </c>
      <c r="H969" s="18">
        <f t="array" ref="H969">IF($B$1="","",IFERROR(_xlfn.AGGREGATE(15,6,ROW('Journal'!$A$3:$A$2002)/(('Journal'!$D$3:$D$2002=$B$1)+('Journal'!$E$3:$E$2002=$B$1))/('Journal'!$B$3:$B$2002&gt;=$B$2)/('Journal'!$B$3:$B$2002&lt;=$B$3),964),""))</f>
        <v/>
      </c>
    </row>
    <row r="970">
      <c r="A970" s="18">
        <f>IF($H970="","",INDEX('Journal'!$A$1:$A$2002,$H970))</f>
        <v/>
      </c>
      <c r="B970" s="21">
        <f>IF($H970="","",INDEX('Journal'!$B$1:$B$2002,$H970))</f>
        <v/>
      </c>
      <c r="C970" s="5">
        <f>IF($H970="","",INDEX('Journal'!$C$1:$C$2002,$H970)&amp;"")</f>
        <v/>
      </c>
      <c r="D970" s="5">
        <f>IF($H970="","",IF(INDEX('Journal'!$D$1:$D$2002,$H970)=$B$1,INDEX('Journal'!$E$1:$E$2002,$H970),INDEX('Journal'!$D$1:$D$2002,$H970))&amp;"")</f>
        <v/>
      </c>
      <c r="E970" s="20">
        <f>IF($H970="","",IF(INDEX('Journal'!$D$1:$D$2002,$H970)=$B$1,N(INDEX('Journal'!$G$1:$G$2002,$H970)),N(INDEX('Journal'!$F$1:$F$2002,$H970))))</f>
        <v/>
      </c>
      <c r="F970" s="20">
        <f>IF($H970="","",IF(INDEX('Journal'!$D$1:$D$2002,$H970)=$B$1,N(INDEX('Journal'!$F$1:$F$2002,$H970)),N(INDEX('Journal'!$G$1:$G$2002,$H970))))</f>
        <v/>
      </c>
      <c r="G970" s="20">
        <f>IF($H970="","",G969+E970-F970)</f>
        <v/>
      </c>
      <c r="H970" s="18">
        <f t="array" ref="H970">IF($B$1="","",IFERROR(_xlfn.AGGREGATE(15,6,ROW('Journal'!$A$3:$A$2002)/(('Journal'!$D$3:$D$2002=$B$1)+('Journal'!$E$3:$E$2002=$B$1))/('Journal'!$B$3:$B$2002&gt;=$B$2)/('Journal'!$B$3:$B$2002&lt;=$B$3),965),""))</f>
        <v/>
      </c>
    </row>
    <row r="971">
      <c r="A971" s="18">
        <f>IF($H971="","",INDEX('Journal'!$A$1:$A$2002,$H971))</f>
        <v/>
      </c>
      <c r="B971" s="21">
        <f>IF($H971="","",INDEX('Journal'!$B$1:$B$2002,$H971))</f>
        <v/>
      </c>
      <c r="C971" s="5">
        <f>IF($H971="","",INDEX('Journal'!$C$1:$C$2002,$H971)&amp;"")</f>
        <v/>
      </c>
      <c r="D971" s="5">
        <f>IF($H971="","",IF(INDEX('Journal'!$D$1:$D$2002,$H971)=$B$1,INDEX('Journal'!$E$1:$E$2002,$H971),INDEX('Journal'!$D$1:$D$2002,$H971))&amp;"")</f>
        <v/>
      </c>
      <c r="E971" s="20">
        <f>IF($H971="","",IF(INDEX('Journal'!$D$1:$D$2002,$H971)=$B$1,N(INDEX('Journal'!$G$1:$G$2002,$H971)),N(INDEX('Journal'!$F$1:$F$2002,$H971))))</f>
        <v/>
      </c>
      <c r="F971" s="20">
        <f>IF($H971="","",IF(INDEX('Journal'!$D$1:$D$2002,$H971)=$B$1,N(INDEX('Journal'!$F$1:$F$2002,$H971)),N(INDEX('Journal'!$G$1:$G$2002,$H971))))</f>
        <v/>
      </c>
      <c r="G971" s="20">
        <f>IF($H971="","",G970+E971-F971)</f>
        <v/>
      </c>
      <c r="H971" s="18">
        <f t="array" ref="H971">IF($B$1="","",IFERROR(_xlfn.AGGREGATE(15,6,ROW('Journal'!$A$3:$A$2002)/(('Journal'!$D$3:$D$2002=$B$1)+('Journal'!$E$3:$E$2002=$B$1))/('Journal'!$B$3:$B$2002&gt;=$B$2)/('Journal'!$B$3:$B$2002&lt;=$B$3),966),""))</f>
        <v/>
      </c>
    </row>
    <row r="972">
      <c r="A972" s="18">
        <f>IF($H972="","",INDEX('Journal'!$A$1:$A$2002,$H972))</f>
        <v/>
      </c>
      <c r="B972" s="21">
        <f>IF($H972="","",INDEX('Journal'!$B$1:$B$2002,$H972))</f>
        <v/>
      </c>
      <c r="C972" s="5">
        <f>IF($H972="","",INDEX('Journal'!$C$1:$C$2002,$H972)&amp;"")</f>
        <v/>
      </c>
      <c r="D972" s="5">
        <f>IF($H972="","",IF(INDEX('Journal'!$D$1:$D$2002,$H972)=$B$1,INDEX('Journal'!$E$1:$E$2002,$H972),INDEX('Journal'!$D$1:$D$2002,$H972))&amp;"")</f>
        <v/>
      </c>
      <c r="E972" s="20">
        <f>IF($H972="","",IF(INDEX('Journal'!$D$1:$D$2002,$H972)=$B$1,N(INDEX('Journal'!$G$1:$G$2002,$H972)),N(INDEX('Journal'!$F$1:$F$2002,$H972))))</f>
        <v/>
      </c>
      <c r="F972" s="20">
        <f>IF($H972="","",IF(INDEX('Journal'!$D$1:$D$2002,$H972)=$B$1,N(INDEX('Journal'!$F$1:$F$2002,$H972)),N(INDEX('Journal'!$G$1:$G$2002,$H972))))</f>
        <v/>
      </c>
      <c r="G972" s="20">
        <f>IF($H972="","",G971+E972-F972)</f>
        <v/>
      </c>
      <c r="H972" s="18">
        <f t="array" ref="H972">IF($B$1="","",IFERROR(_xlfn.AGGREGATE(15,6,ROW('Journal'!$A$3:$A$2002)/(('Journal'!$D$3:$D$2002=$B$1)+('Journal'!$E$3:$E$2002=$B$1))/('Journal'!$B$3:$B$2002&gt;=$B$2)/('Journal'!$B$3:$B$2002&lt;=$B$3),967),""))</f>
        <v/>
      </c>
    </row>
    <row r="973">
      <c r="A973" s="18">
        <f>IF($H973="","",INDEX('Journal'!$A$1:$A$2002,$H973))</f>
        <v/>
      </c>
      <c r="B973" s="21">
        <f>IF($H973="","",INDEX('Journal'!$B$1:$B$2002,$H973))</f>
        <v/>
      </c>
      <c r="C973" s="5">
        <f>IF($H973="","",INDEX('Journal'!$C$1:$C$2002,$H973)&amp;"")</f>
        <v/>
      </c>
      <c r="D973" s="5">
        <f>IF($H973="","",IF(INDEX('Journal'!$D$1:$D$2002,$H973)=$B$1,INDEX('Journal'!$E$1:$E$2002,$H973),INDEX('Journal'!$D$1:$D$2002,$H973))&amp;"")</f>
        <v/>
      </c>
      <c r="E973" s="20">
        <f>IF($H973="","",IF(INDEX('Journal'!$D$1:$D$2002,$H973)=$B$1,N(INDEX('Journal'!$G$1:$G$2002,$H973)),N(INDEX('Journal'!$F$1:$F$2002,$H973))))</f>
        <v/>
      </c>
      <c r="F973" s="20">
        <f>IF($H973="","",IF(INDEX('Journal'!$D$1:$D$2002,$H973)=$B$1,N(INDEX('Journal'!$F$1:$F$2002,$H973)),N(INDEX('Journal'!$G$1:$G$2002,$H973))))</f>
        <v/>
      </c>
      <c r="G973" s="20">
        <f>IF($H973="","",G972+E973-F973)</f>
        <v/>
      </c>
      <c r="H973" s="18">
        <f t="array" ref="H973">IF($B$1="","",IFERROR(_xlfn.AGGREGATE(15,6,ROW('Journal'!$A$3:$A$2002)/(('Journal'!$D$3:$D$2002=$B$1)+('Journal'!$E$3:$E$2002=$B$1))/('Journal'!$B$3:$B$2002&gt;=$B$2)/('Journal'!$B$3:$B$2002&lt;=$B$3),968),""))</f>
        <v/>
      </c>
    </row>
    <row r="974">
      <c r="A974" s="18">
        <f>IF($H974="","",INDEX('Journal'!$A$1:$A$2002,$H974))</f>
        <v/>
      </c>
      <c r="B974" s="21">
        <f>IF($H974="","",INDEX('Journal'!$B$1:$B$2002,$H974))</f>
        <v/>
      </c>
      <c r="C974" s="5">
        <f>IF($H974="","",INDEX('Journal'!$C$1:$C$2002,$H974)&amp;"")</f>
        <v/>
      </c>
      <c r="D974" s="5">
        <f>IF($H974="","",IF(INDEX('Journal'!$D$1:$D$2002,$H974)=$B$1,INDEX('Journal'!$E$1:$E$2002,$H974),INDEX('Journal'!$D$1:$D$2002,$H974))&amp;"")</f>
        <v/>
      </c>
      <c r="E974" s="20">
        <f>IF($H974="","",IF(INDEX('Journal'!$D$1:$D$2002,$H974)=$B$1,N(INDEX('Journal'!$G$1:$G$2002,$H974)),N(INDEX('Journal'!$F$1:$F$2002,$H974))))</f>
        <v/>
      </c>
      <c r="F974" s="20">
        <f>IF($H974="","",IF(INDEX('Journal'!$D$1:$D$2002,$H974)=$B$1,N(INDEX('Journal'!$F$1:$F$2002,$H974)),N(INDEX('Journal'!$G$1:$G$2002,$H974))))</f>
        <v/>
      </c>
      <c r="G974" s="20">
        <f>IF($H974="","",G973+E974-F974)</f>
        <v/>
      </c>
      <c r="H974" s="18">
        <f t="array" ref="H974">IF($B$1="","",IFERROR(_xlfn.AGGREGATE(15,6,ROW('Journal'!$A$3:$A$2002)/(('Journal'!$D$3:$D$2002=$B$1)+('Journal'!$E$3:$E$2002=$B$1))/('Journal'!$B$3:$B$2002&gt;=$B$2)/('Journal'!$B$3:$B$2002&lt;=$B$3),969),""))</f>
        <v/>
      </c>
    </row>
    <row r="975">
      <c r="A975" s="18">
        <f>IF($H975="","",INDEX('Journal'!$A$1:$A$2002,$H975))</f>
        <v/>
      </c>
      <c r="B975" s="21">
        <f>IF($H975="","",INDEX('Journal'!$B$1:$B$2002,$H975))</f>
        <v/>
      </c>
      <c r="C975" s="5">
        <f>IF($H975="","",INDEX('Journal'!$C$1:$C$2002,$H975)&amp;"")</f>
        <v/>
      </c>
      <c r="D975" s="5">
        <f>IF($H975="","",IF(INDEX('Journal'!$D$1:$D$2002,$H975)=$B$1,INDEX('Journal'!$E$1:$E$2002,$H975),INDEX('Journal'!$D$1:$D$2002,$H975))&amp;"")</f>
        <v/>
      </c>
      <c r="E975" s="20">
        <f>IF($H975="","",IF(INDEX('Journal'!$D$1:$D$2002,$H975)=$B$1,N(INDEX('Journal'!$G$1:$G$2002,$H975)),N(INDEX('Journal'!$F$1:$F$2002,$H975))))</f>
        <v/>
      </c>
      <c r="F975" s="20">
        <f>IF($H975="","",IF(INDEX('Journal'!$D$1:$D$2002,$H975)=$B$1,N(INDEX('Journal'!$F$1:$F$2002,$H975)),N(INDEX('Journal'!$G$1:$G$2002,$H975))))</f>
        <v/>
      </c>
      <c r="G975" s="20">
        <f>IF($H975="","",G974+E975-F975)</f>
        <v/>
      </c>
      <c r="H975" s="18">
        <f t="array" ref="H975">IF($B$1="","",IFERROR(_xlfn.AGGREGATE(15,6,ROW('Journal'!$A$3:$A$2002)/(('Journal'!$D$3:$D$2002=$B$1)+('Journal'!$E$3:$E$2002=$B$1))/('Journal'!$B$3:$B$2002&gt;=$B$2)/('Journal'!$B$3:$B$2002&lt;=$B$3),970),""))</f>
        <v/>
      </c>
    </row>
    <row r="976">
      <c r="A976" s="18">
        <f>IF($H976="","",INDEX('Journal'!$A$1:$A$2002,$H976))</f>
        <v/>
      </c>
      <c r="B976" s="21">
        <f>IF($H976="","",INDEX('Journal'!$B$1:$B$2002,$H976))</f>
        <v/>
      </c>
      <c r="C976" s="5">
        <f>IF($H976="","",INDEX('Journal'!$C$1:$C$2002,$H976)&amp;"")</f>
        <v/>
      </c>
      <c r="D976" s="5">
        <f>IF($H976="","",IF(INDEX('Journal'!$D$1:$D$2002,$H976)=$B$1,INDEX('Journal'!$E$1:$E$2002,$H976),INDEX('Journal'!$D$1:$D$2002,$H976))&amp;"")</f>
        <v/>
      </c>
      <c r="E976" s="20">
        <f>IF($H976="","",IF(INDEX('Journal'!$D$1:$D$2002,$H976)=$B$1,N(INDEX('Journal'!$G$1:$G$2002,$H976)),N(INDEX('Journal'!$F$1:$F$2002,$H976))))</f>
        <v/>
      </c>
      <c r="F976" s="20">
        <f>IF($H976="","",IF(INDEX('Journal'!$D$1:$D$2002,$H976)=$B$1,N(INDEX('Journal'!$F$1:$F$2002,$H976)),N(INDEX('Journal'!$G$1:$G$2002,$H976))))</f>
        <v/>
      </c>
      <c r="G976" s="20">
        <f>IF($H976="","",G975+E976-F976)</f>
        <v/>
      </c>
      <c r="H976" s="18">
        <f t="array" ref="H976">IF($B$1="","",IFERROR(_xlfn.AGGREGATE(15,6,ROW('Journal'!$A$3:$A$2002)/(('Journal'!$D$3:$D$2002=$B$1)+('Journal'!$E$3:$E$2002=$B$1))/('Journal'!$B$3:$B$2002&gt;=$B$2)/('Journal'!$B$3:$B$2002&lt;=$B$3),971),""))</f>
        <v/>
      </c>
    </row>
    <row r="977">
      <c r="A977" s="18">
        <f>IF($H977="","",INDEX('Journal'!$A$1:$A$2002,$H977))</f>
        <v/>
      </c>
      <c r="B977" s="21">
        <f>IF($H977="","",INDEX('Journal'!$B$1:$B$2002,$H977))</f>
        <v/>
      </c>
      <c r="C977" s="5">
        <f>IF($H977="","",INDEX('Journal'!$C$1:$C$2002,$H977)&amp;"")</f>
        <v/>
      </c>
      <c r="D977" s="5">
        <f>IF($H977="","",IF(INDEX('Journal'!$D$1:$D$2002,$H977)=$B$1,INDEX('Journal'!$E$1:$E$2002,$H977),INDEX('Journal'!$D$1:$D$2002,$H977))&amp;"")</f>
        <v/>
      </c>
      <c r="E977" s="20">
        <f>IF($H977="","",IF(INDEX('Journal'!$D$1:$D$2002,$H977)=$B$1,N(INDEX('Journal'!$G$1:$G$2002,$H977)),N(INDEX('Journal'!$F$1:$F$2002,$H977))))</f>
        <v/>
      </c>
      <c r="F977" s="20">
        <f>IF($H977="","",IF(INDEX('Journal'!$D$1:$D$2002,$H977)=$B$1,N(INDEX('Journal'!$F$1:$F$2002,$H977)),N(INDEX('Journal'!$G$1:$G$2002,$H977))))</f>
        <v/>
      </c>
      <c r="G977" s="20">
        <f>IF($H977="","",G976+E977-F977)</f>
        <v/>
      </c>
      <c r="H977" s="18">
        <f t="array" ref="H977">IF($B$1="","",IFERROR(_xlfn.AGGREGATE(15,6,ROW('Journal'!$A$3:$A$2002)/(('Journal'!$D$3:$D$2002=$B$1)+('Journal'!$E$3:$E$2002=$B$1))/('Journal'!$B$3:$B$2002&gt;=$B$2)/('Journal'!$B$3:$B$2002&lt;=$B$3),972),""))</f>
        <v/>
      </c>
    </row>
    <row r="978">
      <c r="A978" s="18">
        <f>IF($H978="","",INDEX('Journal'!$A$1:$A$2002,$H978))</f>
        <v/>
      </c>
      <c r="B978" s="21">
        <f>IF($H978="","",INDEX('Journal'!$B$1:$B$2002,$H978))</f>
        <v/>
      </c>
      <c r="C978" s="5">
        <f>IF($H978="","",INDEX('Journal'!$C$1:$C$2002,$H978)&amp;"")</f>
        <v/>
      </c>
      <c r="D978" s="5">
        <f>IF($H978="","",IF(INDEX('Journal'!$D$1:$D$2002,$H978)=$B$1,INDEX('Journal'!$E$1:$E$2002,$H978),INDEX('Journal'!$D$1:$D$2002,$H978))&amp;"")</f>
        <v/>
      </c>
      <c r="E978" s="20">
        <f>IF($H978="","",IF(INDEX('Journal'!$D$1:$D$2002,$H978)=$B$1,N(INDEX('Journal'!$G$1:$G$2002,$H978)),N(INDEX('Journal'!$F$1:$F$2002,$H978))))</f>
        <v/>
      </c>
      <c r="F978" s="20">
        <f>IF($H978="","",IF(INDEX('Journal'!$D$1:$D$2002,$H978)=$B$1,N(INDEX('Journal'!$F$1:$F$2002,$H978)),N(INDEX('Journal'!$G$1:$G$2002,$H978))))</f>
        <v/>
      </c>
      <c r="G978" s="20">
        <f>IF($H978="","",G977+E978-F978)</f>
        <v/>
      </c>
      <c r="H978" s="18">
        <f t="array" ref="H978">IF($B$1="","",IFERROR(_xlfn.AGGREGATE(15,6,ROW('Journal'!$A$3:$A$2002)/(('Journal'!$D$3:$D$2002=$B$1)+('Journal'!$E$3:$E$2002=$B$1))/('Journal'!$B$3:$B$2002&gt;=$B$2)/('Journal'!$B$3:$B$2002&lt;=$B$3),973),""))</f>
        <v/>
      </c>
    </row>
    <row r="979">
      <c r="A979" s="18">
        <f>IF($H979="","",INDEX('Journal'!$A$1:$A$2002,$H979))</f>
        <v/>
      </c>
      <c r="B979" s="21">
        <f>IF($H979="","",INDEX('Journal'!$B$1:$B$2002,$H979))</f>
        <v/>
      </c>
      <c r="C979" s="5">
        <f>IF($H979="","",INDEX('Journal'!$C$1:$C$2002,$H979)&amp;"")</f>
        <v/>
      </c>
      <c r="D979" s="5">
        <f>IF($H979="","",IF(INDEX('Journal'!$D$1:$D$2002,$H979)=$B$1,INDEX('Journal'!$E$1:$E$2002,$H979),INDEX('Journal'!$D$1:$D$2002,$H979))&amp;"")</f>
        <v/>
      </c>
      <c r="E979" s="20">
        <f>IF($H979="","",IF(INDEX('Journal'!$D$1:$D$2002,$H979)=$B$1,N(INDEX('Journal'!$G$1:$G$2002,$H979)),N(INDEX('Journal'!$F$1:$F$2002,$H979))))</f>
        <v/>
      </c>
      <c r="F979" s="20">
        <f>IF($H979="","",IF(INDEX('Journal'!$D$1:$D$2002,$H979)=$B$1,N(INDEX('Journal'!$F$1:$F$2002,$H979)),N(INDEX('Journal'!$G$1:$G$2002,$H979))))</f>
        <v/>
      </c>
      <c r="G979" s="20">
        <f>IF($H979="","",G978+E979-F979)</f>
        <v/>
      </c>
      <c r="H979" s="18">
        <f t="array" ref="H979">IF($B$1="","",IFERROR(_xlfn.AGGREGATE(15,6,ROW('Journal'!$A$3:$A$2002)/(('Journal'!$D$3:$D$2002=$B$1)+('Journal'!$E$3:$E$2002=$B$1))/('Journal'!$B$3:$B$2002&gt;=$B$2)/('Journal'!$B$3:$B$2002&lt;=$B$3),974),""))</f>
        <v/>
      </c>
    </row>
    <row r="980">
      <c r="A980" s="18">
        <f>IF($H980="","",INDEX('Journal'!$A$1:$A$2002,$H980))</f>
        <v/>
      </c>
      <c r="B980" s="21">
        <f>IF($H980="","",INDEX('Journal'!$B$1:$B$2002,$H980))</f>
        <v/>
      </c>
      <c r="C980" s="5">
        <f>IF($H980="","",INDEX('Journal'!$C$1:$C$2002,$H980)&amp;"")</f>
        <v/>
      </c>
      <c r="D980" s="5">
        <f>IF($H980="","",IF(INDEX('Journal'!$D$1:$D$2002,$H980)=$B$1,INDEX('Journal'!$E$1:$E$2002,$H980),INDEX('Journal'!$D$1:$D$2002,$H980))&amp;"")</f>
        <v/>
      </c>
      <c r="E980" s="20">
        <f>IF($H980="","",IF(INDEX('Journal'!$D$1:$D$2002,$H980)=$B$1,N(INDEX('Journal'!$G$1:$G$2002,$H980)),N(INDEX('Journal'!$F$1:$F$2002,$H980))))</f>
        <v/>
      </c>
      <c r="F980" s="20">
        <f>IF($H980="","",IF(INDEX('Journal'!$D$1:$D$2002,$H980)=$B$1,N(INDEX('Journal'!$F$1:$F$2002,$H980)),N(INDEX('Journal'!$G$1:$G$2002,$H980))))</f>
        <v/>
      </c>
      <c r="G980" s="20">
        <f>IF($H980="","",G979+E980-F980)</f>
        <v/>
      </c>
      <c r="H980" s="18">
        <f t="array" ref="H980">IF($B$1="","",IFERROR(_xlfn.AGGREGATE(15,6,ROW('Journal'!$A$3:$A$2002)/(('Journal'!$D$3:$D$2002=$B$1)+('Journal'!$E$3:$E$2002=$B$1))/('Journal'!$B$3:$B$2002&gt;=$B$2)/('Journal'!$B$3:$B$2002&lt;=$B$3),975),""))</f>
        <v/>
      </c>
    </row>
    <row r="981">
      <c r="A981" s="18">
        <f>IF($H981="","",INDEX('Journal'!$A$1:$A$2002,$H981))</f>
        <v/>
      </c>
      <c r="B981" s="21">
        <f>IF($H981="","",INDEX('Journal'!$B$1:$B$2002,$H981))</f>
        <v/>
      </c>
      <c r="C981" s="5">
        <f>IF($H981="","",INDEX('Journal'!$C$1:$C$2002,$H981)&amp;"")</f>
        <v/>
      </c>
      <c r="D981" s="5">
        <f>IF($H981="","",IF(INDEX('Journal'!$D$1:$D$2002,$H981)=$B$1,INDEX('Journal'!$E$1:$E$2002,$H981),INDEX('Journal'!$D$1:$D$2002,$H981))&amp;"")</f>
        <v/>
      </c>
      <c r="E981" s="20">
        <f>IF($H981="","",IF(INDEX('Journal'!$D$1:$D$2002,$H981)=$B$1,N(INDEX('Journal'!$G$1:$G$2002,$H981)),N(INDEX('Journal'!$F$1:$F$2002,$H981))))</f>
        <v/>
      </c>
      <c r="F981" s="20">
        <f>IF($H981="","",IF(INDEX('Journal'!$D$1:$D$2002,$H981)=$B$1,N(INDEX('Journal'!$F$1:$F$2002,$H981)),N(INDEX('Journal'!$G$1:$G$2002,$H981))))</f>
        <v/>
      </c>
      <c r="G981" s="20">
        <f>IF($H981="","",G980+E981-F981)</f>
        <v/>
      </c>
      <c r="H981" s="18">
        <f t="array" ref="H981">IF($B$1="","",IFERROR(_xlfn.AGGREGATE(15,6,ROW('Journal'!$A$3:$A$2002)/(('Journal'!$D$3:$D$2002=$B$1)+('Journal'!$E$3:$E$2002=$B$1))/('Journal'!$B$3:$B$2002&gt;=$B$2)/('Journal'!$B$3:$B$2002&lt;=$B$3),976),""))</f>
        <v/>
      </c>
    </row>
    <row r="982">
      <c r="A982" s="18">
        <f>IF($H982="","",INDEX('Journal'!$A$1:$A$2002,$H982))</f>
        <v/>
      </c>
      <c r="B982" s="21">
        <f>IF($H982="","",INDEX('Journal'!$B$1:$B$2002,$H982))</f>
        <v/>
      </c>
      <c r="C982" s="5">
        <f>IF($H982="","",INDEX('Journal'!$C$1:$C$2002,$H982)&amp;"")</f>
        <v/>
      </c>
      <c r="D982" s="5">
        <f>IF($H982="","",IF(INDEX('Journal'!$D$1:$D$2002,$H982)=$B$1,INDEX('Journal'!$E$1:$E$2002,$H982),INDEX('Journal'!$D$1:$D$2002,$H982))&amp;"")</f>
        <v/>
      </c>
      <c r="E982" s="20">
        <f>IF($H982="","",IF(INDEX('Journal'!$D$1:$D$2002,$H982)=$B$1,N(INDEX('Journal'!$G$1:$G$2002,$H982)),N(INDEX('Journal'!$F$1:$F$2002,$H982))))</f>
        <v/>
      </c>
      <c r="F982" s="20">
        <f>IF($H982="","",IF(INDEX('Journal'!$D$1:$D$2002,$H982)=$B$1,N(INDEX('Journal'!$F$1:$F$2002,$H982)),N(INDEX('Journal'!$G$1:$G$2002,$H982))))</f>
        <v/>
      </c>
      <c r="G982" s="20">
        <f>IF($H982="","",G981+E982-F982)</f>
        <v/>
      </c>
      <c r="H982" s="18">
        <f t="array" ref="H982">IF($B$1="","",IFERROR(_xlfn.AGGREGATE(15,6,ROW('Journal'!$A$3:$A$2002)/(('Journal'!$D$3:$D$2002=$B$1)+('Journal'!$E$3:$E$2002=$B$1))/('Journal'!$B$3:$B$2002&gt;=$B$2)/('Journal'!$B$3:$B$2002&lt;=$B$3),977),""))</f>
        <v/>
      </c>
    </row>
    <row r="983">
      <c r="A983" s="18">
        <f>IF($H983="","",INDEX('Journal'!$A$1:$A$2002,$H983))</f>
        <v/>
      </c>
      <c r="B983" s="21">
        <f>IF($H983="","",INDEX('Journal'!$B$1:$B$2002,$H983))</f>
        <v/>
      </c>
      <c r="C983" s="5">
        <f>IF($H983="","",INDEX('Journal'!$C$1:$C$2002,$H983)&amp;"")</f>
        <v/>
      </c>
      <c r="D983" s="5">
        <f>IF($H983="","",IF(INDEX('Journal'!$D$1:$D$2002,$H983)=$B$1,INDEX('Journal'!$E$1:$E$2002,$H983),INDEX('Journal'!$D$1:$D$2002,$H983))&amp;"")</f>
        <v/>
      </c>
      <c r="E983" s="20">
        <f>IF($H983="","",IF(INDEX('Journal'!$D$1:$D$2002,$H983)=$B$1,N(INDEX('Journal'!$G$1:$G$2002,$H983)),N(INDEX('Journal'!$F$1:$F$2002,$H983))))</f>
        <v/>
      </c>
      <c r="F983" s="20">
        <f>IF($H983="","",IF(INDEX('Journal'!$D$1:$D$2002,$H983)=$B$1,N(INDEX('Journal'!$F$1:$F$2002,$H983)),N(INDEX('Journal'!$G$1:$G$2002,$H983))))</f>
        <v/>
      </c>
      <c r="G983" s="20">
        <f>IF($H983="","",G982+E983-F983)</f>
        <v/>
      </c>
      <c r="H983" s="18">
        <f t="array" ref="H983">IF($B$1="","",IFERROR(_xlfn.AGGREGATE(15,6,ROW('Journal'!$A$3:$A$2002)/(('Journal'!$D$3:$D$2002=$B$1)+('Journal'!$E$3:$E$2002=$B$1))/('Journal'!$B$3:$B$2002&gt;=$B$2)/('Journal'!$B$3:$B$2002&lt;=$B$3),978),""))</f>
        <v/>
      </c>
    </row>
    <row r="984">
      <c r="A984" s="18">
        <f>IF($H984="","",INDEX('Journal'!$A$1:$A$2002,$H984))</f>
        <v/>
      </c>
      <c r="B984" s="21">
        <f>IF($H984="","",INDEX('Journal'!$B$1:$B$2002,$H984))</f>
        <v/>
      </c>
      <c r="C984" s="5">
        <f>IF($H984="","",INDEX('Journal'!$C$1:$C$2002,$H984)&amp;"")</f>
        <v/>
      </c>
      <c r="D984" s="5">
        <f>IF($H984="","",IF(INDEX('Journal'!$D$1:$D$2002,$H984)=$B$1,INDEX('Journal'!$E$1:$E$2002,$H984),INDEX('Journal'!$D$1:$D$2002,$H984))&amp;"")</f>
        <v/>
      </c>
      <c r="E984" s="20">
        <f>IF($H984="","",IF(INDEX('Journal'!$D$1:$D$2002,$H984)=$B$1,N(INDEX('Journal'!$G$1:$G$2002,$H984)),N(INDEX('Journal'!$F$1:$F$2002,$H984))))</f>
        <v/>
      </c>
      <c r="F984" s="20">
        <f>IF($H984="","",IF(INDEX('Journal'!$D$1:$D$2002,$H984)=$B$1,N(INDEX('Journal'!$F$1:$F$2002,$H984)),N(INDEX('Journal'!$G$1:$G$2002,$H984))))</f>
        <v/>
      </c>
      <c r="G984" s="20">
        <f>IF($H984="","",G983+E984-F984)</f>
        <v/>
      </c>
      <c r="H984" s="18">
        <f t="array" ref="H984">IF($B$1="","",IFERROR(_xlfn.AGGREGATE(15,6,ROW('Journal'!$A$3:$A$2002)/(('Journal'!$D$3:$D$2002=$B$1)+('Journal'!$E$3:$E$2002=$B$1))/('Journal'!$B$3:$B$2002&gt;=$B$2)/('Journal'!$B$3:$B$2002&lt;=$B$3),979),""))</f>
        <v/>
      </c>
    </row>
    <row r="985">
      <c r="A985" s="18">
        <f>IF($H985="","",INDEX('Journal'!$A$1:$A$2002,$H985))</f>
        <v/>
      </c>
      <c r="B985" s="21">
        <f>IF($H985="","",INDEX('Journal'!$B$1:$B$2002,$H985))</f>
        <v/>
      </c>
      <c r="C985" s="5">
        <f>IF($H985="","",INDEX('Journal'!$C$1:$C$2002,$H985)&amp;"")</f>
        <v/>
      </c>
      <c r="D985" s="5">
        <f>IF($H985="","",IF(INDEX('Journal'!$D$1:$D$2002,$H985)=$B$1,INDEX('Journal'!$E$1:$E$2002,$H985),INDEX('Journal'!$D$1:$D$2002,$H985))&amp;"")</f>
        <v/>
      </c>
      <c r="E985" s="20">
        <f>IF($H985="","",IF(INDEX('Journal'!$D$1:$D$2002,$H985)=$B$1,N(INDEX('Journal'!$G$1:$G$2002,$H985)),N(INDEX('Journal'!$F$1:$F$2002,$H985))))</f>
        <v/>
      </c>
      <c r="F985" s="20">
        <f>IF($H985="","",IF(INDEX('Journal'!$D$1:$D$2002,$H985)=$B$1,N(INDEX('Journal'!$F$1:$F$2002,$H985)),N(INDEX('Journal'!$G$1:$G$2002,$H985))))</f>
        <v/>
      </c>
      <c r="G985" s="20">
        <f>IF($H985="","",G984+E985-F985)</f>
        <v/>
      </c>
      <c r="H985" s="18">
        <f t="array" ref="H985">IF($B$1="","",IFERROR(_xlfn.AGGREGATE(15,6,ROW('Journal'!$A$3:$A$2002)/(('Journal'!$D$3:$D$2002=$B$1)+('Journal'!$E$3:$E$2002=$B$1))/('Journal'!$B$3:$B$2002&gt;=$B$2)/('Journal'!$B$3:$B$2002&lt;=$B$3),980),""))</f>
        <v/>
      </c>
    </row>
    <row r="986">
      <c r="A986" s="18">
        <f>IF($H986="","",INDEX('Journal'!$A$1:$A$2002,$H986))</f>
        <v/>
      </c>
      <c r="B986" s="21">
        <f>IF($H986="","",INDEX('Journal'!$B$1:$B$2002,$H986))</f>
        <v/>
      </c>
      <c r="C986" s="5">
        <f>IF($H986="","",INDEX('Journal'!$C$1:$C$2002,$H986)&amp;"")</f>
        <v/>
      </c>
      <c r="D986" s="5">
        <f>IF($H986="","",IF(INDEX('Journal'!$D$1:$D$2002,$H986)=$B$1,INDEX('Journal'!$E$1:$E$2002,$H986),INDEX('Journal'!$D$1:$D$2002,$H986))&amp;"")</f>
        <v/>
      </c>
      <c r="E986" s="20">
        <f>IF($H986="","",IF(INDEX('Journal'!$D$1:$D$2002,$H986)=$B$1,N(INDEX('Journal'!$G$1:$G$2002,$H986)),N(INDEX('Journal'!$F$1:$F$2002,$H986))))</f>
        <v/>
      </c>
      <c r="F986" s="20">
        <f>IF($H986="","",IF(INDEX('Journal'!$D$1:$D$2002,$H986)=$B$1,N(INDEX('Journal'!$F$1:$F$2002,$H986)),N(INDEX('Journal'!$G$1:$G$2002,$H986))))</f>
        <v/>
      </c>
      <c r="G986" s="20">
        <f>IF($H986="","",G985+E986-F986)</f>
        <v/>
      </c>
      <c r="H986" s="18">
        <f t="array" ref="H986">IF($B$1="","",IFERROR(_xlfn.AGGREGATE(15,6,ROW('Journal'!$A$3:$A$2002)/(('Journal'!$D$3:$D$2002=$B$1)+('Journal'!$E$3:$E$2002=$B$1))/('Journal'!$B$3:$B$2002&gt;=$B$2)/('Journal'!$B$3:$B$2002&lt;=$B$3),981),""))</f>
        <v/>
      </c>
    </row>
    <row r="987">
      <c r="A987" s="18">
        <f>IF($H987="","",INDEX('Journal'!$A$1:$A$2002,$H987))</f>
        <v/>
      </c>
      <c r="B987" s="21">
        <f>IF($H987="","",INDEX('Journal'!$B$1:$B$2002,$H987))</f>
        <v/>
      </c>
      <c r="C987" s="5">
        <f>IF($H987="","",INDEX('Journal'!$C$1:$C$2002,$H987)&amp;"")</f>
        <v/>
      </c>
      <c r="D987" s="5">
        <f>IF($H987="","",IF(INDEX('Journal'!$D$1:$D$2002,$H987)=$B$1,INDEX('Journal'!$E$1:$E$2002,$H987),INDEX('Journal'!$D$1:$D$2002,$H987))&amp;"")</f>
        <v/>
      </c>
      <c r="E987" s="20">
        <f>IF($H987="","",IF(INDEX('Journal'!$D$1:$D$2002,$H987)=$B$1,N(INDEX('Journal'!$G$1:$G$2002,$H987)),N(INDEX('Journal'!$F$1:$F$2002,$H987))))</f>
        <v/>
      </c>
      <c r="F987" s="20">
        <f>IF($H987="","",IF(INDEX('Journal'!$D$1:$D$2002,$H987)=$B$1,N(INDEX('Journal'!$F$1:$F$2002,$H987)),N(INDEX('Journal'!$G$1:$G$2002,$H987))))</f>
        <v/>
      </c>
      <c r="G987" s="20">
        <f>IF($H987="","",G986+E987-F987)</f>
        <v/>
      </c>
      <c r="H987" s="18">
        <f t="array" ref="H987">IF($B$1="","",IFERROR(_xlfn.AGGREGATE(15,6,ROW('Journal'!$A$3:$A$2002)/(('Journal'!$D$3:$D$2002=$B$1)+('Journal'!$E$3:$E$2002=$B$1))/('Journal'!$B$3:$B$2002&gt;=$B$2)/('Journal'!$B$3:$B$2002&lt;=$B$3),982),""))</f>
        <v/>
      </c>
    </row>
    <row r="988">
      <c r="A988" s="18">
        <f>IF($H988="","",INDEX('Journal'!$A$1:$A$2002,$H988))</f>
        <v/>
      </c>
      <c r="B988" s="21">
        <f>IF($H988="","",INDEX('Journal'!$B$1:$B$2002,$H988))</f>
        <v/>
      </c>
      <c r="C988" s="5">
        <f>IF($H988="","",INDEX('Journal'!$C$1:$C$2002,$H988)&amp;"")</f>
        <v/>
      </c>
      <c r="D988" s="5">
        <f>IF($H988="","",IF(INDEX('Journal'!$D$1:$D$2002,$H988)=$B$1,INDEX('Journal'!$E$1:$E$2002,$H988),INDEX('Journal'!$D$1:$D$2002,$H988))&amp;"")</f>
        <v/>
      </c>
      <c r="E988" s="20">
        <f>IF($H988="","",IF(INDEX('Journal'!$D$1:$D$2002,$H988)=$B$1,N(INDEX('Journal'!$G$1:$G$2002,$H988)),N(INDEX('Journal'!$F$1:$F$2002,$H988))))</f>
        <v/>
      </c>
      <c r="F988" s="20">
        <f>IF($H988="","",IF(INDEX('Journal'!$D$1:$D$2002,$H988)=$B$1,N(INDEX('Journal'!$F$1:$F$2002,$H988)),N(INDEX('Journal'!$G$1:$G$2002,$H988))))</f>
        <v/>
      </c>
      <c r="G988" s="20">
        <f>IF($H988="","",G987+E988-F988)</f>
        <v/>
      </c>
      <c r="H988" s="18">
        <f t="array" ref="H988">IF($B$1="","",IFERROR(_xlfn.AGGREGATE(15,6,ROW('Journal'!$A$3:$A$2002)/(('Journal'!$D$3:$D$2002=$B$1)+('Journal'!$E$3:$E$2002=$B$1))/('Journal'!$B$3:$B$2002&gt;=$B$2)/('Journal'!$B$3:$B$2002&lt;=$B$3),983),""))</f>
        <v/>
      </c>
    </row>
    <row r="989">
      <c r="A989" s="18">
        <f>IF($H989="","",INDEX('Journal'!$A$1:$A$2002,$H989))</f>
        <v/>
      </c>
      <c r="B989" s="21">
        <f>IF($H989="","",INDEX('Journal'!$B$1:$B$2002,$H989))</f>
        <v/>
      </c>
      <c r="C989" s="5">
        <f>IF($H989="","",INDEX('Journal'!$C$1:$C$2002,$H989)&amp;"")</f>
        <v/>
      </c>
      <c r="D989" s="5">
        <f>IF($H989="","",IF(INDEX('Journal'!$D$1:$D$2002,$H989)=$B$1,INDEX('Journal'!$E$1:$E$2002,$H989),INDEX('Journal'!$D$1:$D$2002,$H989))&amp;"")</f>
        <v/>
      </c>
      <c r="E989" s="20">
        <f>IF($H989="","",IF(INDEX('Journal'!$D$1:$D$2002,$H989)=$B$1,N(INDEX('Journal'!$G$1:$G$2002,$H989)),N(INDEX('Journal'!$F$1:$F$2002,$H989))))</f>
        <v/>
      </c>
      <c r="F989" s="20">
        <f>IF($H989="","",IF(INDEX('Journal'!$D$1:$D$2002,$H989)=$B$1,N(INDEX('Journal'!$F$1:$F$2002,$H989)),N(INDEX('Journal'!$G$1:$G$2002,$H989))))</f>
        <v/>
      </c>
      <c r="G989" s="20">
        <f>IF($H989="","",G988+E989-F989)</f>
        <v/>
      </c>
      <c r="H989" s="18">
        <f t="array" ref="H989">IF($B$1="","",IFERROR(_xlfn.AGGREGATE(15,6,ROW('Journal'!$A$3:$A$2002)/(('Journal'!$D$3:$D$2002=$B$1)+('Journal'!$E$3:$E$2002=$B$1))/('Journal'!$B$3:$B$2002&gt;=$B$2)/('Journal'!$B$3:$B$2002&lt;=$B$3),984),""))</f>
        <v/>
      </c>
    </row>
    <row r="990">
      <c r="A990" s="18">
        <f>IF($H990="","",INDEX('Journal'!$A$1:$A$2002,$H990))</f>
        <v/>
      </c>
      <c r="B990" s="21">
        <f>IF($H990="","",INDEX('Journal'!$B$1:$B$2002,$H990))</f>
        <v/>
      </c>
      <c r="C990" s="5">
        <f>IF($H990="","",INDEX('Journal'!$C$1:$C$2002,$H990)&amp;"")</f>
        <v/>
      </c>
      <c r="D990" s="5">
        <f>IF($H990="","",IF(INDEX('Journal'!$D$1:$D$2002,$H990)=$B$1,INDEX('Journal'!$E$1:$E$2002,$H990),INDEX('Journal'!$D$1:$D$2002,$H990))&amp;"")</f>
        <v/>
      </c>
      <c r="E990" s="20">
        <f>IF($H990="","",IF(INDEX('Journal'!$D$1:$D$2002,$H990)=$B$1,N(INDEX('Journal'!$G$1:$G$2002,$H990)),N(INDEX('Journal'!$F$1:$F$2002,$H990))))</f>
        <v/>
      </c>
      <c r="F990" s="20">
        <f>IF($H990="","",IF(INDEX('Journal'!$D$1:$D$2002,$H990)=$B$1,N(INDEX('Journal'!$F$1:$F$2002,$H990)),N(INDEX('Journal'!$G$1:$G$2002,$H990))))</f>
        <v/>
      </c>
      <c r="G990" s="20">
        <f>IF($H990="","",G989+E990-F990)</f>
        <v/>
      </c>
      <c r="H990" s="18">
        <f t="array" ref="H990">IF($B$1="","",IFERROR(_xlfn.AGGREGATE(15,6,ROW('Journal'!$A$3:$A$2002)/(('Journal'!$D$3:$D$2002=$B$1)+('Journal'!$E$3:$E$2002=$B$1))/('Journal'!$B$3:$B$2002&gt;=$B$2)/('Journal'!$B$3:$B$2002&lt;=$B$3),985),""))</f>
        <v/>
      </c>
    </row>
    <row r="991">
      <c r="A991" s="18">
        <f>IF($H991="","",INDEX('Journal'!$A$1:$A$2002,$H991))</f>
        <v/>
      </c>
      <c r="B991" s="21">
        <f>IF($H991="","",INDEX('Journal'!$B$1:$B$2002,$H991))</f>
        <v/>
      </c>
      <c r="C991" s="5">
        <f>IF($H991="","",INDEX('Journal'!$C$1:$C$2002,$H991)&amp;"")</f>
        <v/>
      </c>
      <c r="D991" s="5">
        <f>IF($H991="","",IF(INDEX('Journal'!$D$1:$D$2002,$H991)=$B$1,INDEX('Journal'!$E$1:$E$2002,$H991),INDEX('Journal'!$D$1:$D$2002,$H991))&amp;"")</f>
        <v/>
      </c>
      <c r="E991" s="20">
        <f>IF($H991="","",IF(INDEX('Journal'!$D$1:$D$2002,$H991)=$B$1,N(INDEX('Journal'!$G$1:$G$2002,$H991)),N(INDEX('Journal'!$F$1:$F$2002,$H991))))</f>
        <v/>
      </c>
      <c r="F991" s="20">
        <f>IF($H991="","",IF(INDEX('Journal'!$D$1:$D$2002,$H991)=$B$1,N(INDEX('Journal'!$F$1:$F$2002,$H991)),N(INDEX('Journal'!$G$1:$G$2002,$H991))))</f>
        <v/>
      </c>
      <c r="G991" s="20">
        <f>IF($H991="","",G990+E991-F991)</f>
        <v/>
      </c>
      <c r="H991" s="18">
        <f t="array" ref="H991">IF($B$1="","",IFERROR(_xlfn.AGGREGATE(15,6,ROW('Journal'!$A$3:$A$2002)/(('Journal'!$D$3:$D$2002=$B$1)+('Journal'!$E$3:$E$2002=$B$1))/('Journal'!$B$3:$B$2002&gt;=$B$2)/('Journal'!$B$3:$B$2002&lt;=$B$3),986),""))</f>
        <v/>
      </c>
    </row>
    <row r="992">
      <c r="A992" s="18">
        <f>IF($H992="","",INDEX('Journal'!$A$1:$A$2002,$H992))</f>
        <v/>
      </c>
      <c r="B992" s="21">
        <f>IF($H992="","",INDEX('Journal'!$B$1:$B$2002,$H992))</f>
        <v/>
      </c>
      <c r="C992" s="5">
        <f>IF($H992="","",INDEX('Journal'!$C$1:$C$2002,$H992)&amp;"")</f>
        <v/>
      </c>
      <c r="D992" s="5">
        <f>IF($H992="","",IF(INDEX('Journal'!$D$1:$D$2002,$H992)=$B$1,INDEX('Journal'!$E$1:$E$2002,$H992),INDEX('Journal'!$D$1:$D$2002,$H992))&amp;"")</f>
        <v/>
      </c>
      <c r="E992" s="20">
        <f>IF($H992="","",IF(INDEX('Journal'!$D$1:$D$2002,$H992)=$B$1,N(INDEX('Journal'!$G$1:$G$2002,$H992)),N(INDEX('Journal'!$F$1:$F$2002,$H992))))</f>
        <v/>
      </c>
      <c r="F992" s="20">
        <f>IF($H992="","",IF(INDEX('Journal'!$D$1:$D$2002,$H992)=$B$1,N(INDEX('Journal'!$F$1:$F$2002,$H992)),N(INDEX('Journal'!$G$1:$G$2002,$H992))))</f>
        <v/>
      </c>
      <c r="G992" s="20">
        <f>IF($H992="","",G991+E992-F992)</f>
        <v/>
      </c>
      <c r="H992" s="18">
        <f t="array" ref="H992">IF($B$1="","",IFERROR(_xlfn.AGGREGATE(15,6,ROW('Journal'!$A$3:$A$2002)/(('Journal'!$D$3:$D$2002=$B$1)+('Journal'!$E$3:$E$2002=$B$1))/('Journal'!$B$3:$B$2002&gt;=$B$2)/('Journal'!$B$3:$B$2002&lt;=$B$3),987),""))</f>
        <v/>
      </c>
    </row>
    <row r="993">
      <c r="A993" s="18">
        <f>IF($H993="","",INDEX('Journal'!$A$1:$A$2002,$H993))</f>
        <v/>
      </c>
      <c r="B993" s="21">
        <f>IF($H993="","",INDEX('Journal'!$B$1:$B$2002,$H993))</f>
        <v/>
      </c>
      <c r="C993" s="5">
        <f>IF($H993="","",INDEX('Journal'!$C$1:$C$2002,$H993)&amp;"")</f>
        <v/>
      </c>
      <c r="D993" s="5">
        <f>IF($H993="","",IF(INDEX('Journal'!$D$1:$D$2002,$H993)=$B$1,INDEX('Journal'!$E$1:$E$2002,$H993),INDEX('Journal'!$D$1:$D$2002,$H993))&amp;"")</f>
        <v/>
      </c>
      <c r="E993" s="20">
        <f>IF($H993="","",IF(INDEX('Journal'!$D$1:$D$2002,$H993)=$B$1,N(INDEX('Journal'!$G$1:$G$2002,$H993)),N(INDEX('Journal'!$F$1:$F$2002,$H993))))</f>
        <v/>
      </c>
      <c r="F993" s="20">
        <f>IF($H993="","",IF(INDEX('Journal'!$D$1:$D$2002,$H993)=$B$1,N(INDEX('Journal'!$F$1:$F$2002,$H993)),N(INDEX('Journal'!$G$1:$G$2002,$H993))))</f>
        <v/>
      </c>
      <c r="G993" s="20">
        <f>IF($H993="","",G992+E993-F993)</f>
        <v/>
      </c>
      <c r="H993" s="18">
        <f t="array" ref="H993">IF($B$1="","",IFERROR(_xlfn.AGGREGATE(15,6,ROW('Journal'!$A$3:$A$2002)/(('Journal'!$D$3:$D$2002=$B$1)+('Journal'!$E$3:$E$2002=$B$1))/('Journal'!$B$3:$B$2002&gt;=$B$2)/('Journal'!$B$3:$B$2002&lt;=$B$3),988),""))</f>
        <v/>
      </c>
    </row>
    <row r="994">
      <c r="A994" s="18">
        <f>IF($H994="","",INDEX('Journal'!$A$1:$A$2002,$H994))</f>
        <v/>
      </c>
      <c r="B994" s="21">
        <f>IF($H994="","",INDEX('Journal'!$B$1:$B$2002,$H994))</f>
        <v/>
      </c>
      <c r="C994" s="5">
        <f>IF($H994="","",INDEX('Journal'!$C$1:$C$2002,$H994)&amp;"")</f>
        <v/>
      </c>
      <c r="D994" s="5">
        <f>IF($H994="","",IF(INDEX('Journal'!$D$1:$D$2002,$H994)=$B$1,INDEX('Journal'!$E$1:$E$2002,$H994),INDEX('Journal'!$D$1:$D$2002,$H994))&amp;"")</f>
        <v/>
      </c>
      <c r="E994" s="20">
        <f>IF($H994="","",IF(INDEX('Journal'!$D$1:$D$2002,$H994)=$B$1,N(INDEX('Journal'!$G$1:$G$2002,$H994)),N(INDEX('Journal'!$F$1:$F$2002,$H994))))</f>
        <v/>
      </c>
      <c r="F994" s="20">
        <f>IF($H994="","",IF(INDEX('Journal'!$D$1:$D$2002,$H994)=$B$1,N(INDEX('Journal'!$F$1:$F$2002,$H994)),N(INDEX('Journal'!$G$1:$G$2002,$H994))))</f>
        <v/>
      </c>
      <c r="G994" s="20">
        <f>IF($H994="","",G993+E994-F994)</f>
        <v/>
      </c>
      <c r="H994" s="18">
        <f t="array" ref="H994">IF($B$1="","",IFERROR(_xlfn.AGGREGATE(15,6,ROW('Journal'!$A$3:$A$2002)/(('Journal'!$D$3:$D$2002=$B$1)+('Journal'!$E$3:$E$2002=$B$1))/('Journal'!$B$3:$B$2002&gt;=$B$2)/('Journal'!$B$3:$B$2002&lt;=$B$3),989),""))</f>
        <v/>
      </c>
    </row>
    <row r="995">
      <c r="A995" s="18">
        <f>IF($H995="","",INDEX('Journal'!$A$1:$A$2002,$H995))</f>
        <v/>
      </c>
      <c r="B995" s="21">
        <f>IF($H995="","",INDEX('Journal'!$B$1:$B$2002,$H995))</f>
        <v/>
      </c>
      <c r="C995" s="5">
        <f>IF($H995="","",INDEX('Journal'!$C$1:$C$2002,$H995)&amp;"")</f>
        <v/>
      </c>
      <c r="D995" s="5">
        <f>IF($H995="","",IF(INDEX('Journal'!$D$1:$D$2002,$H995)=$B$1,INDEX('Journal'!$E$1:$E$2002,$H995),INDEX('Journal'!$D$1:$D$2002,$H995))&amp;"")</f>
        <v/>
      </c>
      <c r="E995" s="20">
        <f>IF($H995="","",IF(INDEX('Journal'!$D$1:$D$2002,$H995)=$B$1,N(INDEX('Journal'!$G$1:$G$2002,$H995)),N(INDEX('Journal'!$F$1:$F$2002,$H995))))</f>
        <v/>
      </c>
      <c r="F995" s="20">
        <f>IF($H995="","",IF(INDEX('Journal'!$D$1:$D$2002,$H995)=$B$1,N(INDEX('Journal'!$F$1:$F$2002,$H995)),N(INDEX('Journal'!$G$1:$G$2002,$H995))))</f>
        <v/>
      </c>
      <c r="G995" s="20">
        <f>IF($H995="","",G994+E995-F995)</f>
        <v/>
      </c>
      <c r="H995" s="18">
        <f t="array" ref="H995">IF($B$1="","",IFERROR(_xlfn.AGGREGATE(15,6,ROW('Journal'!$A$3:$A$2002)/(('Journal'!$D$3:$D$2002=$B$1)+('Journal'!$E$3:$E$2002=$B$1))/('Journal'!$B$3:$B$2002&gt;=$B$2)/('Journal'!$B$3:$B$2002&lt;=$B$3),990),""))</f>
        <v/>
      </c>
    </row>
    <row r="996">
      <c r="A996" s="18">
        <f>IF($H996="","",INDEX('Journal'!$A$1:$A$2002,$H996))</f>
        <v/>
      </c>
      <c r="B996" s="21">
        <f>IF($H996="","",INDEX('Journal'!$B$1:$B$2002,$H996))</f>
        <v/>
      </c>
      <c r="C996" s="5">
        <f>IF($H996="","",INDEX('Journal'!$C$1:$C$2002,$H996)&amp;"")</f>
        <v/>
      </c>
      <c r="D996" s="5">
        <f>IF($H996="","",IF(INDEX('Journal'!$D$1:$D$2002,$H996)=$B$1,INDEX('Journal'!$E$1:$E$2002,$H996),INDEX('Journal'!$D$1:$D$2002,$H996))&amp;"")</f>
        <v/>
      </c>
      <c r="E996" s="20">
        <f>IF($H996="","",IF(INDEX('Journal'!$D$1:$D$2002,$H996)=$B$1,N(INDEX('Journal'!$G$1:$G$2002,$H996)),N(INDEX('Journal'!$F$1:$F$2002,$H996))))</f>
        <v/>
      </c>
      <c r="F996" s="20">
        <f>IF($H996="","",IF(INDEX('Journal'!$D$1:$D$2002,$H996)=$B$1,N(INDEX('Journal'!$F$1:$F$2002,$H996)),N(INDEX('Journal'!$G$1:$G$2002,$H996))))</f>
        <v/>
      </c>
      <c r="G996" s="20">
        <f>IF($H996="","",G995+E996-F996)</f>
        <v/>
      </c>
      <c r="H996" s="18">
        <f t="array" ref="H996">IF($B$1="","",IFERROR(_xlfn.AGGREGATE(15,6,ROW('Journal'!$A$3:$A$2002)/(('Journal'!$D$3:$D$2002=$B$1)+('Journal'!$E$3:$E$2002=$B$1))/('Journal'!$B$3:$B$2002&gt;=$B$2)/('Journal'!$B$3:$B$2002&lt;=$B$3),991),""))</f>
        <v/>
      </c>
    </row>
    <row r="997">
      <c r="A997" s="18">
        <f>IF($H997="","",INDEX('Journal'!$A$1:$A$2002,$H997))</f>
        <v/>
      </c>
      <c r="B997" s="21">
        <f>IF($H997="","",INDEX('Journal'!$B$1:$B$2002,$H997))</f>
        <v/>
      </c>
      <c r="C997" s="5">
        <f>IF($H997="","",INDEX('Journal'!$C$1:$C$2002,$H997)&amp;"")</f>
        <v/>
      </c>
      <c r="D997" s="5">
        <f>IF($H997="","",IF(INDEX('Journal'!$D$1:$D$2002,$H997)=$B$1,INDEX('Journal'!$E$1:$E$2002,$H997),INDEX('Journal'!$D$1:$D$2002,$H997))&amp;"")</f>
        <v/>
      </c>
      <c r="E997" s="20">
        <f>IF($H997="","",IF(INDEX('Journal'!$D$1:$D$2002,$H997)=$B$1,N(INDEX('Journal'!$G$1:$G$2002,$H997)),N(INDEX('Journal'!$F$1:$F$2002,$H997))))</f>
        <v/>
      </c>
      <c r="F997" s="20">
        <f>IF($H997="","",IF(INDEX('Journal'!$D$1:$D$2002,$H997)=$B$1,N(INDEX('Journal'!$F$1:$F$2002,$H997)),N(INDEX('Journal'!$G$1:$G$2002,$H997))))</f>
        <v/>
      </c>
      <c r="G997" s="20">
        <f>IF($H997="","",G996+E997-F997)</f>
        <v/>
      </c>
      <c r="H997" s="18">
        <f t="array" ref="H997">IF($B$1="","",IFERROR(_xlfn.AGGREGATE(15,6,ROW('Journal'!$A$3:$A$2002)/(('Journal'!$D$3:$D$2002=$B$1)+('Journal'!$E$3:$E$2002=$B$1))/('Journal'!$B$3:$B$2002&gt;=$B$2)/('Journal'!$B$3:$B$2002&lt;=$B$3),992),""))</f>
        <v/>
      </c>
    </row>
    <row r="998">
      <c r="A998" s="18">
        <f>IF($H998="","",INDEX('Journal'!$A$1:$A$2002,$H998))</f>
        <v/>
      </c>
      <c r="B998" s="21">
        <f>IF($H998="","",INDEX('Journal'!$B$1:$B$2002,$H998))</f>
        <v/>
      </c>
      <c r="C998" s="5">
        <f>IF($H998="","",INDEX('Journal'!$C$1:$C$2002,$H998)&amp;"")</f>
        <v/>
      </c>
      <c r="D998" s="5">
        <f>IF($H998="","",IF(INDEX('Journal'!$D$1:$D$2002,$H998)=$B$1,INDEX('Journal'!$E$1:$E$2002,$H998),INDEX('Journal'!$D$1:$D$2002,$H998))&amp;"")</f>
        <v/>
      </c>
      <c r="E998" s="20">
        <f>IF($H998="","",IF(INDEX('Journal'!$D$1:$D$2002,$H998)=$B$1,N(INDEX('Journal'!$G$1:$G$2002,$H998)),N(INDEX('Journal'!$F$1:$F$2002,$H998))))</f>
        <v/>
      </c>
      <c r="F998" s="20">
        <f>IF($H998="","",IF(INDEX('Journal'!$D$1:$D$2002,$H998)=$B$1,N(INDEX('Journal'!$F$1:$F$2002,$H998)),N(INDEX('Journal'!$G$1:$G$2002,$H998))))</f>
        <v/>
      </c>
      <c r="G998" s="20">
        <f>IF($H998="","",G997+E998-F998)</f>
        <v/>
      </c>
      <c r="H998" s="18">
        <f t="array" ref="H998">IF($B$1="","",IFERROR(_xlfn.AGGREGATE(15,6,ROW('Journal'!$A$3:$A$2002)/(('Journal'!$D$3:$D$2002=$B$1)+('Journal'!$E$3:$E$2002=$B$1))/('Journal'!$B$3:$B$2002&gt;=$B$2)/('Journal'!$B$3:$B$2002&lt;=$B$3),993),""))</f>
        <v/>
      </c>
    </row>
    <row r="999">
      <c r="A999" s="18">
        <f>IF($H999="","",INDEX('Journal'!$A$1:$A$2002,$H999))</f>
        <v/>
      </c>
      <c r="B999" s="21">
        <f>IF($H999="","",INDEX('Journal'!$B$1:$B$2002,$H999))</f>
        <v/>
      </c>
      <c r="C999" s="5">
        <f>IF($H999="","",INDEX('Journal'!$C$1:$C$2002,$H999)&amp;"")</f>
        <v/>
      </c>
      <c r="D999" s="5">
        <f>IF($H999="","",IF(INDEX('Journal'!$D$1:$D$2002,$H999)=$B$1,INDEX('Journal'!$E$1:$E$2002,$H999),INDEX('Journal'!$D$1:$D$2002,$H999))&amp;"")</f>
        <v/>
      </c>
      <c r="E999" s="20">
        <f>IF($H999="","",IF(INDEX('Journal'!$D$1:$D$2002,$H999)=$B$1,N(INDEX('Journal'!$G$1:$G$2002,$H999)),N(INDEX('Journal'!$F$1:$F$2002,$H999))))</f>
        <v/>
      </c>
      <c r="F999" s="20">
        <f>IF($H999="","",IF(INDEX('Journal'!$D$1:$D$2002,$H999)=$B$1,N(INDEX('Journal'!$F$1:$F$2002,$H999)),N(INDEX('Journal'!$G$1:$G$2002,$H999))))</f>
        <v/>
      </c>
      <c r="G999" s="20">
        <f>IF($H999="","",G998+E999-F999)</f>
        <v/>
      </c>
      <c r="H999" s="18">
        <f t="array" ref="H999">IF($B$1="","",IFERROR(_xlfn.AGGREGATE(15,6,ROW('Journal'!$A$3:$A$2002)/(('Journal'!$D$3:$D$2002=$B$1)+('Journal'!$E$3:$E$2002=$B$1))/('Journal'!$B$3:$B$2002&gt;=$B$2)/('Journal'!$B$3:$B$2002&lt;=$B$3),994),""))</f>
        <v/>
      </c>
    </row>
    <row r="1000">
      <c r="A1000" s="18">
        <f>IF($H1000="","",INDEX('Journal'!$A$1:$A$2002,$H1000))</f>
        <v/>
      </c>
      <c r="B1000" s="21">
        <f>IF($H1000="","",INDEX('Journal'!$B$1:$B$2002,$H1000))</f>
        <v/>
      </c>
      <c r="C1000" s="5">
        <f>IF($H1000="","",INDEX('Journal'!$C$1:$C$2002,$H1000)&amp;"")</f>
        <v/>
      </c>
      <c r="D1000" s="5">
        <f>IF($H1000="","",IF(INDEX('Journal'!$D$1:$D$2002,$H1000)=$B$1,INDEX('Journal'!$E$1:$E$2002,$H1000),INDEX('Journal'!$D$1:$D$2002,$H1000))&amp;"")</f>
        <v/>
      </c>
      <c r="E1000" s="20">
        <f>IF($H1000="","",IF(INDEX('Journal'!$D$1:$D$2002,$H1000)=$B$1,N(INDEX('Journal'!$G$1:$G$2002,$H1000)),N(INDEX('Journal'!$F$1:$F$2002,$H1000))))</f>
        <v/>
      </c>
      <c r="F1000" s="20">
        <f>IF($H1000="","",IF(INDEX('Journal'!$D$1:$D$2002,$H1000)=$B$1,N(INDEX('Journal'!$F$1:$F$2002,$H1000)),N(INDEX('Journal'!$G$1:$G$2002,$H1000))))</f>
        <v/>
      </c>
      <c r="G1000" s="20">
        <f>IF($H1000="","",G999+E1000-F1000)</f>
        <v/>
      </c>
      <c r="H1000" s="18">
        <f t="array" ref="H1000">IF($B$1="","",IFERROR(_xlfn.AGGREGATE(15,6,ROW('Journal'!$A$3:$A$2002)/(('Journal'!$D$3:$D$2002=$B$1)+('Journal'!$E$3:$E$2002=$B$1))/('Journal'!$B$3:$B$2002&gt;=$B$2)/('Journal'!$B$3:$B$2002&lt;=$B$3),995),""))</f>
        <v/>
      </c>
    </row>
    <row r="1001">
      <c r="A1001" s="18">
        <f>IF($H1001="","",INDEX('Journal'!$A$1:$A$2002,$H1001))</f>
        <v/>
      </c>
      <c r="B1001" s="21">
        <f>IF($H1001="","",INDEX('Journal'!$B$1:$B$2002,$H1001))</f>
        <v/>
      </c>
      <c r="C1001" s="5">
        <f>IF($H1001="","",INDEX('Journal'!$C$1:$C$2002,$H1001)&amp;"")</f>
        <v/>
      </c>
      <c r="D1001" s="5">
        <f>IF($H1001="","",IF(INDEX('Journal'!$D$1:$D$2002,$H1001)=$B$1,INDEX('Journal'!$E$1:$E$2002,$H1001),INDEX('Journal'!$D$1:$D$2002,$H1001))&amp;"")</f>
        <v/>
      </c>
      <c r="E1001" s="20">
        <f>IF($H1001="","",IF(INDEX('Journal'!$D$1:$D$2002,$H1001)=$B$1,N(INDEX('Journal'!$G$1:$G$2002,$H1001)),N(INDEX('Journal'!$F$1:$F$2002,$H1001))))</f>
        <v/>
      </c>
      <c r="F1001" s="20">
        <f>IF($H1001="","",IF(INDEX('Journal'!$D$1:$D$2002,$H1001)=$B$1,N(INDEX('Journal'!$F$1:$F$2002,$H1001)),N(INDEX('Journal'!$G$1:$G$2002,$H1001))))</f>
        <v/>
      </c>
      <c r="G1001" s="20">
        <f>IF($H1001="","",G1000+E1001-F1001)</f>
        <v/>
      </c>
      <c r="H1001" s="18">
        <f t="array" ref="H1001">IF($B$1="","",IFERROR(_xlfn.AGGREGATE(15,6,ROW('Journal'!$A$3:$A$2002)/(('Journal'!$D$3:$D$2002=$B$1)+('Journal'!$E$3:$E$2002=$B$1))/('Journal'!$B$3:$B$2002&gt;=$B$2)/('Journal'!$B$3:$B$2002&lt;=$B$3),996),""))</f>
        <v/>
      </c>
    </row>
    <row r="1002">
      <c r="A1002" s="18">
        <f>IF($H1002="","",INDEX('Journal'!$A$1:$A$2002,$H1002))</f>
        <v/>
      </c>
      <c r="B1002" s="21">
        <f>IF($H1002="","",INDEX('Journal'!$B$1:$B$2002,$H1002))</f>
        <v/>
      </c>
      <c r="C1002" s="5">
        <f>IF($H1002="","",INDEX('Journal'!$C$1:$C$2002,$H1002)&amp;"")</f>
        <v/>
      </c>
      <c r="D1002" s="5">
        <f>IF($H1002="","",IF(INDEX('Journal'!$D$1:$D$2002,$H1002)=$B$1,INDEX('Journal'!$E$1:$E$2002,$H1002),INDEX('Journal'!$D$1:$D$2002,$H1002))&amp;"")</f>
        <v/>
      </c>
      <c r="E1002" s="20">
        <f>IF($H1002="","",IF(INDEX('Journal'!$D$1:$D$2002,$H1002)=$B$1,N(INDEX('Journal'!$G$1:$G$2002,$H1002)),N(INDEX('Journal'!$F$1:$F$2002,$H1002))))</f>
        <v/>
      </c>
      <c r="F1002" s="20">
        <f>IF($H1002="","",IF(INDEX('Journal'!$D$1:$D$2002,$H1002)=$B$1,N(INDEX('Journal'!$F$1:$F$2002,$H1002)),N(INDEX('Journal'!$G$1:$G$2002,$H1002))))</f>
        <v/>
      </c>
      <c r="G1002" s="20">
        <f>IF($H1002="","",G1001+E1002-F1002)</f>
        <v/>
      </c>
      <c r="H1002" s="18">
        <f t="array" ref="H1002">IF($B$1="","",IFERROR(_xlfn.AGGREGATE(15,6,ROW('Journal'!$A$3:$A$2002)/(('Journal'!$D$3:$D$2002=$B$1)+('Journal'!$E$3:$E$2002=$B$1))/('Journal'!$B$3:$B$2002&gt;=$B$2)/('Journal'!$B$3:$B$2002&lt;=$B$3),997),""))</f>
        <v/>
      </c>
    </row>
    <row r="1003">
      <c r="A1003" s="18">
        <f>IF($H1003="","",INDEX('Journal'!$A$1:$A$2002,$H1003))</f>
        <v/>
      </c>
      <c r="B1003" s="21">
        <f>IF($H1003="","",INDEX('Journal'!$B$1:$B$2002,$H1003))</f>
        <v/>
      </c>
      <c r="C1003" s="5">
        <f>IF($H1003="","",INDEX('Journal'!$C$1:$C$2002,$H1003)&amp;"")</f>
        <v/>
      </c>
      <c r="D1003" s="5">
        <f>IF($H1003="","",IF(INDEX('Journal'!$D$1:$D$2002,$H1003)=$B$1,INDEX('Journal'!$E$1:$E$2002,$H1003),INDEX('Journal'!$D$1:$D$2002,$H1003))&amp;"")</f>
        <v/>
      </c>
      <c r="E1003" s="20">
        <f>IF($H1003="","",IF(INDEX('Journal'!$D$1:$D$2002,$H1003)=$B$1,N(INDEX('Journal'!$G$1:$G$2002,$H1003)),N(INDEX('Journal'!$F$1:$F$2002,$H1003))))</f>
        <v/>
      </c>
      <c r="F1003" s="20">
        <f>IF($H1003="","",IF(INDEX('Journal'!$D$1:$D$2002,$H1003)=$B$1,N(INDEX('Journal'!$F$1:$F$2002,$H1003)),N(INDEX('Journal'!$G$1:$G$2002,$H1003))))</f>
        <v/>
      </c>
      <c r="G1003" s="20">
        <f>IF($H1003="","",G1002+E1003-F1003)</f>
        <v/>
      </c>
      <c r="H1003" s="18">
        <f t="array" ref="H1003">IF($B$1="","",IFERROR(_xlfn.AGGREGATE(15,6,ROW('Journal'!$A$3:$A$2002)/(('Journal'!$D$3:$D$2002=$B$1)+('Journal'!$E$3:$E$2002=$B$1))/('Journal'!$B$3:$B$2002&gt;=$B$2)/('Journal'!$B$3:$B$2002&lt;=$B$3),998),""))</f>
        <v/>
      </c>
    </row>
    <row r="1004">
      <c r="A1004" s="18">
        <f>IF($H1004="","",INDEX('Journal'!$A$1:$A$2002,$H1004))</f>
        <v/>
      </c>
      <c r="B1004" s="21">
        <f>IF($H1004="","",INDEX('Journal'!$B$1:$B$2002,$H1004))</f>
        <v/>
      </c>
      <c r="C1004" s="5">
        <f>IF($H1004="","",INDEX('Journal'!$C$1:$C$2002,$H1004)&amp;"")</f>
        <v/>
      </c>
      <c r="D1004" s="5">
        <f>IF($H1004="","",IF(INDEX('Journal'!$D$1:$D$2002,$H1004)=$B$1,INDEX('Journal'!$E$1:$E$2002,$H1004),INDEX('Journal'!$D$1:$D$2002,$H1004))&amp;"")</f>
        <v/>
      </c>
      <c r="E1004" s="20">
        <f>IF($H1004="","",IF(INDEX('Journal'!$D$1:$D$2002,$H1004)=$B$1,N(INDEX('Journal'!$G$1:$G$2002,$H1004)),N(INDEX('Journal'!$F$1:$F$2002,$H1004))))</f>
        <v/>
      </c>
      <c r="F1004" s="20">
        <f>IF($H1004="","",IF(INDEX('Journal'!$D$1:$D$2002,$H1004)=$B$1,N(INDEX('Journal'!$F$1:$F$2002,$H1004)),N(INDEX('Journal'!$G$1:$G$2002,$H1004))))</f>
        <v/>
      </c>
      <c r="G1004" s="20">
        <f>IF($H1004="","",G1003+E1004-F1004)</f>
        <v/>
      </c>
      <c r="H1004" s="18">
        <f t="array" ref="H1004">IF($B$1="","",IFERROR(_xlfn.AGGREGATE(15,6,ROW('Journal'!$A$3:$A$2002)/(('Journal'!$D$3:$D$2002=$B$1)+('Journal'!$E$3:$E$2002=$B$1))/('Journal'!$B$3:$B$2002&gt;=$B$2)/('Journal'!$B$3:$B$2002&lt;=$B$3),999),""))</f>
        <v/>
      </c>
    </row>
    <row r="1005">
      <c r="A1005" s="18">
        <f>IF($H1005="","",INDEX('Journal'!$A$1:$A$2002,$H1005))</f>
        <v/>
      </c>
      <c r="B1005" s="21">
        <f>IF($H1005="","",INDEX('Journal'!$B$1:$B$2002,$H1005))</f>
        <v/>
      </c>
      <c r="C1005" s="5">
        <f>IF($H1005="","",INDEX('Journal'!$C$1:$C$2002,$H1005)&amp;"")</f>
        <v/>
      </c>
      <c r="D1005" s="5">
        <f>IF($H1005="","",IF(INDEX('Journal'!$D$1:$D$2002,$H1005)=$B$1,INDEX('Journal'!$E$1:$E$2002,$H1005),INDEX('Journal'!$D$1:$D$2002,$H1005))&amp;"")</f>
        <v/>
      </c>
      <c r="E1005" s="20">
        <f>IF($H1005="","",IF(INDEX('Journal'!$D$1:$D$2002,$H1005)=$B$1,N(INDEX('Journal'!$G$1:$G$2002,$H1005)),N(INDEX('Journal'!$F$1:$F$2002,$H1005))))</f>
        <v/>
      </c>
      <c r="F1005" s="20">
        <f>IF($H1005="","",IF(INDEX('Journal'!$D$1:$D$2002,$H1005)=$B$1,N(INDEX('Journal'!$F$1:$F$2002,$H1005)),N(INDEX('Journal'!$G$1:$G$2002,$H1005))))</f>
        <v/>
      </c>
      <c r="G1005" s="20">
        <f>IF($H1005="","",G1004+E1005-F1005)</f>
        <v/>
      </c>
      <c r="H1005" s="18">
        <f t="array" ref="H1005">IF($B$1="","",IFERROR(_xlfn.AGGREGATE(15,6,ROW('Journal'!$A$3:$A$2002)/(('Journal'!$D$3:$D$2002=$B$1)+('Journal'!$E$3:$E$2002=$B$1))/('Journal'!$B$3:$B$2002&gt;=$B$2)/('Journal'!$B$3:$B$2002&lt;=$B$3),1000),""))</f>
        <v/>
      </c>
    </row>
    <row r="1006">
      <c r="A1006" s="15" t="inlineStr">
        <is>
          <t>Utgående saldo</t>
        </is>
      </c>
      <c r="E1006" s="16">
        <f>SUM(E6:E1005)</f>
        <v/>
      </c>
      <c r="F1006" s="16">
        <f>SUM(F6:F1005)</f>
        <v/>
      </c>
      <c r="G1006" s="16">
        <f>IF($B$1="","",G5+E1006-F1006)</f>
        <v/>
      </c>
    </row>
  </sheetData>
  <sheetProtection selectLockedCells="0" selectUnlockedCells="0" sheet="1" objects="0" insertRows="1" insertHyperlinks="1" autoFilter="1" scenarios="0" formatColumns="1" deleteColumns="1" insertColumns="1" pivotTables="1" deleteRows="1" formatCells="1" formatRows="1" sort="1"/>
  <mergeCells count="2">
    <mergeCell ref="D1:G3"/>
    <mergeCell ref="B1:C1"/>
  </mergeCells>
  <dataValidations count="2">
    <dataValidation sqref="B1" showDropDown="0" showInputMessage="0" showErrorMessage="1" allowBlank="1" errorTitle="Formells regnskapsmal" error="Velg en konto fra «Kontoplan»." type="list">
      <formula1>'Kontoplan'!$H$3:$H$302</formula1>
    </dataValidation>
    <dataValidation sqref="B2:B3" showDropDown="0" showInputMessage="0" showErrorMessage="1" allowBlank="1" errorTitle="Formells regnskapsmal" error="Skriv en dato." type="date" operator="greaterThan">
      <formula1>DATE(2000,1,1)</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4004"/>
  <sheetViews>
    <sheetView workbookViewId="0">
      <pane ySplit="2" topLeftCell="A3" activePane="bottomLeft" state="frozen"/>
      <selection pane="bottomLeft" activeCell="A1" sqref="A1"/>
    </sheetView>
  </sheetViews>
  <sheetFormatPr baseColWidth="8" defaultRowHeight="15"/>
  <cols>
    <col width="10" customWidth="1" min="1" max="1"/>
    <col width="12" customWidth="1" min="2" max="2"/>
    <col width="36" customWidth="1" min="3" max="3"/>
    <col width="10" customWidth="1" min="4" max="4"/>
    <col width="34" customWidth="1" min="5" max="5"/>
    <col width="16" customWidth="1" min="6" max="6"/>
    <col width="16" customWidth="1" min="7" max="7"/>
    <col width="24" customWidth="1" min="8" max="8"/>
  </cols>
  <sheetData>
    <row r="1">
      <c r="A1" s="10" t="inlineStr">
        <is>
          <t>Bilagsnr.</t>
        </is>
      </c>
      <c r="B1" s="10" t="inlineStr">
        <is>
          <t>Dato</t>
        </is>
      </c>
      <c r="C1" s="10" t="inlineStr">
        <is>
          <t>Tekst</t>
        </is>
      </c>
      <c r="D1" s="10" t="inlineStr">
        <is>
          <t>Konto</t>
        </is>
      </c>
      <c r="E1" s="10" t="inlineStr">
        <is>
          <t>Kontonavn</t>
        </is>
      </c>
      <c r="F1" s="10" t="inlineStr">
        <is>
          <t>Debet</t>
        </is>
      </c>
      <c r="G1" s="10" t="inlineStr">
        <is>
          <t>Kredit</t>
        </is>
      </c>
      <c r="H1" s="10" t="inlineStr">
        <is>
          <t>Bilag (filnavn)</t>
        </is>
      </c>
    </row>
    <row r="2" ht="15" customHeight="1">
      <c r="A2" s="11" t="inlineStr">
        <is>
          <t>Alle bilag i rekkefølge, med debet og kredit. Dette er bokføringsspesifikasjonen.</t>
        </is>
      </c>
    </row>
    <row r="3">
      <c r="A3" s="18">
        <f>IF('Journal'!A3="","",'Journal'!A3)</f>
        <v/>
      </c>
      <c r="B3" s="21">
        <f>IF('Journal'!B3="","",'Journal'!B3)</f>
        <v/>
      </c>
      <c r="C3" s="5">
        <f>IF('Journal'!C3="","",'Journal'!C3)</f>
        <v/>
      </c>
      <c r="D3" s="5">
        <f>IF('Journal'!D3="","",IFERROR(LEFT('Journal'!D3,FIND(" ",'Journal'!D3)-1),'Journal'!D3))</f>
        <v/>
      </c>
      <c r="E3" s="5">
        <f>IF('Journal'!D3="","",IFERROR(INDEX('Kontoplan'!$B$3:$B$302,MATCH('Journal'!D3,'Kontoplan'!$H$3:$H$302,0)),""))</f>
        <v/>
      </c>
      <c r="F3" s="20">
        <f>IF('Journal'!G3="","",'Journal'!G3)</f>
        <v/>
      </c>
      <c r="G3" s="20">
        <f>IF('Journal'!F3="","",'Journal'!F3)</f>
        <v/>
      </c>
      <c r="H3" s="5">
        <f>IF('Journal'!I3="","",'Journal'!I3)</f>
        <v/>
      </c>
    </row>
    <row r="4">
      <c r="A4" s="18">
        <f>IF('Journal'!A3="","",'Journal'!A3)</f>
        <v/>
      </c>
      <c r="B4" s="21">
        <f>IF('Journal'!B3="","",'Journal'!B3)</f>
        <v/>
      </c>
      <c r="C4" s="5">
        <f>IF('Journal'!C3="","",'Journal'!C3)</f>
        <v/>
      </c>
      <c r="D4" s="5">
        <f>IF('Journal'!E3="","",IFERROR(LEFT('Journal'!E3,FIND(" ",'Journal'!E3)-1),'Journal'!E3))</f>
        <v/>
      </c>
      <c r="E4" s="5">
        <f>IF('Journal'!E3="","",IFERROR(INDEX('Kontoplan'!$B$3:$B$302,MATCH('Journal'!E3,'Kontoplan'!$H$3:$H$302,0)),""))</f>
        <v/>
      </c>
      <c r="F4" s="20">
        <f>IF('Journal'!F3="","",'Journal'!F3)</f>
        <v/>
      </c>
      <c r="G4" s="20">
        <f>IF('Journal'!G3="","",'Journal'!G3)</f>
        <v/>
      </c>
      <c r="H4" s="5">
        <f>IF('Journal'!I3="","",'Journal'!I3)</f>
        <v/>
      </c>
    </row>
    <row r="5">
      <c r="A5" s="18">
        <f>IF('Journal'!A4="","",'Journal'!A4)</f>
        <v/>
      </c>
      <c r="B5" s="21">
        <f>IF('Journal'!B4="","",'Journal'!B4)</f>
        <v/>
      </c>
      <c r="C5" s="5">
        <f>IF('Journal'!C4="","",'Journal'!C4)</f>
        <v/>
      </c>
      <c r="D5" s="5">
        <f>IF('Journal'!D4="","",IFERROR(LEFT('Journal'!D4,FIND(" ",'Journal'!D4)-1),'Journal'!D4))</f>
        <v/>
      </c>
      <c r="E5" s="5">
        <f>IF('Journal'!D4="","",IFERROR(INDEX('Kontoplan'!$B$3:$B$302,MATCH('Journal'!D4,'Kontoplan'!$H$3:$H$302,0)),""))</f>
        <v/>
      </c>
      <c r="F5" s="20">
        <f>IF('Journal'!G4="","",'Journal'!G4)</f>
        <v/>
      </c>
      <c r="G5" s="20">
        <f>IF('Journal'!F4="","",'Journal'!F4)</f>
        <v/>
      </c>
      <c r="H5" s="5">
        <f>IF('Journal'!I4="","",'Journal'!I4)</f>
        <v/>
      </c>
    </row>
    <row r="6">
      <c r="A6" s="18">
        <f>IF('Journal'!A4="","",'Journal'!A4)</f>
        <v/>
      </c>
      <c r="B6" s="21">
        <f>IF('Journal'!B4="","",'Journal'!B4)</f>
        <v/>
      </c>
      <c r="C6" s="5">
        <f>IF('Journal'!C4="","",'Journal'!C4)</f>
        <v/>
      </c>
      <c r="D6" s="5">
        <f>IF('Journal'!E4="","",IFERROR(LEFT('Journal'!E4,FIND(" ",'Journal'!E4)-1),'Journal'!E4))</f>
        <v/>
      </c>
      <c r="E6" s="5">
        <f>IF('Journal'!E4="","",IFERROR(INDEX('Kontoplan'!$B$3:$B$302,MATCH('Journal'!E4,'Kontoplan'!$H$3:$H$302,0)),""))</f>
        <v/>
      </c>
      <c r="F6" s="20">
        <f>IF('Journal'!F4="","",'Journal'!F4)</f>
        <v/>
      </c>
      <c r="G6" s="20">
        <f>IF('Journal'!G4="","",'Journal'!G4)</f>
        <v/>
      </c>
      <c r="H6" s="5">
        <f>IF('Journal'!I4="","",'Journal'!I4)</f>
        <v/>
      </c>
    </row>
    <row r="7">
      <c r="A7" s="18">
        <f>IF('Journal'!A5="","",'Journal'!A5)</f>
        <v/>
      </c>
      <c r="B7" s="21">
        <f>IF('Journal'!B5="","",'Journal'!B5)</f>
        <v/>
      </c>
      <c r="C7" s="5">
        <f>IF('Journal'!C5="","",'Journal'!C5)</f>
        <v/>
      </c>
      <c r="D7" s="5">
        <f>IF('Journal'!D5="","",IFERROR(LEFT('Journal'!D5,FIND(" ",'Journal'!D5)-1),'Journal'!D5))</f>
        <v/>
      </c>
      <c r="E7" s="5">
        <f>IF('Journal'!D5="","",IFERROR(INDEX('Kontoplan'!$B$3:$B$302,MATCH('Journal'!D5,'Kontoplan'!$H$3:$H$302,0)),""))</f>
        <v/>
      </c>
      <c r="F7" s="20">
        <f>IF('Journal'!G5="","",'Journal'!G5)</f>
        <v/>
      </c>
      <c r="G7" s="20">
        <f>IF('Journal'!F5="","",'Journal'!F5)</f>
        <v/>
      </c>
      <c r="H7" s="5">
        <f>IF('Journal'!I5="","",'Journal'!I5)</f>
        <v/>
      </c>
    </row>
    <row r="8">
      <c r="A8" s="18">
        <f>IF('Journal'!A5="","",'Journal'!A5)</f>
        <v/>
      </c>
      <c r="B8" s="21">
        <f>IF('Journal'!B5="","",'Journal'!B5)</f>
        <v/>
      </c>
      <c r="C8" s="5">
        <f>IF('Journal'!C5="","",'Journal'!C5)</f>
        <v/>
      </c>
      <c r="D8" s="5">
        <f>IF('Journal'!E5="","",IFERROR(LEFT('Journal'!E5,FIND(" ",'Journal'!E5)-1),'Journal'!E5))</f>
        <v/>
      </c>
      <c r="E8" s="5">
        <f>IF('Journal'!E5="","",IFERROR(INDEX('Kontoplan'!$B$3:$B$302,MATCH('Journal'!E5,'Kontoplan'!$H$3:$H$302,0)),""))</f>
        <v/>
      </c>
      <c r="F8" s="20">
        <f>IF('Journal'!F5="","",'Journal'!F5)</f>
        <v/>
      </c>
      <c r="G8" s="20">
        <f>IF('Journal'!G5="","",'Journal'!G5)</f>
        <v/>
      </c>
      <c r="H8" s="5">
        <f>IF('Journal'!I5="","",'Journal'!I5)</f>
        <v/>
      </c>
    </row>
    <row r="9">
      <c r="A9" s="18">
        <f>IF('Journal'!A6="","",'Journal'!A6)</f>
        <v/>
      </c>
      <c r="B9" s="21">
        <f>IF('Journal'!B6="","",'Journal'!B6)</f>
        <v/>
      </c>
      <c r="C9" s="5">
        <f>IF('Journal'!C6="","",'Journal'!C6)</f>
        <v/>
      </c>
      <c r="D9" s="5">
        <f>IF('Journal'!D6="","",IFERROR(LEFT('Journal'!D6,FIND(" ",'Journal'!D6)-1),'Journal'!D6))</f>
        <v/>
      </c>
      <c r="E9" s="5">
        <f>IF('Journal'!D6="","",IFERROR(INDEX('Kontoplan'!$B$3:$B$302,MATCH('Journal'!D6,'Kontoplan'!$H$3:$H$302,0)),""))</f>
        <v/>
      </c>
      <c r="F9" s="20">
        <f>IF('Journal'!G6="","",'Journal'!G6)</f>
        <v/>
      </c>
      <c r="G9" s="20">
        <f>IF('Journal'!F6="","",'Journal'!F6)</f>
        <v/>
      </c>
      <c r="H9" s="5">
        <f>IF('Journal'!I6="","",'Journal'!I6)</f>
        <v/>
      </c>
    </row>
    <row r="10">
      <c r="A10" s="18">
        <f>IF('Journal'!A6="","",'Journal'!A6)</f>
        <v/>
      </c>
      <c r="B10" s="21">
        <f>IF('Journal'!B6="","",'Journal'!B6)</f>
        <v/>
      </c>
      <c r="C10" s="5">
        <f>IF('Journal'!C6="","",'Journal'!C6)</f>
        <v/>
      </c>
      <c r="D10" s="5">
        <f>IF('Journal'!E6="","",IFERROR(LEFT('Journal'!E6,FIND(" ",'Journal'!E6)-1),'Journal'!E6))</f>
        <v/>
      </c>
      <c r="E10" s="5">
        <f>IF('Journal'!E6="","",IFERROR(INDEX('Kontoplan'!$B$3:$B$302,MATCH('Journal'!E6,'Kontoplan'!$H$3:$H$302,0)),""))</f>
        <v/>
      </c>
      <c r="F10" s="20">
        <f>IF('Journal'!F6="","",'Journal'!F6)</f>
        <v/>
      </c>
      <c r="G10" s="20">
        <f>IF('Journal'!G6="","",'Journal'!G6)</f>
        <v/>
      </c>
      <c r="H10" s="5">
        <f>IF('Journal'!I6="","",'Journal'!I6)</f>
        <v/>
      </c>
    </row>
    <row r="11">
      <c r="A11" s="18">
        <f>IF('Journal'!A7="","",'Journal'!A7)</f>
        <v/>
      </c>
      <c r="B11" s="21">
        <f>IF('Journal'!B7="","",'Journal'!B7)</f>
        <v/>
      </c>
      <c r="C11" s="5">
        <f>IF('Journal'!C7="","",'Journal'!C7)</f>
        <v/>
      </c>
      <c r="D11" s="5">
        <f>IF('Journal'!D7="","",IFERROR(LEFT('Journal'!D7,FIND(" ",'Journal'!D7)-1),'Journal'!D7))</f>
        <v/>
      </c>
      <c r="E11" s="5">
        <f>IF('Journal'!D7="","",IFERROR(INDEX('Kontoplan'!$B$3:$B$302,MATCH('Journal'!D7,'Kontoplan'!$H$3:$H$302,0)),""))</f>
        <v/>
      </c>
      <c r="F11" s="20">
        <f>IF('Journal'!G7="","",'Journal'!G7)</f>
        <v/>
      </c>
      <c r="G11" s="20">
        <f>IF('Journal'!F7="","",'Journal'!F7)</f>
        <v/>
      </c>
      <c r="H11" s="5">
        <f>IF('Journal'!I7="","",'Journal'!I7)</f>
        <v/>
      </c>
    </row>
    <row r="12">
      <c r="A12" s="18">
        <f>IF('Journal'!A7="","",'Journal'!A7)</f>
        <v/>
      </c>
      <c r="B12" s="21">
        <f>IF('Journal'!B7="","",'Journal'!B7)</f>
        <v/>
      </c>
      <c r="C12" s="5">
        <f>IF('Journal'!C7="","",'Journal'!C7)</f>
        <v/>
      </c>
      <c r="D12" s="5">
        <f>IF('Journal'!E7="","",IFERROR(LEFT('Journal'!E7,FIND(" ",'Journal'!E7)-1),'Journal'!E7))</f>
        <v/>
      </c>
      <c r="E12" s="5">
        <f>IF('Journal'!E7="","",IFERROR(INDEX('Kontoplan'!$B$3:$B$302,MATCH('Journal'!E7,'Kontoplan'!$H$3:$H$302,0)),""))</f>
        <v/>
      </c>
      <c r="F12" s="20">
        <f>IF('Journal'!F7="","",'Journal'!F7)</f>
        <v/>
      </c>
      <c r="G12" s="20">
        <f>IF('Journal'!G7="","",'Journal'!G7)</f>
        <v/>
      </c>
      <c r="H12" s="5">
        <f>IF('Journal'!I7="","",'Journal'!I7)</f>
        <v/>
      </c>
    </row>
    <row r="13">
      <c r="A13" s="18">
        <f>IF('Journal'!A8="","",'Journal'!A8)</f>
        <v/>
      </c>
      <c r="B13" s="21">
        <f>IF('Journal'!B8="","",'Journal'!B8)</f>
        <v/>
      </c>
      <c r="C13" s="5">
        <f>IF('Journal'!C8="","",'Journal'!C8)</f>
        <v/>
      </c>
      <c r="D13" s="5">
        <f>IF('Journal'!D8="","",IFERROR(LEFT('Journal'!D8,FIND(" ",'Journal'!D8)-1),'Journal'!D8))</f>
        <v/>
      </c>
      <c r="E13" s="5">
        <f>IF('Journal'!D8="","",IFERROR(INDEX('Kontoplan'!$B$3:$B$302,MATCH('Journal'!D8,'Kontoplan'!$H$3:$H$302,0)),""))</f>
        <v/>
      </c>
      <c r="F13" s="20">
        <f>IF('Journal'!G8="","",'Journal'!G8)</f>
        <v/>
      </c>
      <c r="G13" s="20">
        <f>IF('Journal'!F8="","",'Journal'!F8)</f>
        <v/>
      </c>
      <c r="H13" s="5">
        <f>IF('Journal'!I8="","",'Journal'!I8)</f>
        <v/>
      </c>
    </row>
    <row r="14">
      <c r="A14" s="18">
        <f>IF('Journal'!A8="","",'Journal'!A8)</f>
        <v/>
      </c>
      <c r="B14" s="21">
        <f>IF('Journal'!B8="","",'Journal'!B8)</f>
        <v/>
      </c>
      <c r="C14" s="5">
        <f>IF('Journal'!C8="","",'Journal'!C8)</f>
        <v/>
      </c>
      <c r="D14" s="5">
        <f>IF('Journal'!E8="","",IFERROR(LEFT('Journal'!E8,FIND(" ",'Journal'!E8)-1),'Journal'!E8))</f>
        <v/>
      </c>
      <c r="E14" s="5">
        <f>IF('Journal'!E8="","",IFERROR(INDEX('Kontoplan'!$B$3:$B$302,MATCH('Journal'!E8,'Kontoplan'!$H$3:$H$302,0)),""))</f>
        <v/>
      </c>
      <c r="F14" s="20">
        <f>IF('Journal'!F8="","",'Journal'!F8)</f>
        <v/>
      </c>
      <c r="G14" s="20">
        <f>IF('Journal'!G8="","",'Journal'!G8)</f>
        <v/>
      </c>
      <c r="H14" s="5">
        <f>IF('Journal'!I8="","",'Journal'!I8)</f>
        <v/>
      </c>
    </row>
    <row r="15">
      <c r="A15" s="18">
        <f>IF('Journal'!A9="","",'Journal'!A9)</f>
        <v/>
      </c>
      <c r="B15" s="21">
        <f>IF('Journal'!B9="","",'Journal'!B9)</f>
        <v/>
      </c>
      <c r="C15" s="5">
        <f>IF('Journal'!C9="","",'Journal'!C9)</f>
        <v/>
      </c>
      <c r="D15" s="5">
        <f>IF('Journal'!D9="","",IFERROR(LEFT('Journal'!D9,FIND(" ",'Journal'!D9)-1),'Journal'!D9))</f>
        <v/>
      </c>
      <c r="E15" s="5">
        <f>IF('Journal'!D9="","",IFERROR(INDEX('Kontoplan'!$B$3:$B$302,MATCH('Journal'!D9,'Kontoplan'!$H$3:$H$302,0)),""))</f>
        <v/>
      </c>
      <c r="F15" s="20">
        <f>IF('Journal'!G9="","",'Journal'!G9)</f>
        <v/>
      </c>
      <c r="G15" s="20">
        <f>IF('Journal'!F9="","",'Journal'!F9)</f>
        <v/>
      </c>
      <c r="H15" s="5">
        <f>IF('Journal'!I9="","",'Journal'!I9)</f>
        <v/>
      </c>
    </row>
    <row r="16">
      <c r="A16" s="18">
        <f>IF('Journal'!A9="","",'Journal'!A9)</f>
        <v/>
      </c>
      <c r="B16" s="21">
        <f>IF('Journal'!B9="","",'Journal'!B9)</f>
        <v/>
      </c>
      <c r="C16" s="5">
        <f>IF('Journal'!C9="","",'Journal'!C9)</f>
        <v/>
      </c>
      <c r="D16" s="5">
        <f>IF('Journal'!E9="","",IFERROR(LEFT('Journal'!E9,FIND(" ",'Journal'!E9)-1),'Journal'!E9))</f>
        <v/>
      </c>
      <c r="E16" s="5">
        <f>IF('Journal'!E9="","",IFERROR(INDEX('Kontoplan'!$B$3:$B$302,MATCH('Journal'!E9,'Kontoplan'!$H$3:$H$302,0)),""))</f>
        <v/>
      </c>
      <c r="F16" s="20">
        <f>IF('Journal'!F9="","",'Journal'!F9)</f>
        <v/>
      </c>
      <c r="G16" s="20">
        <f>IF('Journal'!G9="","",'Journal'!G9)</f>
        <v/>
      </c>
      <c r="H16" s="5">
        <f>IF('Journal'!I9="","",'Journal'!I9)</f>
        <v/>
      </c>
    </row>
    <row r="17">
      <c r="A17" s="18">
        <f>IF('Journal'!A10="","",'Journal'!A10)</f>
        <v/>
      </c>
      <c r="B17" s="21">
        <f>IF('Journal'!B10="","",'Journal'!B10)</f>
        <v/>
      </c>
      <c r="C17" s="5">
        <f>IF('Journal'!C10="","",'Journal'!C10)</f>
        <v/>
      </c>
      <c r="D17" s="5">
        <f>IF('Journal'!D10="","",IFERROR(LEFT('Journal'!D10,FIND(" ",'Journal'!D10)-1),'Journal'!D10))</f>
        <v/>
      </c>
      <c r="E17" s="5">
        <f>IF('Journal'!D10="","",IFERROR(INDEX('Kontoplan'!$B$3:$B$302,MATCH('Journal'!D10,'Kontoplan'!$H$3:$H$302,0)),""))</f>
        <v/>
      </c>
      <c r="F17" s="20">
        <f>IF('Journal'!G10="","",'Journal'!G10)</f>
        <v/>
      </c>
      <c r="G17" s="20">
        <f>IF('Journal'!F10="","",'Journal'!F10)</f>
        <v/>
      </c>
      <c r="H17" s="5">
        <f>IF('Journal'!I10="","",'Journal'!I10)</f>
        <v/>
      </c>
    </row>
    <row r="18">
      <c r="A18" s="18">
        <f>IF('Journal'!A10="","",'Journal'!A10)</f>
        <v/>
      </c>
      <c r="B18" s="21">
        <f>IF('Journal'!B10="","",'Journal'!B10)</f>
        <v/>
      </c>
      <c r="C18" s="5">
        <f>IF('Journal'!C10="","",'Journal'!C10)</f>
        <v/>
      </c>
      <c r="D18" s="5">
        <f>IF('Journal'!E10="","",IFERROR(LEFT('Journal'!E10,FIND(" ",'Journal'!E10)-1),'Journal'!E10))</f>
        <v/>
      </c>
      <c r="E18" s="5">
        <f>IF('Journal'!E10="","",IFERROR(INDEX('Kontoplan'!$B$3:$B$302,MATCH('Journal'!E10,'Kontoplan'!$H$3:$H$302,0)),""))</f>
        <v/>
      </c>
      <c r="F18" s="20">
        <f>IF('Journal'!F10="","",'Journal'!F10)</f>
        <v/>
      </c>
      <c r="G18" s="20">
        <f>IF('Journal'!G10="","",'Journal'!G10)</f>
        <v/>
      </c>
      <c r="H18" s="5">
        <f>IF('Journal'!I10="","",'Journal'!I10)</f>
        <v/>
      </c>
    </row>
    <row r="19">
      <c r="A19" s="18">
        <f>IF('Journal'!A11="","",'Journal'!A11)</f>
        <v/>
      </c>
      <c r="B19" s="21">
        <f>IF('Journal'!B11="","",'Journal'!B11)</f>
        <v/>
      </c>
      <c r="C19" s="5">
        <f>IF('Journal'!C11="","",'Journal'!C11)</f>
        <v/>
      </c>
      <c r="D19" s="5">
        <f>IF('Journal'!D11="","",IFERROR(LEFT('Journal'!D11,FIND(" ",'Journal'!D11)-1),'Journal'!D11))</f>
        <v/>
      </c>
      <c r="E19" s="5">
        <f>IF('Journal'!D11="","",IFERROR(INDEX('Kontoplan'!$B$3:$B$302,MATCH('Journal'!D11,'Kontoplan'!$H$3:$H$302,0)),""))</f>
        <v/>
      </c>
      <c r="F19" s="20">
        <f>IF('Journal'!G11="","",'Journal'!G11)</f>
        <v/>
      </c>
      <c r="G19" s="20">
        <f>IF('Journal'!F11="","",'Journal'!F11)</f>
        <v/>
      </c>
      <c r="H19" s="5">
        <f>IF('Journal'!I11="","",'Journal'!I11)</f>
        <v/>
      </c>
    </row>
    <row r="20">
      <c r="A20" s="18">
        <f>IF('Journal'!A11="","",'Journal'!A11)</f>
        <v/>
      </c>
      <c r="B20" s="21">
        <f>IF('Journal'!B11="","",'Journal'!B11)</f>
        <v/>
      </c>
      <c r="C20" s="5">
        <f>IF('Journal'!C11="","",'Journal'!C11)</f>
        <v/>
      </c>
      <c r="D20" s="5">
        <f>IF('Journal'!E11="","",IFERROR(LEFT('Journal'!E11,FIND(" ",'Journal'!E11)-1),'Journal'!E11))</f>
        <v/>
      </c>
      <c r="E20" s="5">
        <f>IF('Journal'!E11="","",IFERROR(INDEX('Kontoplan'!$B$3:$B$302,MATCH('Journal'!E11,'Kontoplan'!$H$3:$H$302,0)),""))</f>
        <v/>
      </c>
      <c r="F20" s="20">
        <f>IF('Journal'!F11="","",'Journal'!F11)</f>
        <v/>
      </c>
      <c r="G20" s="20">
        <f>IF('Journal'!G11="","",'Journal'!G11)</f>
        <v/>
      </c>
      <c r="H20" s="5">
        <f>IF('Journal'!I11="","",'Journal'!I11)</f>
        <v/>
      </c>
    </row>
    <row r="21">
      <c r="A21" s="18">
        <f>IF('Journal'!A12="","",'Journal'!A12)</f>
        <v/>
      </c>
      <c r="B21" s="21">
        <f>IF('Journal'!B12="","",'Journal'!B12)</f>
        <v/>
      </c>
      <c r="C21" s="5">
        <f>IF('Journal'!C12="","",'Journal'!C12)</f>
        <v/>
      </c>
      <c r="D21" s="5">
        <f>IF('Journal'!D12="","",IFERROR(LEFT('Journal'!D12,FIND(" ",'Journal'!D12)-1),'Journal'!D12))</f>
        <v/>
      </c>
      <c r="E21" s="5">
        <f>IF('Journal'!D12="","",IFERROR(INDEX('Kontoplan'!$B$3:$B$302,MATCH('Journal'!D12,'Kontoplan'!$H$3:$H$302,0)),""))</f>
        <v/>
      </c>
      <c r="F21" s="20">
        <f>IF('Journal'!G12="","",'Journal'!G12)</f>
        <v/>
      </c>
      <c r="G21" s="20">
        <f>IF('Journal'!F12="","",'Journal'!F12)</f>
        <v/>
      </c>
      <c r="H21" s="5">
        <f>IF('Journal'!I12="","",'Journal'!I12)</f>
        <v/>
      </c>
    </row>
    <row r="22">
      <c r="A22" s="18">
        <f>IF('Journal'!A12="","",'Journal'!A12)</f>
        <v/>
      </c>
      <c r="B22" s="21">
        <f>IF('Journal'!B12="","",'Journal'!B12)</f>
        <v/>
      </c>
      <c r="C22" s="5">
        <f>IF('Journal'!C12="","",'Journal'!C12)</f>
        <v/>
      </c>
      <c r="D22" s="5">
        <f>IF('Journal'!E12="","",IFERROR(LEFT('Journal'!E12,FIND(" ",'Journal'!E12)-1),'Journal'!E12))</f>
        <v/>
      </c>
      <c r="E22" s="5">
        <f>IF('Journal'!E12="","",IFERROR(INDEX('Kontoplan'!$B$3:$B$302,MATCH('Journal'!E12,'Kontoplan'!$H$3:$H$302,0)),""))</f>
        <v/>
      </c>
      <c r="F22" s="20">
        <f>IF('Journal'!F12="","",'Journal'!F12)</f>
        <v/>
      </c>
      <c r="G22" s="20">
        <f>IF('Journal'!G12="","",'Journal'!G12)</f>
        <v/>
      </c>
      <c r="H22" s="5">
        <f>IF('Journal'!I12="","",'Journal'!I12)</f>
        <v/>
      </c>
    </row>
    <row r="23">
      <c r="A23" s="18">
        <f>IF('Journal'!A13="","",'Journal'!A13)</f>
        <v/>
      </c>
      <c r="B23" s="21">
        <f>IF('Journal'!B13="","",'Journal'!B13)</f>
        <v/>
      </c>
      <c r="C23" s="5">
        <f>IF('Journal'!C13="","",'Journal'!C13)</f>
        <v/>
      </c>
      <c r="D23" s="5">
        <f>IF('Journal'!D13="","",IFERROR(LEFT('Journal'!D13,FIND(" ",'Journal'!D13)-1),'Journal'!D13))</f>
        <v/>
      </c>
      <c r="E23" s="5">
        <f>IF('Journal'!D13="","",IFERROR(INDEX('Kontoplan'!$B$3:$B$302,MATCH('Journal'!D13,'Kontoplan'!$H$3:$H$302,0)),""))</f>
        <v/>
      </c>
      <c r="F23" s="20">
        <f>IF('Journal'!G13="","",'Journal'!G13)</f>
        <v/>
      </c>
      <c r="G23" s="20">
        <f>IF('Journal'!F13="","",'Journal'!F13)</f>
        <v/>
      </c>
      <c r="H23" s="5">
        <f>IF('Journal'!I13="","",'Journal'!I13)</f>
        <v/>
      </c>
    </row>
    <row r="24">
      <c r="A24" s="18">
        <f>IF('Journal'!A13="","",'Journal'!A13)</f>
        <v/>
      </c>
      <c r="B24" s="21">
        <f>IF('Journal'!B13="","",'Journal'!B13)</f>
        <v/>
      </c>
      <c r="C24" s="5">
        <f>IF('Journal'!C13="","",'Journal'!C13)</f>
        <v/>
      </c>
      <c r="D24" s="5">
        <f>IF('Journal'!E13="","",IFERROR(LEFT('Journal'!E13,FIND(" ",'Journal'!E13)-1),'Journal'!E13))</f>
        <v/>
      </c>
      <c r="E24" s="5">
        <f>IF('Journal'!E13="","",IFERROR(INDEX('Kontoplan'!$B$3:$B$302,MATCH('Journal'!E13,'Kontoplan'!$H$3:$H$302,0)),""))</f>
        <v/>
      </c>
      <c r="F24" s="20">
        <f>IF('Journal'!F13="","",'Journal'!F13)</f>
        <v/>
      </c>
      <c r="G24" s="20">
        <f>IF('Journal'!G13="","",'Journal'!G13)</f>
        <v/>
      </c>
      <c r="H24" s="5">
        <f>IF('Journal'!I13="","",'Journal'!I13)</f>
        <v/>
      </c>
    </row>
    <row r="25">
      <c r="A25" s="18">
        <f>IF('Journal'!A14="","",'Journal'!A14)</f>
        <v/>
      </c>
      <c r="B25" s="21">
        <f>IF('Journal'!B14="","",'Journal'!B14)</f>
        <v/>
      </c>
      <c r="C25" s="5">
        <f>IF('Journal'!C14="","",'Journal'!C14)</f>
        <v/>
      </c>
      <c r="D25" s="5">
        <f>IF('Journal'!D14="","",IFERROR(LEFT('Journal'!D14,FIND(" ",'Journal'!D14)-1),'Journal'!D14))</f>
        <v/>
      </c>
      <c r="E25" s="5">
        <f>IF('Journal'!D14="","",IFERROR(INDEX('Kontoplan'!$B$3:$B$302,MATCH('Journal'!D14,'Kontoplan'!$H$3:$H$302,0)),""))</f>
        <v/>
      </c>
      <c r="F25" s="20">
        <f>IF('Journal'!G14="","",'Journal'!G14)</f>
        <v/>
      </c>
      <c r="G25" s="20">
        <f>IF('Journal'!F14="","",'Journal'!F14)</f>
        <v/>
      </c>
      <c r="H25" s="5">
        <f>IF('Journal'!I14="","",'Journal'!I14)</f>
        <v/>
      </c>
    </row>
    <row r="26">
      <c r="A26" s="18">
        <f>IF('Journal'!A14="","",'Journal'!A14)</f>
        <v/>
      </c>
      <c r="B26" s="21">
        <f>IF('Journal'!B14="","",'Journal'!B14)</f>
        <v/>
      </c>
      <c r="C26" s="5">
        <f>IF('Journal'!C14="","",'Journal'!C14)</f>
        <v/>
      </c>
      <c r="D26" s="5">
        <f>IF('Journal'!E14="","",IFERROR(LEFT('Journal'!E14,FIND(" ",'Journal'!E14)-1),'Journal'!E14))</f>
        <v/>
      </c>
      <c r="E26" s="5">
        <f>IF('Journal'!E14="","",IFERROR(INDEX('Kontoplan'!$B$3:$B$302,MATCH('Journal'!E14,'Kontoplan'!$H$3:$H$302,0)),""))</f>
        <v/>
      </c>
      <c r="F26" s="20">
        <f>IF('Journal'!F14="","",'Journal'!F14)</f>
        <v/>
      </c>
      <c r="G26" s="20">
        <f>IF('Journal'!G14="","",'Journal'!G14)</f>
        <v/>
      </c>
      <c r="H26" s="5">
        <f>IF('Journal'!I14="","",'Journal'!I14)</f>
        <v/>
      </c>
    </row>
    <row r="27">
      <c r="A27" s="18">
        <f>IF('Journal'!A15="","",'Journal'!A15)</f>
        <v/>
      </c>
      <c r="B27" s="21">
        <f>IF('Journal'!B15="","",'Journal'!B15)</f>
        <v/>
      </c>
      <c r="C27" s="5">
        <f>IF('Journal'!C15="","",'Journal'!C15)</f>
        <v/>
      </c>
      <c r="D27" s="5">
        <f>IF('Journal'!D15="","",IFERROR(LEFT('Journal'!D15,FIND(" ",'Journal'!D15)-1),'Journal'!D15))</f>
        <v/>
      </c>
      <c r="E27" s="5">
        <f>IF('Journal'!D15="","",IFERROR(INDEX('Kontoplan'!$B$3:$B$302,MATCH('Journal'!D15,'Kontoplan'!$H$3:$H$302,0)),""))</f>
        <v/>
      </c>
      <c r="F27" s="20">
        <f>IF('Journal'!G15="","",'Journal'!G15)</f>
        <v/>
      </c>
      <c r="G27" s="20">
        <f>IF('Journal'!F15="","",'Journal'!F15)</f>
        <v/>
      </c>
      <c r="H27" s="5">
        <f>IF('Journal'!I15="","",'Journal'!I15)</f>
        <v/>
      </c>
    </row>
    <row r="28">
      <c r="A28" s="18">
        <f>IF('Journal'!A15="","",'Journal'!A15)</f>
        <v/>
      </c>
      <c r="B28" s="21">
        <f>IF('Journal'!B15="","",'Journal'!B15)</f>
        <v/>
      </c>
      <c r="C28" s="5">
        <f>IF('Journal'!C15="","",'Journal'!C15)</f>
        <v/>
      </c>
      <c r="D28" s="5">
        <f>IF('Journal'!E15="","",IFERROR(LEFT('Journal'!E15,FIND(" ",'Journal'!E15)-1),'Journal'!E15))</f>
        <v/>
      </c>
      <c r="E28" s="5">
        <f>IF('Journal'!E15="","",IFERROR(INDEX('Kontoplan'!$B$3:$B$302,MATCH('Journal'!E15,'Kontoplan'!$H$3:$H$302,0)),""))</f>
        <v/>
      </c>
      <c r="F28" s="20">
        <f>IF('Journal'!F15="","",'Journal'!F15)</f>
        <v/>
      </c>
      <c r="G28" s="20">
        <f>IF('Journal'!G15="","",'Journal'!G15)</f>
        <v/>
      </c>
      <c r="H28" s="5">
        <f>IF('Journal'!I15="","",'Journal'!I15)</f>
        <v/>
      </c>
    </row>
    <row r="29">
      <c r="A29" s="18">
        <f>IF('Journal'!A16="","",'Journal'!A16)</f>
        <v/>
      </c>
      <c r="B29" s="21">
        <f>IF('Journal'!B16="","",'Journal'!B16)</f>
        <v/>
      </c>
      <c r="C29" s="5">
        <f>IF('Journal'!C16="","",'Journal'!C16)</f>
        <v/>
      </c>
      <c r="D29" s="5">
        <f>IF('Journal'!D16="","",IFERROR(LEFT('Journal'!D16,FIND(" ",'Journal'!D16)-1),'Journal'!D16))</f>
        <v/>
      </c>
      <c r="E29" s="5">
        <f>IF('Journal'!D16="","",IFERROR(INDEX('Kontoplan'!$B$3:$B$302,MATCH('Journal'!D16,'Kontoplan'!$H$3:$H$302,0)),""))</f>
        <v/>
      </c>
      <c r="F29" s="20">
        <f>IF('Journal'!G16="","",'Journal'!G16)</f>
        <v/>
      </c>
      <c r="G29" s="20">
        <f>IF('Journal'!F16="","",'Journal'!F16)</f>
        <v/>
      </c>
      <c r="H29" s="5">
        <f>IF('Journal'!I16="","",'Journal'!I16)</f>
        <v/>
      </c>
    </row>
    <row r="30">
      <c r="A30" s="18">
        <f>IF('Journal'!A16="","",'Journal'!A16)</f>
        <v/>
      </c>
      <c r="B30" s="21">
        <f>IF('Journal'!B16="","",'Journal'!B16)</f>
        <v/>
      </c>
      <c r="C30" s="5">
        <f>IF('Journal'!C16="","",'Journal'!C16)</f>
        <v/>
      </c>
      <c r="D30" s="5">
        <f>IF('Journal'!E16="","",IFERROR(LEFT('Journal'!E16,FIND(" ",'Journal'!E16)-1),'Journal'!E16))</f>
        <v/>
      </c>
      <c r="E30" s="5">
        <f>IF('Journal'!E16="","",IFERROR(INDEX('Kontoplan'!$B$3:$B$302,MATCH('Journal'!E16,'Kontoplan'!$H$3:$H$302,0)),""))</f>
        <v/>
      </c>
      <c r="F30" s="20">
        <f>IF('Journal'!F16="","",'Journal'!F16)</f>
        <v/>
      </c>
      <c r="G30" s="20">
        <f>IF('Journal'!G16="","",'Journal'!G16)</f>
        <v/>
      </c>
      <c r="H30" s="5">
        <f>IF('Journal'!I16="","",'Journal'!I16)</f>
        <v/>
      </c>
    </row>
    <row r="31">
      <c r="A31" s="18">
        <f>IF('Journal'!A17="","",'Journal'!A17)</f>
        <v/>
      </c>
      <c r="B31" s="21">
        <f>IF('Journal'!B17="","",'Journal'!B17)</f>
        <v/>
      </c>
      <c r="C31" s="5">
        <f>IF('Journal'!C17="","",'Journal'!C17)</f>
        <v/>
      </c>
      <c r="D31" s="5">
        <f>IF('Journal'!D17="","",IFERROR(LEFT('Journal'!D17,FIND(" ",'Journal'!D17)-1),'Journal'!D17))</f>
        <v/>
      </c>
      <c r="E31" s="5">
        <f>IF('Journal'!D17="","",IFERROR(INDEX('Kontoplan'!$B$3:$B$302,MATCH('Journal'!D17,'Kontoplan'!$H$3:$H$302,0)),""))</f>
        <v/>
      </c>
      <c r="F31" s="20">
        <f>IF('Journal'!G17="","",'Journal'!G17)</f>
        <v/>
      </c>
      <c r="G31" s="20">
        <f>IF('Journal'!F17="","",'Journal'!F17)</f>
        <v/>
      </c>
      <c r="H31" s="5">
        <f>IF('Journal'!I17="","",'Journal'!I17)</f>
        <v/>
      </c>
    </row>
    <row r="32">
      <c r="A32" s="18">
        <f>IF('Journal'!A17="","",'Journal'!A17)</f>
        <v/>
      </c>
      <c r="B32" s="21">
        <f>IF('Journal'!B17="","",'Journal'!B17)</f>
        <v/>
      </c>
      <c r="C32" s="5">
        <f>IF('Journal'!C17="","",'Journal'!C17)</f>
        <v/>
      </c>
      <c r="D32" s="5">
        <f>IF('Journal'!E17="","",IFERROR(LEFT('Journal'!E17,FIND(" ",'Journal'!E17)-1),'Journal'!E17))</f>
        <v/>
      </c>
      <c r="E32" s="5">
        <f>IF('Journal'!E17="","",IFERROR(INDEX('Kontoplan'!$B$3:$B$302,MATCH('Journal'!E17,'Kontoplan'!$H$3:$H$302,0)),""))</f>
        <v/>
      </c>
      <c r="F32" s="20">
        <f>IF('Journal'!F17="","",'Journal'!F17)</f>
        <v/>
      </c>
      <c r="G32" s="20">
        <f>IF('Journal'!G17="","",'Journal'!G17)</f>
        <v/>
      </c>
      <c r="H32" s="5">
        <f>IF('Journal'!I17="","",'Journal'!I17)</f>
        <v/>
      </c>
    </row>
    <row r="33">
      <c r="A33" s="18">
        <f>IF('Journal'!A18="","",'Journal'!A18)</f>
        <v/>
      </c>
      <c r="B33" s="21">
        <f>IF('Journal'!B18="","",'Journal'!B18)</f>
        <v/>
      </c>
      <c r="C33" s="5">
        <f>IF('Journal'!C18="","",'Journal'!C18)</f>
        <v/>
      </c>
      <c r="D33" s="5">
        <f>IF('Journal'!D18="","",IFERROR(LEFT('Journal'!D18,FIND(" ",'Journal'!D18)-1),'Journal'!D18))</f>
        <v/>
      </c>
      <c r="E33" s="5">
        <f>IF('Journal'!D18="","",IFERROR(INDEX('Kontoplan'!$B$3:$B$302,MATCH('Journal'!D18,'Kontoplan'!$H$3:$H$302,0)),""))</f>
        <v/>
      </c>
      <c r="F33" s="20">
        <f>IF('Journal'!G18="","",'Journal'!G18)</f>
        <v/>
      </c>
      <c r="G33" s="20">
        <f>IF('Journal'!F18="","",'Journal'!F18)</f>
        <v/>
      </c>
      <c r="H33" s="5">
        <f>IF('Journal'!I18="","",'Journal'!I18)</f>
        <v/>
      </c>
    </row>
    <row r="34">
      <c r="A34" s="18">
        <f>IF('Journal'!A18="","",'Journal'!A18)</f>
        <v/>
      </c>
      <c r="B34" s="21">
        <f>IF('Journal'!B18="","",'Journal'!B18)</f>
        <v/>
      </c>
      <c r="C34" s="5">
        <f>IF('Journal'!C18="","",'Journal'!C18)</f>
        <v/>
      </c>
      <c r="D34" s="5">
        <f>IF('Journal'!E18="","",IFERROR(LEFT('Journal'!E18,FIND(" ",'Journal'!E18)-1),'Journal'!E18))</f>
        <v/>
      </c>
      <c r="E34" s="5">
        <f>IF('Journal'!E18="","",IFERROR(INDEX('Kontoplan'!$B$3:$B$302,MATCH('Journal'!E18,'Kontoplan'!$H$3:$H$302,0)),""))</f>
        <v/>
      </c>
      <c r="F34" s="20">
        <f>IF('Journal'!F18="","",'Journal'!F18)</f>
        <v/>
      </c>
      <c r="G34" s="20">
        <f>IF('Journal'!G18="","",'Journal'!G18)</f>
        <v/>
      </c>
      <c r="H34" s="5">
        <f>IF('Journal'!I18="","",'Journal'!I18)</f>
        <v/>
      </c>
    </row>
    <row r="35">
      <c r="A35" s="18">
        <f>IF('Journal'!A19="","",'Journal'!A19)</f>
        <v/>
      </c>
      <c r="B35" s="21">
        <f>IF('Journal'!B19="","",'Journal'!B19)</f>
        <v/>
      </c>
      <c r="C35" s="5">
        <f>IF('Journal'!C19="","",'Journal'!C19)</f>
        <v/>
      </c>
      <c r="D35" s="5">
        <f>IF('Journal'!D19="","",IFERROR(LEFT('Journal'!D19,FIND(" ",'Journal'!D19)-1),'Journal'!D19))</f>
        <v/>
      </c>
      <c r="E35" s="5">
        <f>IF('Journal'!D19="","",IFERROR(INDEX('Kontoplan'!$B$3:$B$302,MATCH('Journal'!D19,'Kontoplan'!$H$3:$H$302,0)),""))</f>
        <v/>
      </c>
      <c r="F35" s="20">
        <f>IF('Journal'!G19="","",'Journal'!G19)</f>
        <v/>
      </c>
      <c r="G35" s="20">
        <f>IF('Journal'!F19="","",'Journal'!F19)</f>
        <v/>
      </c>
      <c r="H35" s="5">
        <f>IF('Journal'!I19="","",'Journal'!I19)</f>
        <v/>
      </c>
    </row>
    <row r="36">
      <c r="A36" s="18">
        <f>IF('Journal'!A19="","",'Journal'!A19)</f>
        <v/>
      </c>
      <c r="B36" s="21">
        <f>IF('Journal'!B19="","",'Journal'!B19)</f>
        <v/>
      </c>
      <c r="C36" s="5">
        <f>IF('Journal'!C19="","",'Journal'!C19)</f>
        <v/>
      </c>
      <c r="D36" s="5">
        <f>IF('Journal'!E19="","",IFERROR(LEFT('Journal'!E19,FIND(" ",'Journal'!E19)-1),'Journal'!E19))</f>
        <v/>
      </c>
      <c r="E36" s="5">
        <f>IF('Journal'!E19="","",IFERROR(INDEX('Kontoplan'!$B$3:$B$302,MATCH('Journal'!E19,'Kontoplan'!$H$3:$H$302,0)),""))</f>
        <v/>
      </c>
      <c r="F36" s="20">
        <f>IF('Journal'!F19="","",'Journal'!F19)</f>
        <v/>
      </c>
      <c r="G36" s="20">
        <f>IF('Journal'!G19="","",'Journal'!G19)</f>
        <v/>
      </c>
      <c r="H36" s="5">
        <f>IF('Journal'!I19="","",'Journal'!I19)</f>
        <v/>
      </c>
    </row>
    <row r="37">
      <c r="A37" s="18">
        <f>IF('Journal'!A20="","",'Journal'!A20)</f>
        <v/>
      </c>
      <c r="B37" s="21">
        <f>IF('Journal'!B20="","",'Journal'!B20)</f>
        <v/>
      </c>
      <c r="C37" s="5">
        <f>IF('Journal'!C20="","",'Journal'!C20)</f>
        <v/>
      </c>
      <c r="D37" s="5">
        <f>IF('Journal'!D20="","",IFERROR(LEFT('Journal'!D20,FIND(" ",'Journal'!D20)-1),'Journal'!D20))</f>
        <v/>
      </c>
      <c r="E37" s="5">
        <f>IF('Journal'!D20="","",IFERROR(INDEX('Kontoplan'!$B$3:$B$302,MATCH('Journal'!D20,'Kontoplan'!$H$3:$H$302,0)),""))</f>
        <v/>
      </c>
      <c r="F37" s="20">
        <f>IF('Journal'!G20="","",'Journal'!G20)</f>
        <v/>
      </c>
      <c r="G37" s="20">
        <f>IF('Journal'!F20="","",'Journal'!F20)</f>
        <v/>
      </c>
      <c r="H37" s="5">
        <f>IF('Journal'!I20="","",'Journal'!I20)</f>
        <v/>
      </c>
    </row>
    <row r="38">
      <c r="A38" s="18">
        <f>IF('Journal'!A20="","",'Journal'!A20)</f>
        <v/>
      </c>
      <c r="B38" s="21">
        <f>IF('Journal'!B20="","",'Journal'!B20)</f>
        <v/>
      </c>
      <c r="C38" s="5">
        <f>IF('Journal'!C20="","",'Journal'!C20)</f>
        <v/>
      </c>
      <c r="D38" s="5">
        <f>IF('Journal'!E20="","",IFERROR(LEFT('Journal'!E20,FIND(" ",'Journal'!E20)-1),'Journal'!E20))</f>
        <v/>
      </c>
      <c r="E38" s="5">
        <f>IF('Journal'!E20="","",IFERROR(INDEX('Kontoplan'!$B$3:$B$302,MATCH('Journal'!E20,'Kontoplan'!$H$3:$H$302,0)),""))</f>
        <v/>
      </c>
      <c r="F38" s="20">
        <f>IF('Journal'!F20="","",'Journal'!F20)</f>
        <v/>
      </c>
      <c r="G38" s="20">
        <f>IF('Journal'!G20="","",'Journal'!G20)</f>
        <v/>
      </c>
      <c r="H38" s="5">
        <f>IF('Journal'!I20="","",'Journal'!I20)</f>
        <v/>
      </c>
    </row>
    <row r="39">
      <c r="A39" s="18">
        <f>IF('Journal'!A21="","",'Journal'!A21)</f>
        <v/>
      </c>
      <c r="B39" s="21">
        <f>IF('Journal'!B21="","",'Journal'!B21)</f>
        <v/>
      </c>
      <c r="C39" s="5">
        <f>IF('Journal'!C21="","",'Journal'!C21)</f>
        <v/>
      </c>
      <c r="D39" s="5">
        <f>IF('Journal'!D21="","",IFERROR(LEFT('Journal'!D21,FIND(" ",'Journal'!D21)-1),'Journal'!D21))</f>
        <v/>
      </c>
      <c r="E39" s="5">
        <f>IF('Journal'!D21="","",IFERROR(INDEX('Kontoplan'!$B$3:$B$302,MATCH('Journal'!D21,'Kontoplan'!$H$3:$H$302,0)),""))</f>
        <v/>
      </c>
      <c r="F39" s="20">
        <f>IF('Journal'!G21="","",'Journal'!G21)</f>
        <v/>
      </c>
      <c r="G39" s="20">
        <f>IF('Journal'!F21="","",'Journal'!F21)</f>
        <v/>
      </c>
      <c r="H39" s="5">
        <f>IF('Journal'!I21="","",'Journal'!I21)</f>
        <v/>
      </c>
    </row>
    <row r="40">
      <c r="A40" s="18">
        <f>IF('Journal'!A21="","",'Journal'!A21)</f>
        <v/>
      </c>
      <c r="B40" s="21">
        <f>IF('Journal'!B21="","",'Journal'!B21)</f>
        <v/>
      </c>
      <c r="C40" s="5">
        <f>IF('Journal'!C21="","",'Journal'!C21)</f>
        <v/>
      </c>
      <c r="D40" s="5">
        <f>IF('Journal'!E21="","",IFERROR(LEFT('Journal'!E21,FIND(" ",'Journal'!E21)-1),'Journal'!E21))</f>
        <v/>
      </c>
      <c r="E40" s="5">
        <f>IF('Journal'!E21="","",IFERROR(INDEX('Kontoplan'!$B$3:$B$302,MATCH('Journal'!E21,'Kontoplan'!$H$3:$H$302,0)),""))</f>
        <v/>
      </c>
      <c r="F40" s="20">
        <f>IF('Journal'!F21="","",'Journal'!F21)</f>
        <v/>
      </c>
      <c r="G40" s="20">
        <f>IF('Journal'!G21="","",'Journal'!G21)</f>
        <v/>
      </c>
      <c r="H40" s="5">
        <f>IF('Journal'!I21="","",'Journal'!I21)</f>
        <v/>
      </c>
    </row>
    <row r="41">
      <c r="A41" s="18">
        <f>IF('Journal'!A22="","",'Journal'!A22)</f>
        <v/>
      </c>
      <c r="B41" s="21">
        <f>IF('Journal'!B22="","",'Journal'!B22)</f>
        <v/>
      </c>
      <c r="C41" s="5">
        <f>IF('Journal'!C22="","",'Journal'!C22)</f>
        <v/>
      </c>
      <c r="D41" s="5">
        <f>IF('Journal'!D22="","",IFERROR(LEFT('Journal'!D22,FIND(" ",'Journal'!D22)-1),'Journal'!D22))</f>
        <v/>
      </c>
      <c r="E41" s="5">
        <f>IF('Journal'!D22="","",IFERROR(INDEX('Kontoplan'!$B$3:$B$302,MATCH('Journal'!D22,'Kontoplan'!$H$3:$H$302,0)),""))</f>
        <v/>
      </c>
      <c r="F41" s="20">
        <f>IF('Journal'!G22="","",'Journal'!G22)</f>
        <v/>
      </c>
      <c r="G41" s="20">
        <f>IF('Journal'!F22="","",'Journal'!F22)</f>
        <v/>
      </c>
      <c r="H41" s="5">
        <f>IF('Journal'!I22="","",'Journal'!I22)</f>
        <v/>
      </c>
    </row>
    <row r="42">
      <c r="A42" s="18">
        <f>IF('Journal'!A22="","",'Journal'!A22)</f>
        <v/>
      </c>
      <c r="B42" s="21">
        <f>IF('Journal'!B22="","",'Journal'!B22)</f>
        <v/>
      </c>
      <c r="C42" s="5">
        <f>IF('Journal'!C22="","",'Journal'!C22)</f>
        <v/>
      </c>
      <c r="D42" s="5">
        <f>IF('Journal'!E22="","",IFERROR(LEFT('Journal'!E22,FIND(" ",'Journal'!E22)-1),'Journal'!E22))</f>
        <v/>
      </c>
      <c r="E42" s="5">
        <f>IF('Journal'!E22="","",IFERROR(INDEX('Kontoplan'!$B$3:$B$302,MATCH('Journal'!E22,'Kontoplan'!$H$3:$H$302,0)),""))</f>
        <v/>
      </c>
      <c r="F42" s="20">
        <f>IF('Journal'!F22="","",'Journal'!F22)</f>
        <v/>
      </c>
      <c r="G42" s="20">
        <f>IF('Journal'!G22="","",'Journal'!G22)</f>
        <v/>
      </c>
      <c r="H42" s="5">
        <f>IF('Journal'!I22="","",'Journal'!I22)</f>
        <v/>
      </c>
    </row>
    <row r="43">
      <c r="A43" s="18">
        <f>IF('Journal'!A23="","",'Journal'!A23)</f>
        <v/>
      </c>
      <c r="B43" s="21">
        <f>IF('Journal'!B23="","",'Journal'!B23)</f>
        <v/>
      </c>
      <c r="C43" s="5">
        <f>IF('Journal'!C23="","",'Journal'!C23)</f>
        <v/>
      </c>
      <c r="D43" s="5">
        <f>IF('Journal'!D23="","",IFERROR(LEFT('Journal'!D23,FIND(" ",'Journal'!D23)-1),'Journal'!D23))</f>
        <v/>
      </c>
      <c r="E43" s="5">
        <f>IF('Journal'!D23="","",IFERROR(INDEX('Kontoplan'!$B$3:$B$302,MATCH('Journal'!D23,'Kontoplan'!$H$3:$H$302,0)),""))</f>
        <v/>
      </c>
      <c r="F43" s="20">
        <f>IF('Journal'!G23="","",'Journal'!G23)</f>
        <v/>
      </c>
      <c r="G43" s="20">
        <f>IF('Journal'!F23="","",'Journal'!F23)</f>
        <v/>
      </c>
      <c r="H43" s="5">
        <f>IF('Journal'!I23="","",'Journal'!I23)</f>
        <v/>
      </c>
    </row>
    <row r="44">
      <c r="A44" s="18">
        <f>IF('Journal'!A23="","",'Journal'!A23)</f>
        <v/>
      </c>
      <c r="B44" s="21">
        <f>IF('Journal'!B23="","",'Journal'!B23)</f>
        <v/>
      </c>
      <c r="C44" s="5">
        <f>IF('Journal'!C23="","",'Journal'!C23)</f>
        <v/>
      </c>
      <c r="D44" s="5">
        <f>IF('Journal'!E23="","",IFERROR(LEFT('Journal'!E23,FIND(" ",'Journal'!E23)-1),'Journal'!E23))</f>
        <v/>
      </c>
      <c r="E44" s="5">
        <f>IF('Journal'!E23="","",IFERROR(INDEX('Kontoplan'!$B$3:$B$302,MATCH('Journal'!E23,'Kontoplan'!$H$3:$H$302,0)),""))</f>
        <v/>
      </c>
      <c r="F44" s="20">
        <f>IF('Journal'!F23="","",'Journal'!F23)</f>
        <v/>
      </c>
      <c r="G44" s="20">
        <f>IF('Journal'!G23="","",'Journal'!G23)</f>
        <v/>
      </c>
      <c r="H44" s="5">
        <f>IF('Journal'!I23="","",'Journal'!I23)</f>
        <v/>
      </c>
    </row>
    <row r="45">
      <c r="A45" s="18">
        <f>IF('Journal'!A24="","",'Journal'!A24)</f>
        <v/>
      </c>
      <c r="B45" s="21">
        <f>IF('Journal'!B24="","",'Journal'!B24)</f>
        <v/>
      </c>
      <c r="C45" s="5">
        <f>IF('Journal'!C24="","",'Journal'!C24)</f>
        <v/>
      </c>
      <c r="D45" s="5">
        <f>IF('Journal'!D24="","",IFERROR(LEFT('Journal'!D24,FIND(" ",'Journal'!D24)-1),'Journal'!D24))</f>
        <v/>
      </c>
      <c r="E45" s="5">
        <f>IF('Journal'!D24="","",IFERROR(INDEX('Kontoplan'!$B$3:$B$302,MATCH('Journal'!D24,'Kontoplan'!$H$3:$H$302,0)),""))</f>
        <v/>
      </c>
      <c r="F45" s="20">
        <f>IF('Journal'!G24="","",'Journal'!G24)</f>
        <v/>
      </c>
      <c r="G45" s="20">
        <f>IF('Journal'!F24="","",'Journal'!F24)</f>
        <v/>
      </c>
      <c r="H45" s="5">
        <f>IF('Journal'!I24="","",'Journal'!I24)</f>
        <v/>
      </c>
    </row>
    <row r="46">
      <c r="A46" s="18">
        <f>IF('Journal'!A24="","",'Journal'!A24)</f>
        <v/>
      </c>
      <c r="B46" s="21">
        <f>IF('Journal'!B24="","",'Journal'!B24)</f>
        <v/>
      </c>
      <c r="C46" s="5">
        <f>IF('Journal'!C24="","",'Journal'!C24)</f>
        <v/>
      </c>
      <c r="D46" s="5">
        <f>IF('Journal'!E24="","",IFERROR(LEFT('Journal'!E24,FIND(" ",'Journal'!E24)-1),'Journal'!E24))</f>
        <v/>
      </c>
      <c r="E46" s="5">
        <f>IF('Journal'!E24="","",IFERROR(INDEX('Kontoplan'!$B$3:$B$302,MATCH('Journal'!E24,'Kontoplan'!$H$3:$H$302,0)),""))</f>
        <v/>
      </c>
      <c r="F46" s="20">
        <f>IF('Journal'!F24="","",'Journal'!F24)</f>
        <v/>
      </c>
      <c r="G46" s="20">
        <f>IF('Journal'!G24="","",'Journal'!G24)</f>
        <v/>
      </c>
      <c r="H46" s="5">
        <f>IF('Journal'!I24="","",'Journal'!I24)</f>
        <v/>
      </c>
    </row>
    <row r="47">
      <c r="A47" s="18">
        <f>IF('Journal'!A25="","",'Journal'!A25)</f>
        <v/>
      </c>
      <c r="B47" s="21">
        <f>IF('Journal'!B25="","",'Journal'!B25)</f>
        <v/>
      </c>
      <c r="C47" s="5">
        <f>IF('Journal'!C25="","",'Journal'!C25)</f>
        <v/>
      </c>
      <c r="D47" s="5">
        <f>IF('Journal'!D25="","",IFERROR(LEFT('Journal'!D25,FIND(" ",'Journal'!D25)-1),'Journal'!D25))</f>
        <v/>
      </c>
      <c r="E47" s="5">
        <f>IF('Journal'!D25="","",IFERROR(INDEX('Kontoplan'!$B$3:$B$302,MATCH('Journal'!D25,'Kontoplan'!$H$3:$H$302,0)),""))</f>
        <v/>
      </c>
      <c r="F47" s="20">
        <f>IF('Journal'!G25="","",'Journal'!G25)</f>
        <v/>
      </c>
      <c r="G47" s="20">
        <f>IF('Journal'!F25="","",'Journal'!F25)</f>
        <v/>
      </c>
      <c r="H47" s="5">
        <f>IF('Journal'!I25="","",'Journal'!I25)</f>
        <v/>
      </c>
    </row>
    <row r="48">
      <c r="A48" s="18">
        <f>IF('Journal'!A25="","",'Journal'!A25)</f>
        <v/>
      </c>
      <c r="B48" s="21">
        <f>IF('Journal'!B25="","",'Journal'!B25)</f>
        <v/>
      </c>
      <c r="C48" s="5">
        <f>IF('Journal'!C25="","",'Journal'!C25)</f>
        <v/>
      </c>
      <c r="D48" s="5">
        <f>IF('Journal'!E25="","",IFERROR(LEFT('Journal'!E25,FIND(" ",'Journal'!E25)-1),'Journal'!E25))</f>
        <v/>
      </c>
      <c r="E48" s="5">
        <f>IF('Journal'!E25="","",IFERROR(INDEX('Kontoplan'!$B$3:$B$302,MATCH('Journal'!E25,'Kontoplan'!$H$3:$H$302,0)),""))</f>
        <v/>
      </c>
      <c r="F48" s="20">
        <f>IF('Journal'!F25="","",'Journal'!F25)</f>
        <v/>
      </c>
      <c r="G48" s="20">
        <f>IF('Journal'!G25="","",'Journal'!G25)</f>
        <v/>
      </c>
      <c r="H48" s="5">
        <f>IF('Journal'!I25="","",'Journal'!I25)</f>
        <v/>
      </c>
    </row>
    <row r="49">
      <c r="A49" s="18">
        <f>IF('Journal'!A26="","",'Journal'!A26)</f>
        <v/>
      </c>
      <c r="B49" s="21">
        <f>IF('Journal'!B26="","",'Journal'!B26)</f>
        <v/>
      </c>
      <c r="C49" s="5">
        <f>IF('Journal'!C26="","",'Journal'!C26)</f>
        <v/>
      </c>
      <c r="D49" s="5">
        <f>IF('Journal'!D26="","",IFERROR(LEFT('Journal'!D26,FIND(" ",'Journal'!D26)-1),'Journal'!D26))</f>
        <v/>
      </c>
      <c r="E49" s="5">
        <f>IF('Journal'!D26="","",IFERROR(INDEX('Kontoplan'!$B$3:$B$302,MATCH('Journal'!D26,'Kontoplan'!$H$3:$H$302,0)),""))</f>
        <v/>
      </c>
      <c r="F49" s="20">
        <f>IF('Journal'!G26="","",'Journal'!G26)</f>
        <v/>
      </c>
      <c r="G49" s="20">
        <f>IF('Journal'!F26="","",'Journal'!F26)</f>
        <v/>
      </c>
      <c r="H49" s="5">
        <f>IF('Journal'!I26="","",'Journal'!I26)</f>
        <v/>
      </c>
    </row>
    <row r="50">
      <c r="A50" s="18">
        <f>IF('Journal'!A26="","",'Journal'!A26)</f>
        <v/>
      </c>
      <c r="B50" s="21">
        <f>IF('Journal'!B26="","",'Journal'!B26)</f>
        <v/>
      </c>
      <c r="C50" s="5">
        <f>IF('Journal'!C26="","",'Journal'!C26)</f>
        <v/>
      </c>
      <c r="D50" s="5">
        <f>IF('Journal'!E26="","",IFERROR(LEFT('Journal'!E26,FIND(" ",'Journal'!E26)-1),'Journal'!E26))</f>
        <v/>
      </c>
      <c r="E50" s="5">
        <f>IF('Journal'!E26="","",IFERROR(INDEX('Kontoplan'!$B$3:$B$302,MATCH('Journal'!E26,'Kontoplan'!$H$3:$H$302,0)),""))</f>
        <v/>
      </c>
      <c r="F50" s="20">
        <f>IF('Journal'!F26="","",'Journal'!F26)</f>
        <v/>
      </c>
      <c r="G50" s="20">
        <f>IF('Journal'!G26="","",'Journal'!G26)</f>
        <v/>
      </c>
      <c r="H50" s="5">
        <f>IF('Journal'!I26="","",'Journal'!I26)</f>
        <v/>
      </c>
    </row>
    <row r="51">
      <c r="A51" s="18">
        <f>IF('Journal'!A27="","",'Journal'!A27)</f>
        <v/>
      </c>
      <c r="B51" s="21">
        <f>IF('Journal'!B27="","",'Journal'!B27)</f>
        <v/>
      </c>
      <c r="C51" s="5">
        <f>IF('Journal'!C27="","",'Journal'!C27)</f>
        <v/>
      </c>
      <c r="D51" s="5">
        <f>IF('Journal'!D27="","",IFERROR(LEFT('Journal'!D27,FIND(" ",'Journal'!D27)-1),'Journal'!D27))</f>
        <v/>
      </c>
      <c r="E51" s="5">
        <f>IF('Journal'!D27="","",IFERROR(INDEX('Kontoplan'!$B$3:$B$302,MATCH('Journal'!D27,'Kontoplan'!$H$3:$H$302,0)),""))</f>
        <v/>
      </c>
      <c r="F51" s="20">
        <f>IF('Journal'!G27="","",'Journal'!G27)</f>
        <v/>
      </c>
      <c r="G51" s="20">
        <f>IF('Journal'!F27="","",'Journal'!F27)</f>
        <v/>
      </c>
      <c r="H51" s="5">
        <f>IF('Journal'!I27="","",'Journal'!I27)</f>
        <v/>
      </c>
    </row>
    <row r="52">
      <c r="A52" s="18">
        <f>IF('Journal'!A27="","",'Journal'!A27)</f>
        <v/>
      </c>
      <c r="B52" s="21">
        <f>IF('Journal'!B27="","",'Journal'!B27)</f>
        <v/>
      </c>
      <c r="C52" s="5">
        <f>IF('Journal'!C27="","",'Journal'!C27)</f>
        <v/>
      </c>
      <c r="D52" s="5">
        <f>IF('Journal'!E27="","",IFERROR(LEFT('Journal'!E27,FIND(" ",'Journal'!E27)-1),'Journal'!E27))</f>
        <v/>
      </c>
      <c r="E52" s="5">
        <f>IF('Journal'!E27="","",IFERROR(INDEX('Kontoplan'!$B$3:$B$302,MATCH('Journal'!E27,'Kontoplan'!$H$3:$H$302,0)),""))</f>
        <v/>
      </c>
      <c r="F52" s="20">
        <f>IF('Journal'!F27="","",'Journal'!F27)</f>
        <v/>
      </c>
      <c r="G52" s="20">
        <f>IF('Journal'!G27="","",'Journal'!G27)</f>
        <v/>
      </c>
      <c r="H52" s="5">
        <f>IF('Journal'!I27="","",'Journal'!I27)</f>
        <v/>
      </c>
    </row>
    <row r="53">
      <c r="A53" s="18">
        <f>IF('Journal'!A28="","",'Journal'!A28)</f>
        <v/>
      </c>
      <c r="B53" s="21">
        <f>IF('Journal'!B28="","",'Journal'!B28)</f>
        <v/>
      </c>
      <c r="C53" s="5">
        <f>IF('Journal'!C28="","",'Journal'!C28)</f>
        <v/>
      </c>
      <c r="D53" s="5">
        <f>IF('Journal'!D28="","",IFERROR(LEFT('Journal'!D28,FIND(" ",'Journal'!D28)-1),'Journal'!D28))</f>
        <v/>
      </c>
      <c r="E53" s="5">
        <f>IF('Journal'!D28="","",IFERROR(INDEX('Kontoplan'!$B$3:$B$302,MATCH('Journal'!D28,'Kontoplan'!$H$3:$H$302,0)),""))</f>
        <v/>
      </c>
      <c r="F53" s="20">
        <f>IF('Journal'!G28="","",'Journal'!G28)</f>
        <v/>
      </c>
      <c r="G53" s="20">
        <f>IF('Journal'!F28="","",'Journal'!F28)</f>
        <v/>
      </c>
      <c r="H53" s="5">
        <f>IF('Journal'!I28="","",'Journal'!I28)</f>
        <v/>
      </c>
    </row>
    <row r="54">
      <c r="A54" s="18">
        <f>IF('Journal'!A28="","",'Journal'!A28)</f>
        <v/>
      </c>
      <c r="B54" s="21">
        <f>IF('Journal'!B28="","",'Journal'!B28)</f>
        <v/>
      </c>
      <c r="C54" s="5">
        <f>IF('Journal'!C28="","",'Journal'!C28)</f>
        <v/>
      </c>
      <c r="D54" s="5">
        <f>IF('Journal'!E28="","",IFERROR(LEFT('Journal'!E28,FIND(" ",'Journal'!E28)-1),'Journal'!E28))</f>
        <v/>
      </c>
      <c r="E54" s="5">
        <f>IF('Journal'!E28="","",IFERROR(INDEX('Kontoplan'!$B$3:$B$302,MATCH('Journal'!E28,'Kontoplan'!$H$3:$H$302,0)),""))</f>
        <v/>
      </c>
      <c r="F54" s="20">
        <f>IF('Journal'!F28="","",'Journal'!F28)</f>
        <v/>
      </c>
      <c r="G54" s="20">
        <f>IF('Journal'!G28="","",'Journal'!G28)</f>
        <v/>
      </c>
      <c r="H54" s="5">
        <f>IF('Journal'!I28="","",'Journal'!I28)</f>
        <v/>
      </c>
    </row>
    <row r="55">
      <c r="A55" s="18">
        <f>IF('Journal'!A29="","",'Journal'!A29)</f>
        <v/>
      </c>
      <c r="B55" s="21">
        <f>IF('Journal'!B29="","",'Journal'!B29)</f>
        <v/>
      </c>
      <c r="C55" s="5">
        <f>IF('Journal'!C29="","",'Journal'!C29)</f>
        <v/>
      </c>
      <c r="D55" s="5">
        <f>IF('Journal'!D29="","",IFERROR(LEFT('Journal'!D29,FIND(" ",'Journal'!D29)-1),'Journal'!D29))</f>
        <v/>
      </c>
      <c r="E55" s="5">
        <f>IF('Journal'!D29="","",IFERROR(INDEX('Kontoplan'!$B$3:$B$302,MATCH('Journal'!D29,'Kontoplan'!$H$3:$H$302,0)),""))</f>
        <v/>
      </c>
      <c r="F55" s="20">
        <f>IF('Journal'!G29="","",'Journal'!G29)</f>
        <v/>
      </c>
      <c r="G55" s="20">
        <f>IF('Journal'!F29="","",'Journal'!F29)</f>
        <v/>
      </c>
      <c r="H55" s="5">
        <f>IF('Journal'!I29="","",'Journal'!I29)</f>
        <v/>
      </c>
    </row>
    <row r="56">
      <c r="A56" s="18">
        <f>IF('Journal'!A29="","",'Journal'!A29)</f>
        <v/>
      </c>
      <c r="B56" s="21">
        <f>IF('Journal'!B29="","",'Journal'!B29)</f>
        <v/>
      </c>
      <c r="C56" s="5">
        <f>IF('Journal'!C29="","",'Journal'!C29)</f>
        <v/>
      </c>
      <c r="D56" s="5">
        <f>IF('Journal'!E29="","",IFERROR(LEFT('Journal'!E29,FIND(" ",'Journal'!E29)-1),'Journal'!E29))</f>
        <v/>
      </c>
      <c r="E56" s="5">
        <f>IF('Journal'!E29="","",IFERROR(INDEX('Kontoplan'!$B$3:$B$302,MATCH('Journal'!E29,'Kontoplan'!$H$3:$H$302,0)),""))</f>
        <v/>
      </c>
      <c r="F56" s="20">
        <f>IF('Journal'!F29="","",'Journal'!F29)</f>
        <v/>
      </c>
      <c r="G56" s="20">
        <f>IF('Journal'!G29="","",'Journal'!G29)</f>
        <v/>
      </c>
      <c r="H56" s="5">
        <f>IF('Journal'!I29="","",'Journal'!I29)</f>
        <v/>
      </c>
    </row>
    <row r="57">
      <c r="A57" s="18">
        <f>IF('Journal'!A30="","",'Journal'!A30)</f>
        <v/>
      </c>
      <c r="B57" s="21">
        <f>IF('Journal'!B30="","",'Journal'!B30)</f>
        <v/>
      </c>
      <c r="C57" s="5">
        <f>IF('Journal'!C30="","",'Journal'!C30)</f>
        <v/>
      </c>
      <c r="D57" s="5">
        <f>IF('Journal'!D30="","",IFERROR(LEFT('Journal'!D30,FIND(" ",'Journal'!D30)-1),'Journal'!D30))</f>
        <v/>
      </c>
      <c r="E57" s="5">
        <f>IF('Journal'!D30="","",IFERROR(INDEX('Kontoplan'!$B$3:$B$302,MATCH('Journal'!D30,'Kontoplan'!$H$3:$H$302,0)),""))</f>
        <v/>
      </c>
      <c r="F57" s="20">
        <f>IF('Journal'!G30="","",'Journal'!G30)</f>
        <v/>
      </c>
      <c r="G57" s="20">
        <f>IF('Journal'!F30="","",'Journal'!F30)</f>
        <v/>
      </c>
      <c r="H57" s="5">
        <f>IF('Journal'!I30="","",'Journal'!I30)</f>
        <v/>
      </c>
    </row>
    <row r="58">
      <c r="A58" s="18">
        <f>IF('Journal'!A30="","",'Journal'!A30)</f>
        <v/>
      </c>
      <c r="B58" s="21">
        <f>IF('Journal'!B30="","",'Journal'!B30)</f>
        <v/>
      </c>
      <c r="C58" s="5">
        <f>IF('Journal'!C30="","",'Journal'!C30)</f>
        <v/>
      </c>
      <c r="D58" s="5">
        <f>IF('Journal'!E30="","",IFERROR(LEFT('Journal'!E30,FIND(" ",'Journal'!E30)-1),'Journal'!E30))</f>
        <v/>
      </c>
      <c r="E58" s="5">
        <f>IF('Journal'!E30="","",IFERROR(INDEX('Kontoplan'!$B$3:$B$302,MATCH('Journal'!E30,'Kontoplan'!$H$3:$H$302,0)),""))</f>
        <v/>
      </c>
      <c r="F58" s="20">
        <f>IF('Journal'!F30="","",'Journal'!F30)</f>
        <v/>
      </c>
      <c r="G58" s="20">
        <f>IF('Journal'!G30="","",'Journal'!G30)</f>
        <v/>
      </c>
      <c r="H58" s="5">
        <f>IF('Journal'!I30="","",'Journal'!I30)</f>
        <v/>
      </c>
    </row>
    <row r="59">
      <c r="A59" s="18">
        <f>IF('Journal'!A31="","",'Journal'!A31)</f>
        <v/>
      </c>
      <c r="B59" s="21">
        <f>IF('Journal'!B31="","",'Journal'!B31)</f>
        <v/>
      </c>
      <c r="C59" s="5">
        <f>IF('Journal'!C31="","",'Journal'!C31)</f>
        <v/>
      </c>
      <c r="D59" s="5">
        <f>IF('Journal'!D31="","",IFERROR(LEFT('Journal'!D31,FIND(" ",'Journal'!D31)-1),'Journal'!D31))</f>
        <v/>
      </c>
      <c r="E59" s="5">
        <f>IF('Journal'!D31="","",IFERROR(INDEX('Kontoplan'!$B$3:$B$302,MATCH('Journal'!D31,'Kontoplan'!$H$3:$H$302,0)),""))</f>
        <v/>
      </c>
      <c r="F59" s="20">
        <f>IF('Journal'!G31="","",'Journal'!G31)</f>
        <v/>
      </c>
      <c r="G59" s="20">
        <f>IF('Journal'!F31="","",'Journal'!F31)</f>
        <v/>
      </c>
      <c r="H59" s="5">
        <f>IF('Journal'!I31="","",'Journal'!I31)</f>
        <v/>
      </c>
    </row>
    <row r="60">
      <c r="A60" s="18">
        <f>IF('Journal'!A31="","",'Journal'!A31)</f>
        <v/>
      </c>
      <c r="B60" s="21">
        <f>IF('Journal'!B31="","",'Journal'!B31)</f>
        <v/>
      </c>
      <c r="C60" s="5">
        <f>IF('Journal'!C31="","",'Journal'!C31)</f>
        <v/>
      </c>
      <c r="D60" s="5">
        <f>IF('Journal'!E31="","",IFERROR(LEFT('Journal'!E31,FIND(" ",'Journal'!E31)-1),'Journal'!E31))</f>
        <v/>
      </c>
      <c r="E60" s="5">
        <f>IF('Journal'!E31="","",IFERROR(INDEX('Kontoplan'!$B$3:$B$302,MATCH('Journal'!E31,'Kontoplan'!$H$3:$H$302,0)),""))</f>
        <v/>
      </c>
      <c r="F60" s="20">
        <f>IF('Journal'!F31="","",'Journal'!F31)</f>
        <v/>
      </c>
      <c r="G60" s="20">
        <f>IF('Journal'!G31="","",'Journal'!G31)</f>
        <v/>
      </c>
      <c r="H60" s="5">
        <f>IF('Journal'!I31="","",'Journal'!I31)</f>
        <v/>
      </c>
    </row>
    <row r="61">
      <c r="A61" s="18">
        <f>IF('Journal'!A32="","",'Journal'!A32)</f>
        <v/>
      </c>
      <c r="B61" s="21">
        <f>IF('Journal'!B32="","",'Journal'!B32)</f>
        <v/>
      </c>
      <c r="C61" s="5">
        <f>IF('Journal'!C32="","",'Journal'!C32)</f>
        <v/>
      </c>
      <c r="D61" s="5">
        <f>IF('Journal'!D32="","",IFERROR(LEFT('Journal'!D32,FIND(" ",'Journal'!D32)-1),'Journal'!D32))</f>
        <v/>
      </c>
      <c r="E61" s="5">
        <f>IF('Journal'!D32="","",IFERROR(INDEX('Kontoplan'!$B$3:$B$302,MATCH('Journal'!D32,'Kontoplan'!$H$3:$H$302,0)),""))</f>
        <v/>
      </c>
      <c r="F61" s="20">
        <f>IF('Journal'!G32="","",'Journal'!G32)</f>
        <v/>
      </c>
      <c r="G61" s="20">
        <f>IF('Journal'!F32="","",'Journal'!F32)</f>
        <v/>
      </c>
      <c r="H61" s="5">
        <f>IF('Journal'!I32="","",'Journal'!I32)</f>
        <v/>
      </c>
    </row>
    <row r="62">
      <c r="A62" s="18">
        <f>IF('Journal'!A32="","",'Journal'!A32)</f>
        <v/>
      </c>
      <c r="B62" s="21">
        <f>IF('Journal'!B32="","",'Journal'!B32)</f>
        <v/>
      </c>
      <c r="C62" s="5">
        <f>IF('Journal'!C32="","",'Journal'!C32)</f>
        <v/>
      </c>
      <c r="D62" s="5">
        <f>IF('Journal'!E32="","",IFERROR(LEFT('Journal'!E32,FIND(" ",'Journal'!E32)-1),'Journal'!E32))</f>
        <v/>
      </c>
      <c r="E62" s="5">
        <f>IF('Journal'!E32="","",IFERROR(INDEX('Kontoplan'!$B$3:$B$302,MATCH('Journal'!E32,'Kontoplan'!$H$3:$H$302,0)),""))</f>
        <v/>
      </c>
      <c r="F62" s="20">
        <f>IF('Journal'!F32="","",'Journal'!F32)</f>
        <v/>
      </c>
      <c r="G62" s="20">
        <f>IF('Journal'!G32="","",'Journal'!G32)</f>
        <v/>
      </c>
      <c r="H62" s="5">
        <f>IF('Journal'!I32="","",'Journal'!I32)</f>
        <v/>
      </c>
    </row>
    <row r="63">
      <c r="A63" s="18">
        <f>IF('Journal'!A33="","",'Journal'!A33)</f>
        <v/>
      </c>
      <c r="B63" s="21">
        <f>IF('Journal'!B33="","",'Journal'!B33)</f>
        <v/>
      </c>
      <c r="C63" s="5">
        <f>IF('Journal'!C33="","",'Journal'!C33)</f>
        <v/>
      </c>
      <c r="D63" s="5">
        <f>IF('Journal'!D33="","",IFERROR(LEFT('Journal'!D33,FIND(" ",'Journal'!D33)-1),'Journal'!D33))</f>
        <v/>
      </c>
      <c r="E63" s="5">
        <f>IF('Journal'!D33="","",IFERROR(INDEX('Kontoplan'!$B$3:$B$302,MATCH('Journal'!D33,'Kontoplan'!$H$3:$H$302,0)),""))</f>
        <v/>
      </c>
      <c r="F63" s="20">
        <f>IF('Journal'!G33="","",'Journal'!G33)</f>
        <v/>
      </c>
      <c r="G63" s="20">
        <f>IF('Journal'!F33="","",'Journal'!F33)</f>
        <v/>
      </c>
      <c r="H63" s="5">
        <f>IF('Journal'!I33="","",'Journal'!I33)</f>
        <v/>
      </c>
    </row>
    <row r="64">
      <c r="A64" s="18">
        <f>IF('Journal'!A33="","",'Journal'!A33)</f>
        <v/>
      </c>
      <c r="B64" s="21">
        <f>IF('Journal'!B33="","",'Journal'!B33)</f>
        <v/>
      </c>
      <c r="C64" s="5">
        <f>IF('Journal'!C33="","",'Journal'!C33)</f>
        <v/>
      </c>
      <c r="D64" s="5">
        <f>IF('Journal'!E33="","",IFERROR(LEFT('Journal'!E33,FIND(" ",'Journal'!E33)-1),'Journal'!E33))</f>
        <v/>
      </c>
      <c r="E64" s="5">
        <f>IF('Journal'!E33="","",IFERROR(INDEX('Kontoplan'!$B$3:$B$302,MATCH('Journal'!E33,'Kontoplan'!$H$3:$H$302,0)),""))</f>
        <v/>
      </c>
      <c r="F64" s="20">
        <f>IF('Journal'!F33="","",'Journal'!F33)</f>
        <v/>
      </c>
      <c r="G64" s="20">
        <f>IF('Journal'!G33="","",'Journal'!G33)</f>
        <v/>
      </c>
      <c r="H64" s="5">
        <f>IF('Journal'!I33="","",'Journal'!I33)</f>
        <v/>
      </c>
    </row>
    <row r="65">
      <c r="A65" s="18">
        <f>IF('Journal'!A34="","",'Journal'!A34)</f>
        <v/>
      </c>
      <c r="B65" s="21">
        <f>IF('Journal'!B34="","",'Journal'!B34)</f>
        <v/>
      </c>
      <c r="C65" s="5">
        <f>IF('Journal'!C34="","",'Journal'!C34)</f>
        <v/>
      </c>
      <c r="D65" s="5">
        <f>IF('Journal'!D34="","",IFERROR(LEFT('Journal'!D34,FIND(" ",'Journal'!D34)-1),'Journal'!D34))</f>
        <v/>
      </c>
      <c r="E65" s="5">
        <f>IF('Journal'!D34="","",IFERROR(INDEX('Kontoplan'!$B$3:$B$302,MATCH('Journal'!D34,'Kontoplan'!$H$3:$H$302,0)),""))</f>
        <v/>
      </c>
      <c r="F65" s="20">
        <f>IF('Journal'!G34="","",'Journal'!G34)</f>
        <v/>
      </c>
      <c r="G65" s="20">
        <f>IF('Journal'!F34="","",'Journal'!F34)</f>
        <v/>
      </c>
      <c r="H65" s="5">
        <f>IF('Journal'!I34="","",'Journal'!I34)</f>
        <v/>
      </c>
    </row>
    <row r="66">
      <c r="A66" s="18">
        <f>IF('Journal'!A34="","",'Journal'!A34)</f>
        <v/>
      </c>
      <c r="B66" s="21">
        <f>IF('Journal'!B34="","",'Journal'!B34)</f>
        <v/>
      </c>
      <c r="C66" s="5">
        <f>IF('Journal'!C34="","",'Journal'!C34)</f>
        <v/>
      </c>
      <c r="D66" s="5">
        <f>IF('Journal'!E34="","",IFERROR(LEFT('Journal'!E34,FIND(" ",'Journal'!E34)-1),'Journal'!E34))</f>
        <v/>
      </c>
      <c r="E66" s="5">
        <f>IF('Journal'!E34="","",IFERROR(INDEX('Kontoplan'!$B$3:$B$302,MATCH('Journal'!E34,'Kontoplan'!$H$3:$H$302,0)),""))</f>
        <v/>
      </c>
      <c r="F66" s="20">
        <f>IF('Journal'!F34="","",'Journal'!F34)</f>
        <v/>
      </c>
      <c r="G66" s="20">
        <f>IF('Journal'!G34="","",'Journal'!G34)</f>
        <v/>
      </c>
      <c r="H66" s="5">
        <f>IF('Journal'!I34="","",'Journal'!I34)</f>
        <v/>
      </c>
    </row>
    <row r="67">
      <c r="A67" s="18">
        <f>IF('Journal'!A35="","",'Journal'!A35)</f>
        <v/>
      </c>
      <c r="B67" s="21">
        <f>IF('Journal'!B35="","",'Journal'!B35)</f>
        <v/>
      </c>
      <c r="C67" s="5">
        <f>IF('Journal'!C35="","",'Journal'!C35)</f>
        <v/>
      </c>
      <c r="D67" s="5">
        <f>IF('Journal'!D35="","",IFERROR(LEFT('Journal'!D35,FIND(" ",'Journal'!D35)-1),'Journal'!D35))</f>
        <v/>
      </c>
      <c r="E67" s="5">
        <f>IF('Journal'!D35="","",IFERROR(INDEX('Kontoplan'!$B$3:$B$302,MATCH('Journal'!D35,'Kontoplan'!$H$3:$H$302,0)),""))</f>
        <v/>
      </c>
      <c r="F67" s="20">
        <f>IF('Journal'!G35="","",'Journal'!G35)</f>
        <v/>
      </c>
      <c r="G67" s="20">
        <f>IF('Journal'!F35="","",'Journal'!F35)</f>
        <v/>
      </c>
      <c r="H67" s="5">
        <f>IF('Journal'!I35="","",'Journal'!I35)</f>
        <v/>
      </c>
    </row>
    <row r="68">
      <c r="A68" s="18">
        <f>IF('Journal'!A35="","",'Journal'!A35)</f>
        <v/>
      </c>
      <c r="B68" s="21">
        <f>IF('Journal'!B35="","",'Journal'!B35)</f>
        <v/>
      </c>
      <c r="C68" s="5">
        <f>IF('Journal'!C35="","",'Journal'!C35)</f>
        <v/>
      </c>
      <c r="D68" s="5">
        <f>IF('Journal'!E35="","",IFERROR(LEFT('Journal'!E35,FIND(" ",'Journal'!E35)-1),'Journal'!E35))</f>
        <v/>
      </c>
      <c r="E68" s="5">
        <f>IF('Journal'!E35="","",IFERROR(INDEX('Kontoplan'!$B$3:$B$302,MATCH('Journal'!E35,'Kontoplan'!$H$3:$H$302,0)),""))</f>
        <v/>
      </c>
      <c r="F68" s="20">
        <f>IF('Journal'!F35="","",'Journal'!F35)</f>
        <v/>
      </c>
      <c r="G68" s="20">
        <f>IF('Journal'!G35="","",'Journal'!G35)</f>
        <v/>
      </c>
      <c r="H68" s="5">
        <f>IF('Journal'!I35="","",'Journal'!I35)</f>
        <v/>
      </c>
    </row>
    <row r="69">
      <c r="A69" s="18">
        <f>IF('Journal'!A36="","",'Journal'!A36)</f>
        <v/>
      </c>
      <c r="B69" s="21">
        <f>IF('Journal'!B36="","",'Journal'!B36)</f>
        <v/>
      </c>
      <c r="C69" s="5">
        <f>IF('Journal'!C36="","",'Journal'!C36)</f>
        <v/>
      </c>
      <c r="D69" s="5">
        <f>IF('Journal'!D36="","",IFERROR(LEFT('Journal'!D36,FIND(" ",'Journal'!D36)-1),'Journal'!D36))</f>
        <v/>
      </c>
      <c r="E69" s="5">
        <f>IF('Journal'!D36="","",IFERROR(INDEX('Kontoplan'!$B$3:$B$302,MATCH('Journal'!D36,'Kontoplan'!$H$3:$H$302,0)),""))</f>
        <v/>
      </c>
      <c r="F69" s="20">
        <f>IF('Journal'!G36="","",'Journal'!G36)</f>
        <v/>
      </c>
      <c r="G69" s="20">
        <f>IF('Journal'!F36="","",'Journal'!F36)</f>
        <v/>
      </c>
      <c r="H69" s="5">
        <f>IF('Journal'!I36="","",'Journal'!I36)</f>
        <v/>
      </c>
    </row>
    <row r="70">
      <c r="A70" s="18">
        <f>IF('Journal'!A36="","",'Journal'!A36)</f>
        <v/>
      </c>
      <c r="B70" s="21">
        <f>IF('Journal'!B36="","",'Journal'!B36)</f>
        <v/>
      </c>
      <c r="C70" s="5">
        <f>IF('Journal'!C36="","",'Journal'!C36)</f>
        <v/>
      </c>
      <c r="D70" s="5">
        <f>IF('Journal'!E36="","",IFERROR(LEFT('Journal'!E36,FIND(" ",'Journal'!E36)-1),'Journal'!E36))</f>
        <v/>
      </c>
      <c r="E70" s="5">
        <f>IF('Journal'!E36="","",IFERROR(INDEX('Kontoplan'!$B$3:$B$302,MATCH('Journal'!E36,'Kontoplan'!$H$3:$H$302,0)),""))</f>
        <v/>
      </c>
      <c r="F70" s="20">
        <f>IF('Journal'!F36="","",'Journal'!F36)</f>
        <v/>
      </c>
      <c r="G70" s="20">
        <f>IF('Journal'!G36="","",'Journal'!G36)</f>
        <v/>
      </c>
      <c r="H70" s="5">
        <f>IF('Journal'!I36="","",'Journal'!I36)</f>
        <v/>
      </c>
    </row>
    <row r="71">
      <c r="A71" s="18">
        <f>IF('Journal'!A37="","",'Journal'!A37)</f>
        <v/>
      </c>
      <c r="B71" s="21">
        <f>IF('Journal'!B37="","",'Journal'!B37)</f>
        <v/>
      </c>
      <c r="C71" s="5">
        <f>IF('Journal'!C37="","",'Journal'!C37)</f>
        <v/>
      </c>
      <c r="D71" s="5">
        <f>IF('Journal'!D37="","",IFERROR(LEFT('Journal'!D37,FIND(" ",'Journal'!D37)-1),'Journal'!D37))</f>
        <v/>
      </c>
      <c r="E71" s="5">
        <f>IF('Journal'!D37="","",IFERROR(INDEX('Kontoplan'!$B$3:$B$302,MATCH('Journal'!D37,'Kontoplan'!$H$3:$H$302,0)),""))</f>
        <v/>
      </c>
      <c r="F71" s="20">
        <f>IF('Journal'!G37="","",'Journal'!G37)</f>
        <v/>
      </c>
      <c r="G71" s="20">
        <f>IF('Journal'!F37="","",'Journal'!F37)</f>
        <v/>
      </c>
      <c r="H71" s="5">
        <f>IF('Journal'!I37="","",'Journal'!I37)</f>
        <v/>
      </c>
    </row>
    <row r="72">
      <c r="A72" s="18">
        <f>IF('Journal'!A37="","",'Journal'!A37)</f>
        <v/>
      </c>
      <c r="B72" s="21">
        <f>IF('Journal'!B37="","",'Journal'!B37)</f>
        <v/>
      </c>
      <c r="C72" s="5">
        <f>IF('Journal'!C37="","",'Journal'!C37)</f>
        <v/>
      </c>
      <c r="D72" s="5">
        <f>IF('Journal'!E37="","",IFERROR(LEFT('Journal'!E37,FIND(" ",'Journal'!E37)-1),'Journal'!E37))</f>
        <v/>
      </c>
      <c r="E72" s="5">
        <f>IF('Journal'!E37="","",IFERROR(INDEX('Kontoplan'!$B$3:$B$302,MATCH('Journal'!E37,'Kontoplan'!$H$3:$H$302,0)),""))</f>
        <v/>
      </c>
      <c r="F72" s="20">
        <f>IF('Journal'!F37="","",'Journal'!F37)</f>
        <v/>
      </c>
      <c r="G72" s="20">
        <f>IF('Journal'!G37="","",'Journal'!G37)</f>
        <v/>
      </c>
      <c r="H72" s="5">
        <f>IF('Journal'!I37="","",'Journal'!I37)</f>
        <v/>
      </c>
    </row>
    <row r="73">
      <c r="A73" s="18">
        <f>IF('Journal'!A38="","",'Journal'!A38)</f>
        <v/>
      </c>
      <c r="B73" s="21">
        <f>IF('Journal'!B38="","",'Journal'!B38)</f>
        <v/>
      </c>
      <c r="C73" s="5">
        <f>IF('Journal'!C38="","",'Journal'!C38)</f>
        <v/>
      </c>
      <c r="D73" s="5">
        <f>IF('Journal'!D38="","",IFERROR(LEFT('Journal'!D38,FIND(" ",'Journal'!D38)-1),'Journal'!D38))</f>
        <v/>
      </c>
      <c r="E73" s="5">
        <f>IF('Journal'!D38="","",IFERROR(INDEX('Kontoplan'!$B$3:$B$302,MATCH('Journal'!D38,'Kontoplan'!$H$3:$H$302,0)),""))</f>
        <v/>
      </c>
      <c r="F73" s="20">
        <f>IF('Journal'!G38="","",'Journal'!G38)</f>
        <v/>
      </c>
      <c r="G73" s="20">
        <f>IF('Journal'!F38="","",'Journal'!F38)</f>
        <v/>
      </c>
      <c r="H73" s="5">
        <f>IF('Journal'!I38="","",'Journal'!I38)</f>
        <v/>
      </c>
    </row>
    <row r="74">
      <c r="A74" s="18">
        <f>IF('Journal'!A38="","",'Journal'!A38)</f>
        <v/>
      </c>
      <c r="B74" s="21">
        <f>IF('Journal'!B38="","",'Journal'!B38)</f>
        <v/>
      </c>
      <c r="C74" s="5">
        <f>IF('Journal'!C38="","",'Journal'!C38)</f>
        <v/>
      </c>
      <c r="D74" s="5">
        <f>IF('Journal'!E38="","",IFERROR(LEFT('Journal'!E38,FIND(" ",'Journal'!E38)-1),'Journal'!E38))</f>
        <v/>
      </c>
      <c r="E74" s="5">
        <f>IF('Journal'!E38="","",IFERROR(INDEX('Kontoplan'!$B$3:$B$302,MATCH('Journal'!E38,'Kontoplan'!$H$3:$H$302,0)),""))</f>
        <v/>
      </c>
      <c r="F74" s="20">
        <f>IF('Journal'!F38="","",'Journal'!F38)</f>
        <v/>
      </c>
      <c r="G74" s="20">
        <f>IF('Journal'!G38="","",'Journal'!G38)</f>
        <v/>
      </c>
      <c r="H74" s="5">
        <f>IF('Journal'!I38="","",'Journal'!I38)</f>
        <v/>
      </c>
    </row>
    <row r="75">
      <c r="A75" s="18">
        <f>IF('Journal'!A39="","",'Journal'!A39)</f>
        <v/>
      </c>
      <c r="B75" s="21">
        <f>IF('Journal'!B39="","",'Journal'!B39)</f>
        <v/>
      </c>
      <c r="C75" s="5">
        <f>IF('Journal'!C39="","",'Journal'!C39)</f>
        <v/>
      </c>
      <c r="D75" s="5">
        <f>IF('Journal'!D39="","",IFERROR(LEFT('Journal'!D39,FIND(" ",'Journal'!D39)-1),'Journal'!D39))</f>
        <v/>
      </c>
      <c r="E75" s="5">
        <f>IF('Journal'!D39="","",IFERROR(INDEX('Kontoplan'!$B$3:$B$302,MATCH('Journal'!D39,'Kontoplan'!$H$3:$H$302,0)),""))</f>
        <v/>
      </c>
      <c r="F75" s="20">
        <f>IF('Journal'!G39="","",'Journal'!G39)</f>
        <v/>
      </c>
      <c r="G75" s="20">
        <f>IF('Journal'!F39="","",'Journal'!F39)</f>
        <v/>
      </c>
      <c r="H75" s="5">
        <f>IF('Journal'!I39="","",'Journal'!I39)</f>
        <v/>
      </c>
    </row>
    <row r="76">
      <c r="A76" s="18">
        <f>IF('Journal'!A39="","",'Journal'!A39)</f>
        <v/>
      </c>
      <c r="B76" s="21">
        <f>IF('Journal'!B39="","",'Journal'!B39)</f>
        <v/>
      </c>
      <c r="C76" s="5">
        <f>IF('Journal'!C39="","",'Journal'!C39)</f>
        <v/>
      </c>
      <c r="D76" s="5">
        <f>IF('Journal'!E39="","",IFERROR(LEFT('Journal'!E39,FIND(" ",'Journal'!E39)-1),'Journal'!E39))</f>
        <v/>
      </c>
      <c r="E76" s="5">
        <f>IF('Journal'!E39="","",IFERROR(INDEX('Kontoplan'!$B$3:$B$302,MATCH('Journal'!E39,'Kontoplan'!$H$3:$H$302,0)),""))</f>
        <v/>
      </c>
      <c r="F76" s="20">
        <f>IF('Journal'!F39="","",'Journal'!F39)</f>
        <v/>
      </c>
      <c r="G76" s="20">
        <f>IF('Journal'!G39="","",'Journal'!G39)</f>
        <v/>
      </c>
      <c r="H76" s="5">
        <f>IF('Journal'!I39="","",'Journal'!I39)</f>
        <v/>
      </c>
    </row>
    <row r="77">
      <c r="A77" s="18">
        <f>IF('Journal'!A40="","",'Journal'!A40)</f>
        <v/>
      </c>
      <c r="B77" s="21">
        <f>IF('Journal'!B40="","",'Journal'!B40)</f>
        <v/>
      </c>
      <c r="C77" s="5">
        <f>IF('Journal'!C40="","",'Journal'!C40)</f>
        <v/>
      </c>
      <c r="D77" s="5">
        <f>IF('Journal'!D40="","",IFERROR(LEFT('Journal'!D40,FIND(" ",'Journal'!D40)-1),'Journal'!D40))</f>
        <v/>
      </c>
      <c r="E77" s="5">
        <f>IF('Journal'!D40="","",IFERROR(INDEX('Kontoplan'!$B$3:$B$302,MATCH('Journal'!D40,'Kontoplan'!$H$3:$H$302,0)),""))</f>
        <v/>
      </c>
      <c r="F77" s="20">
        <f>IF('Journal'!G40="","",'Journal'!G40)</f>
        <v/>
      </c>
      <c r="G77" s="20">
        <f>IF('Journal'!F40="","",'Journal'!F40)</f>
        <v/>
      </c>
      <c r="H77" s="5">
        <f>IF('Journal'!I40="","",'Journal'!I40)</f>
        <v/>
      </c>
    </row>
    <row r="78">
      <c r="A78" s="18">
        <f>IF('Journal'!A40="","",'Journal'!A40)</f>
        <v/>
      </c>
      <c r="B78" s="21">
        <f>IF('Journal'!B40="","",'Journal'!B40)</f>
        <v/>
      </c>
      <c r="C78" s="5">
        <f>IF('Journal'!C40="","",'Journal'!C40)</f>
        <v/>
      </c>
      <c r="D78" s="5">
        <f>IF('Journal'!E40="","",IFERROR(LEFT('Journal'!E40,FIND(" ",'Journal'!E40)-1),'Journal'!E40))</f>
        <v/>
      </c>
      <c r="E78" s="5">
        <f>IF('Journal'!E40="","",IFERROR(INDEX('Kontoplan'!$B$3:$B$302,MATCH('Journal'!E40,'Kontoplan'!$H$3:$H$302,0)),""))</f>
        <v/>
      </c>
      <c r="F78" s="20">
        <f>IF('Journal'!F40="","",'Journal'!F40)</f>
        <v/>
      </c>
      <c r="G78" s="20">
        <f>IF('Journal'!G40="","",'Journal'!G40)</f>
        <v/>
      </c>
      <c r="H78" s="5">
        <f>IF('Journal'!I40="","",'Journal'!I40)</f>
        <v/>
      </c>
    </row>
    <row r="79">
      <c r="A79" s="18">
        <f>IF('Journal'!A41="","",'Journal'!A41)</f>
        <v/>
      </c>
      <c r="B79" s="21">
        <f>IF('Journal'!B41="","",'Journal'!B41)</f>
        <v/>
      </c>
      <c r="C79" s="5">
        <f>IF('Journal'!C41="","",'Journal'!C41)</f>
        <v/>
      </c>
      <c r="D79" s="5">
        <f>IF('Journal'!D41="","",IFERROR(LEFT('Journal'!D41,FIND(" ",'Journal'!D41)-1),'Journal'!D41))</f>
        <v/>
      </c>
      <c r="E79" s="5">
        <f>IF('Journal'!D41="","",IFERROR(INDEX('Kontoplan'!$B$3:$B$302,MATCH('Journal'!D41,'Kontoplan'!$H$3:$H$302,0)),""))</f>
        <v/>
      </c>
      <c r="F79" s="20">
        <f>IF('Journal'!G41="","",'Journal'!G41)</f>
        <v/>
      </c>
      <c r="G79" s="20">
        <f>IF('Journal'!F41="","",'Journal'!F41)</f>
        <v/>
      </c>
      <c r="H79" s="5">
        <f>IF('Journal'!I41="","",'Journal'!I41)</f>
        <v/>
      </c>
    </row>
    <row r="80">
      <c r="A80" s="18">
        <f>IF('Journal'!A41="","",'Journal'!A41)</f>
        <v/>
      </c>
      <c r="B80" s="21">
        <f>IF('Journal'!B41="","",'Journal'!B41)</f>
        <v/>
      </c>
      <c r="C80" s="5">
        <f>IF('Journal'!C41="","",'Journal'!C41)</f>
        <v/>
      </c>
      <c r="D80" s="5">
        <f>IF('Journal'!E41="","",IFERROR(LEFT('Journal'!E41,FIND(" ",'Journal'!E41)-1),'Journal'!E41))</f>
        <v/>
      </c>
      <c r="E80" s="5">
        <f>IF('Journal'!E41="","",IFERROR(INDEX('Kontoplan'!$B$3:$B$302,MATCH('Journal'!E41,'Kontoplan'!$H$3:$H$302,0)),""))</f>
        <v/>
      </c>
      <c r="F80" s="20">
        <f>IF('Journal'!F41="","",'Journal'!F41)</f>
        <v/>
      </c>
      <c r="G80" s="20">
        <f>IF('Journal'!G41="","",'Journal'!G41)</f>
        <v/>
      </c>
      <c r="H80" s="5">
        <f>IF('Journal'!I41="","",'Journal'!I41)</f>
        <v/>
      </c>
    </row>
    <row r="81">
      <c r="A81" s="18">
        <f>IF('Journal'!A42="","",'Journal'!A42)</f>
        <v/>
      </c>
      <c r="B81" s="21">
        <f>IF('Journal'!B42="","",'Journal'!B42)</f>
        <v/>
      </c>
      <c r="C81" s="5">
        <f>IF('Journal'!C42="","",'Journal'!C42)</f>
        <v/>
      </c>
      <c r="D81" s="5">
        <f>IF('Journal'!D42="","",IFERROR(LEFT('Journal'!D42,FIND(" ",'Journal'!D42)-1),'Journal'!D42))</f>
        <v/>
      </c>
      <c r="E81" s="5">
        <f>IF('Journal'!D42="","",IFERROR(INDEX('Kontoplan'!$B$3:$B$302,MATCH('Journal'!D42,'Kontoplan'!$H$3:$H$302,0)),""))</f>
        <v/>
      </c>
      <c r="F81" s="20">
        <f>IF('Journal'!G42="","",'Journal'!G42)</f>
        <v/>
      </c>
      <c r="G81" s="20">
        <f>IF('Journal'!F42="","",'Journal'!F42)</f>
        <v/>
      </c>
      <c r="H81" s="5">
        <f>IF('Journal'!I42="","",'Journal'!I42)</f>
        <v/>
      </c>
    </row>
    <row r="82">
      <c r="A82" s="18">
        <f>IF('Journal'!A42="","",'Journal'!A42)</f>
        <v/>
      </c>
      <c r="B82" s="21">
        <f>IF('Journal'!B42="","",'Journal'!B42)</f>
        <v/>
      </c>
      <c r="C82" s="5">
        <f>IF('Journal'!C42="","",'Journal'!C42)</f>
        <v/>
      </c>
      <c r="D82" s="5">
        <f>IF('Journal'!E42="","",IFERROR(LEFT('Journal'!E42,FIND(" ",'Journal'!E42)-1),'Journal'!E42))</f>
        <v/>
      </c>
      <c r="E82" s="5">
        <f>IF('Journal'!E42="","",IFERROR(INDEX('Kontoplan'!$B$3:$B$302,MATCH('Journal'!E42,'Kontoplan'!$H$3:$H$302,0)),""))</f>
        <v/>
      </c>
      <c r="F82" s="20">
        <f>IF('Journal'!F42="","",'Journal'!F42)</f>
        <v/>
      </c>
      <c r="G82" s="20">
        <f>IF('Journal'!G42="","",'Journal'!G42)</f>
        <v/>
      </c>
      <c r="H82" s="5">
        <f>IF('Journal'!I42="","",'Journal'!I42)</f>
        <v/>
      </c>
    </row>
    <row r="83">
      <c r="A83" s="18">
        <f>IF('Journal'!A43="","",'Journal'!A43)</f>
        <v/>
      </c>
      <c r="B83" s="21">
        <f>IF('Journal'!B43="","",'Journal'!B43)</f>
        <v/>
      </c>
      <c r="C83" s="5">
        <f>IF('Journal'!C43="","",'Journal'!C43)</f>
        <v/>
      </c>
      <c r="D83" s="5">
        <f>IF('Journal'!D43="","",IFERROR(LEFT('Journal'!D43,FIND(" ",'Journal'!D43)-1),'Journal'!D43))</f>
        <v/>
      </c>
      <c r="E83" s="5">
        <f>IF('Journal'!D43="","",IFERROR(INDEX('Kontoplan'!$B$3:$B$302,MATCH('Journal'!D43,'Kontoplan'!$H$3:$H$302,0)),""))</f>
        <v/>
      </c>
      <c r="F83" s="20">
        <f>IF('Journal'!G43="","",'Journal'!G43)</f>
        <v/>
      </c>
      <c r="G83" s="20">
        <f>IF('Journal'!F43="","",'Journal'!F43)</f>
        <v/>
      </c>
      <c r="H83" s="5">
        <f>IF('Journal'!I43="","",'Journal'!I43)</f>
        <v/>
      </c>
    </row>
    <row r="84">
      <c r="A84" s="18">
        <f>IF('Journal'!A43="","",'Journal'!A43)</f>
        <v/>
      </c>
      <c r="B84" s="21">
        <f>IF('Journal'!B43="","",'Journal'!B43)</f>
        <v/>
      </c>
      <c r="C84" s="5">
        <f>IF('Journal'!C43="","",'Journal'!C43)</f>
        <v/>
      </c>
      <c r="D84" s="5">
        <f>IF('Journal'!E43="","",IFERROR(LEFT('Journal'!E43,FIND(" ",'Journal'!E43)-1),'Journal'!E43))</f>
        <v/>
      </c>
      <c r="E84" s="5">
        <f>IF('Journal'!E43="","",IFERROR(INDEX('Kontoplan'!$B$3:$B$302,MATCH('Journal'!E43,'Kontoplan'!$H$3:$H$302,0)),""))</f>
        <v/>
      </c>
      <c r="F84" s="20">
        <f>IF('Journal'!F43="","",'Journal'!F43)</f>
        <v/>
      </c>
      <c r="G84" s="20">
        <f>IF('Journal'!G43="","",'Journal'!G43)</f>
        <v/>
      </c>
      <c r="H84" s="5">
        <f>IF('Journal'!I43="","",'Journal'!I43)</f>
        <v/>
      </c>
    </row>
    <row r="85">
      <c r="A85" s="18">
        <f>IF('Journal'!A44="","",'Journal'!A44)</f>
        <v/>
      </c>
      <c r="B85" s="21">
        <f>IF('Journal'!B44="","",'Journal'!B44)</f>
        <v/>
      </c>
      <c r="C85" s="5">
        <f>IF('Journal'!C44="","",'Journal'!C44)</f>
        <v/>
      </c>
      <c r="D85" s="5">
        <f>IF('Journal'!D44="","",IFERROR(LEFT('Journal'!D44,FIND(" ",'Journal'!D44)-1),'Journal'!D44))</f>
        <v/>
      </c>
      <c r="E85" s="5">
        <f>IF('Journal'!D44="","",IFERROR(INDEX('Kontoplan'!$B$3:$B$302,MATCH('Journal'!D44,'Kontoplan'!$H$3:$H$302,0)),""))</f>
        <v/>
      </c>
      <c r="F85" s="20">
        <f>IF('Journal'!G44="","",'Journal'!G44)</f>
        <v/>
      </c>
      <c r="G85" s="20">
        <f>IF('Journal'!F44="","",'Journal'!F44)</f>
        <v/>
      </c>
      <c r="H85" s="5">
        <f>IF('Journal'!I44="","",'Journal'!I44)</f>
        <v/>
      </c>
    </row>
    <row r="86">
      <c r="A86" s="18">
        <f>IF('Journal'!A44="","",'Journal'!A44)</f>
        <v/>
      </c>
      <c r="B86" s="21">
        <f>IF('Journal'!B44="","",'Journal'!B44)</f>
        <v/>
      </c>
      <c r="C86" s="5">
        <f>IF('Journal'!C44="","",'Journal'!C44)</f>
        <v/>
      </c>
      <c r="D86" s="5">
        <f>IF('Journal'!E44="","",IFERROR(LEFT('Journal'!E44,FIND(" ",'Journal'!E44)-1),'Journal'!E44))</f>
        <v/>
      </c>
      <c r="E86" s="5">
        <f>IF('Journal'!E44="","",IFERROR(INDEX('Kontoplan'!$B$3:$B$302,MATCH('Journal'!E44,'Kontoplan'!$H$3:$H$302,0)),""))</f>
        <v/>
      </c>
      <c r="F86" s="20">
        <f>IF('Journal'!F44="","",'Journal'!F44)</f>
        <v/>
      </c>
      <c r="G86" s="20">
        <f>IF('Journal'!G44="","",'Journal'!G44)</f>
        <v/>
      </c>
      <c r="H86" s="5">
        <f>IF('Journal'!I44="","",'Journal'!I44)</f>
        <v/>
      </c>
    </row>
    <row r="87">
      <c r="A87" s="18">
        <f>IF('Journal'!A45="","",'Journal'!A45)</f>
        <v/>
      </c>
      <c r="B87" s="21">
        <f>IF('Journal'!B45="","",'Journal'!B45)</f>
        <v/>
      </c>
      <c r="C87" s="5">
        <f>IF('Journal'!C45="","",'Journal'!C45)</f>
        <v/>
      </c>
      <c r="D87" s="5">
        <f>IF('Journal'!D45="","",IFERROR(LEFT('Journal'!D45,FIND(" ",'Journal'!D45)-1),'Journal'!D45))</f>
        <v/>
      </c>
      <c r="E87" s="5">
        <f>IF('Journal'!D45="","",IFERROR(INDEX('Kontoplan'!$B$3:$B$302,MATCH('Journal'!D45,'Kontoplan'!$H$3:$H$302,0)),""))</f>
        <v/>
      </c>
      <c r="F87" s="20">
        <f>IF('Journal'!G45="","",'Journal'!G45)</f>
        <v/>
      </c>
      <c r="G87" s="20">
        <f>IF('Journal'!F45="","",'Journal'!F45)</f>
        <v/>
      </c>
      <c r="H87" s="5">
        <f>IF('Journal'!I45="","",'Journal'!I45)</f>
        <v/>
      </c>
    </row>
    <row r="88">
      <c r="A88" s="18">
        <f>IF('Journal'!A45="","",'Journal'!A45)</f>
        <v/>
      </c>
      <c r="B88" s="21">
        <f>IF('Journal'!B45="","",'Journal'!B45)</f>
        <v/>
      </c>
      <c r="C88" s="5">
        <f>IF('Journal'!C45="","",'Journal'!C45)</f>
        <v/>
      </c>
      <c r="D88" s="5">
        <f>IF('Journal'!E45="","",IFERROR(LEFT('Journal'!E45,FIND(" ",'Journal'!E45)-1),'Journal'!E45))</f>
        <v/>
      </c>
      <c r="E88" s="5">
        <f>IF('Journal'!E45="","",IFERROR(INDEX('Kontoplan'!$B$3:$B$302,MATCH('Journal'!E45,'Kontoplan'!$H$3:$H$302,0)),""))</f>
        <v/>
      </c>
      <c r="F88" s="20">
        <f>IF('Journal'!F45="","",'Journal'!F45)</f>
        <v/>
      </c>
      <c r="G88" s="20">
        <f>IF('Journal'!G45="","",'Journal'!G45)</f>
        <v/>
      </c>
      <c r="H88" s="5">
        <f>IF('Journal'!I45="","",'Journal'!I45)</f>
        <v/>
      </c>
    </row>
    <row r="89">
      <c r="A89" s="18">
        <f>IF('Journal'!A46="","",'Journal'!A46)</f>
        <v/>
      </c>
      <c r="B89" s="21">
        <f>IF('Journal'!B46="","",'Journal'!B46)</f>
        <v/>
      </c>
      <c r="C89" s="5">
        <f>IF('Journal'!C46="","",'Journal'!C46)</f>
        <v/>
      </c>
      <c r="D89" s="5">
        <f>IF('Journal'!D46="","",IFERROR(LEFT('Journal'!D46,FIND(" ",'Journal'!D46)-1),'Journal'!D46))</f>
        <v/>
      </c>
      <c r="E89" s="5">
        <f>IF('Journal'!D46="","",IFERROR(INDEX('Kontoplan'!$B$3:$B$302,MATCH('Journal'!D46,'Kontoplan'!$H$3:$H$302,0)),""))</f>
        <v/>
      </c>
      <c r="F89" s="20">
        <f>IF('Journal'!G46="","",'Journal'!G46)</f>
        <v/>
      </c>
      <c r="G89" s="20">
        <f>IF('Journal'!F46="","",'Journal'!F46)</f>
        <v/>
      </c>
      <c r="H89" s="5">
        <f>IF('Journal'!I46="","",'Journal'!I46)</f>
        <v/>
      </c>
    </row>
    <row r="90">
      <c r="A90" s="18">
        <f>IF('Journal'!A46="","",'Journal'!A46)</f>
        <v/>
      </c>
      <c r="B90" s="21">
        <f>IF('Journal'!B46="","",'Journal'!B46)</f>
        <v/>
      </c>
      <c r="C90" s="5">
        <f>IF('Journal'!C46="","",'Journal'!C46)</f>
        <v/>
      </c>
      <c r="D90" s="5">
        <f>IF('Journal'!E46="","",IFERROR(LEFT('Journal'!E46,FIND(" ",'Journal'!E46)-1),'Journal'!E46))</f>
        <v/>
      </c>
      <c r="E90" s="5">
        <f>IF('Journal'!E46="","",IFERROR(INDEX('Kontoplan'!$B$3:$B$302,MATCH('Journal'!E46,'Kontoplan'!$H$3:$H$302,0)),""))</f>
        <v/>
      </c>
      <c r="F90" s="20">
        <f>IF('Journal'!F46="","",'Journal'!F46)</f>
        <v/>
      </c>
      <c r="G90" s="20">
        <f>IF('Journal'!G46="","",'Journal'!G46)</f>
        <v/>
      </c>
      <c r="H90" s="5">
        <f>IF('Journal'!I46="","",'Journal'!I46)</f>
        <v/>
      </c>
    </row>
    <row r="91">
      <c r="A91" s="18">
        <f>IF('Journal'!A47="","",'Journal'!A47)</f>
        <v/>
      </c>
      <c r="B91" s="21">
        <f>IF('Journal'!B47="","",'Journal'!B47)</f>
        <v/>
      </c>
      <c r="C91" s="5">
        <f>IF('Journal'!C47="","",'Journal'!C47)</f>
        <v/>
      </c>
      <c r="D91" s="5">
        <f>IF('Journal'!D47="","",IFERROR(LEFT('Journal'!D47,FIND(" ",'Journal'!D47)-1),'Journal'!D47))</f>
        <v/>
      </c>
      <c r="E91" s="5">
        <f>IF('Journal'!D47="","",IFERROR(INDEX('Kontoplan'!$B$3:$B$302,MATCH('Journal'!D47,'Kontoplan'!$H$3:$H$302,0)),""))</f>
        <v/>
      </c>
      <c r="F91" s="20">
        <f>IF('Journal'!G47="","",'Journal'!G47)</f>
        <v/>
      </c>
      <c r="G91" s="20">
        <f>IF('Journal'!F47="","",'Journal'!F47)</f>
        <v/>
      </c>
      <c r="H91" s="5">
        <f>IF('Journal'!I47="","",'Journal'!I47)</f>
        <v/>
      </c>
    </row>
    <row r="92">
      <c r="A92" s="18">
        <f>IF('Journal'!A47="","",'Journal'!A47)</f>
        <v/>
      </c>
      <c r="B92" s="21">
        <f>IF('Journal'!B47="","",'Journal'!B47)</f>
        <v/>
      </c>
      <c r="C92" s="5">
        <f>IF('Journal'!C47="","",'Journal'!C47)</f>
        <v/>
      </c>
      <c r="D92" s="5">
        <f>IF('Journal'!E47="","",IFERROR(LEFT('Journal'!E47,FIND(" ",'Journal'!E47)-1),'Journal'!E47))</f>
        <v/>
      </c>
      <c r="E92" s="5">
        <f>IF('Journal'!E47="","",IFERROR(INDEX('Kontoplan'!$B$3:$B$302,MATCH('Journal'!E47,'Kontoplan'!$H$3:$H$302,0)),""))</f>
        <v/>
      </c>
      <c r="F92" s="20">
        <f>IF('Journal'!F47="","",'Journal'!F47)</f>
        <v/>
      </c>
      <c r="G92" s="20">
        <f>IF('Journal'!G47="","",'Journal'!G47)</f>
        <v/>
      </c>
      <c r="H92" s="5">
        <f>IF('Journal'!I47="","",'Journal'!I47)</f>
        <v/>
      </c>
    </row>
    <row r="93">
      <c r="A93" s="18">
        <f>IF('Journal'!A48="","",'Journal'!A48)</f>
        <v/>
      </c>
      <c r="B93" s="21">
        <f>IF('Journal'!B48="","",'Journal'!B48)</f>
        <v/>
      </c>
      <c r="C93" s="5">
        <f>IF('Journal'!C48="","",'Journal'!C48)</f>
        <v/>
      </c>
      <c r="D93" s="5">
        <f>IF('Journal'!D48="","",IFERROR(LEFT('Journal'!D48,FIND(" ",'Journal'!D48)-1),'Journal'!D48))</f>
        <v/>
      </c>
      <c r="E93" s="5">
        <f>IF('Journal'!D48="","",IFERROR(INDEX('Kontoplan'!$B$3:$B$302,MATCH('Journal'!D48,'Kontoplan'!$H$3:$H$302,0)),""))</f>
        <v/>
      </c>
      <c r="F93" s="20">
        <f>IF('Journal'!G48="","",'Journal'!G48)</f>
        <v/>
      </c>
      <c r="G93" s="20">
        <f>IF('Journal'!F48="","",'Journal'!F48)</f>
        <v/>
      </c>
      <c r="H93" s="5">
        <f>IF('Journal'!I48="","",'Journal'!I48)</f>
        <v/>
      </c>
    </row>
    <row r="94">
      <c r="A94" s="18">
        <f>IF('Journal'!A48="","",'Journal'!A48)</f>
        <v/>
      </c>
      <c r="B94" s="21">
        <f>IF('Journal'!B48="","",'Journal'!B48)</f>
        <v/>
      </c>
      <c r="C94" s="5">
        <f>IF('Journal'!C48="","",'Journal'!C48)</f>
        <v/>
      </c>
      <c r="D94" s="5">
        <f>IF('Journal'!E48="","",IFERROR(LEFT('Journal'!E48,FIND(" ",'Journal'!E48)-1),'Journal'!E48))</f>
        <v/>
      </c>
      <c r="E94" s="5">
        <f>IF('Journal'!E48="","",IFERROR(INDEX('Kontoplan'!$B$3:$B$302,MATCH('Journal'!E48,'Kontoplan'!$H$3:$H$302,0)),""))</f>
        <v/>
      </c>
      <c r="F94" s="20">
        <f>IF('Journal'!F48="","",'Journal'!F48)</f>
        <v/>
      </c>
      <c r="G94" s="20">
        <f>IF('Journal'!G48="","",'Journal'!G48)</f>
        <v/>
      </c>
      <c r="H94" s="5">
        <f>IF('Journal'!I48="","",'Journal'!I48)</f>
        <v/>
      </c>
    </row>
    <row r="95">
      <c r="A95" s="18">
        <f>IF('Journal'!A49="","",'Journal'!A49)</f>
        <v/>
      </c>
      <c r="B95" s="21">
        <f>IF('Journal'!B49="","",'Journal'!B49)</f>
        <v/>
      </c>
      <c r="C95" s="5">
        <f>IF('Journal'!C49="","",'Journal'!C49)</f>
        <v/>
      </c>
      <c r="D95" s="5">
        <f>IF('Journal'!D49="","",IFERROR(LEFT('Journal'!D49,FIND(" ",'Journal'!D49)-1),'Journal'!D49))</f>
        <v/>
      </c>
      <c r="E95" s="5">
        <f>IF('Journal'!D49="","",IFERROR(INDEX('Kontoplan'!$B$3:$B$302,MATCH('Journal'!D49,'Kontoplan'!$H$3:$H$302,0)),""))</f>
        <v/>
      </c>
      <c r="F95" s="20">
        <f>IF('Journal'!G49="","",'Journal'!G49)</f>
        <v/>
      </c>
      <c r="G95" s="20">
        <f>IF('Journal'!F49="","",'Journal'!F49)</f>
        <v/>
      </c>
      <c r="H95" s="5">
        <f>IF('Journal'!I49="","",'Journal'!I49)</f>
        <v/>
      </c>
    </row>
    <row r="96">
      <c r="A96" s="18">
        <f>IF('Journal'!A49="","",'Journal'!A49)</f>
        <v/>
      </c>
      <c r="B96" s="21">
        <f>IF('Journal'!B49="","",'Journal'!B49)</f>
        <v/>
      </c>
      <c r="C96" s="5">
        <f>IF('Journal'!C49="","",'Journal'!C49)</f>
        <v/>
      </c>
      <c r="D96" s="5">
        <f>IF('Journal'!E49="","",IFERROR(LEFT('Journal'!E49,FIND(" ",'Journal'!E49)-1),'Journal'!E49))</f>
        <v/>
      </c>
      <c r="E96" s="5">
        <f>IF('Journal'!E49="","",IFERROR(INDEX('Kontoplan'!$B$3:$B$302,MATCH('Journal'!E49,'Kontoplan'!$H$3:$H$302,0)),""))</f>
        <v/>
      </c>
      <c r="F96" s="20">
        <f>IF('Journal'!F49="","",'Journal'!F49)</f>
        <v/>
      </c>
      <c r="G96" s="20">
        <f>IF('Journal'!G49="","",'Journal'!G49)</f>
        <v/>
      </c>
      <c r="H96" s="5">
        <f>IF('Journal'!I49="","",'Journal'!I49)</f>
        <v/>
      </c>
    </row>
    <row r="97">
      <c r="A97" s="18">
        <f>IF('Journal'!A50="","",'Journal'!A50)</f>
        <v/>
      </c>
      <c r="B97" s="21">
        <f>IF('Journal'!B50="","",'Journal'!B50)</f>
        <v/>
      </c>
      <c r="C97" s="5">
        <f>IF('Journal'!C50="","",'Journal'!C50)</f>
        <v/>
      </c>
      <c r="D97" s="5">
        <f>IF('Journal'!D50="","",IFERROR(LEFT('Journal'!D50,FIND(" ",'Journal'!D50)-1),'Journal'!D50))</f>
        <v/>
      </c>
      <c r="E97" s="5">
        <f>IF('Journal'!D50="","",IFERROR(INDEX('Kontoplan'!$B$3:$B$302,MATCH('Journal'!D50,'Kontoplan'!$H$3:$H$302,0)),""))</f>
        <v/>
      </c>
      <c r="F97" s="20">
        <f>IF('Journal'!G50="","",'Journal'!G50)</f>
        <v/>
      </c>
      <c r="G97" s="20">
        <f>IF('Journal'!F50="","",'Journal'!F50)</f>
        <v/>
      </c>
      <c r="H97" s="5">
        <f>IF('Journal'!I50="","",'Journal'!I50)</f>
        <v/>
      </c>
    </row>
    <row r="98">
      <c r="A98" s="18">
        <f>IF('Journal'!A50="","",'Journal'!A50)</f>
        <v/>
      </c>
      <c r="B98" s="21">
        <f>IF('Journal'!B50="","",'Journal'!B50)</f>
        <v/>
      </c>
      <c r="C98" s="5">
        <f>IF('Journal'!C50="","",'Journal'!C50)</f>
        <v/>
      </c>
      <c r="D98" s="5">
        <f>IF('Journal'!E50="","",IFERROR(LEFT('Journal'!E50,FIND(" ",'Journal'!E50)-1),'Journal'!E50))</f>
        <v/>
      </c>
      <c r="E98" s="5">
        <f>IF('Journal'!E50="","",IFERROR(INDEX('Kontoplan'!$B$3:$B$302,MATCH('Journal'!E50,'Kontoplan'!$H$3:$H$302,0)),""))</f>
        <v/>
      </c>
      <c r="F98" s="20">
        <f>IF('Journal'!F50="","",'Journal'!F50)</f>
        <v/>
      </c>
      <c r="G98" s="20">
        <f>IF('Journal'!G50="","",'Journal'!G50)</f>
        <v/>
      </c>
      <c r="H98" s="5">
        <f>IF('Journal'!I50="","",'Journal'!I50)</f>
        <v/>
      </c>
    </row>
    <row r="99">
      <c r="A99" s="18">
        <f>IF('Journal'!A51="","",'Journal'!A51)</f>
        <v/>
      </c>
      <c r="B99" s="21">
        <f>IF('Journal'!B51="","",'Journal'!B51)</f>
        <v/>
      </c>
      <c r="C99" s="5">
        <f>IF('Journal'!C51="","",'Journal'!C51)</f>
        <v/>
      </c>
      <c r="D99" s="5">
        <f>IF('Journal'!D51="","",IFERROR(LEFT('Journal'!D51,FIND(" ",'Journal'!D51)-1),'Journal'!D51))</f>
        <v/>
      </c>
      <c r="E99" s="5">
        <f>IF('Journal'!D51="","",IFERROR(INDEX('Kontoplan'!$B$3:$B$302,MATCH('Journal'!D51,'Kontoplan'!$H$3:$H$302,0)),""))</f>
        <v/>
      </c>
      <c r="F99" s="20">
        <f>IF('Journal'!G51="","",'Journal'!G51)</f>
        <v/>
      </c>
      <c r="G99" s="20">
        <f>IF('Journal'!F51="","",'Journal'!F51)</f>
        <v/>
      </c>
      <c r="H99" s="5">
        <f>IF('Journal'!I51="","",'Journal'!I51)</f>
        <v/>
      </c>
    </row>
    <row r="100">
      <c r="A100" s="18">
        <f>IF('Journal'!A51="","",'Journal'!A51)</f>
        <v/>
      </c>
      <c r="B100" s="21">
        <f>IF('Journal'!B51="","",'Journal'!B51)</f>
        <v/>
      </c>
      <c r="C100" s="5">
        <f>IF('Journal'!C51="","",'Journal'!C51)</f>
        <v/>
      </c>
      <c r="D100" s="5">
        <f>IF('Journal'!E51="","",IFERROR(LEFT('Journal'!E51,FIND(" ",'Journal'!E51)-1),'Journal'!E51))</f>
        <v/>
      </c>
      <c r="E100" s="5">
        <f>IF('Journal'!E51="","",IFERROR(INDEX('Kontoplan'!$B$3:$B$302,MATCH('Journal'!E51,'Kontoplan'!$H$3:$H$302,0)),""))</f>
        <v/>
      </c>
      <c r="F100" s="20">
        <f>IF('Journal'!F51="","",'Journal'!F51)</f>
        <v/>
      </c>
      <c r="G100" s="20">
        <f>IF('Journal'!G51="","",'Journal'!G51)</f>
        <v/>
      </c>
      <c r="H100" s="5">
        <f>IF('Journal'!I51="","",'Journal'!I51)</f>
        <v/>
      </c>
    </row>
    <row r="101">
      <c r="A101" s="18">
        <f>IF('Journal'!A52="","",'Journal'!A52)</f>
        <v/>
      </c>
      <c r="B101" s="21">
        <f>IF('Journal'!B52="","",'Journal'!B52)</f>
        <v/>
      </c>
      <c r="C101" s="5">
        <f>IF('Journal'!C52="","",'Journal'!C52)</f>
        <v/>
      </c>
      <c r="D101" s="5">
        <f>IF('Journal'!D52="","",IFERROR(LEFT('Journal'!D52,FIND(" ",'Journal'!D52)-1),'Journal'!D52))</f>
        <v/>
      </c>
      <c r="E101" s="5">
        <f>IF('Journal'!D52="","",IFERROR(INDEX('Kontoplan'!$B$3:$B$302,MATCH('Journal'!D52,'Kontoplan'!$H$3:$H$302,0)),""))</f>
        <v/>
      </c>
      <c r="F101" s="20">
        <f>IF('Journal'!G52="","",'Journal'!G52)</f>
        <v/>
      </c>
      <c r="G101" s="20">
        <f>IF('Journal'!F52="","",'Journal'!F52)</f>
        <v/>
      </c>
      <c r="H101" s="5">
        <f>IF('Journal'!I52="","",'Journal'!I52)</f>
        <v/>
      </c>
    </row>
    <row r="102">
      <c r="A102" s="18">
        <f>IF('Journal'!A52="","",'Journal'!A52)</f>
        <v/>
      </c>
      <c r="B102" s="21">
        <f>IF('Journal'!B52="","",'Journal'!B52)</f>
        <v/>
      </c>
      <c r="C102" s="5">
        <f>IF('Journal'!C52="","",'Journal'!C52)</f>
        <v/>
      </c>
      <c r="D102" s="5">
        <f>IF('Journal'!E52="","",IFERROR(LEFT('Journal'!E52,FIND(" ",'Journal'!E52)-1),'Journal'!E52))</f>
        <v/>
      </c>
      <c r="E102" s="5">
        <f>IF('Journal'!E52="","",IFERROR(INDEX('Kontoplan'!$B$3:$B$302,MATCH('Journal'!E52,'Kontoplan'!$H$3:$H$302,0)),""))</f>
        <v/>
      </c>
      <c r="F102" s="20">
        <f>IF('Journal'!F52="","",'Journal'!F52)</f>
        <v/>
      </c>
      <c r="G102" s="20">
        <f>IF('Journal'!G52="","",'Journal'!G52)</f>
        <v/>
      </c>
      <c r="H102" s="5">
        <f>IF('Journal'!I52="","",'Journal'!I52)</f>
        <v/>
      </c>
    </row>
    <row r="103">
      <c r="A103" s="18">
        <f>IF('Journal'!A53="","",'Journal'!A53)</f>
        <v/>
      </c>
      <c r="B103" s="21">
        <f>IF('Journal'!B53="","",'Journal'!B53)</f>
        <v/>
      </c>
      <c r="C103" s="5">
        <f>IF('Journal'!C53="","",'Journal'!C53)</f>
        <v/>
      </c>
      <c r="D103" s="5">
        <f>IF('Journal'!D53="","",IFERROR(LEFT('Journal'!D53,FIND(" ",'Journal'!D53)-1),'Journal'!D53))</f>
        <v/>
      </c>
      <c r="E103" s="5">
        <f>IF('Journal'!D53="","",IFERROR(INDEX('Kontoplan'!$B$3:$B$302,MATCH('Journal'!D53,'Kontoplan'!$H$3:$H$302,0)),""))</f>
        <v/>
      </c>
      <c r="F103" s="20">
        <f>IF('Journal'!G53="","",'Journal'!G53)</f>
        <v/>
      </c>
      <c r="G103" s="20">
        <f>IF('Journal'!F53="","",'Journal'!F53)</f>
        <v/>
      </c>
      <c r="H103" s="5">
        <f>IF('Journal'!I53="","",'Journal'!I53)</f>
        <v/>
      </c>
    </row>
    <row r="104">
      <c r="A104" s="18">
        <f>IF('Journal'!A53="","",'Journal'!A53)</f>
        <v/>
      </c>
      <c r="B104" s="21">
        <f>IF('Journal'!B53="","",'Journal'!B53)</f>
        <v/>
      </c>
      <c r="C104" s="5">
        <f>IF('Journal'!C53="","",'Journal'!C53)</f>
        <v/>
      </c>
      <c r="D104" s="5">
        <f>IF('Journal'!E53="","",IFERROR(LEFT('Journal'!E53,FIND(" ",'Journal'!E53)-1),'Journal'!E53))</f>
        <v/>
      </c>
      <c r="E104" s="5">
        <f>IF('Journal'!E53="","",IFERROR(INDEX('Kontoplan'!$B$3:$B$302,MATCH('Journal'!E53,'Kontoplan'!$H$3:$H$302,0)),""))</f>
        <v/>
      </c>
      <c r="F104" s="20">
        <f>IF('Journal'!F53="","",'Journal'!F53)</f>
        <v/>
      </c>
      <c r="G104" s="20">
        <f>IF('Journal'!G53="","",'Journal'!G53)</f>
        <v/>
      </c>
      <c r="H104" s="5">
        <f>IF('Journal'!I53="","",'Journal'!I53)</f>
        <v/>
      </c>
    </row>
    <row r="105">
      <c r="A105" s="18">
        <f>IF('Journal'!A54="","",'Journal'!A54)</f>
        <v/>
      </c>
      <c r="B105" s="21">
        <f>IF('Journal'!B54="","",'Journal'!B54)</f>
        <v/>
      </c>
      <c r="C105" s="5">
        <f>IF('Journal'!C54="","",'Journal'!C54)</f>
        <v/>
      </c>
      <c r="D105" s="5">
        <f>IF('Journal'!D54="","",IFERROR(LEFT('Journal'!D54,FIND(" ",'Journal'!D54)-1),'Journal'!D54))</f>
        <v/>
      </c>
      <c r="E105" s="5">
        <f>IF('Journal'!D54="","",IFERROR(INDEX('Kontoplan'!$B$3:$B$302,MATCH('Journal'!D54,'Kontoplan'!$H$3:$H$302,0)),""))</f>
        <v/>
      </c>
      <c r="F105" s="20">
        <f>IF('Journal'!G54="","",'Journal'!G54)</f>
        <v/>
      </c>
      <c r="G105" s="20">
        <f>IF('Journal'!F54="","",'Journal'!F54)</f>
        <v/>
      </c>
      <c r="H105" s="5">
        <f>IF('Journal'!I54="","",'Journal'!I54)</f>
        <v/>
      </c>
    </row>
    <row r="106">
      <c r="A106" s="18">
        <f>IF('Journal'!A54="","",'Journal'!A54)</f>
        <v/>
      </c>
      <c r="B106" s="21">
        <f>IF('Journal'!B54="","",'Journal'!B54)</f>
        <v/>
      </c>
      <c r="C106" s="5">
        <f>IF('Journal'!C54="","",'Journal'!C54)</f>
        <v/>
      </c>
      <c r="D106" s="5">
        <f>IF('Journal'!E54="","",IFERROR(LEFT('Journal'!E54,FIND(" ",'Journal'!E54)-1),'Journal'!E54))</f>
        <v/>
      </c>
      <c r="E106" s="5">
        <f>IF('Journal'!E54="","",IFERROR(INDEX('Kontoplan'!$B$3:$B$302,MATCH('Journal'!E54,'Kontoplan'!$H$3:$H$302,0)),""))</f>
        <v/>
      </c>
      <c r="F106" s="20">
        <f>IF('Journal'!F54="","",'Journal'!F54)</f>
        <v/>
      </c>
      <c r="G106" s="20">
        <f>IF('Journal'!G54="","",'Journal'!G54)</f>
        <v/>
      </c>
      <c r="H106" s="5">
        <f>IF('Journal'!I54="","",'Journal'!I54)</f>
        <v/>
      </c>
    </row>
    <row r="107">
      <c r="A107" s="18">
        <f>IF('Journal'!A55="","",'Journal'!A55)</f>
        <v/>
      </c>
      <c r="B107" s="21">
        <f>IF('Journal'!B55="","",'Journal'!B55)</f>
        <v/>
      </c>
      <c r="C107" s="5">
        <f>IF('Journal'!C55="","",'Journal'!C55)</f>
        <v/>
      </c>
      <c r="D107" s="5">
        <f>IF('Journal'!D55="","",IFERROR(LEFT('Journal'!D55,FIND(" ",'Journal'!D55)-1),'Journal'!D55))</f>
        <v/>
      </c>
      <c r="E107" s="5">
        <f>IF('Journal'!D55="","",IFERROR(INDEX('Kontoplan'!$B$3:$B$302,MATCH('Journal'!D55,'Kontoplan'!$H$3:$H$302,0)),""))</f>
        <v/>
      </c>
      <c r="F107" s="20">
        <f>IF('Journal'!G55="","",'Journal'!G55)</f>
        <v/>
      </c>
      <c r="G107" s="20">
        <f>IF('Journal'!F55="","",'Journal'!F55)</f>
        <v/>
      </c>
      <c r="H107" s="5">
        <f>IF('Journal'!I55="","",'Journal'!I55)</f>
        <v/>
      </c>
    </row>
    <row r="108">
      <c r="A108" s="18">
        <f>IF('Journal'!A55="","",'Journal'!A55)</f>
        <v/>
      </c>
      <c r="B108" s="21">
        <f>IF('Journal'!B55="","",'Journal'!B55)</f>
        <v/>
      </c>
      <c r="C108" s="5">
        <f>IF('Journal'!C55="","",'Journal'!C55)</f>
        <v/>
      </c>
      <c r="D108" s="5">
        <f>IF('Journal'!E55="","",IFERROR(LEFT('Journal'!E55,FIND(" ",'Journal'!E55)-1),'Journal'!E55))</f>
        <v/>
      </c>
      <c r="E108" s="5">
        <f>IF('Journal'!E55="","",IFERROR(INDEX('Kontoplan'!$B$3:$B$302,MATCH('Journal'!E55,'Kontoplan'!$H$3:$H$302,0)),""))</f>
        <v/>
      </c>
      <c r="F108" s="20">
        <f>IF('Journal'!F55="","",'Journal'!F55)</f>
        <v/>
      </c>
      <c r="G108" s="20">
        <f>IF('Journal'!G55="","",'Journal'!G55)</f>
        <v/>
      </c>
      <c r="H108" s="5">
        <f>IF('Journal'!I55="","",'Journal'!I55)</f>
        <v/>
      </c>
    </row>
    <row r="109">
      <c r="A109" s="18">
        <f>IF('Journal'!A56="","",'Journal'!A56)</f>
        <v/>
      </c>
      <c r="B109" s="21">
        <f>IF('Journal'!B56="","",'Journal'!B56)</f>
        <v/>
      </c>
      <c r="C109" s="5">
        <f>IF('Journal'!C56="","",'Journal'!C56)</f>
        <v/>
      </c>
      <c r="D109" s="5">
        <f>IF('Journal'!D56="","",IFERROR(LEFT('Journal'!D56,FIND(" ",'Journal'!D56)-1),'Journal'!D56))</f>
        <v/>
      </c>
      <c r="E109" s="5">
        <f>IF('Journal'!D56="","",IFERROR(INDEX('Kontoplan'!$B$3:$B$302,MATCH('Journal'!D56,'Kontoplan'!$H$3:$H$302,0)),""))</f>
        <v/>
      </c>
      <c r="F109" s="20">
        <f>IF('Journal'!G56="","",'Journal'!G56)</f>
        <v/>
      </c>
      <c r="G109" s="20">
        <f>IF('Journal'!F56="","",'Journal'!F56)</f>
        <v/>
      </c>
      <c r="H109" s="5">
        <f>IF('Journal'!I56="","",'Journal'!I56)</f>
        <v/>
      </c>
    </row>
    <row r="110">
      <c r="A110" s="18">
        <f>IF('Journal'!A56="","",'Journal'!A56)</f>
        <v/>
      </c>
      <c r="B110" s="21">
        <f>IF('Journal'!B56="","",'Journal'!B56)</f>
        <v/>
      </c>
      <c r="C110" s="5">
        <f>IF('Journal'!C56="","",'Journal'!C56)</f>
        <v/>
      </c>
      <c r="D110" s="5">
        <f>IF('Journal'!E56="","",IFERROR(LEFT('Journal'!E56,FIND(" ",'Journal'!E56)-1),'Journal'!E56))</f>
        <v/>
      </c>
      <c r="E110" s="5">
        <f>IF('Journal'!E56="","",IFERROR(INDEX('Kontoplan'!$B$3:$B$302,MATCH('Journal'!E56,'Kontoplan'!$H$3:$H$302,0)),""))</f>
        <v/>
      </c>
      <c r="F110" s="20">
        <f>IF('Journal'!F56="","",'Journal'!F56)</f>
        <v/>
      </c>
      <c r="G110" s="20">
        <f>IF('Journal'!G56="","",'Journal'!G56)</f>
        <v/>
      </c>
      <c r="H110" s="5">
        <f>IF('Journal'!I56="","",'Journal'!I56)</f>
        <v/>
      </c>
    </row>
    <row r="111">
      <c r="A111" s="18">
        <f>IF('Journal'!A57="","",'Journal'!A57)</f>
        <v/>
      </c>
      <c r="B111" s="21">
        <f>IF('Journal'!B57="","",'Journal'!B57)</f>
        <v/>
      </c>
      <c r="C111" s="5">
        <f>IF('Journal'!C57="","",'Journal'!C57)</f>
        <v/>
      </c>
      <c r="D111" s="5">
        <f>IF('Journal'!D57="","",IFERROR(LEFT('Journal'!D57,FIND(" ",'Journal'!D57)-1),'Journal'!D57))</f>
        <v/>
      </c>
      <c r="E111" s="5">
        <f>IF('Journal'!D57="","",IFERROR(INDEX('Kontoplan'!$B$3:$B$302,MATCH('Journal'!D57,'Kontoplan'!$H$3:$H$302,0)),""))</f>
        <v/>
      </c>
      <c r="F111" s="20">
        <f>IF('Journal'!G57="","",'Journal'!G57)</f>
        <v/>
      </c>
      <c r="G111" s="20">
        <f>IF('Journal'!F57="","",'Journal'!F57)</f>
        <v/>
      </c>
      <c r="H111" s="5">
        <f>IF('Journal'!I57="","",'Journal'!I57)</f>
        <v/>
      </c>
    </row>
    <row r="112">
      <c r="A112" s="18">
        <f>IF('Journal'!A57="","",'Journal'!A57)</f>
        <v/>
      </c>
      <c r="B112" s="21">
        <f>IF('Journal'!B57="","",'Journal'!B57)</f>
        <v/>
      </c>
      <c r="C112" s="5">
        <f>IF('Journal'!C57="","",'Journal'!C57)</f>
        <v/>
      </c>
      <c r="D112" s="5">
        <f>IF('Journal'!E57="","",IFERROR(LEFT('Journal'!E57,FIND(" ",'Journal'!E57)-1),'Journal'!E57))</f>
        <v/>
      </c>
      <c r="E112" s="5">
        <f>IF('Journal'!E57="","",IFERROR(INDEX('Kontoplan'!$B$3:$B$302,MATCH('Journal'!E57,'Kontoplan'!$H$3:$H$302,0)),""))</f>
        <v/>
      </c>
      <c r="F112" s="20">
        <f>IF('Journal'!F57="","",'Journal'!F57)</f>
        <v/>
      </c>
      <c r="G112" s="20">
        <f>IF('Journal'!G57="","",'Journal'!G57)</f>
        <v/>
      </c>
      <c r="H112" s="5">
        <f>IF('Journal'!I57="","",'Journal'!I57)</f>
        <v/>
      </c>
    </row>
    <row r="113">
      <c r="A113" s="18">
        <f>IF('Journal'!A58="","",'Journal'!A58)</f>
        <v/>
      </c>
      <c r="B113" s="21">
        <f>IF('Journal'!B58="","",'Journal'!B58)</f>
        <v/>
      </c>
      <c r="C113" s="5">
        <f>IF('Journal'!C58="","",'Journal'!C58)</f>
        <v/>
      </c>
      <c r="D113" s="5">
        <f>IF('Journal'!D58="","",IFERROR(LEFT('Journal'!D58,FIND(" ",'Journal'!D58)-1),'Journal'!D58))</f>
        <v/>
      </c>
      <c r="E113" s="5">
        <f>IF('Journal'!D58="","",IFERROR(INDEX('Kontoplan'!$B$3:$B$302,MATCH('Journal'!D58,'Kontoplan'!$H$3:$H$302,0)),""))</f>
        <v/>
      </c>
      <c r="F113" s="20">
        <f>IF('Journal'!G58="","",'Journal'!G58)</f>
        <v/>
      </c>
      <c r="G113" s="20">
        <f>IF('Journal'!F58="","",'Journal'!F58)</f>
        <v/>
      </c>
      <c r="H113" s="5">
        <f>IF('Journal'!I58="","",'Journal'!I58)</f>
        <v/>
      </c>
    </row>
    <row r="114">
      <c r="A114" s="18">
        <f>IF('Journal'!A58="","",'Journal'!A58)</f>
        <v/>
      </c>
      <c r="B114" s="21">
        <f>IF('Journal'!B58="","",'Journal'!B58)</f>
        <v/>
      </c>
      <c r="C114" s="5">
        <f>IF('Journal'!C58="","",'Journal'!C58)</f>
        <v/>
      </c>
      <c r="D114" s="5">
        <f>IF('Journal'!E58="","",IFERROR(LEFT('Journal'!E58,FIND(" ",'Journal'!E58)-1),'Journal'!E58))</f>
        <v/>
      </c>
      <c r="E114" s="5">
        <f>IF('Journal'!E58="","",IFERROR(INDEX('Kontoplan'!$B$3:$B$302,MATCH('Journal'!E58,'Kontoplan'!$H$3:$H$302,0)),""))</f>
        <v/>
      </c>
      <c r="F114" s="20">
        <f>IF('Journal'!F58="","",'Journal'!F58)</f>
        <v/>
      </c>
      <c r="G114" s="20">
        <f>IF('Journal'!G58="","",'Journal'!G58)</f>
        <v/>
      </c>
      <c r="H114" s="5">
        <f>IF('Journal'!I58="","",'Journal'!I58)</f>
        <v/>
      </c>
    </row>
    <row r="115">
      <c r="A115" s="18">
        <f>IF('Journal'!A59="","",'Journal'!A59)</f>
        <v/>
      </c>
      <c r="B115" s="21">
        <f>IF('Journal'!B59="","",'Journal'!B59)</f>
        <v/>
      </c>
      <c r="C115" s="5">
        <f>IF('Journal'!C59="","",'Journal'!C59)</f>
        <v/>
      </c>
      <c r="D115" s="5">
        <f>IF('Journal'!D59="","",IFERROR(LEFT('Journal'!D59,FIND(" ",'Journal'!D59)-1),'Journal'!D59))</f>
        <v/>
      </c>
      <c r="E115" s="5">
        <f>IF('Journal'!D59="","",IFERROR(INDEX('Kontoplan'!$B$3:$B$302,MATCH('Journal'!D59,'Kontoplan'!$H$3:$H$302,0)),""))</f>
        <v/>
      </c>
      <c r="F115" s="20">
        <f>IF('Journal'!G59="","",'Journal'!G59)</f>
        <v/>
      </c>
      <c r="G115" s="20">
        <f>IF('Journal'!F59="","",'Journal'!F59)</f>
        <v/>
      </c>
      <c r="H115" s="5">
        <f>IF('Journal'!I59="","",'Journal'!I59)</f>
        <v/>
      </c>
    </row>
    <row r="116">
      <c r="A116" s="18">
        <f>IF('Journal'!A59="","",'Journal'!A59)</f>
        <v/>
      </c>
      <c r="B116" s="21">
        <f>IF('Journal'!B59="","",'Journal'!B59)</f>
        <v/>
      </c>
      <c r="C116" s="5">
        <f>IF('Journal'!C59="","",'Journal'!C59)</f>
        <v/>
      </c>
      <c r="D116" s="5">
        <f>IF('Journal'!E59="","",IFERROR(LEFT('Journal'!E59,FIND(" ",'Journal'!E59)-1),'Journal'!E59))</f>
        <v/>
      </c>
      <c r="E116" s="5">
        <f>IF('Journal'!E59="","",IFERROR(INDEX('Kontoplan'!$B$3:$B$302,MATCH('Journal'!E59,'Kontoplan'!$H$3:$H$302,0)),""))</f>
        <v/>
      </c>
      <c r="F116" s="20">
        <f>IF('Journal'!F59="","",'Journal'!F59)</f>
        <v/>
      </c>
      <c r="G116" s="20">
        <f>IF('Journal'!G59="","",'Journal'!G59)</f>
        <v/>
      </c>
      <c r="H116" s="5">
        <f>IF('Journal'!I59="","",'Journal'!I59)</f>
        <v/>
      </c>
    </row>
    <row r="117">
      <c r="A117" s="18">
        <f>IF('Journal'!A60="","",'Journal'!A60)</f>
        <v/>
      </c>
      <c r="B117" s="21">
        <f>IF('Journal'!B60="","",'Journal'!B60)</f>
        <v/>
      </c>
      <c r="C117" s="5">
        <f>IF('Journal'!C60="","",'Journal'!C60)</f>
        <v/>
      </c>
      <c r="D117" s="5">
        <f>IF('Journal'!D60="","",IFERROR(LEFT('Journal'!D60,FIND(" ",'Journal'!D60)-1),'Journal'!D60))</f>
        <v/>
      </c>
      <c r="E117" s="5">
        <f>IF('Journal'!D60="","",IFERROR(INDEX('Kontoplan'!$B$3:$B$302,MATCH('Journal'!D60,'Kontoplan'!$H$3:$H$302,0)),""))</f>
        <v/>
      </c>
      <c r="F117" s="20">
        <f>IF('Journal'!G60="","",'Journal'!G60)</f>
        <v/>
      </c>
      <c r="G117" s="20">
        <f>IF('Journal'!F60="","",'Journal'!F60)</f>
        <v/>
      </c>
      <c r="H117" s="5">
        <f>IF('Journal'!I60="","",'Journal'!I60)</f>
        <v/>
      </c>
    </row>
    <row r="118">
      <c r="A118" s="18">
        <f>IF('Journal'!A60="","",'Journal'!A60)</f>
        <v/>
      </c>
      <c r="B118" s="21">
        <f>IF('Journal'!B60="","",'Journal'!B60)</f>
        <v/>
      </c>
      <c r="C118" s="5">
        <f>IF('Journal'!C60="","",'Journal'!C60)</f>
        <v/>
      </c>
      <c r="D118" s="5">
        <f>IF('Journal'!E60="","",IFERROR(LEFT('Journal'!E60,FIND(" ",'Journal'!E60)-1),'Journal'!E60))</f>
        <v/>
      </c>
      <c r="E118" s="5">
        <f>IF('Journal'!E60="","",IFERROR(INDEX('Kontoplan'!$B$3:$B$302,MATCH('Journal'!E60,'Kontoplan'!$H$3:$H$302,0)),""))</f>
        <v/>
      </c>
      <c r="F118" s="20">
        <f>IF('Journal'!F60="","",'Journal'!F60)</f>
        <v/>
      </c>
      <c r="G118" s="20">
        <f>IF('Journal'!G60="","",'Journal'!G60)</f>
        <v/>
      </c>
      <c r="H118" s="5">
        <f>IF('Journal'!I60="","",'Journal'!I60)</f>
        <v/>
      </c>
    </row>
    <row r="119">
      <c r="A119" s="18">
        <f>IF('Journal'!A61="","",'Journal'!A61)</f>
        <v/>
      </c>
      <c r="B119" s="21">
        <f>IF('Journal'!B61="","",'Journal'!B61)</f>
        <v/>
      </c>
      <c r="C119" s="5">
        <f>IF('Journal'!C61="","",'Journal'!C61)</f>
        <v/>
      </c>
      <c r="D119" s="5">
        <f>IF('Journal'!D61="","",IFERROR(LEFT('Journal'!D61,FIND(" ",'Journal'!D61)-1),'Journal'!D61))</f>
        <v/>
      </c>
      <c r="E119" s="5">
        <f>IF('Journal'!D61="","",IFERROR(INDEX('Kontoplan'!$B$3:$B$302,MATCH('Journal'!D61,'Kontoplan'!$H$3:$H$302,0)),""))</f>
        <v/>
      </c>
      <c r="F119" s="20">
        <f>IF('Journal'!G61="","",'Journal'!G61)</f>
        <v/>
      </c>
      <c r="G119" s="20">
        <f>IF('Journal'!F61="","",'Journal'!F61)</f>
        <v/>
      </c>
      <c r="H119" s="5">
        <f>IF('Journal'!I61="","",'Journal'!I61)</f>
        <v/>
      </c>
    </row>
    <row r="120">
      <c r="A120" s="18">
        <f>IF('Journal'!A61="","",'Journal'!A61)</f>
        <v/>
      </c>
      <c r="B120" s="21">
        <f>IF('Journal'!B61="","",'Journal'!B61)</f>
        <v/>
      </c>
      <c r="C120" s="5">
        <f>IF('Journal'!C61="","",'Journal'!C61)</f>
        <v/>
      </c>
      <c r="D120" s="5">
        <f>IF('Journal'!E61="","",IFERROR(LEFT('Journal'!E61,FIND(" ",'Journal'!E61)-1),'Journal'!E61))</f>
        <v/>
      </c>
      <c r="E120" s="5">
        <f>IF('Journal'!E61="","",IFERROR(INDEX('Kontoplan'!$B$3:$B$302,MATCH('Journal'!E61,'Kontoplan'!$H$3:$H$302,0)),""))</f>
        <v/>
      </c>
      <c r="F120" s="20">
        <f>IF('Journal'!F61="","",'Journal'!F61)</f>
        <v/>
      </c>
      <c r="G120" s="20">
        <f>IF('Journal'!G61="","",'Journal'!G61)</f>
        <v/>
      </c>
      <c r="H120" s="5">
        <f>IF('Journal'!I61="","",'Journal'!I61)</f>
        <v/>
      </c>
    </row>
    <row r="121">
      <c r="A121" s="18">
        <f>IF('Journal'!A62="","",'Journal'!A62)</f>
        <v/>
      </c>
      <c r="B121" s="21">
        <f>IF('Journal'!B62="","",'Journal'!B62)</f>
        <v/>
      </c>
      <c r="C121" s="5">
        <f>IF('Journal'!C62="","",'Journal'!C62)</f>
        <v/>
      </c>
      <c r="D121" s="5">
        <f>IF('Journal'!D62="","",IFERROR(LEFT('Journal'!D62,FIND(" ",'Journal'!D62)-1),'Journal'!D62))</f>
        <v/>
      </c>
      <c r="E121" s="5">
        <f>IF('Journal'!D62="","",IFERROR(INDEX('Kontoplan'!$B$3:$B$302,MATCH('Journal'!D62,'Kontoplan'!$H$3:$H$302,0)),""))</f>
        <v/>
      </c>
      <c r="F121" s="20">
        <f>IF('Journal'!G62="","",'Journal'!G62)</f>
        <v/>
      </c>
      <c r="G121" s="20">
        <f>IF('Journal'!F62="","",'Journal'!F62)</f>
        <v/>
      </c>
      <c r="H121" s="5">
        <f>IF('Journal'!I62="","",'Journal'!I62)</f>
        <v/>
      </c>
    </row>
    <row r="122">
      <c r="A122" s="18">
        <f>IF('Journal'!A62="","",'Journal'!A62)</f>
        <v/>
      </c>
      <c r="B122" s="21">
        <f>IF('Journal'!B62="","",'Journal'!B62)</f>
        <v/>
      </c>
      <c r="C122" s="5">
        <f>IF('Journal'!C62="","",'Journal'!C62)</f>
        <v/>
      </c>
      <c r="D122" s="5">
        <f>IF('Journal'!E62="","",IFERROR(LEFT('Journal'!E62,FIND(" ",'Journal'!E62)-1),'Journal'!E62))</f>
        <v/>
      </c>
      <c r="E122" s="5">
        <f>IF('Journal'!E62="","",IFERROR(INDEX('Kontoplan'!$B$3:$B$302,MATCH('Journal'!E62,'Kontoplan'!$H$3:$H$302,0)),""))</f>
        <v/>
      </c>
      <c r="F122" s="20">
        <f>IF('Journal'!F62="","",'Journal'!F62)</f>
        <v/>
      </c>
      <c r="G122" s="20">
        <f>IF('Journal'!G62="","",'Journal'!G62)</f>
        <v/>
      </c>
      <c r="H122" s="5">
        <f>IF('Journal'!I62="","",'Journal'!I62)</f>
        <v/>
      </c>
    </row>
    <row r="123">
      <c r="A123" s="18">
        <f>IF('Journal'!A63="","",'Journal'!A63)</f>
        <v/>
      </c>
      <c r="B123" s="21">
        <f>IF('Journal'!B63="","",'Journal'!B63)</f>
        <v/>
      </c>
      <c r="C123" s="5">
        <f>IF('Journal'!C63="","",'Journal'!C63)</f>
        <v/>
      </c>
      <c r="D123" s="5">
        <f>IF('Journal'!D63="","",IFERROR(LEFT('Journal'!D63,FIND(" ",'Journal'!D63)-1),'Journal'!D63))</f>
        <v/>
      </c>
      <c r="E123" s="5">
        <f>IF('Journal'!D63="","",IFERROR(INDEX('Kontoplan'!$B$3:$B$302,MATCH('Journal'!D63,'Kontoplan'!$H$3:$H$302,0)),""))</f>
        <v/>
      </c>
      <c r="F123" s="20">
        <f>IF('Journal'!G63="","",'Journal'!G63)</f>
        <v/>
      </c>
      <c r="G123" s="20">
        <f>IF('Journal'!F63="","",'Journal'!F63)</f>
        <v/>
      </c>
      <c r="H123" s="5">
        <f>IF('Journal'!I63="","",'Journal'!I63)</f>
        <v/>
      </c>
    </row>
    <row r="124">
      <c r="A124" s="18">
        <f>IF('Journal'!A63="","",'Journal'!A63)</f>
        <v/>
      </c>
      <c r="B124" s="21">
        <f>IF('Journal'!B63="","",'Journal'!B63)</f>
        <v/>
      </c>
      <c r="C124" s="5">
        <f>IF('Journal'!C63="","",'Journal'!C63)</f>
        <v/>
      </c>
      <c r="D124" s="5">
        <f>IF('Journal'!E63="","",IFERROR(LEFT('Journal'!E63,FIND(" ",'Journal'!E63)-1),'Journal'!E63))</f>
        <v/>
      </c>
      <c r="E124" s="5">
        <f>IF('Journal'!E63="","",IFERROR(INDEX('Kontoplan'!$B$3:$B$302,MATCH('Journal'!E63,'Kontoplan'!$H$3:$H$302,0)),""))</f>
        <v/>
      </c>
      <c r="F124" s="20">
        <f>IF('Journal'!F63="","",'Journal'!F63)</f>
        <v/>
      </c>
      <c r="G124" s="20">
        <f>IF('Journal'!G63="","",'Journal'!G63)</f>
        <v/>
      </c>
      <c r="H124" s="5">
        <f>IF('Journal'!I63="","",'Journal'!I63)</f>
        <v/>
      </c>
    </row>
    <row r="125">
      <c r="A125" s="18">
        <f>IF('Journal'!A64="","",'Journal'!A64)</f>
        <v/>
      </c>
      <c r="B125" s="21">
        <f>IF('Journal'!B64="","",'Journal'!B64)</f>
        <v/>
      </c>
      <c r="C125" s="5">
        <f>IF('Journal'!C64="","",'Journal'!C64)</f>
        <v/>
      </c>
      <c r="D125" s="5">
        <f>IF('Journal'!D64="","",IFERROR(LEFT('Journal'!D64,FIND(" ",'Journal'!D64)-1),'Journal'!D64))</f>
        <v/>
      </c>
      <c r="E125" s="5">
        <f>IF('Journal'!D64="","",IFERROR(INDEX('Kontoplan'!$B$3:$B$302,MATCH('Journal'!D64,'Kontoplan'!$H$3:$H$302,0)),""))</f>
        <v/>
      </c>
      <c r="F125" s="20">
        <f>IF('Journal'!G64="","",'Journal'!G64)</f>
        <v/>
      </c>
      <c r="G125" s="20">
        <f>IF('Journal'!F64="","",'Journal'!F64)</f>
        <v/>
      </c>
      <c r="H125" s="5">
        <f>IF('Journal'!I64="","",'Journal'!I64)</f>
        <v/>
      </c>
    </row>
    <row r="126">
      <c r="A126" s="18">
        <f>IF('Journal'!A64="","",'Journal'!A64)</f>
        <v/>
      </c>
      <c r="B126" s="21">
        <f>IF('Journal'!B64="","",'Journal'!B64)</f>
        <v/>
      </c>
      <c r="C126" s="5">
        <f>IF('Journal'!C64="","",'Journal'!C64)</f>
        <v/>
      </c>
      <c r="D126" s="5">
        <f>IF('Journal'!E64="","",IFERROR(LEFT('Journal'!E64,FIND(" ",'Journal'!E64)-1),'Journal'!E64))</f>
        <v/>
      </c>
      <c r="E126" s="5">
        <f>IF('Journal'!E64="","",IFERROR(INDEX('Kontoplan'!$B$3:$B$302,MATCH('Journal'!E64,'Kontoplan'!$H$3:$H$302,0)),""))</f>
        <v/>
      </c>
      <c r="F126" s="20">
        <f>IF('Journal'!F64="","",'Journal'!F64)</f>
        <v/>
      </c>
      <c r="G126" s="20">
        <f>IF('Journal'!G64="","",'Journal'!G64)</f>
        <v/>
      </c>
      <c r="H126" s="5">
        <f>IF('Journal'!I64="","",'Journal'!I64)</f>
        <v/>
      </c>
    </row>
    <row r="127">
      <c r="A127" s="18">
        <f>IF('Journal'!A65="","",'Journal'!A65)</f>
        <v/>
      </c>
      <c r="B127" s="21">
        <f>IF('Journal'!B65="","",'Journal'!B65)</f>
        <v/>
      </c>
      <c r="C127" s="5">
        <f>IF('Journal'!C65="","",'Journal'!C65)</f>
        <v/>
      </c>
      <c r="D127" s="5">
        <f>IF('Journal'!D65="","",IFERROR(LEFT('Journal'!D65,FIND(" ",'Journal'!D65)-1),'Journal'!D65))</f>
        <v/>
      </c>
      <c r="E127" s="5">
        <f>IF('Journal'!D65="","",IFERROR(INDEX('Kontoplan'!$B$3:$B$302,MATCH('Journal'!D65,'Kontoplan'!$H$3:$H$302,0)),""))</f>
        <v/>
      </c>
      <c r="F127" s="20">
        <f>IF('Journal'!G65="","",'Journal'!G65)</f>
        <v/>
      </c>
      <c r="G127" s="20">
        <f>IF('Journal'!F65="","",'Journal'!F65)</f>
        <v/>
      </c>
      <c r="H127" s="5">
        <f>IF('Journal'!I65="","",'Journal'!I65)</f>
        <v/>
      </c>
    </row>
    <row r="128">
      <c r="A128" s="18">
        <f>IF('Journal'!A65="","",'Journal'!A65)</f>
        <v/>
      </c>
      <c r="B128" s="21">
        <f>IF('Journal'!B65="","",'Journal'!B65)</f>
        <v/>
      </c>
      <c r="C128" s="5">
        <f>IF('Journal'!C65="","",'Journal'!C65)</f>
        <v/>
      </c>
      <c r="D128" s="5">
        <f>IF('Journal'!E65="","",IFERROR(LEFT('Journal'!E65,FIND(" ",'Journal'!E65)-1),'Journal'!E65))</f>
        <v/>
      </c>
      <c r="E128" s="5">
        <f>IF('Journal'!E65="","",IFERROR(INDEX('Kontoplan'!$B$3:$B$302,MATCH('Journal'!E65,'Kontoplan'!$H$3:$H$302,0)),""))</f>
        <v/>
      </c>
      <c r="F128" s="20">
        <f>IF('Journal'!F65="","",'Journal'!F65)</f>
        <v/>
      </c>
      <c r="G128" s="20">
        <f>IF('Journal'!G65="","",'Journal'!G65)</f>
        <v/>
      </c>
      <c r="H128" s="5">
        <f>IF('Journal'!I65="","",'Journal'!I65)</f>
        <v/>
      </c>
    </row>
    <row r="129">
      <c r="A129" s="18">
        <f>IF('Journal'!A66="","",'Journal'!A66)</f>
        <v/>
      </c>
      <c r="B129" s="21">
        <f>IF('Journal'!B66="","",'Journal'!B66)</f>
        <v/>
      </c>
      <c r="C129" s="5">
        <f>IF('Journal'!C66="","",'Journal'!C66)</f>
        <v/>
      </c>
      <c r="D129" s="5">
        <f>IF('Journal'!D66="","",IFERROR(LEFT('Journal'!D66,FIND(" ",'Journal'!D66)-1),'Journal'!D66))</f>
        <v/>
      </c>
      <c r="E129" s="5">
        <f>IF('Journal'!D66="","",IFERROR(INDEX('Kontoplan'!$B$3:$B$302,MATCH('Journal'!D66,'Kontoplan'!$H$3:$H$302,0)),""))</f>
        <v/>
      </c>
      <c r="F129" s="20">
        <f>IF('Journal'!G66="","",'Journal'!G66)</f>
        <v/>
      </c>
      <c r="G129" s="20">
        <f>IF('Journal'!F66="","",'Journal'!F66)</f>
        <v/>
      </c>
      <c r="H129" s="5">
        <f>IF('Journal'!I66="","",'Journal'!I66)</f>
        <v/>
      </c>
    </row>
    <row r="130">
      <c r="A130" s="18">
        <f>IF('Journal'!A66="","",'Journal'!A66)</f>
        <v/>
      </c>
      <c r="B130" s="21">
        <f>IF('Journal'!B66="","",'Journal'!B66)</f>
        <v/>
      </c>
      <c r="C130" s="5">
        <f>IF('Journal'!C66="","",'Journal'!C66)</f>
        <v/>
      </c>
      <c r="D130" s="5">
        <f>IF('Journal'!E66="","",IFERROR(LEFT('Journal'!E66,FIND(" ",'Journal'!E66)-1),'Journal'!E66))</f>
        <v/>
      </c>
      <c r="E130" s="5">
        <f>IF('Journal'!E66="","",IFERROR(INDEX('Kontoplan'!$B$3:$B$302,MATCH('Journal'!E66,'Kontoplan'!$H$3:$H$302,0)),""))</f>
        <v/>
      </c>
      <c r="F130" s="20">
        <f>IF('Journal'!F66="","",'Journal'!F66)</f>
        <v/>
      </c>
      <c r="G130" s="20">
        <f>IF('Journal'!G66="","",'Journal'!G66)</f>
        <v/>
      </c>
      <c r="H130" s="5">
        <f>IF('Journal'!I66="","",'Journal'!I66)</f>
        <v/>
      </c>
    </row>
    <row r="131">
      <c r="A131" s="18">
        <f>IF('Journal'!A67="","",'Journal'!A67)</f>
        <v/>
      </c>
      <c r="B131" s="21">
        <f>IF('Journal'!B67="","",'Journal'!B67)</f>
        <v/>
      </c>
      <c r="C131" s="5">
        <f>IF('Journal'!C67="","",'Journal'!C67)</f>
        <v/>
      </c>
      <c r="D131" s="5">
        <f>IF('Journal'!D67="","",IFERROR(LEFT('Journal'!D67,FIND(" ",'Journal'!D67)-1),'Journal'!D67))</f>
        <v/>
      </c>
      <c r="E131" s="5">
        <f>IF('Journal'!D67="","",IFERROR(INDEX('Kontoplan'!$B$3:$B$302,MATCH('Journal'!D67,'Kontoplan'!$H$3:$H$302,0)),""))</f>
        <v/>
      </c>
      <c r="F131" s="20">
        <f>IF('Journal'!G67="","",'Journal'!G67)</f>
        <v/>
      </c>
      <c r="G131" s="20">
        <f>IF('Journal'!F67="","",'Journal'!F67)</f>
        <v/>
      </c>
      <c r="H131" s="5">
        <f>IF('Journal'!I67="","",'Journal'!I67)</f>
        <v/>
      </c>
    </row>
    <row r="132">
      <c r="A132" s="18">
        <f>IF('Journal'!A67="","",'Journal'!A67)</f>
        <v/>
      </c>
      <c r="B132" s="21">
        <f>IF('Journal'!B67="","",'Journal'!B67)</f>
        <v/>
      </c>
      <c r="C132" s="5">
        <f>IF('Journal'!C67="","",'Journal'!C67)</f>
        <v/>
      </c>
      <c r="D132" s="5">
        <f>IF('Journal'!E67="","",IFERROR(LEFT('Journal'!E67,FIND(" ",'Journal'!E67)-1),'Journal'!E67))</f>
        <v/>
      </c>
      <c r="E132" s="5">
        <f>IF('Journal'!E67="","",IFERROR(INDEX('Kontoplan'!$B$3:$B$302,MATCH('Journal'!E67,'Kontoplan'!$H$3:$H$302,0)),""))</f>
        <v/>
      </c>
      <c r="F132" s="20">
        <f>IF('Journal'!F67="","",'Journal'!F67)</f>
        <v/>
      </c>
      <c r="G132" s="20">
        <f>IF('Journal'!G67="","",'Journal'!G67)</f>
        <v/>
      </c>
      <c r="H132" s="5">
        <f>IF('Journal'!I67="","",'Journal'!I67)</f>
        <v/>
      </c>
    </row>
    <row r="133">
      <c r="A133" s="18">
        <f>IF('Journal'!A68="","",'Journal'!A68)</f>
        <v/>
      </c>
      <c r="B133" s="21">
        <f>IF('Journal'!B68="","",'Journal'!B68)</f>
        <v/>
      </c>
      <c r="C133" s="5">
        <f>IF('Journal'!C68="","",'Journal'!C68)</f>
        <v/>
      </c>
      <c r="D133" s="5">
        <f>IF('Journal'!D68="","",IFERROR(LEFT('Journal'!D68,FIND(" ",'Journal'!D68)-1),'Journal'!D68))</f>
        <v/>
      </c>
      <c r="E133" s="5">
        <f>IF('Journal'!D68="","",IFERROR(INDEX('Kontoplan'!$B$3:$B$302,MATCH('Journal'!D68,'Kontoplan'!$H$3:$H$302,0)),""))</f>
        <v/>
      </c>
      <c r="F133" s="20">
        <f>IF('Journal'!G68="","",'Journal'!G68)</f>
        <v/>
      </c>
      <c r="G133" s="20">
        <f>IF('Journal'!F68="","",'Journal'!F68)</f>
        <v/>
      </c>
      <c r="H133" s="5">
        <f>IF('Journal'!I68="","",'Journal'!I68)</f>
        <v/>
      </c>
    </row>
    <row r="134">
      <c r="A134" s="18">
        <f>IF('Journal'!A68="","",'Journal'!A68)</f>
        <v/>
      </c>
      <c r="B134" s="21">
        <f>IF('Journal'!B68="","",'Journal'!B68)</f>
        <v/>
      </c>
      <c r="C134" s="5">
        <f>IF('Journal'!C68="","",'Journal'!C68)</f>
        <v/>
      </c>
      <c r="D134" s="5">
        <f>IF('Journal'!E68="","",IFERROR(LEFT('Journal'!E68,FIND(" ",'Journal'!E68)-1),'Journal'!E68))</f>
        <v/>
      </c>
      <c r="E134" s="5">
        <f>IF('Journal'!E68="","",IFERROR(INDEX('Kontoplan'!$B$3:$B$302,MATCH('Journal'!E68,'Kontoplan'!$H$3:$H$302,0)),""))</f>
        <v/>
      </c>
      <c r="F134" s="20">
        <f>IF('Journal'!F68="","",'Journal'!F68)</f>
        <v/>
      </c>
      <c r="G134" s="20">
        <f>IF('Journal'!G68="","",'Journal'!G68)</f>
        <v/>
      </c>
      <c r="H134" s="5">
        <f>IF('Journal'!I68="","",'Journal'!I68)</f>
        <v/>
      </c>
    </row>
    <row r="135">
      <c r="A135" s="18">
        <f>IF('Journal'!A69="","",'Journal'!A69)</f>
        <v/>
      </c>
      <c r="B135" s="21">
        <f>IF('Journal'!B69="","",'Journal'!B69)</f>
        <v/>
      </c>
      <c r="C135" s="5">
        <f>IF('Journal'!C69="","",'Journal'!C69)</f>
        <v/>
      </c>
      <c r="D135" s="5">
        <f>IF('Journal'!D69="","",IFERROR(LEFT('Journal'!D69,FIND(" ",'Journal'!D69)-1),'Journal'!D69))</f>
        <v/>
      </c>
      <c r="E135" s="5">
        <f>IF('Journal'!D69="","",IFERROR(INDEX('Kontoplan'!$B$3:$B$302,MATCH('Journal'!D69,'Kontoplan'!$H$3:$H$302,0)),""))</f>
        <v/>
      </c>
      <c r="F135" s="20">
        <f>IF('Journal'!G69="","",'Journal'!G69)</f>
        <v/>
      </c>
      <c r="G135" s="20">
        <f>IF('Journal'!F69="","",'Journal'!F69)</f>
        <v/>
      </c>
      <c r="H135" s="5">
        <f>IF('Journal'!I69="","",'Journal'!I69)</f>
        <v/>
      </c>
    </row>
    <row r="136">
      <c r="A136" s="18">
        <f>IF('Journal'!A69="","",'Journal'!A69)</f>
        <v/>
      </c>
      <c r="B136" s="21">
        <f>IF('Journal'!B69="","",'Journal'!B69)</f>
        <v/>
      </c>
      <c r="C136" s="5">
        <f>IF('Journal'!C69="","",'Journal'!C69)</f>
        <v/>
      </c>
      <c r="D136" s="5">
        <f>IF('Journal'!E69="","",IFERROR(LEFT('Journal'!E69,FIND(" ",'Journal'!E69)-1),'Journal'!E69))</f>
        <v/>
      </c>
      <c r="E136" s="5">
        <f>IF('Journal'!E69="","",IFERROR(INDEX('Kontoplan'!$B$3:$B$302,MATCH('Journal'!E69,'Kontoplan'!$H$3:$H$302,0)),""))</f>
        <v/>
      </c>
      <c r="F136" s="20">
        <f>IF('Journal'!F69="","",'Journal'!F69)</f>
        <v/>
      </c>
      <c r="G136" s="20">
        <f>IF('Journal'!G69="","",'Journal'!G69)</f>
        <v/>
      </c>
      <c r="H136" s="5">
        <f>IF('Journal'!I69="","",'Journal'!I69)</f>
        <v/>
      </c>
    </row>
    <row r="137">
      <c r="A137" s="18">
        <f>IF('Journal'!A70="","",'Journal'!A70)</f>
        <v/>
      </c>
      <c r="B137" s="21">
        <f>IF('Journal'!B70="","",'Journal'!B70)</f>
        <v/>
      </c>
      <c r="C137" s="5">
        <f>IF('Journal'!C70="","",'Journal'!C70)</f>
        <v/>
      </c>
      <c r="D137" s="5">
        <f>IF('Journal'!D70="","",IFERROR(LEFT('Journal'!D70,FIND(" ",'Journal'!D70)-1),'Journal'!D70))</f>
        <v/>
      </c>
      <c r="E137" s="5">
        <f>IF('Journal'!D70="","",IFERROR(INDEX('Kontoplan'!$B$3:$B$302,MATCH('Journal'!D70,'Kontoplan'!$H$3:$H$302,0)),""))</f>
        <v/>
      </c>
      <c r="F137" s="20">
        <f>IF('Journal'!G70="","",'Journal'!G70)</f>
        <v/>
      </c>
      <c r="G137" s="20">
        <f>IF('Journal'!F70="","",'Journal'!F70)</f>
        <v/>
      </c>
      <c r="H137" s="5">
        <f>IF('Journal'!I70="","",'Journal'!I70)</f>
        <v/>
      </c>
    </row>
    <row r="138">
      <c r="A138" s="18">
        <f>IF('Journal'!A70="","",'Journal'!A70)</f>
        <v/>
      </c>
      <c r="B138" s="21">
        <f>IF('Journal'!B70="","",'Journal'!B70)</f>
        <v/>
      </c>
      <c r="C138" s="5">
        <f>IF('Journal'!C70="","",'Journal'!C70)</f>
        <v/>
      </c>
      <c r="D138" s="5">
        <f>IF('Journal'!E70="","",IFERROR(LEFT('Journal'!E70,FIND(" ",'Journal'!E70)-1),'Journal'!E70))</f>
        <v/>
      </c>
      <c r="E138" s="5">
        <f>IF('Journal'!E70="","",IFERROR(INDEX('Kontoplan'!$B$3:$B$302,MATCH('Journal'!E70,'Kontoplan'!$H$3:$H$302,0)),""))</f>
        <v/>
      </c>
      <c r="F138" s="20">
        <f>IF('Journal'!F70="","",'Journal'!F70)</f>
        <v/>
      </c>
      <c r="G138" s="20">
        <f>IF('Journal'!G70="","",'Journal'!G70)</f>
        <v/>
      </c>
      <c r="H138" s="5">
        <f>IF('Journal'!I70="","",'Journal'!I70)</f>
        <v/>
      </c>
    </row>
    <row r="139">
      <c r="A139" s="18">
        <f>IF('Journal'!A71="","",'Journal'!A71)</f>
        <v/>
      </c>
      <c r="B139" s="21">
        <f>IF('Journal'!B71="","",'Journal'!B71)</f>
        <v/>
      </c>
      <c r="C139" s="5">
        <f>IF('Journal'!C71="","",'Journal'!C71)</f>
        <v/>
      </c>
      <c r="D139" s="5">
        <f>IF('Journal'!D71="","",IFERROR(LEFT('Journal'!D71,FIND(" ",'Journal'!D71)-1),'Journal'!D71))</f>
        <v/>
      </c>
      <c r="E139" s="5">
        <f>IF('Journal'!D71="","",IFERROR(INDEX('Kontoplan'!$B$3:$B$302,MATCH('Journal'!D71,'Kontoplan'!$H$3:$H$302,0)),""))</f>
        <v/>
      </c>
      <c r="F139" s="20">
        <f>IF('Journal'!G71="","",'Journal'!G71)</f>
        <v/>
      </c>
      <c r="G139" s="20">
        <f>IF('Journal'!F71="","",'Journal'!F71)</f>
        <v/>
      </c>
      <c r="H139" s="5">
        <f>IF('Journal'!I71="","",'Journal'!I71)</f>
        <v/>
      </c>
    </row>
    <row r="140">
      <c r="A140" s="18">
        <f>IF('Journal'!A71="","",'Journal'!A71)</f>
        <v/>
      </c>
      <c r="B140" s="21">
        <f>IF('Journal'!B71="","",'Journal'!B71)</f>
        <v/>
      </c>
      <c r="C140" s="5">
        <f>IF('Journal'!C71="","",'Journal'!C71)</f>
        <v/>
      </c>
      <c r="D140" s="5">
        <f>IF('Journal'!E71="","",IFERROR(LEFT('Journal'!E71,FIND(" ",'Journal'!E71)-1),'Journal'!E71))</f>
        <v/>
      </c>
      <c r="E140" s="5">
        <f>IF('Journal'!E71="","",IFERROR(INDEX('Kontoplan'!$B$3:$B$302,MATCH('Journal'!E71,'Kontoplan'!$H$3:$H$302,0)),""))</f>
        <v/>
      </c>
      <c r="F140" s="20">
        <f>IF('Journal'!F71="","",'Journal'!F71)</f>
        <v/>
      </c>
      <c r="G140" s="20">
        <f>IF('Journal'!G71="","",'Journal'!G71)</f>
        <v/>
      </c>
      <c r="H140" s="5">
        <f>IF('Journal'!I71="","",'Journal'!I71)</f>
        <v/>
      </c>
    </row>
    <row r="141">
      <c r="A141" s="18">
        <f>IF('Journal'!A72="","",'Journal'!A72)</f>
        <v/>
      </c>
      <c r="B141" s="21">
        <f>IF('Journal'!B72="","",'Journal'!B72)</f>
        <v/>
      </c>
      <c r="C141" s="5">
        <f>IF('Journal'!C72="","",'Journal'!C72)</f>
        <v/>
      </c>
      <c r="D141" s="5">
        <f>IF('Journal'!D72="","",IFERROR(LEFT('Journal'!D72,FIND(" ",'Journal'!D72)-1),'Journal'!D72))</f>
        <v/>
      </c>
      <c r="E141" s="5">
        <f>IF('Journal'!D72="","",IFERROR(INDEX('Kontoplan'!$B$3:$B$302,MATCH('Journal'!D72,'Kontoplan'!$H$3:$H$302,0)),""))</f>
        <v/>
      </c>
      <c r="F141" s="20">
        <f>IF('Journal'!G72="","",'Journal'!G72)</f>
        <v/>
      </c>
      <c r="G141" s="20">
        <f>IF('Journal'!F72="","",'Journal'!F72)</f>
        <v/>
      </c>
      <c r="H141" s="5">
        <f>IF('Journal'!I72="","",'Journal'!I72)</f>
        <v/>
      </c>
    </row>
    <row r="142">
      <c r="A142" s="18">
        <f>IF('Journal'!A72="","",'Journal'!A72)</f>
        <v/>
      </c>
      <c r="B142" s="21">
        <f>IF('Journal'!B72="","",'Journal'!B72)</f>
        <v/>
      </c>
      <c r="C142" s="5">
        <f>IF('Journal'!C72="","",'Journal'!C72)</f>
        <v/>
      </c>
      <c r="D142" s="5">
        <f>IF('Journal'!E72="","",IFERROR(LEFT('Journal'!E72,FIND(" ",'Journal'!E72)-1),'Journal'!E72))</f>
        <v/>
      </c>
      <c r="E142" s="5">
        <f>IF('Journal'!E72="","",IFERROR(INDEX('Kontoplan'!$B$3:$B$302,MATCH('Journal'!E72,'Kontoplan'!$H$3:$H$302,0)),""))</f>
        <v/>
      </c>
      <c r="F142" s="20">
        <f>IF('Journal'!F72="","",'Journal'!F72)</f>
        <v/>
      </c>
      <c r="G142" s="20">
        <f>IF('Journal'!G72="","",'Journal'!G72)</f>
        <v/>
      </c>
      <c r="H142" s="5">
        <f>IF('Journal'!I72="","",'Journal'!I72)</f>
        <v/>
      </c>
    </row>
    <row r="143">
      <c r="A143" s="18">
        <f>IF('Journal'!A73="","",'Journal'!A73)</f>
        <v/>
      </c>
      <c r="B143" s="21">
        <f>IF('Journal'!B73="","",'Journal'!B73)</f>
        <v/>
      </c>
      <c r="C143" s="5">
        <f>IF('Journal'!C73="","",'Journal'!C73)</f>
        <v/>
      </c>
      <c r="D143" s="5">
        <f>IF('Journal'!D73="","",IFERROR(LEFT('Journal'!D73,FIND(" ",'Journal'!D73)-1),'Journal'!D73))</f>
        <v/>
      </c>
      <c r="E143" s="5">
        <f>IF('Journal'!D73="","",IFERROR(INDEX('Kontoplan'!$B$3:$B$302,MATCH('Journal'!D73,'Kontoplan'!$H$3:$H$302,0)),""))</f>
        <v/>
      </c>
      <c r="F143" s="20">
        <f>IF('Journal'!G73="","",'Journal'!G73)</f>
        <v/>
      </c>
      <c r="G143" s="20">
        <f>IF('Journal'!F73="","",'Journal'!F73)</f>
        <v/>
      </c>
      <c r="H143" s="5">
        <f>IF('Journal'!I73="","",'Journal'!I73)</f>
        <v/>
      </c>
    </row>
    <row r="144">
      <c r="A144" s="18">
        <f>IF('Journal'!A73="","",'Journal'!A73)</f>
        <v/>
      </c>
      <c r="B144" s="21">
        <f>IF('Journal'!B73="","",'Journal'!B73)</f>
        <v/>
      </c>
      <c r="C144" s="5">
        <f>IF('Journal'!C73="","",'Journal'!C73)</f>
        <v/>
      </c>
      <c r="D144" s="5">
        <f>IF('Journal'!E73="","",IFERROR(LEFT('Journal'!E73,FIND(" ",'Journal'!E73)-1),'Journal'!E73))</f>
        <v/>
      </c>
      <c r="E144" s="5">
        <f>IF('Journal'!E73="","",IFERROR(INDEX('Kontoplan'!$B$3:$B$302,MATCH('Journal'!E73,'Kontoplan'!$H$3:$H$302,0)),""))</f>
        <v/>
      </c>
      <c r="F144" s="20">
        <f>IF('Journal'!F73="","",'Journal'!F73)</f>
        <v/>
      </c>
      <c r="G144" s="20">
        <f>IF('Journal'!G73="","",'Journal'!G73)</f>
        <v/>
      </c>
      <c r="H144" s="5">
        <f>IF('Journal'!I73="","",'Journal'!I73)</f>
        <v/>
      </c>
    </row>
    <row r="145">
      <c r="A145" s="18">
        <f>IF('Journal'!A74="","",'Journal'!A74)</f>
        <v/>
      </c>
      <c r="B145" s="21">
        <f>IF('Journal'!B74="","",'Journal'!B74)</f>
        <v/>
      </c>
      <c r="C145" s="5">
        <f>IF('Journal'!C74="","",'Journal'!C74)</f>
        <v/>
      </c>
      <c r="D145" s="5">
        <f>IF('Journal'!D74="","",IFERROR(LEFT('Journal'!D74,FIND(" ",'Journal'!D74)-1),'Journal'!D74))</f>
        <v/>
      </c>
      <c r="E145" s="5">
        <f>IF('Journal'!D74="","",IFERROR(INDEX('Kontoplan'!$B$3:$B$302,MATCH('Journal'!D74,'Kontoplan'!$H$3:$H$302,0)),""))</f>
        <v/>
      </c>
      <c r="F145" s="20">
        <f>IF('Journal'!G74="","",'Journal'!G74)</f>
        <v/>
      </c>
      <c r="G145" s="20">
        <f>IF('Journal'!F74="","",'Journal'!F74)</f>
        <v/>
      </c>
      <c r="H145" s="5">
        <f>IF('Journal'!I74="","",'Journal'!I74)</f>
        <v/>
      </c>
    </row>
    <row r="146">
      <c r="A146" s="18">
        <f>IF('Journal'!A74="","",'Journal'!A74)</f>
        <v/>
      </c>
      <c r="B146" s="21">
        <f>IF('Journal'!B74="","",'Journal'!B74)</f>
        <v/>
      </c>
      <c r="C146" s="5">
        <f>IF('Journal'!C74="","",'Journal'!C74)</f>
        <v/>
      </c>
      <c r="D146" s="5">
        <f>IF('Journal'!E74="","",IFERROR(LEFT('Journal'!E74,FIND(" ",'Journal'!E74)-1),'Journal'!E74))</f>
        <v/>
      </c>
      <c r="E146" s="5">
        <f>IF('Journal'!E74="","",IFERROR(INDEX('Kontoplan'!$B$3:$B$302,MATCH('Journal'!E74,'Kontoplan'!$H$3:$H$302,0)),""))</f>
        <v/>
      </c>
      <c r="F146" s="20">
        <f>IF('Journal'!F74="","",'Journal'!F74)</f>
        <v/>
      </c>
      <c r="G146" s="20">
        <f>IF('Journal'!G74="","",'Journal'!G74)</f>
        <v/>
      </c>
      <c r="H146" s="5">
        <f>IF('Journal'!I74="","",'Journal'!I74)</f>
        <v/>
      </c>
    </row>
    <row r="147">
      <c r="A147" s="18">
        <f>IF('Journal'!A75="","",'Journal'!A75)</f>
        <v/>
      </c>
      <c r="B147" s="21">
        <f>IF('Journal'!B75="","",'Journal'!B75)</f>
        <v/>
      </c>
      <c r="C147" s="5">
        <f>IF('Journal'!C75="","",'Journal'!C75)</f>
        <v/>
      </c>
      <c r="D147" s="5">
        <f>IF('Journal'!D75="","",IFERROR(LEFT('Journal'!D75,FIND(" ",'Journal'!D75)-1),'Journal'!D75))</f>
        <v/>
      </c>
      <c r="E147" s="5">
        <f>IF('Journal'!D75="","",IFERROR(INDEX('Kontoplan'!$B$3:$B$302,MATCH('Journal'!D75,'Kontoplan'!$H$3:$H$302,0)),""))</f>
        <v/>
      </c>
      <c r="F147" s="20">
        <f>IF('Journal'!G75="","",'Journal'!G75)</f>
        <v/>
      </c>
      <c r="G147" s="20">
        <f>IF('Journal'!F75="","",'Journal'!F75)</f>
        <v/>
      </c>
      <c r="H147" s="5">
        <f>IF('Journal'!I75="","",'Journal'!I75)</f>
        <v/>
      </c>
    </row>
    <row r="148">
      <c r="A148" s="18">
        <f>IF('Journal'!A75="","",'Journal'!A75)</f>
        <v/>
      </c>
      <c r="B148" s="21">
        <f>IF('Journal'!B75="","",'Journal'!B75)</f>
        <v/>
      </c>
      <c r="C148" s="5">
        <f>IF('Journal'!C75="","",'Journal'!C75)</f>
        <v/>
      </c>
      <c r="D148" s="5">
        <f>IF('Journal'!E75="","",IFERROR(LEFT('Journal'!E75,FIND(" ",'Journal'!E75)-1),'Journal'!E75))</f>
        <v/>
      </c>
      <c r="E148" s="5">
        <f>IF('Journal'!E75="","",IFERROR(INDEX('Kontoplan'!$B$3:$B$302,MATCH('Journal'!E75,'Kontoplan'!$H$3:$H$302,0)),""))</f>
        <v/>
      </c>
      <c r="F148" s="20">
        <f>IF('Journal'!F75="","",'Journal'!F75)</f>
        <v/>
      </c>
      <c r="G148" s="20">
        <f>IF('Journal'!G75="","",'Journal'!G75)</f>
        <v/>
      </c>
      <c r="H148" s="5">
        <f>IF('Journal'!I75="","",'Journal'!I75)</f>
        <v/>
      </c>
    </row>
    <row r="149">
      <c r="A149" s="18">
        <f>IF('Journal'!A76="","",'Journal'!A76)</f>
        <v/>
      </c>
      <c r="B149" s="21">
        <f>IF('Journal'!B76="","",'Journal'!B76)</f>
        <v/>
      </c>
      <c r="C149" s="5">
        <f>IF('Journal'!C76="","",'Journal'!C76)</f>
        <v/>
      </c>
      <c r="D149" s="5">
        <f>IF('Journal'!D76="","",IFERROR(LEFT('Journal'!D76,FIND(" ",'Journal'!D76)-1),'Journal'!D76))</f>
        <v/>
      </c>
      <c r="E149" s="5">
        <f>IF('Journal'!D76="","",IFERROR(INDEX('Kontoplan'!$B$3:$B$302,MATCH('Journal'!D76,'Kontoplan'!$H$3:$H$302,0)),""))</f>
        <v/>
      </c>
      <c r="F149" s="20">
        <f>IF('Journal'!G76="","",'Journal'!G76)</f>
        <v/>
      </c>
      <c r="G149" s="20">
        <f>IF('Journal'!F76="","",'Journal'!F76)</f>
        <v/>
      </c>
      <c r="H149" s="5">
        <f>IF('Journal'!I76="","",'Journal'!I76)</f>
        <v/>
      </c>
    </row>
    <row r="150">
      <c r="A150" s="18">
        <f>IF('Journal'!A76="","",'Journal'!A76)</f>
        <v/>
      </c>
      <c r="B150" s="21">
        <f>IF('Journal'!B76="","",'Journal'!B76)</f>
        <v/>
      </c>
      <c r="C150" s="5">
        <f>IF('Journal'!C76="","",'Journal'!C76)</f>
        <v/>
      </c>
      <c r="D150" s="5">
        <f>IF('Journal'!E76="","",IFERROR(LEFT('Journal'!E76,FIND(" ",'Journal'!E76)-1),'Journal'!E76))</f>
        <v/>
      </c>
      <c r="E150" s="5">
        <f>IF('Journal'!E76="","",IFERROR(INDEX('Kontoplan'!$B$3:$B$302,MATCH('Journal'!E76,'Kontoplan'!$H$3:$H$302,0)),""))</f>
        <v/>
      </c>
      <c r="F150" s="20">
        <f>IF('Journal'!F76="","",'Journal'!F76)</f>
        <v/>
      </c>
      <c r="G150" s="20">
        <f>IF('Journal'!G76="","",'Journal'!G76)</f>
        <v/>
      </c>
      <c r="H150" s="5">
        <f>IF('Journal'!I76="","",'Journal'!I76)</f>
        <v/>
      </c>
    </row>
    <row r="151">
      <c r="A151" s="18">
        <f>IF('Journal'!A77="","",'Journal'!A77)</f>
        <v/>
      </c>
      <c r="B151" s="21">
        <f>IF('Journal'!B77="","",'Journal'!B77)</f>
        <v/>
      </c>
      <c r="C151" s="5">
        <f>IF('Journal'!C77="","",'Journal'!C77)</f>
        <v/>
      </c>
      <c r="D151" s="5">
        <f>IF('Journal'!D77="","",IFERROR(LEFT('Journal'!D77,FIND(" ",'Journal'!D77)-1),'Journal'!D77))</f>
        <v/>
      </c>
      <c r="E151" s="5">
        <f>IF('Journal'!D77="","",IFERROR(INDEX('Kontoplan'!$B$3:$B$302,MATCH('Journal'!D77,'Kontoplan'!$H$3:$H$302,0)),""))</f>
        <v/>
      </c>
      <c r="F151" s="20">
        <f>IF('Journal'!G77="","",'Journal'!G77)</f>
        <v/>
      </c>
      <c r="G151" s="20">
        <f>IF('Journal'!F77="","",'Journal'!F77)</f>
        <v/>
      </c>
      <c r="H151" s="5">
        <f>IF('Journal'!I77="","",'Journal'!I77)</f>
        <v/>
      </c>
    </row>
    <row r="152">
      <c r="A152" s="18">
        <f>IF('Journal'!A77="","",'Journal'!A77)</f>
        <v/>
      </c>
      <c r="B152" s="21">
        <f>IF('Journal'!B77="","",'Journal'!B77)</f>
        <v/>
      </c>
      <c r="C152" s="5">
        <f>IF('Journal'!C77="","",'Journal'!C77)</f>
        <v/>
      </c>
      <c r="D152" s="5">
        <f>IF('Journal'!E77="","",IFERROR(LEFT('Journal'!E77,FIND(" ",'Journal'!E77)-1),'Journal'!E77))</f>
        <v/>
      </c>
      <c r="E152" s="5">
        <f>IF('Journal'!E77="","",IFERROR(INDEX('Kontoplan'!$B$3:$B$302,MATCH('Journal'!E77,'Kontoplan'!$H$3:$H$302,0)),""))</f>
        <v/>
      </c>
      <c r="F152" s="20">
        <f>IF('Journal'!F77="","",'Journal'!F77)</f>
        <v/>
      </c>
      <c r="G152" s="20">
        <f>IF('Journal'!G77="","",'Journal'!G77)</f>
        <v/>
      </c>
      <c r="H152" s="5">
        <f>IF('Journal'!I77="","",'Journal'!I77)</f>
        <v/>
      </c>
    </row>
    <row r="153">
      <c r="A153" s="18">
        <f>IF('Journal'!A78="","",'Journal'!A78)</f>
        <v/>
      </c>
      <c r="B153" s="21">
        <f>IF('Journal'!B78="","",'Journal'!B78)</f>
        <v/>
      </c>
      <c r="C153" s="5">
        <f>IF('Journal'!C78="","",'Journal'!C78)</f>
        <v/>
      </c>
      <c r="D153" s="5">
        <f>IF('Journal'!D78="","",IFERROR(LEFT('Journal'!D78,FIND(" ",'Journal'!D78)-1),'Journal'!D78))</f>
        <v/>
      </c>
      <c r="E153" s="5">
        <f>IF('Journal'!D78="","",IFERROR(INDEX('Kontoplan'!$B$3:$B$302,MATCH('Journal'!D78,'Kontoplan'!$H$3:$H$302,0)),""))</f>
        <v/>
      </c>
      <c r="F153" s="20">
        <f>IF('Journal'!G78="","",'Journal'!G78)</f>
        <v/>
      </c>
      <c r="G153" s="20">
        <f>IF('Journal'!F78="","",'Journal'!F78)</f>
        <v/>
      </c>
      <c r="H153" s="5">
        <f>IF('Journal'!I78="","",'Journal'!I78)</f>
        <v/>
      </c>
    </row>
    <row r="154">
      <c r="A154" s="18">
        <f>IF('Journal'!A78="","",'Journal'!A78)</f>
        <v/>
      </c>
      <c r="B154" s="21">
        <f>IF('Journal'!B78="","",'Journal'!B78)</f>
        <v/>
      </c>
      <c r="C154" s="5">
        <f>IF('Journal'!C78="","",'Journal'!C78)</f>
        <v/>
      </c>
      <c r="D154" s="5">
        <f>IF('Journal'!E78="","",IFERROR(LEFT('Journal'!E78,FIND(" ",'Journal'!E78)-1),'Journal'!E78))</f>
        <v/>
      </c>
      <c r="E154" s="5">
        <f>IF('Journal'!E78="","",IFERROR(INDEX('Kontoplan'!$B$3:$B$302,MATCH('Journal'!E78,'Kontoplan'!$H$3:$H$302,0)),""))</f>
        <v/>
      </c>
      <c r="F154" s="20">
        <f>IF('Journal'!F78="","",'Journal'!F78)</f>
        <v/>
      </c>
      <c r="G154" s="20">
        <f>IF('Journal'!G78="","",'Journal'!G78)</f>
        <v/>
      </c>
      <c r="H154" s="5">
        <f>IF('Journal'!I78="","",'Journal'!I78)</f>
        <v/>
      </c>
    </row>
    <row r="155">
      <c r="A155" s="18">
        <f>IF('Journal'!A79="","",'Journal'!A79)</f>
        <v/>
      </c>
      <c r="B155" s="21">
        <f>IF('Journal'!B79="","",'Journal'!B79)</f>
        <v/>
      </c>
      <c r="C155" s="5">
        <f>IF('Journal'!C79="","",'Journal'!C79)</f>
        <v/>
      </c>
      <c r="D155" s="5">
        <f>IF('Journal'!D79="","",IFERROR(LEFT('Journal'!D79,FIND(" ",'Journal'!D79)-1),'Journal'!D79))</f>
        <v/>
      </c>
      <c r="E155" s="5">
        <f>IF('Journal'!D79="","",IFERROR(INDEX('Kontoplan'!$B$3:$B$302,MATCH('Journal'!D79,'Kontoplan'!$H$3:$H$302,0)),""))</f>
        <v/>
      </c>
      <c r="F155" s="20">
        <f>IF('Journal'!G79="","",'Journal'!G79)</f>
        <v/>
      </c>
      <c r="G155" s="20">
        <f>IF('Journal'!F79="","",'Journal'!F79)</f>
        <v/>
      </c>
      <c r="H155" s="5">
        <f>IF('Journal'!I79="","",'Journal'!I79)</f>
        <v/>
      </c>
    </row>
    <row r="156">
      <c r="A156" s="18">
        <f>IF('Journal'!A79="","",'Journal'!A79)</f>
        <v/>
      </c>
      <c r="B156" s="21">
        <f>IF('Journal'!B79="","",'Journal'!B79)</f>
        <v/>
      </c>
      <c r="C156" s="5">
        <f>IF('Journal'!C79="","",'Journal'!C79)</f>
        <v/>
      </c>
      <c r="D156" s="5">
        <f>IF('Journal'!E79="","",IFERROR(LEFT('Journal'!E79,FIND(" ",'Journal'!E79)-1),'Journal'!E79))</f>
        <v/>
      </c>
      <c r="E156" s="5">
        <f>IF('Journal'!E79="","",IFERROR(INDEX('Kontoplan'!$B$3:$B$302,MATCH('Journal'!E79,'Kontoplan'!$H$3:$H$302,0)),""))</f>
        <v/>
      </c>
      <c r="F156" s="20">
        <f>IF('Journal'!F79="","",'Journal'!F79)</f>
        <v/>
      </c>
      <c r="G156" s="20">
        <f>IF('Journal'!G79="","",'Journal'!G79)</f>
        <v/>
      </c>
      <c r="H156" s="5">
        <f>IF('Journal'!I79="","",'Journal'!I79)</f>
        <v/>
      </c>
    </row>
    <row r="157">
      <c r="A157" s="18">
        <f>IF('Journal'!A80="","",'Journal'!A80)</f>
        <v/>
      </c>
      <c r="B157" s="21">
        <f>IF('Journal'!B80="","",'Journal'!B80)</f>
        <v/>
      </c>
      <c r="C157" s="5">
        <f>IF('Journal'!C80="","",'Journal'!C80)</f>
        <v/>
      </c>
      <c r="D157" s="5">
        <f>IF('Journal'!D80="","",IFERROR(LEFT('Journal'!D80,FIND(" ",'Journal'!D80)-1),'Journal'!D80))</f>
        <v/>
      </c>
      <c r="E157" s="5">
        <f>IF('Journal'!D80="","",IFERROR(INDEX('Kontoplan'!$B$3:$B$302,MATCH('Journal'!D80,'Kontoplan'!$H$3:$H$302,0)),""))</f>
        <v/>
      </c>
      <c r="F157" s="20">
        <f>IF('Journal'!G80="","",'Journal'!G80)</f>
        <v/>
      </c>
      <c r="G157" s="20">
        <f>IF('Journal'!F80="","",'Journal'!F80)</f>
        <v/>
      </c>
      <c r="H157" s="5">
        <f>IF('Journal'!I80="","",'Journal'!I80)</f>
        <v/>
      </c>
    </row>
    <row r="158">
      <c r="A158" s="18">
        <f>IF('Journal'!A80="","",'Journal'!A80)</f>
        <v/>
      </c>
      <c r="B158" s="21">
        <f>IF('Journal'!B80="","",'Journal'!B80)</f>
        <v/>
      </c>
      <c r="C158" s="5">
        <f>IF('Journal'!C80="","",'Journal'!C80)</f>
        <v/>
      </c>
      <c r="D158" s="5">
        <f>IF('Journal'!E80="","",IFERROR(LEFT('Journal'!E80,FIND(" ",'Journal'!E80)-1),'Journal'!E80))</f>
        <v/>
      </c>
      <c r="E158" s="5">
        <f>IF('Journal'!E80="","",IFERROR(INDEX('Kontoplan'!$B$3:$B$302,MATCH('Journal'!E80,'Kontoplan'!$H$3:$H$302,0)),""))</f>
        <v/>
      </c>
      <c r="F158" s="20">
        <f>IF('Journal'!F80="","",'Journal'!F80)</f>
        <v/>
      </c>
      <c r="G158" s="20">
        <f>IF('Journal'!G80="","",'Journal'!G80)</f>
        <v/>
      </c>
      <c r="H158" s="5">
        <f>IF('Journal'!I80="","",'Journal'!I80)</f>
        <v/>
      </c>
    </row>
    <row r="159">
      <c r="A159" s="18">
        <f>IF('Journal'!A81="","",'Journal'!A81)</f>
        <v/>
      </c>
      <c r="B159" s="21">
        <f>IF('Journal'!B81="","",'Journal'!B81)</f>
        <v/>
      </c>
      <c r="C159" s="5">
        <f>IF('Journal'!C81="","",'Journal'!C81)</f>
        <v/>
      </c>
      <c r="D159" s="5">
        <f>IF('Journal'!D81="","",IFERROR(LEFT('Journal'!D81,FIND(" ",'Journal'!D81)-1),'Journal'!D81))</f>
        <v/>
      </c>
      <c r="E159" s="5">
        <f>IF('Journal'!D81="","",IFERROR(INDEX('Kontoplan'!$B$3:$B$302,MATCH('Journal'!D81,'Kontoplan'!$H$3:$H$302,0)),""))</f>
        <v/>
      </c>
      <c r="F159" s="20">
        <f>IF('Journal'!G81="","",'Journal'!G81)</f>
        <v/>
      </c>
      <c r="G159" s="20">
        <f>IF('Journal'!F81="","",'Journal'!F81)</f>
        <v/>
      </c>
      <c r="H159" s="5">
        <f>IF('Journal'!I81="","",'Journal'!I81)</f>
        <v/>
      </c>
    </row>
    <row r="160">
      <c r="A160" s="18">
        <f>IF('Journal'!A81="","",'Journal'!A81)</f>
        <v/>
      </c>
      <c r="B160" s="21">
        <f>IF('Journal'!B81="","",'Journal'!B81)</f>
        <v/>
      </c>
      <c r="C160" s="5">
        <f>IF('Journal'!C81="","",'Journal'!C81)</f>
        <v/>
      </c>
      <c r="D160" s="5">
        <f>IF('Journal'!E81="","",IFERROR(LEFT('Journal'!E81,FIND(" ",'Journal'!E81)-1),'Journal'!E81))</f>
        <v/>
      </c>
      <c r="E160" s="5">
        <f>IF('Journal'!E81="","",IFERROR(INDEX('Kontoplan'!$B$3:$B$302,MATCH('Journal'!E81,'Kontoplan'!$H$3:$H$302,0)),""))</f>
        <v/>
      </c>
      <c r="F160" s="20">
        <f>IF('Journal'!F81="","",'Journal'!F81)</f>
        <v/>
      </c>
      <c r="G160" s="20">
        <f>IF('Journal'!G81="","",'Journal'!G81)</f>
        <v/>
      </c>
      <c r="H160" s="5">
        <f>IF('Journal'!I81="","",'Journal'!I81)</f>
        <v/>
      </c>
    </row>
    <row r="161">
      <c r="A161" s="18">
        <f>IF('Journal'!A82="","",'Journal'!A82)</f>
        <v/>
      </c>
      <c r="B161" s="21">
        <f>IF('Journal'!B82="","",'Journal'!B82)</f>
        <v/>
      </c>
      <c r="C161" s="5">
        <f>IF('Journal'!C82="","",'Journal'!C82)</f>
        <v/>
      </c>
      <c r="D161" s="5">
        <f>IF('Journal'!D82="","",IFERROR(LEFT('Journal'!D82,FIND(" ",'Journal'!D82)-1),'Journal'!D82))</f>
        <v/>
      </c>
      <c r="E161" s="5">
        <f>IF('Journal'!D82="","",IFERROR(INDEX('Kontoplan'!$B$3:$B$302,MATCH('Journal'!D82,'Kontoplan'!$H$3:$H$302,0)),""))</f>
        <v/>
      </c>
      <c r="F161" s="20">
        <f>IF('Journal'!G82="","",'Journal'!G82)</f>
        <v/>
      </c>
      <c r="G161" s="20">
        <f>IF('Journal'!F82="","",'Journal'!F82)</f>
        <v/>
      </c>
      <c r="H161" s="5">
        <f>IF('Journal'!I82="","",'Journal'!I82)</f>
        <v/>
      </c>
    </row>
    <row r="162">
      <c r="A162" s="18">
        <f>IF('Journal'!A82="","",'Journal'!A82)</f>
        <v/>
      </c>
      <c r="B162" s="21">
        <f>IF('Journal'!B82="","",'Journal'!B82)</f>
        <v/>
      </c>
      <c r="C162" s="5">
        <f>IF('Journal'!C82="","",'Journal'!C82)</f>
        <v/>
      </c>
      <c r="D162" s="5">
        <f>IF('Journal'!E82="","",IFERROR(LEFT('Journal'!E82,FIND(" ",'Journal'!E82)-1),'Journal'!E82))</f>
        <v/>
      </c>
      <c r="E162" s="5">
        <f>IF('Journal'!E82="","",IFERROR(INDEX('Kontoplan'!$B$3:$B$302,MATCH('Journal'!E82,'Kontoplan'!$H$3:$H$302,0)),""))</f>
        <v/>
      </c>
      <c r="F162" s="20">
        <f>IF('Journal'!F82="","",'Journal'!F82)</f>
        <v/>
      </c>
      <c r="G162" s="20">
        <f>IF('Journal'!G82="","",'Journal'!G82)</f>
        <v/>
      </c>
      <c r="H162" s="5">
        <f>IF('Journal'!I82="","",'Journal'!I82)</f>
        <v/>
      </c>
    </row>
    <row r="163">
      <c r="A163" s="18">
        <f>IF('Journal'!A83="","",'Journal'!A83)</f>
        <v/>
      </c>
      <c r="B163" s="21">
        <f>IF('Journal'!B83="","",'Journal'!B83)</f>
        <v/>
      </c>
      <c r="C163" s="5">
        <f>IF('Journal'!C83="","",'Journal'!C83)</f>
        <v/>
      </c>
      <c r="D163" s="5">
        <f>IF('Journal'!D83="","",IFERROR(LEFT('Journal'!D83,FIND(" ",'Journal'!D83)-1),'Journal'!D83))</f>
        <v/>
      </c>
      <c r="E163" s="5">
        <f>IF('Journal'!D83="","",IFERROR(INDEX('Kontoplan'!$B$3:$B$302,MATCH('Journal'!D83,'Kontoplan'!$H$3:$H$302,0)),""))</f>
        <v/>
      </c>
      <c r="F163" s="20">
        <f>IF('Journal'!G83="","",'Journal'!G83)</f>
        <v/>
      </c>
      <c r="G163" s="20">
        <f>IF('Journal'!F83="","",'Journal'!F83)</f>
        <v/>
      </c>
      <c r="H163" s="5">
        <f>IF('Journal'!I83="","",'Journal'!I83)</f>
        <v/>
      </c>
    </row>
    <row r="164">
      <c r="A164" s="18">
        <f>IF('Journal'!A83="","",'Journal'!A83)</f>
        <v/>
      </c>
      <c r="B164" s="21">
        <f>IF('Journal'!B83="","",'Journal'!B83)</f>
        <v/>
      </c>
      <c r="C164" s="5">
        <f>IF('Journal'!C83="","",'Journal'!C83)</f>
        <v/>
      </c>
      <c r="D164" s="5">
        <f>IF('Journal'!E83="","",IFERROR(LEFT('Journal'!E83,FIND(" ",'Journal'!E83)-1),'Journal'!E83))</f>
        <v/>
      </c>
      <c r="E164" s="5">
        <f>IF('Journal'!E83="","",IFERROR(INDEX('Kontoplan'!$B$3:$B$302,MATCH('Journal'!E83,'Kontoplan'!$H$3:$H$302,0)),""))</f>
        <v/>
      </c>
      <c r="F164" s="20">
        <f>IF('Journal'!F83="","",'Journal'!F83)</f>
        <v/>
      </c>
      <c r="G164" s="20">
        <f>IF('Journal'!G83="","",'Journal'!G83)</f>
        <v/>
      </c>
      <c r="H164" s="5">
        <f>IF('Journal'!I83="","",'Journal'!I83)</f>
        <v/>
      </c>
    </row>
    <row r="165">
      <c r="A165" s="18">
        <f>IF('Journal'!A84="","",'Journal'!A84)</f>
        <v/>
      </c>
      <c r="B165" s="21">
        <f>IF('Journal'!B84="","",'Journal'!B84)</f>
        <v/>
      </c>
      <c r="C165" s="5">
        <f>IF('Journal'!C84="","",'Journal'!C84)</f>
        <v/>
      </c>
      <c r="D165" s="5">
        <f>IF('Journal'!D84="","",IFERROR(LEFT('Journal'!D84,FIND(" ",'Journal'!D84)-1),'Journal'!D84))</f>
        <v/>
      </c>
      <c r="E165" s="5">
        <f>IF('Journal'!D84="","",IFERROR(INDEX('Kontoplan'!$B$3:$B$302,MATCH('Journal'!D84,'Kontoplan'!$H$3:$H$302,0)),""))</f>
        <v/>
      </c>
      <c r="F165" s="20">
        <f>IF('Journal'!G84="","",'Journal'!G84)</f>
        <v/>
      </c>
      <c r="G165" s="20">
        <f>IF('Journal'!F84="","",'Journal'!F84)</f>
        <v/>
      </c>
      <c r="H165" s="5">
        <f>IF('Journal'!I84="","",'Journal'!I84)</f>
        <v/>
      </c>
    </row>
    <row r="166">
      <c r="A166" s="18">
        <f>IF('Journal'!A84="","",'Journal'!A84)</f>
        <v/>
      </c>
      <c r="B166" s="21">
        <f>IF('Journal'!B84="","",'Journal'!B84)</f>
        <v/>
      </c>
      <c r="C166" s="5">
        <f>IF('Journal'!C84="","",'Journal'!C84)</f>
        <v/>
      </c>
      <c r="D166" s="5">
        <f>IF('Journal'!E84="","",IFERROR(LEFT('Journal'!E84,FIND(" ",'Journal'!E84)-1),'Journal'!E84))</f>
        <v/>
      </c>
      <c r="E166" s="5">
        <f>IF('Journal'!E84="","",IFERROR(INDEX('Kontoplan'!$B$3:$B$302,MATCH('Journal'!E84,'Kontoplan'!$H$3:$H$302,0)),""))</f>
        <v/>
      </c>
      <c r="F166" s="20">
        <f>IF('Journal'!F84="","",'Journal'!F84)</f>
        <v/>
      </c>
      <c r="G166" s="20">
        <f>IF('Journal'!G84="","",'Journal'!G84)</f>
        <v/>
      </c>
      <c r="H166" s="5">
        <f>IF('Journal'!I84="","",'Journal'!I84)</f>
        <v/>
      </c>
    </row>
    <row r="167">
      <c r="A167" s="18">
        <f>IF('Journal'!A85="","",'Journal'!A85)</f>
        <v/>
      </c>
      <c r="B167" s="21">
        <f>IF('Journal'!B85="","",'Journal'!B85)</f>
        <v/>
      </c>
      <c r="C167" s="5">
        <f>IF('Journal'!C85="","",'Journal'!C85)</f>
        <v/>
      </c>
      <c r="D167" s="5">
        <f>IF('Journal'!D85="","",IFERROR(LEFT('Journal'!D85,FIND(" ",'Journal'!D85)-1),'Journal'!D85))</f>
        <v/>
      </c>
      <c r="E167" s="5">
        <f>IF('Journal'!D85="","",IFERROR(INDEX('Kontoplan'!$B$3:$B$302,MATCH('Journal'!D85,'Kontoplan'!$H$3:$H$302,0)),""))</f>
        <v/>
      </c>
      <c r="F167" s="20">
        <f>IF('Journal'!G85="","",'Journal'!G85)</f>
        <v/>
      </c>
      <c r="G167" s="20">
        <f>IF('Journal'!F85="","",'Journal'!F85)</f>
        <v/>
      </c>
      <c r="H167" s="5">
        <f>IF('Journal'!I85="","",'Journal'!I85)</f>
        <v/>
      </c>
    </row>
    <row r="168">
      <c r="A168" s="18">
        <f>IF('Journal'!A85="","",'Journal'!A85)</f>
        <v/>
      </c>
      <c r="B168" s="21">
        <f>IF('Journal'!B85="","",'Journal'!B85)</f>
        <v/>
      </c>
      <c r="C168" s="5">
        <f>IF('Journal'!C85="","",'Journal'!C85)</f>
        <v/>
      </c>
      <c r="D168" s="5">
        <f>IF('Journal'!E85="","",IFERROR(LEFT('Journal'!E85,FIND(" ",'Journal'!E85)-1),'Journal'!E85))</f>
        <v/>
      </c>
      <c r="E168" s="5">
        <f>IF('Journal'!E85="","",IFERROR(INDEX('Kontoplan'!$B$3:$B$302,MATCH('Journal'!E85,'Kontoplan'!$H$3:$H$302,0)),""))</f>
        <v/>
      </c>
      <c r="F168" s="20">
        <f>IF('Journal'!F85="","",'Journal'!F85)</f>
        <v/>
      </c>
      <c r="G168" s="20">
        <f>IF('Journal'!G85="","",'Journal'!G85)</f>
        <v/>
      </c>
      <c r="H168" s="5">
        <f>IF('Journal'!I85="","",'Journal'!I85)</f>
        <v/>
      </c>
    </row>
    <row r="169">
      <c r="A169" s="18">
        <f>IF('Journal'!A86="","",'Journal'!A86)</f>
        <v/>
      </c>
      <c r="B169" s="21">
        <f>IF('Journal'!B86="","",'Journal'!B86)</f>
        <v/>
      </c>
      <c r="C169" s="5">
        <f>IF('Journal'!C86="","",'Journal'!C86)</f>
        <v/>
      </c>
      <c r="D169" s="5">
        <f>IF('Journal'!D86="","",IFERROR(LEFT('Journal'!D86,FIND(" ",'Journal'!D86)-1),'Journal'!D86))</f>
        <v/>
      </c>
      <c r="E169" s="5">
        <f>IF('Journal'!D86="","",IFERROR(INDEX('Kontoplan'!$B$3:$B$302,MATCH('Journal'!D86,'Kontoplan'!$H$3:$H$302,0)),""))</f>
        <v/>
      </c>
      <c r="F169" s="20">
        <f>IF('Journal'!G86="","",'Journal'!G86)</f>
        <v/>
      </c>
      <c r="G169" s="20">
        <f>IF('Journal'!F86="","",'Journal'!F86)</f>
        <v/>
      </c>
      <c r="H169" s="5">
        <f>IF('Journal'!I86="","",'Journal'!I86)</f>
        <v/>
      </c>
    </row>
    <row r="170">
      <c r="A170" s="18">
        <f>IF('Journal'!A86="","",'Journal'!A86)</f>
        <v/>
      </c>
      <c r="B170" s="21">
        <f>IF('Journal'!B86="","",'Journal'!B86)</f>
        <v/>
      </c>
      <c r="C170" s="5">
        <f>IF('Journal'!C86="","",'Journal'!C86)</f>
        <v/>
      </c>
      <c r="D170" s="5">
        <f>IF('Journal'!E86="","",IFERROR(LEFT('Journal'!E86,FIND(" ",'Journal'!E86)-1),'Journal'!E86))</f>
        <v/>
      </c>
      <c r="E170" s="5">
        <f>IF('Journal'!E86="","",IFERROR(INDEX('Kontoplan'!$B$3:$B$302,MATCH('Journal'!E86,'Kontoplan'!$H$3:$H$302,0)),""))</f>
        <v/>
      </c>
      <c r="F170" s="20">
        <f>IF('Journal'!F86="","",'Journal'!F86)</f>
        <v/>
      </c>
      <c r="G170" s="20">
        <f>IF('Journal'!G86="","",'Journal'!G86)</f>
        <v/>
      </c>
      <c r="H170" s="5">
        <f>IF('Journal'!I86="","",'Journal'!I86)</f>
        <v/>
      </c>
    </row>
    <row r="171">
      <c r="A171" s="18">
        <f>IF('Journal'!A87="","",'Journal'!A87)</f>
        <v/>
      </c>
      <c r="B171" s="21">
        <f>IF('Journal'!B87="","",'Journal'!B87)</f>
        <v/>
      </c>
      <c r="C171" s="5">
        <f>IF('Journal'!C87="","",'Journal'!C87)</f>
        <v/>
      </c>
      <c r="D171" s="5">
        <f>IF('Journal'!D87="","",IFERROR(LEFT('Journal'!D87,FIND(" ",'Journal'!D87)-1),'Journal'!D87))</f>
        <v/>
      </c>
      <c r="E171" s="5">
        <f>IF('Journal'!D87="","",IFERROR(INDEX('Kontoplan'!$B$3:$B$302,MATCH('Journal'!D87,'Kontoplan'!$H$3:$H$302,0)),""))</f>
        <v/>
      </c>
      <c r="F171" s="20">
        <f>IF('Journal'!G87="","",'Journal'!G87)</f>
        <v/>
      </c>
      <c r="G171" s="20">
        <f>IF('Journal'!F87="","",'Journal'!F87)</f>
        <v/>
      </c>
      <c r="H171" s="5">
        <f>IF('Journal'!I87="","",'Journal'!I87)</f>
        <v/>
      </c>
    </row>
    <row r="172">
      <c r="A172" s="18">
        <f>IF('Journal'!A87="","",'Journal'!A87)</f>
        <v/>
      </c>
      <c r="B172" s="21">
        <f>IF('Journal'!B87="","",'Journal'!B87)</f>
        <v/>
      </c>
      <c r="C172" s="5">
        <f>IF('Journal'!C87="","",'Journal'!C87)</f>
        <v/>
      </c>
      <c r="D172" s="5">
        <f>IF('Journal'!E87="","",IFERROR(LEFT('Journal'!E87,FIND(" ",'Journal'!E87)-1),'Journal'!E87))</f>
        <v/>
      </c>
      <c r="E172" s="5">
        <f>IF('Journal'!E87="","",IFERROR(INDEX('Kontoplan'!$B$3:$B$302,MATCH('Journal'!E87,'Kontoplan'!$H$3:$H$302,0)),""))</f>
        <v/>
      </c>
      <c r="F172" s="20">
        <f>IF('Journal'!F87="","",'Journal'!F87)</f>
        <v/>
      </c>
      <c r="G172" s="20">
        <f>IF('Journal'!G87="","",'Journal'!G87)</f>
        <v/>
      </c>
      <c r="H172" s="5">
        <f>IF('Journal'!I87="","",'Journal'!I87)</f>
        <v/>
      </c>
    </row>
    <row r="173">
      <c r="A173" s="18">
        <f>IF('Journal'!A88="","",'Journal'!A88)</f>
        <v/>
      </c>
      <c r="B173" s="21">
        <f>IF('Journal'!B88="","",'Journal'!B88)</f>
        <v/>
      </c>
      <c r="C173" s="5">
        <f>IF('Journal'!C88="","",'Journal'!C88)</f>
        <v/>
      </c>
      <c r="D173" s="5">
        <f>IF('Journal'!D88="","",IFERROR(LEFT('Journal'!D88,FIND(" ",'Journal'!D88)-1),'Journal'!D88))</f>
        <v/>
      </c>
      <c r="E173" s="5">
        <f>IF('Journal'!D88="","",IFERROR(INDEX('Kontoplan'!$B$3:$B$302,MATCH('Journal'!D88,'Kontoplan'!$H$3:$H$302,0)),""))</f>
        <v/>
      </c>
      <c r="F173" s="20">
        <f>IF('Journal'!G88="","",'Journal'!G88)</f>
        <v/>
      </c>
      <c r="G173" s="20">
        <f>IF('Journal'!F88="","",'Journal'!F88)</f>
        <v/>
      </c>
      <c r="H173" s="5">
        <f>IF('Journal'!I88="","",'Journal'!I88)</f>
        <v/>
      </c>
    </row>
    <row r="174">
      <c r="A174" s="18">
        <f>IF('Journal'!A88="","",'Journal'!A88)</f>
        <v/>
      </c>
      <c r="B174" s="21">
        <f>IF('Journal'!B88="","",'Journal'!B88)</f>
        <v/>
      </c>
      <c r="C174" s="5">
        <f>IF('Journal'!C88="","",'Journal'!C88)</f>
        <v/>
      </c>
      <c r="D174" s="5">
        <f>IF('Journal'!E88="","",IFERROR(LEFT('Journal'!E88,FIND(" ",'Journal'!E88)-1),'Journal'!E88))</f>
        <v/>
      </c>
      <c r="E174" s="5">
        <f>IF('Journal'!E88="","",IFERROR(INDEX('Kontoplan'!$B$3:$B$302,MATCH('Journal'!E88,'Kontoplan'!$H$3:$H$302,0)),""))</f>
        <v/>
      </c>
      <c r="F174" s="20">
        <f>IF('Journal'!F88="","",'Journal'!F88)</f>
        <v/>
      </c>
      <c r="G174" s="20">
        <f>IF('Journal'!G88="","",'Journal'!G88)</f>
        <v/>
      </c>
      <c r="H174" s="5">
        <f>IF('Journal'!I88="","",'Journal'!I88)</f>
        <v/>
      </c>
    </row>
    <row r="175">
      <c r="A175" s="18">
        <f>IF('Journal'!A89="","",'Journal'!A89)</f>
        <v/>
      </c>
      <c r="B175" s="21">
        <f>IF('Journal'!B89="","",'Journal'!B89)</f>
        <v/>
      </c>
      <c r="C175" s="5">
        <f>IF('Journal'!C89="","",'Journal'!C89)</f>
        <v/>
      </c>
      <c r="D175" s="5">
        <f>IF('Journal'!D89="","",IFERROR(LEFT('Journal'!D89,FIND(" ",'Journal'!D89)-1),'Journal'!D89))</f>
        <v/>
      </c>
      <c r="E175" s="5">
        <f>IF('Journal'!D89="","",IFERROR(INDEX('Kontoplan'!$B$3:$B$302,MATCH('Journal'!D89,'Kontoplan'!$H$3:$H$302,0)),""))</f>
        <v/>
      </c>
      <c r="F175" s="20">
        <f>IF('Journal'!G89="","",'Journal'!G89)</f>
        <v/>
      </c>
      <c r="G175" s="20">
        <f>IF('Journal'!F89="","",'Journal'!F89)</f>
        <v/>
      </c>
      <c r="H175" s="5">
        <f>IF('Journal'!I89="","",'Journal'!I89)</f>
        <v/>
      </c>
    </row>
    <row r="176">
      <c r="A176" s="18">
        <f>IF('Journal'!A89="","",'Journal'!A89)</f>
        <v/>
      </c>
      <c r="B176" s="21">
        <f>IF('Journal'!B89="","",'Journal'!B89)</f>
        <v/>
      </c>
      <c r="C176" s="5">
        <f>IF('Journal'!C89="","",'Journal'!C89)</f>
        <v/>
      </c>
      <c r="D176" s="5">
        <f>IF('Journal'!E89="","",IFERROR(LEFT('Journal'!E89,FIND(" ",'Journal'!E89)-1),'Journal'!E89))</f>
        <v/>
      </c>
      <c r="E176" s="5">
        <f>IF('Journal'!E89="","",IFERROR(INDEX('Kontoplan'!$B$3:$B$302,MATCH('Journal'!E89,'Kontoplan'!$H$3:$H$302,0)),""))</f>
        <v/>
      </c>
      <c r="F176" s="20">
        <f>IF('Journal'!F89="","",'Journal'!F89)</f>
        <v/>
      </c>
      <c r="G176" s="20">
        <f>IF('Journal'!G89="","",'Journal'!G89)</f>
        <v/>
      </c>
      <c r="H176" s="5">
        <f>IF('Journal'!I89="","",'Journal'!I89)</f>
        <v/>
      </c>
    </row>
    <row r="177">
      <c r="A177" s="18">
        <f>IF('Journal'!A90="","",'Journal'!A90)</f>
        <v/>
      </c>
      <c r="B177" s="21">
        <f>IF('Journal'!B90="","",'Journal'!B90)</f>
        <v/>
      </c>
      <c r="C177" s="5">
        <f>IF('Journal'!C90="","",'Journal'!C90)</f>
        <v/>
      </c>
      <c r="D177" s="5">
        <f>IF('Journal'!D90="","",IFERROR(LEFT('Journal'!D90,FIND(" ",'Journal'!D90)-1),'Journal'!D90))</f>
        <v/>
      </c>
      <c r="E177" s="5">
        <f>IF('Journal'!D90="","",IFERROR(INDEX('Kontoplan'!$B$3:$B$302,MATCH('Journal'!D90,'Kontoplan'!$H$3:$H$302,0)),""))</f>
        <v/>
      </c>
      <c r="F177" s="20">
        <f>IF('Journal'!G90="","",'Journal'!G90)</f>
        <v/>
      </c>
      <c r="G177" s="20">
        <f>IF('Journal'!F90="","",'Journal'!F90)</f>
        <v/>
      </c>
      <c r="H177" s="5">
        <f>IF('Journal'!I90="","",'Journal'!I90)</f>
        <v/>
      </c>
    </row>
    <row r="178">
      <c r="A178" s="18">
        <f>IF('Journal'!A90="","",'Journal'!A90)</f>
        <v/>
      </c>
      <c r="B178" s="21">
        <f>IF('Journal'!B90="","",'Journal'!B90)</f>
        <v/>
      </c>
      <c r="C178" s="5">
        <f>IF('Journal'!C90="","",'Journal'!C90)</f>
        <v/>
      </c>
      <c r="D178" s="5">
        <f>IF('Journal'!E90="","",IFERROR(LEFT('Journal'!E90,FIND(" ",'Journal'!E90)-1),'Journal'!E90))</f>
        <v/>
      </c>
      <c r="E178" s="5">
        <f>IF('Journal'!E90="","",IFERROR(INDEX('Kontoplan'!$B$3:$B$302,MATCH('Journal'!E90,'Kontoplan'!$H$3:$H$302,0)),""))</f>
        <v/>
      </c>
      <c r="F178" s="20">
        <f>IF('Journal'!F90="","",'Journal'!F90)</f>
        <v/>
      </c>
      <c r="G178" s="20">
        <f>IF('Journal'!G90="","",'Journal'!G90)</f>
        <v/>
      </c>
      <c r="H178" s="5">
        <f>IF('Journal'!I90="","",'Journal'!I90)</f>
        <v/>
      </c>
    </row>
    <row r="179">
      <c r="A179" s="18">
        <f>IF('Journal'!A91="","",'Journal'!A91)</f>
        <v/>
      </c>
      <c r="B179" s="21">
        <f>IF('Journal'!B91="","",'Journal'!B91)</f>
        <v/>
      </c>
      <c r="C179" s="5">
        <f>IF('Journal'!C91="","",'Journal'!C91)</f>
        <v/>
      </c>
      <c r="D179" s="5">
        <f>IF('Journal'!D91="","",IFERROR(LEFT('Journal'!D91,FIND(" ",'Journal'!D91)-1),'Journal'!D91))</f>
        <v/>
      </c>
      <c r="E179" s="5">
        <f>IF('Journal'!D91="","",IFERROR(INDEX('Kontoplan'!$B$3:$B$302,MATCH('Journal'!D91,'Kontoplan'!$H$3:$H$302,0)),""))</f>
        <v/>
      </c>
      <c r="F179" s="20">
        <f>IF('Journal'!G91="","",'Journal'!G91)</f>
        <v/>
      </c>
      <c r="G179" s="20">
        <f>IF('Journal'!F91="","",'Journal'!F91)</f>
        <v/>
      </c>
      <c r="H179" s="5">
        <f>IF('Journal'!I91="","",'Journal'!I91)</f>
        <v/>
      </c>
    </row>
    <row r="180">
      <c r="A180" s="18">
        <f>IF('Journal'!A91="","",'Journal'!A91)</f>
        <v/>
      </c>
      <c r="B180" s="21">
        <f>IF('Journal'!B91="","",'Journal'!B91)</f>
        <v/>
      </c>
      <c r="C180" s="5">
        <f>IF('Journal'!C91="","",'Journal'!C91)</f>
        <v/>
      </c>
      <c r="D180" s="5">
        <f>IF('Journal'!E91="","",IFERROR(LEFT('Journal'!E91,FIND(" ",'Journal'!E91)-1),'Journal'!E91))</f>
        <v/>
      </c>
      <c r="E180" s="5">
        <f>IF('Journal'!E91="","",IFERROR(INDEX('Kontoplan'!$B$3:$B$302,MATCH('Journal'!E91,'Kontoplan'!$H$3:$H$302,0)),""))</f>
        <v/>
      </c>
      <c r="F180" s="20">
        <f>IF('Journal'!F91="","",'Journal'!F91)</f>
        <v/>
      </c>
      <c r="G180" s="20">
        <f>IF('Journal'!G91="","",'Journal'!G91)</f>
        <v/>
      </c>
      <c r="H180" s="5">
        <f>IF('Journal'!I91="","",'Journal'!I91)</f>
        <v/>
      </c>
    </row>
    <row r="181">
      <c r="A181" s="18">
        <f>IF('Journal'!A92="","",'Journal'!A92)</f>
        <v/>
      </c>
      <c r="B181" s="21">
        <f>IF('Journal'!B92="","",'Journal'!B92)</f>
        <v/>
      </c>
      <c r="C181" s="5">
        <f>IF('Journal'!C92="","",'Journal'!C92)</f>
        <v/>
      </c>
      <c r="D181" s="5">
        <f>IF('Journal'!D92="","",IFERROR(LEFT('Journal'!D92,FIND(" ",'Journal'!D92)-1),'Journal'!D92))</f>
        <v/>
      </c>
      <c r="E181" s="5">
        <f>IF('Journal'!D92="","",IFERROR(INDEX('Kontoplan'!$B$3:$B$302,MATCH('Journal'!D92,'Kontoplan'!$H$3:$H$302,0)),""))</f>
        <v/>
      </c>
      <c r="F181" s="20">
        <f>IF('Journal'!G92="","",'Journal'!G92)</f>
        <v/>
      </c>
      <c r="G181" s="20">
        <f>IF('Journal'!F92="","",'Journal'!F92)</f>
        <v/>
      </c>
      <c r="H181" s="5">
        <f>IF('Journal'!I92="","",'Journal'!I92)</f>
        <v/>
      </c>
    </row>
    <row r="182">
      <c r="A182" s="18">
        <f>IF('Journal'!A92="","",'Journal'!A92)</f>
        <v/>
      </c>
      <c r="B182" s="21">
        <f>IF('Journal'!B92="","",'Journal'!B92)</f>
        <v/>
      </c>
      <c r="C182" s="5">
        <f>IF('Journal'!C92="","",'Journal'!C92)</f>
        <v/>
      </c>
      <c r="D182" s="5">
        <f>IF('Journal'!E92="","",IFERROR(LEFT('Journal'!E92,FIND(" ",'Journal'!E92)-1),'Journal'!E92))</f>
        <v/>
      </c>
      <c r="E182" s="5">
        <f>IF('Journal'!E92="","",IFERROR(INDEX('Kontoplan'!$B$3:$B$302,MATCH('Journal'!E92,'Kontoplan'!$H$3:$H$302,0)),""))</f>
        <v/>
      </c>
      <c r="F182" s="20">
        <f>IF('Journal'!F92="","",'Journal'!F92)</f>
        <v/>
      </c>
      <c r="G182" s="20">
        <f>IF('Journal'!G92="","",'Journal'!G92)</f>
        <v/>
      </c>
      <c r="H182" s="5">
        <f>IF('Journal'!I92="","",'Journal'!I92)</f>
        <v/>
      </c>
    </row>
    <row r="183">
      <c r="A183" s="18">
        <f>IF('Journal'!A93="","",'Journal'!A93)</f>
        <v/>
      </c>
      <c r="B183" s="21">
        <f>IF('Journal'!B93="","",'Journal'!B93)</f>
        <v/>
      </c>
      <c r="C183" s="5">
        <f>IF('Journal'!C93="","",'Journal'!C93)</f>
        <v/>
      </c>
      <c r="D183" s="5">
        <f>IF('Journal'!D93="","",IFERROR(LEFT('Journal'!D93,FIND(" ",'Journal'!D93)-1),'Journal'!D93))</f>
        <v/>
      </c>
      <c r="E183" s="5">
        <f>IF('Journal'!D93="","",IFERROR(INDEX('Kontoplan'!$B$3:$B$302,MATCH('Journal'!D93,'Kontoplan'!$H$3:$H$302,0)),""))</f>
        <v/>
      </c>
      <c r="F183" s="20">
        <f>IF('Journal'!G93="","",'Journal'!G93)</f>
        <v/>
      </c>
      <c r="G183" s="20">
        <f>IF('Journal'!F93="","",'Journal'!F93)</f>
        <v/>
      </c>
      <c r="H183" s="5">
        <f>IF('Journal'!I93="","",'Journal'!I93)</f>
        <v/>
      </c>
    </row>
    <row r="184">
      <c r="A184" s="18">
        <f>IF('Journal'!A93="","",'Journal'!A93)</f>
        <v/>
      </c>
      <c r="B184" s="21">
        <f>IF('Journal'!B93="","",'Journal'!B93)</f>
        <v/>
      </c>
      <c r="C184" s="5">
        <f>IF('Journal'!C93="","",'Journal'!C93)</f>
        <v/>
      </c>
      <c r="D184" s="5">
        <f>IF('Journal'!E93="","",IFERROR(LEFT('Journal'!E93,FIND(" ",'Journal'!E93)-1),'Journal'!E93))</f>
        <v/>
      </c>
      <c r="E184" s="5">
        <f>IF('Journal'!E93="","",IFERROR(INDEX('Kontoplan'!$B$3:$B$302,MATCH('Journal'!E93,'Kontoplan'!$H$3:$H$302,0)),""))</f>
        <v/>
      </c>
      <c r="F184" s="20">
        <f>IF('Journal'!F93="","",'Journal'!F93)</f>
        <v/>
      </c>
      <c r="G184" s="20">
        <f>IF('Journal'!G93="","",'Journal'!G93)</f>
        <v/>
      </c>
      <c r="H184" s="5">
        <f>IF('Journal'!I93="","",'Journal'!I93)</f>
        <v/>
      </c>
    </row>
    <row r="185">
      <c r="A185" s="18">
        <f>IF('Journal'!A94="","",'Journal'!A94)</f>
        <v/>
      </c>
      <c r="B185" s="21">
        <f>IF('Journal'!B94="","",'Journal'!B94)</f>
        <v/>
      </c>
      <c r="C185" s="5">
        <f>IF('Journal'!C94="","",'Journal'!C94)</f>
        <v/>
      </c>
      <c r="D185" s="5">
        <f>IF('Journal'!D94="","",IFERROR(LEFT('Journal'!D94,FIND(" ",'Journal'!D94)-1),'Journal'!D94))</f>
        <v/>
      </c>
      <c r="E185" s="5">
        <f>IF('Journal'!D94="","",IFERROR(INDEX('Kontoplan'!$B$3:$B$302,MATCH('Journal'!D94,'Kontoplan'!$H$3:$H$302,0)),""))</f>
        <v/>
      </c>
      <c r="F185" s="20">
        <f>IF('Journal'!G94="","",'Journal'!G94)</f>
        <v/>
      </c>
      <c r="G185" s="20">
        <f>IF('Journal'!F94="","",'Journal'!F94)</f>
        <v/>
      </c>
      <c r="H185" s="5">
        <f>IF('Journal'!I94="","",'Journal'!I94)</f>
        <v/>
      </c>
    </row>
    <row r="186">
      <c r="A186" s="18">
        <f>IF('Journal'!A94="","",'Journal'!A94)</f>
        <v/>
      </c>
      <c r="B186" s="21">
        <f>IF('Journal'!B94="","",'Journal'!B94)</f>
        <v/>
      </c>
      <c r="C186" s="5">
        <f>IF('Journal'!C94="","",'Journal'!C94)</f>
        <v/>
      </c>
      <c r="D186" s="5">
        <f>IF('Journal'!E94="","",IFERROR(LEFT('Journal'!E94,FIND(" ",'Journal'!E94)-1),'Journal'!E94))</f>
        <v/>
      </c>
      <c r="E186" s="5">
        <f>IF('Journal'!E94="","",IFERROR(INDEX('Kontoplan'!$B$3:$B$302,MATCH('Journal'!E94,'Kontoplan'!$H$3:$H$302,0)),""))</f>
        <v/>
      </c>
      <c r="F186" s="20">
        <f>IF('Journal'!F94="","",'Journal'!F94)</f>
        <v/>
      </c>
      <c r="G186" s="20">
        <f>IF('Journal'!G94="","",'Journal'!G94)</f>
        <v/>
      </c>
      <c r="H186" s="5">
        <f>IF('Journal'!I94="","",'Journal'!I94)</f>
        <v/>
      </c>
    </row>
    <row r="187">
      <c r="A187" s="18">
        <f>IF('Journal'!A95="","",'Journal'!A95)</f>
        <v/>
      </c>
      <c r="B187" s="21">
        <f>IF('Journal'!B95="","",'Journal'!B95)</f>
        <v/>
      </c>
      <c r="C187" s="5">
        <f>IF('Journal'!C95="","",'Journal'!C95)</f>
        <v/>
      </c>
      <c r="D187" s="5">
        <f>IF('Journal'!D95="","",IFERROR(LEFT('Journal'!D95,FIND(" ",'Journal'!D95)-1),'Journal'!D95))</f>
        <v/>
      </c>
      <c r="E187" s="5">
        <f>IF('Journal'!D95="","",IFERROR(INDEX('Kontoplan'!$B$3:$B$302,MATCH('Journal'!D95,'Kontoplan'!$H$3:$H$302,0)),""))</f>
        <v/>
      </c>
      <c r="F187" s="20">
        <f>IF('Journal'!G95="","",'Journal'!G95)</f>
        <v/>
      </c>
      <c r="G187" s="20">
        <f>IF('Journal'!F95="","",'Journal'!F95)</f>
        <v/>
      </c>
      <c r="H187" s="5">
        <f>IF('Journal'!I95="","",'Journal'!I95)</f>
        <v/>
      </c>
    </row>
    <row r="188">
      <c r="A188" s="18">
        <f>IF('Journal'!A95="","",'Journal'!A95)</f>
        <v/>
      </c>
      <c r="B188" s="21">
        <f>IF('Journal'!B95="","",'Journal'!B95)</f>
        <v/>
      </c>
      <c r="C188" s="5">
        <f>IF('Journal'!C95="","",'Journal'!C95)</f>
        <v/>
      </c>
      <c r="D188" s="5">
        <f>IF('Journal'!E95="","",IFERROR(LEFT('Journal'!E95,FIND(" ",'Journal'!E95)-1),'Journal'!E95))</f>
        <v/>
      </c>
      <c r="E188" s="5">
        <f>IF('Journal'!E95="","",IFERROR(INDEX('Kontoplan'!$B$3:$B$302,MATCH('Journal'!E95,'Kontoplan'!$H$3:$H$302,0)),""))</f>
        <v/>
      </c>
      <c r="F188" s="20">
        <f>IF('Journal'!F95="","",'Journal'!F95)</f>
        <v/>
      </c>
      <c r="G188" s="20">
        <f>IF('Journal'!G95="","",'Journal'!G95)</f>
        <v/>
      </c>
      <c r="H188" s="5">
        <f>IF('Journal'!I95="","",'Journal'!I95)</f>
        <v/>
      </c>
    </row>
    <row r="189">
      <c r="A189" s="18">
        <f>IF('Journal'!A96="","",'Journal'!A96)</f>
        <v/>
      </c>
      <c r="B189" s="21">
        <f>IF('Journal'!B96="","",'Journal'!B96)</f>
        <v/>
      </c>
      <c r="C189" s="5">
        <f>IF('Journal'!C96="","",'Journal'!C96)</f>
        <v/>
      </c>
      <c r="D189" s="5">
        <f>IF('Journal'!D96="","",IFERROR(LEFT('Journal'!D96,FIND(" ",'Journal'!D96)-1),'Journal'!D96))</f>
        <v/>
      </c>
      <c r="E189" s="5">
        <f>IF('Journal'!D96="","",IFERROR(INDEX('Kontoplan'!$B$3:$B$302,MATCH('Journal'!D96,'Kontoplan'!$H$3:$H$302,0)),""))</f>
        <v/>
      </c>
      <c r="F189" s="20">
        <f>IF('Journal'!G96="","",'Journal'!G96)</f>
        <v/>
      </c>
      <c r="G189" s="20">
        <f>IF('Journal'!F96="","",'Journal'!F96)</f>
        <v/>
      </c>
      <c r="H189" s="5">
        <f>IF('Journal'!I96="","",'Journal'!I96)</f>
        <v/>
      </c>
    </row>
    <row r="190">
      <c r="A190" s="18">
        <f>IF('Journal'!A96="","",'Journal'!A96)</f>
        <v/>
      </c>
      <c r="B190" s="21">
        <f>IF('Journal'!B96="","",'Journal'!B96)</f>
        <v/>
      </c>
      <c r="C190" s="5">
        <f>IF('Journal'!C96="","",'Journal'!C96)</f>
        <v/>
      </c>
      <c r="D190" s="5">
        <f>IF('Journal'!E96="","",IFERROR(LEFT('Journal'!E96,FIND(" ",'Journal'!E96)-1),'Journal'!E96))</f>
        <v/>
      </c>
      <c r="E190" s="5">
        <f>IF('Journal'!E96="","",IFERROR(INDEX('Kontoplan'!$B$3:$B$302,MATCH('Journal'!E96,'Kontoplan'!$H$3:$H$302,0)),""))</f>
        <v/>
      </c>
      <c r="F190" s="20">
        <f>IF('Journal'!F96="","",'Journal'!F96)</f>
        <v/>
      </c>
      <c r="G190" s="20">
        <f>IF('Journal'!G96="","",'Journal'!G96)</f>
        <v/>
      </c>
      <c r="H190" s="5">
        <f>IF('Journal'!I96="","",'Journal'!I96)</f>
        <v/>
      </c>
    </row>
    <row r="191">
      <c r="A191" s="18">
        <f>IF('Journal'!A97="","",'Journal'!A97)</f>
        <v/>
      </c>
      <c r="B191" s="21">
        <f>IF('Journal'!B97="","",'Journal'!B97)</f>
        <v/>
      </c>
      <c r="C191" s="5">
        <f>IF('Journal'!C97="","",'Journal'!C97)</f>
        <v/>
      </c>
      <c r="D191" s="5">
        <f>IF('Journal'!D97="","",IFERROR(LEFT('Journal'!D97,FIND(" ",'Journal'!D97)-1),'Journal'!D97))</f>
        <v/>
      </c>
      <c r="E191" s="5">
        <f>IF('Journal'!D97="","",IFERROR(INDEX('Kontoplan'!$B$3:$B$302,MATCH('Journal'!D97,'Kontoplan'!$H$3:$H$302,0)),""))</f>
        <v/>
      </c>
      <c r="F191" s="20">
        <f>IF('Journal'!G97="","",'Journal'!G97)</f>
        <v/>
      </c>
      <c r="G191" s="20">
        <f>IF('Journal'!F97="","",'Journal'!F97)</f>
        <v/>
      </c>
      <c r="H191" s="5">
        <f>IF('Journal'!I97="","",'Journal'!I97)</f>
        <v/>
      </c>
    </row>
    <row r="192">
      <c r="A192" s="18">
        <f>IF('Journal'!A97="","",'Journal'!A97)</f>
        <v/>
      </c>
      <c r="B192" s="21">
        <f>IF('Journal'!B97="","",'Journal'!B97)</f>
        <v/>
      </c>
      <c r="C192" s="5">
        <f>IF('Journal'!C97="","",'Journal'!C97)</f>
        <v/>
      </c>
      <c r="D192" s="5">
        <f>IF('Journal'!E97="","",IFERROR(LEFT('Journal'!E97,FIND(" ",'Journal'!E97)-1),'Journal'!E97))</f>
        <v/>
      </c>
      <c r="E192" s="5">
        <f>IF('Journal'!E97="","",IFERROR(INDEX('Kontoplan'!$B$3:$B$302,MATCH('Journal'!E97,'Kontoplan'!$H$3:$H$302,0)),""))</f>
        <v/>
      </c>
      <c r="F192" s="20">
        <f>IF('Journal'!F97="","",'Journal'!F97)</f>
        <v/>
      </c>
      <c r="G192" s="20">
        <f>IF('Journal'!G97="","",'Journal'!G97)</f>
        <v/>
      </c>
      <c r="H192" s="5">
        <f>IF('Journal'!I97="","",'Journal'!I97)</f>
        <v/>
      </c>
    </row>
    <row r="193">
      <c r="A193" s="18">
        <f>IF('Journal'!A98="","",'Journal'!A98)</f>
        <v/>
      </c>
      <c r="B193" s="21">
        <f>IF('Journal'!B98="","",'Journal'!B98)</f>
        <v/>
      </c>
      <c r="C193" s="5">
        <f>IF('Journal'!C98="","",'Journal'!C98)</f>
        <v/>
      </c>
      <c r="D193" s="5">
        <f>IF('Journal'!D98="","",IFERROR(LEFT('Journal'!D98,FIND(" ",'Journal'!D98)-1),'Journal'!D98))</f>
        <v/>
      </c>
      <c r="E193" s="5">
        <f>IF('Journal'!D98="","",IFERROR(INDEX('Kontoplan'!$B$3:$B$302,MATCH('Journal'!D98,'Kontoplan'!$H$3:$H$302,0)),""))</f>
        <v/>
      </c>
      <c r="F193" s="20">
        <f>IF('Journal'!G98="","",'Journal'!G98)</f>
        <v/>
      </c>
      <c r="G193" s="20">
        <f>IF('Journal'!F98="","",'Journal'!F98)</f>
        <v/>
      </c>
      <c r="H193" s="5">
        <f>IF('Journal'!I98="","",'Journal'!I98)</f>
        <v/>
      </c>
    </row>
    <row r="194">
      <c r="A194" s="18">
        <f>IF('Journal'!A98="","",'Journal'!A98)</f>
        <v/>
      </c>
      <c r="B194" s="21">
        <f>IF('Journal'!B98="","",'Journal'!B98)</f>
        <v/>
      </c>
      <c r="C194" s="5">
        <f>IF('Journal'!C98="","",'Journal'!C98)</f>
        <v/>
      </c>
      <c r="D194" s="5">
        <f>IF('Journal'!E98="","",IFERROR(LEFT('Journal'!E98,FIND(" ",'Journal'!E98)-1),'Journal'!E98))</f>
        <v/>
      </c>
      <c r="E194" s="5">
        <f>IF('Journal'!E98="","",IFERROR(INDEX('Kontoplan'!$B$3:$B$302,MATCH('Journal'!E98,'Kontoplan'!$H$3:$H$302,0)),""))</f>
        <v/>
      </c>
      <c r="F194" s="20">
        <f>IF('Journal'!F98="","",'Journal'!F98)</f>
        <v/>
      </c>
      <c r="G194" s="20">
        <f>IF('Journal'!G98="","",'Journal'!G98)</f>
        <v/>
      </c>
      <c r="H194" s="5">
        <f>IF('Journal'!I98="","",'Journal'!I98)</f>
        <v/>
      </c>
    </row>
    <row r="195">
      <c r="A195" s="18">
        <f>IF('Journal'!A99="","",'Journal'!A99)</f>
        <v/>
      </c>
      <c r="B195" s="21">
        <f>IF('Journal'!B99="","",'Journal'!B99)</f>
        <v/>
      </c>
      <c r="C195" s="5">
        <f>IF('Journal'!C99="","",'Journal'!C99)</f>
        <v/>
      </c>
      <c r="D195" s="5">
        <f>IF('Journal'!D99="","",IFERROR(LEFT('Journal'!D99,FIND(" ",'Journal'!D99)-1),'Journal'!D99))</f>
        <v/>
      </c>
      <c r="E195" s="5">
        <f>IF('Journal'!D99="","",IFERROR(INDEX('Kontoplan'!$B$3:$B$302,MATCH('Journal'!D99,'Kontoplan'!$H$3:$H$302,0)),""))</f>
        <v/>
      </c>
      <c r="F195" s="20">
        <f>IF('Journal'!G99="","",'Journal'!G99)</f>
        <v/>
      </c>
      <c r="G195" s="20">
        <f>IF('Journal'!F99="","",'Journal'!F99)</f>
        <v/>
      </c>
      <c r="H195" s="5">
        <f>IF('Journal'!I99="","",'Journal'!I99)</f>
        <v/>
      </c>
    </row>
    <row r="196">
      <c r="A196" s="18">
        <f>IF('Journal'!A99="","",'Journal'!A99)</f>
        <v/>
      </c>
      <c r="B196" s="21">
        <f>IF('Journal'!B99="","",'Journal'!B99)</f>
        <v/>
      </c>
      <c r="C196" s="5">
        <f>IF('Journal'!C99="","",'Journal'!C99)</f>
        <v/>
      </c>
      <c r="D196" s="5">
        <f>IF('Journal'!E99="","",IFERROR(LEFT('Journal'!E99,FIND(" ",'Journal'!E99)-1),'Journal'!E99))</f>
        <v/>
      </c>
      <c r="E196" s="5">
        <f>IF('Journal'!E99="","",IFERROR(INDEX('Kontoplan'!$B$3:$B$302,MATCH('Journal'!E99,'Kontoplan'!$H$3:$H$302,0)),""))</f>
        <v/>
      </c>
      <c r="F196" s="20">
        <f>IF('Journal'!F99="","",'Journal'!F99)</f>
        <v/>
      </c>
      <c r="G196" s="20">
        <f>IF('Journal'!G99="","",'Journal'!G99)</f>
        <v/>
      </c>
      <c r="H196" s="5">
        <f>IF('Journal'!I99="","",'Journal'!I99)</f>
        <v/>
      </c>
    </row>
    <row r="197">
      <c r="A197" s="18">
        <f>IF('Journal'!A100="","",'Journal'!A100)</f>
        <v/>
      </c>
      <c r="B197" s="21">
        <f>IF('Journal'!B100="","",'Journal'!B100)</f>
        <v/>
      </c>
      <c r="C197" s="5">
        <f>IF('Journal'!C100="","",'Journal'!C100)</f>
        <v/>
      </c>
      <c r="D197" s="5">
        <f>IF('Journal'!D100="","",IFERROR(LEFT('Journal'!D100,FIND(" ",'Journal'!D100)-1),'Journal'!D100))</f>
        <v/>
      </c>
      <c r="E197" s="5">
        <f>IF('Journal'!D100="","",IFERROR(INDEX('Kontoplan'!$B$3:$B$302,MATCH('Journal'!D100,'Kontoplan'!$H$3:$H$302,0)),""))</f>
        <v/>
      </c>
      <c r="F197" s="20">
        <f>IF('Journal'!G100="","",'Journal'!G100)</f>
        <v/>
      </c>
      <c r="G197" s="20">
        <f>IF('Journal'!F100="","",'Journal'!F100)</f>
        <v/>
      </c>
      <c r="H197" s="5">
        <f>IF('Journal'!I100="","",'Journal'!I100)</f>
        <v/>
      </c>
    </row>
    <row r="198">
      <c r="A198" s="18">
        <f>IF('Journal'!A100="","",'Journal'!A100)</f>
        <v/>
      </c>
      <c r="B198" s="21">
        <f>IF('Journal'!B100="","",'Journal'!B100)</f>
        <v/>
      </c>
      <c r="C198" s="5">
        <f>IF('Journal'!C100="","",'Journal'!C100)</f>
        <v/>
      </c>
      <c r="D198" s="5">
        <f>IF('Journal'!E100="","",IFERROR(LEFT('Journal'!E100,FIND(" ",'Journal'!E100)-1),'Journal'!E100))</f>
        <v/>
      </c>
      <c r="E198" s="5">
        <f>IF('Journal'!E100="","",IFERROR(INDEX('Kontoplan'!$B$3:$B$302,MATCH('Journal'!E100,'Kontoplan'!$H$3:$H$302,0)),""))</f>
        <v/>
      </c>
      <c r="F198" s="20">
        <f>IF('Journal'!F100="","",'Journal'!F100)</f>
        <v/>
      </c>
      <c r="G198" s="20">
        <f>IF('Journal'!G100="","",'Journal'!G100)</f>
        <v/>
      </c>
      <c r="H198" s="5">
        <f>IF('Journal'!I100="","",'Journal'!I100)</f>
        <v/>
      </c>
    </row>
    <row r="199">
      <c r="A199" s="18">
        <f>IF('Journal'!A101="","",'Journal'!A101)</f>
        <v/>
      </c>
      <c r="B199" s="21">
        <f>IF('Journal'!B101="","",'Journal'!B101)</f>
        <v/>
      </c>
      <c r="C199" s="5">
        <f>IF('Journal'!C101="","",'Journal'!C101)</f>
        <v/>
      </c>
      <c r="D199" s="5">
        <f>IF('Journal'!D101="","",IFERROR(LEFT('Journal'!D101,FIND(" ",'Journal'!D101)-1),'Journal'!D101))</f>
        <v/>
      </c>
      <c r="E199" s="5">
        <f>IF('Journal'!D101="","",IFERROR(INDEX('Kontoplan'!$B$3:$B$302,MATCH('Journal'!D101,'Kontoplan'!$H$3:$H$302,0)),""))</f>
        <v/>
      </c>
      <c r="F199" s="20">
        <f>IF('Journal'!G101="","",'Journal'!G101)</f>
        <v/>
      </c>
      <c r="G199" s="20">
        <f>IF('Journal'!F101="","",'Journal'!F101)</f>
        <v/>
      </c>
      <c r="H199" s="5">
        <f>IF('Journal'!I101="","",'Journal'!I101)</f>
        <v/>
      </c>
    </row>
    <row r="200">
      <c r="A200" s="18">
        <f>IF('Journal'!A101="","",'Journal'!A101)</f>
        <v/>
      </c>
      <c r="B200" s="21">
        <f>IF('Journal'!B101="","",'Journal'!B101)</f>
        <v/>
      </c>
      <c r="C200" s="5">
        <f>IF('Journal'!C101="","",'Journal'!C101)</f>
        <v/>
      </c>
      <c r="D200" s="5">
        <f>IF('Journal'!E101="","",IFERROR(LEFT('Journal'!E101,FIND(" ",'Journal'!E101)-1),'Journal'!E101))</f>
        <v/>
      </c>
      <c r="E200" s="5">
        <f>IF('Journal'!E101="","",IFERROR(INDEX('Kontoplan'!$B$3:$B$302,MATCH('Journal'!E101,'Kontoplan'!$H$3:$H$302,0)),""))</f>
        <v/>
      </c>
      <c r="F200" s="20">
        <f>IF('Journal'!F101="","",'Journal'!F101)</f>
        <v/>
      </c>
      <c r="G200" s="20">
        <f>IF('Journal'!G101="","",'Journal'!G101)</f>
        <v/>
      </c>
      <c r="H200" s="5">
        <f>IF('Journal'!I101="","",'Journal'!I101)</f>
        <v/>
      </c>
    </row>
    <row r="201">
      <c r="A201" s="18">
        <f>IF('Journal'!A102="","",'Journal'!A102)</f>
        <v/>
      </c>
      <c r="B201" s="21">
        <f>IF('Journal'!B102="","",'Journal'!B102)</f>
        <v/>
      </c>
      <c r="C201" s="5">
        <f>IF('Journal'!C102="","",'Journal'!C102)</f>
        <v/>
      </c>
      <c r="D201" s="5">
        <f>IF('Journal'!D102="","",IFERROR(LEFT('Journal'!D102,FIND(" ",'Journal'!D102)-1),'Journal'!D102))</f>
        <v/>
      </c>
      <c r="E201" s="5">
        <f>IF('Journal'!D102="","",IFERROR(INDEX('Kontoplan'!$B$3:$B$302,MATCH('Journal'!D102,'Kontoplan'!$H$3:$H$302,0)),""))</f>
        <v/>
      </c>
      <c r="F201" s="20">
        <f>IF('Journal'!G102="","",'Journal'!G102)</f>
        <v/>
      </c>
      <c r="G201" s="20">
        <f>IF('Journal'!F102="","",'Journal'!F102)</f>
        <v/>
      </c>
      <c r="H201" s="5">
        <f>IF('Journal'!I102="","",'Journal'!I102)</f>
        <v/>
      </c>
    </row>
    <row r="202">
      <c r="A202" s="18">
        <f>IF('Journal'!A102="","",'Journal'!A102)</f>
        <v/>
      </c>
      <c r="B202" s="21">
        <f>IF('Journal'!B102="","",'Journal'!B102)</f>
        <v/>
      </c>
      <c r="C202" s="5">
        <f>IF('Journal'!C102="","",'Journal'!C102)</f>
        <v/>
      </c>
      <c r="D202" s="5">
        <f>IF('Journal'!E102="","",IFERROR(LEFT('Journal'!E102,FIND(" ",'Journal'!E102)-1),'Journal'!E102))</f>
        <v/>
      </c>
      <c r="E202" s="5">
        <f>IF('Journal'!E102="","",IFERROR(INDEX('Kontoplan'!$B$3:$B$302,MATCH('Journal'!E102,'Kontoplan'!$H$3:$H$302,0)),""))</f>
        <v/>
      </c>
      <c r="F202" s="20">
        <f>IF('Journal'!F102="","",'Journal'!F102)</f>
        <v/>
      </c>
      <c r="G202" s="20">
        <f>IF('Journal'!G102="","",'Journal'!G102)</f>
        <v/>
      </c>
      <c r="H202" s="5">
        <f>IF('Journal'!I102="","",'Journal'!I102)</f>
        <v/>
      </c>
    </row>
    <row r="203">
      <c r="A203" s="18">
        <f>IF('Journal'!A103="","",'Journal'!A103)</f>
        <v/>
      </c>
      <c r="B203" s="21">
        <f>IF('Journal'!B103="","",'Journal'!B103)</f>
        <v/>
      </c>
      <c r="C203" s="5">
        <f>IF('Journal'!C103="","",'Journal'!C103)</f>
        <v/>
      </c>
      <c r="D203" s="5">
        <f>IF('Journal'!D103="","",IFERROR(LEFT('Journal'!D103,FIND(" ",'Journal'!D103)-1),'Journal'!D103))</f>
        <v/>
      </c>
      <c r="E203" s="5">
        <f>IF('Journal'!D103="","",IFERROR(INDEX('Kontoplan'!$B$3:$B$302,MATCH('Journal'!D103,'Kontoplan'!$H$3:$H$302,0)),""))</f>
        <v/>
      </c>
      <c r="F203" s="20">
        <f>IF('Journal'!G103="","",'Journal'!G103)</f>
        <v/>
      </c>
      <c r="G203" s="20">
        <f>IF('Journal'!F103="","",'Journal'!F103)</f>
        <v/>
      </c>
      <c r="H203" s="5">
        <f>IF('Journal'!I103="","",'Journal'!I103)</f>
        <v/>
      </c>
    </row>
    <row r="204">
      <c r="A204" s="18">
        <f>IF('Journal'!A103="","",'Journal'!A103)</f>
        <v/>
      </c>
      <c r="B204" s="21">
        <f>IF('Journal'!B103="","",'Journal'!B103)</f>
        <v/>
      </c>
      <c r="C204" s="5">
        <f>IF('Journal'!C103="","",'Journal'!C103)</f>
        <v/>
      </c>
      <c r="D204" s="5">
        <f>IF('Journal'!E103="","",IFERROR(LEFT('Journal'!E103,FIND(" ",'Journal'!E103)-1),'Journal'!E103))</f>
        <v/>
      </c>
      <c r="E204" s="5">
        <f>IF('Journal'!E103="","",IFERROR(INDEX('Kontoplan'!$B$3:$B$302,MATCH('Journal'!E103,'Kontoplan'!$H$3:$H$302,0)),""))</f>
        <v/>
      </c>
      <c r="F204" s="20">
        <f>IF('Journal'!F103="","",'Journal'!F103)</f>
        <v/>
      </c>
      <c r="G204" s="20">
        <f>IF('Journal'!G103="","",'Journal'!G103)</f>
        <v/>
      </c>
      <c r="H204" s="5">
        <f>IF('Journal'!I103="","",'Journal'!I103)</f>
        <v/>
      </c>
    </row>
    <row r="205">
      <c r="A205" s="18">
        <f>IF('Journal'!A104="","",'Journal'!A104)</f>
        <v/>
      </c>
      <c r="B205" s="21">
        <f>IF('Journal'!B104="","",'Journal'!B104)</f>
        <v/>
      </c>
      <c r="C205" s="5">
        <f>IF('Journal'!C104="","",'Journal'!C104)</f>
        <v/>
      </c>
      <c r="D205" s="5">
        <f>IF('Journal'!D104="","",IFERROR(LEFT('Journal'!D104,FIND(" ",'Journal'!D104)-1),'Journal'!D104))</f>
        <v/>
      </c>
      <c r="E205" s="5">
        <f>IF('Journal'!D104="","",IFERROR(INDEX('Kontoplan'!$B$3:$B$302,MATCH('Journal'!D104,'Kontoplan'!$H$3:$H$302,0)),""))</f>
        <v/>
      </c>
      <c r="F205" s="20">
        <f>IF('Journal'!G104="","",'Journal'!G104)</f>
        <v/>
      </c>
      <c r="G205" s="20">
        <f>IF('Journal'!F104="","",'Journal'!F104)</f>
        <v/>
      </c>
      <c r="H205" s="5">
        <f>IF('Journal'!I104="","",'Journal'!I104)</f>
        <v/>
      </c>
    </row>
    <row r="206">
      <c r="A206" s="18">
        <f>IF('Journal'!A104="","",'Journal'!A104)</f>
        <v/>
      </c>
      <c r="B206" s="21">
        <f>IF('Journal'!B104="","",'Journal'!B104)</f>
        <v/>
      </c>
      <c r="C206" s="5">
        <f>IF('Journal'!C104="","",'Journal'!C104)</f>
        <v/>
      </c>
      <c r="D206" s="5">
        <f>IF('Journal'!E104="","",IFERROR(LEFT('Journal'!E104,FIND(" ",'Journal'!E104)-1),'Journal'!E104))</f>
        <v/>
      </c>
      <c r="E206" s="5">
        <f>IF('Journal'!E104="","",IFERROR(INDEX('Kontoplan'!$B$3:$B$302,MATCH('Journal'!E104,'Kontoplan'!$H$3:$H$302,0)),""))</f>
        <v/>
      </c>
      <c r="F206" s="20">
        <f>IF('Journal'!F104="","",'Journal'!F104)</f>
        <v/>
      </c>
      <c r="G206" s="20">
        <f>IF('Journal'!G104="","",'Journal'!G104)</f>
        <v/>
      </c>
      <c r="H206" s="5">
        <f>IF('Journal'!I104="","",'Journal'!I104)</f>
        <v/>
      </c>
    </row>
    <row r="207">
      <c r="A207" s="18">
        <f>IF('Journal'!A105="","",'Journal'!A105)</f>
        <v/>
      </c>
      <c r="B207" s="21">
        <f>IF('Journal'!B105="","",'Journal'!B105)</f>
        <v/>
      </c>
      <c r="C207" s="5">
        <f>IF('Journal'!C105="","",'Journal'!C105)</f>
        <v/>
      </c>
      <c r="D207" s="5">
        <f>IF('Journal'!D105="","",IFERROR(LEFT('Journal'!D105,FIND(" ",'Journal'!D105)-1),'Journal'!D105))</f>
        <v/>
      </c>
      <c r="E207" s="5">
        <f>IF('Journal'!D105="","",IFERROR(INDEX('Kontoplan'!$B$3:$B$302,MATCH('Journal'!D105,'Kontoplan'!$H$3:$H$302,0)),""))</f>
        <v/>
      </c>
      <c r="F207" s="20">
        <f>IF('Journal'!G105="","",'Journal'!G105)</f>
        <v/>
      </c>
      <c r="G207" s="20">
        <f>IF('Journal'!F105="","",'Journal'!F105)</f>
        <v/>
      </c>
      <c r="H207" s="5">
        <f>IF('Journal'!I105="","",'Journal'!I105)</f>
        <v/>
      </c>
    </row>
    <row r="208">
      <c r="A208" s="18">
        <f>IF('Journal'!A105="","",'Journal'!A105)</f>
        <v/>
      </c>
      <c r="B208" s="21">
        <f>IF('Journal'!B105="","",'Journal'!B105)</f>
        <v/>
      </c>
      <c r="C208" s="5">
        <f>IF('Journal'!C105="","",'Journal'!C105)</f>
        <v/>
      </c>
      <c r="D208" s="5">
        <f>IF('Journal'!E105="","",IFERROR(LEFT('Journal'!E105,FIND(" ",'Journal'!E105)-1),'Journal'!E105))</f>
        <v/>
      </c>
      <c r="E208" s="5">
        <f>IF('Journal'!E105="","",IFERROR(INDEX('Kontoplan'!$B$3:$B$302,MATCH('Journal'!E105,'Kontoplan'!$H$3:$H$302,0)),""))</f>
        <v/>
      </c>
      <c r="F208" s="20">
        <f>IF('Journal'!F105="","",'Journal'!F105)</f>
        <v/>
      </c>
      <c r="G208" s="20">
        <f>IF('Journal'!G105="","",'Journal'!G105)</f>
        <v/>
      </c>
      <c r="H208" s="5">
        <f>IF('Journal'!I105="","",'Journal'!I105)</f>
        <v/>
      </c>
    </row>
    <row r="209">
      <c r="A209" s="18">
        <f>IF('Journal'!A106="","",'Journal'!A106)</f>
        <v/>
      </c>
      <c r="B209" s="21">
        <f>IF('Journal'!B106="","",'Journal'!B106)</f>
        <v/>
      </c>
      <c r="C209" s="5">
        <f>IF('Journal'!C106="","",'Journal'!C106)</f>
        <v/>
      </c>
      <c r="D209" s="5">
        <f>IF('Journal'!D106="","",IFERROR(LEFT('Journal'!D106,FIND(" ",'Journal'!D106)-1),'Journal'!D106))</f>
        <v/>
      </c>
      <c r="E209" s="5">
        <f>IF('Journal'!D106="","",IFERROR(INDEX('Kontoplan'!$B$3:$B$302,MATCH('Journal'!D106,'Kontoplan'!$H$3:$H$302,0)),""))</f>
        <v/>
      </c>
      <c r="F209" s="20">
        <f>IF('Journal'!G106="","",'Journal'!G106)</f>
        <v/>
      </c>
      <c r="G209" s="20">
        <f>IF('Journal'!F106="","",'Journal'!F106)</f>
        <v/>
      </c>
      <c r="H209" s="5">
        <f>IF('Journal'!I106="","",'Journal'!I106)</f>
        <v/>
      </c>
    </row>
    <row r="210">
      <c r="A210" s="18">
        <f>IF('Journal'!A106="","",'Journal'!A106)</f>
        <v/>
      </c>
      <c r="B210" s="21">
        <f>IF('Journal'!B106="","",'Journal'!B106)</f>
        <v/>
      </c>
      <c r="C210" s="5">
        <f>IF('Journal'!C106="","",'Journal'!C106)</f>
        <v/>
      </c>
      <c r="D210" s="5">
        <f>IF('Journal'!E106="","",IFERROR(LEFT('Journal'!E106,FIND(" ",'Journal'!E106)-1),'Journal'!E106))</f>
        <v/>
      </c>
      <c r="E210" s="5">
        <f>IF('Journal'!E106="","",IFERROR(INDEX('Kontoplan'!$B$3:$B$302,MATCH('Journal'!E106,'Kontoplan'!$H$3:$H$302,0)),""))</f>
        <v/>
      </c>
      <c r="F210" s="20">
        <f>IF('Journal'!F106="","",'Journal'!F106)</f>
        <v/>
      </c>
      <c r="G210" s="20">
        <f>IF('Journal'!G106="","",'Journal'!G106)</f>
        <v/>
      </c>
      <c r="H210" s="5">
        <f>IF('Journal'!I106="","",'Journal'!I106)</f>
        <v/>
      </c>
    </row>
    <row r="211">
      <c r="A211" s="18">
        <f>IF('Journal'!A107="","",'Journal'!A107)</f>
        <v/>
      </c>
      <c r="B211" s="21">
        <f>IF('Journal'!B107="","",'Journal'!B107)</f>
        <v/>
      </c>
      <c r="C211" s="5">
        <f>IF('Journal'!C107="","",'Journal'!C107)</f>
        <v/>
      </c>
      <c r="D211" s="5">
        <f>IF('Journal'!D107="","",IFERROR(LEFT('Journal'!D107,FIND(" ",'Journal'!D107)-1),'Journal'!D107))</f>
        <v/>
      </c>
      <c r="E211" s="5">
        <f>IF('Journal'!D107="","",IFERROR(INDEX('Kontoplan'!$B$3:$B$302,MATCH('Journal'!D107,'Kontoplan'!$H$3:$H$302,0)),""))</f>
        <v/>
      </c>
      <c r="F211" s="20">
        <f>IF('Journal'!G107="","",'Journal'!G107)</f>
        <v/>
      </c>
      <c r="G211" s="20">
        <f>IF('Journal'!F107="","",'Journal'!F107)</f>
        <v/>
      </c>
      <c r="H211" s="5">
        <f>IF('Journal'!I107="","",'Journal'!I107)</f>
        <v/>
      </c>
    </row>
    <row r="212">
      <c r="A212" s="18">
        <f>IF('Journal'!A107="","",'Journal'!A107)</f>
        <v/>
      </c>
      <c r="B212" s="21">
        <f>IF('Journal'!B107="","",'Journal'!B107)</f>
        <v/>
      </c>
      <c r="C212" s="5">
        <f>IF('Journal'!C107="","",'Journal'!C107)</f>
        <v/>
      </c>
      <c r="D212" s="5">
        <f>IF('Journal'!E107="","",IFERROR(LEFT('Journal'!E107,FIND(" ",'Journal'!E107)-1),'Journal'!E107))</f>
        <v/>
      </c>
      <c r="E212" s="5">
        <f>IF('Journal'!E107="","",IFERROR(INDEX('Kontoplan'!$B$3:$B$302,MATCH('Journal'!E107,'Kontoplan'!$H$3:$H$302,0)),""))</f>
        <v/>
      </c>
      <c r="F212" s="20">
        <f>IF('Journal'!F107="","",'Journal'!F107)</f>
        <v/>
      </c>
      <c r="G212" s="20">
        <f>IF('Journal'!G107="","",'Journal'!G107)</f>
        <v/>
      </c>
      <c r="H212" s="5">
        <f>IF('Journal'!I107="","",'Journal'!I107)</f>
        <v/>
      </c>
    </row>
    <row r="213">
      <c r="A213" s="18">
        <f>IF('Journal'!A108="","",'Journal'!A108)</f>
        <v/>
      </c>
      <c r="B213" s="21">
        <f>IF('Journal'!B108="","",'Journal'!B108)</f>
        <v/>
      </c>
      <c r="C213" s="5">
        <f>IF('Journal'!C108="","",'Journal'!C108)</f>
        <v/>
      </c>
      <c r="D213" s="5">
        <f>IF('Journal'!D108="","",IFERROR(LEFT('Journal'!D108,FIND(" ",'Journal'!D108)-1),'Journal'!D108))</f>
        <v/>
      </c>
      <c r="E213" s="5">
        <f>IF('Journal'!D108="","",IFERROR(INDEX('Kontoplan'!$B$3:$B$302,MATCH('Journal'!D108,'Kontoplan'!$H$3:$H$302,0)),""))</f>
        <v/>
      </c>
      <c r="F213" s="20">
        <f>IF('Journal'!G108="","",'Journal'!G108)</f>
        <v/>
      </c>
      <c r="G213" s="20">
        <f>IF('Journal'!F108="","",'Journal'!F108)</f>
        <v/>
      </c>
      <c r="H213" s="5">
        <f>IF('Journal'!I108="","",'Journal'!I108)</f>
        <v/>
      </c>
    </row>
    <row r="214">
      <c r="A214" s="18">
        <f>IF('Journal'!A108="","",'Journal'!A108)</f>
        <v/>
      </c>
      <c r="B214" s="21">
        <f>IF('Journal'!B108="","",'Journal'!B108)</f>
        <v/>
      </c>
      <c r="C214" s="5">
        <f>IF('Journal'!C108="","",'Journal'!C108)</f>
        <v/>
      </c>
      <c r="D214" s="5">
        <f>IF('Journal'!E108="","",IFERROR(LEFT('Journal'!E108,FIND(" ",'Journal'!E108)-1),'Journal'!E108))</f>
        <v/>
      </c>
      <c r="E214" s="5">
        <f>IF('Journal'!E108="","",IFERROR(INDEX('Kontoplan'!$B$3:$B$302,MATCH('Journal'!E108,'Kontoplan'!$H$3:$H$302,0)),""))</f>
        <v/>
      </c>
      <c r="F214" s="20">
        <f>IF('Journal'!F108="","",'Journal'!F108)</f>
        <v/>
      </c>
      <c r="G214" s="20">
        <f>IF('Journal'!G108="","",'Journal'!G108)</f>
        <v/>
      </c>
      <c r="H214" s="5">
        <f>IF('Journal'!I108="","",'Journal'!I108)</f>
        <v/>
      </c>
    </row>
    <row r="215">
      <c r="A215" s="18">
        <f>IF('Journal'!A109="","",'Journal'!A109)</f>
        <v/>
      </c>
      <c r="B215" s="21">
        <f>IF('Journal'!B109="","",'Journal'!B109)</f>
        <v/>
      </c>
      <c r="C215" s="5">
        <f>IF('Journal'!C109="","",'Journal'!C109)</f>
        <v/>
      </c>
      <c r="D215" s="5">
        <f>IF('Journal'!D109="","",IFERROR(LEFT('Journal'!D109,FIND(" ",'Journal'!D109)-1),'Journal'!D109))</f>
        <v/>
      </c>
      <c r="E215" s="5">
        <f>IF('Journal'!D109="","",IFERROR(INDEX('Kontoplan'!$B$3:$B$302,MATCH('Journal'!D109,'Kontoplan'!$H$3:$H$302,0)),""))</f>
        <v/>
      </c>
      <c r="F215" s="20">
        <f>IF('Journal'!G109="","",'Journal'!G109)</f>
        <v/>
      </c>
      <c r="G215" s="20">
        <f>IF('Journal'!F109="","",'Journal'!F109)</f>
        <v/>
      </c>
      <c r="H215" s="5">
        <f>IF('Journal'!I109="","",'Journal'!I109)</f>
        <v/>
      </c>
    </row>
    <row r="216">
      <c r="A216" s="18">
        <f>IF('Journal'!A109="","",'Journal'!A109)</f>
        <v/>
      </c>
      <c r="B216" s="21">
        <f>IF('Journal'!B109="","",'Journal'!B109)</f>
        <v/>
      </c>
      <c r="C216" s="5">
        <f>IF('Journal'!C109="","",'Journal'!C109)</f>
        <v/>
      </c>
      <c r="D216" s="5">
        <f>IF('Journal'!E109="","",IFERROR(LEFT('Journal'!E109,FIND(" ",'Journal'!E109)-1),'Journal'!E109))</f>
        <v/>
      </c>
      <c r="E216" s="5">
        <f>IF('Journal'!E109="","",IFERROR(INDEX('Kontoplan'!$B$3:$B$302,MATCH('Journal'!E109,'Kontoplan'!$H$3:$H$302,0)),""))</f>
        <v/>
      </c>
      <c r="F216" s="20">
        <f>IF('Journal'!F109="","",'Journal'!F109)</f>
        <v/>
      </c>
      <c r="G216" s="20">
        <f>IF('Journal'!G109="","",'Journal'!G109)</f>
        <v/>
      </c>
      <c r="H216" s="5">
        <f>IF('Journal'!I109="","",'Journal'!I109)</f>
        <v/>
      </c>
    </row>
    <row r="217">
      <c r="A217" s="18">
        <f>IF('Journal'!A110="","",'Journal'!A110)</f>
        <v/>
      </c>
      <c r="B217" s="21">
        <f>IF('Journal'!B110="","",'Journal'!B110)</f>
        <v/>
      </c>
      <c r="C217" s="5">
        <f>IF('Journal'!C110="","",'Journal'!C110)</f>
        <v/>
      </c>
      <c r="D217" s="5">
        <f>IF('Journal'!D110="","",IFERROR(LEFT('Journal'!D110,FIND(" ",'Journal'!D110)-1),'Journal'!D110))</f>
        <v/>
      </c>
      <c r="E217" s="5">
        <f>IF('Journal'!D110="","",IFERROR(INDEX('Kontoplan'!$B$3:$B$302,MATCH('Journal'!D110,'Kontoplan'!$H$3:$H$302,0)),""))</f>
        <v/>
      </c>
      <c r="F217" s="20">
        <f>IF('Journal'!G110="","",'Journal'!G110)</f>
        <v/>
      </c>
      <c r="G217" s="20">
        <f>IF('Journal'!F110="","",'Journal'!F110)</f>
        <v/>
      </c>
      <c r="H217" s="5">
        <f>IF('Journal'!I110="","",'Journal'!I110)</f>
        <v/>
      </c>
    </row>
    <row r="218">
      <c r="A218" s="18">
        <f>IF('Journal'!A110="","",'Journal'!A110)</f>
        <v/>
      </c>
      <c r="B218" s="21">
        <f>IF('Journal'!B110="","",'Journal'!B110)</f>
        <v/>
      </c>
      <c r="C218" s="5">
        <f>IF('Journal'!C110="","",'Journal'!C110)</f>
        <v/>
      </c>
      <c r="D218" s="5">
        <f>IF('Journal'!E110="","",IFERROR(LEFT('Journal'!E110,FIND(" ",'Journal'!E110)-1),'Journal'!E110))</f>
        <v/>
      </c>
      <c r="E218" s="5">
        <f>IF('Journal'!E110="","",IFERROR(INDEX('Kontoplan'!$B$3:$B$302,MATCH('Journal'!E110,'Kontoplan'!$H$3:$H$302,0)),""))</f>
        <v/>
      </c>
      <c r="F218" s="20">
        <f>IF('Journal'!F110="","",'Journal'!F110)</f>
        <v/>
      </c>
      <c r="G218" s="20">
        <f>IF('Journal'!G110="","",'Journal'!G110)</f>
        <v/>
      </c>
      <c r="H218" s="5">
        <f>IF('Journal'!I110="","",'Journal'!I110)</f>
        <v/>
      </c>
    </row>
    <row r="219">
      <c r="A219" s="18">
        <f>IF('Journal'!A111="","",'Journal'!A111)</f>
        <v/>
      </c>
      <c r="B219" s="21">
        <f>IF('Journal'!B111="","",'Journal'!B111)</f>
        <v/>
      </c>
      <c r="C219" s="5">
        <f>IF('Journal'!C111="","",'Journal'!C111)</f>
        <v/>
      </c>
      <c r="D219" s="5">
        <f>IF('Journal'!D111="","",IFERROR(LEFT('Journal'!D111,FIND(" ",'Journal'!D111)-1),'Journal'!D111))</f>
        <v/>
      </c>
      <c r="E219" s="5">
        <f>IF('Journal'!D111="","",IFERROR(INDEX('Kontoplan'!$B$3:$B$302,MATCH('Journal'!D111,'Kontoplan'!$H$3:$H$302,0)),""))</f>
        <v/>
      </c>
      <c r="F219" s="20">
        <f>IF('Journal'!G111="","",'Journal'!G111)</f>
        <v/>
      </c>
      <c r="G219" s="20">
        <f>IF('Journal'!F111="","",'Journal'!F111)</f>
        <v/>
      </c>
      <c r="H219" s="5">
        <f>IF('Journal'!I111="","",'Journal'!I111)</f>
        <v/>
      </c>
    </row>
    <row r="220">
      <c r="A220" s="18">
        <f>IF('Journal'!A111="","",'Journal'!A111)</f>
        <v/>
      </c>
      <c r="B220" s="21">
        <f>IF('Journal'!B111="","",'Journal'!B111)</f>
        <v/>
      </c>
      <c r="C220" s="5">
        <f>IF('Journal'!C111="","",'Journal'!C111)</f>
        <v/>
      </c>
      <c r="D220" s="5">
        <f>IF('Journal'!E111="","",IFERROR(LEFT('Journal'!E111,FIND(" ",'Journal'!E111)-1),'Journal'!E111))</f>
        <v/>
      </c>
      <c r="E220" s="5">
        <f>IF('Journal'!E111="","",IFERROR(INDEX('Kontoplan'!$B$3:$B$302,MATCH('Journal'!E111,'Kontoplan'!$H$3:$H$302,0)),""))</f>
        <v/>
      </c>
      <c r="F220" s="20">
        <f>IF('Journal'!F111="","",'Journal'!F111)</f>
        <v/>
      </c>
      <c r="G220" s="20">
        <f>IF('Journal'!G111="","",'Journal'!G111)</f>
        <v/>
      </c>
      <c r="H220" s="5">
        <f>IF('Journal'!I111="","",'Journal'!I111)</f>
        <v/>
      </c>
    </row>
    <row r="221">
      <c r="A221" s="18">
        <f>IF('Journal'!A112="","",'Journal'!A112)</f>
        <v/>
      </c>
      <c r="B221" s="21">
        <f>IF('Journal'!B112="","",'Journal'!B112)</f>
        <v/>
      </c>
      <c r="C221" s="5">
        <f>IF('Journal'!C112="","",'Journal'!C112)</f>
        <v/>
      </c>
      <c r="D221" s="5">
        <f>IF('Journal'!D112="","",IFERROR(LEFT('Journal'!D112,FIND(" ",'Journal'!D112)-1),'Journal'!D112))</f>
        <v/>
      </c>
      <c r="E221" s="5">
        <f>IF('Journal'!D112="","",IFERROR(INDEX('Kontoplan'!$B$3:$B$302,MATCH('Journal'!D112,'Kontoplan'!$H$3:$H$302,0)),""))</f>
        <v/>
      </c>
      <c r="F221" s="20">
        <f>IF('Journal'!G112="","",'Journal'!G112)</f>
        <v/>
      </c>
      <c r="G221" s="20">
        <f>IF('Journal'!F112="","",'Journal'!F112)</f>
        <v/>
      </c>
      <c r="H221" s="5">
        <f>IF('Journal'!I112="","",'Journal'!I112)</f>
        <v/>
      </c>
    </row>
    <row r="222">
      <c r="A222" s="18">
        <f>IF('Journal'!A112="","",'Journal'!A112)</f>
        <v/>
      </c>
      <c r="B222" s="21">
        <f>IF('Journal'!B112="","",'Journal'!B112)</f>
        <v/>
      </c>
      <c r="C222" s="5">
        <f>IF('Journal'!C112="","",'Journal'!C112)</f>
        <v/>
      </c>
      <c r="D222" s="5">
        <f>IF('Journal'!E112="","",IFERROR(LEFT('Journal'!E112,FIND(" ",'Journal'!E112)-1),'Journal'!E112))</f>
        <v/>
      </c>
      <c r="E222" s="5">
        <f>IF('Journal'!E112="","",IFERROR(INDEX('Kontoplan'!$B$3:$B$302,MATCH('Journal'!E112,'Kontoplan'!$H$3:$H$302,0)),""))</f>
        <v/>
      </c>
      <c r="F222" s="20">
        <f>IF('Journal'!F112="","",'Journal'!F112)</f>
        <v/>
      </c>
      <c r="G222" s="20">
        <f>IF('Journal'!G112="","",'Journal'!G112)</f>
        <v/>
      </c>
      <c r="H222" s="5">
        <f>IF('Journal'!I112="","",'Journal'!I112)</f>
        <v/>
      </c>
    </row>
    <row r="223">
      <c r="A223" s="18">
        <f>IF('Journal'!A113="","",'Journal'!A113)</f>
        <v/>
      </c>
      <c r="B223" s="21">
        <f>IF('Journal'!B113="","",'Journal'!B113)</f>
        <v/>
      </c>
      <c r="C223" s="5">
        <f>IF('Journal'!C113="","",'Journal'!C113)</f>
        <v/>
      </c>
      <c r="D223" s="5">
        <f>IF('Journal'!D113="","",IFERROR(LEFT('Journal'!D113,FIND(" ",'Journal'!D113)-1),'Journal'!D113))</f>
        <v/>
      </c>
      <c r="E223" s="5">
        <f>IF('Journal'!D113="","",IFERROR(INDEX('Kontoplan'!$B$3:$B$302,MATCH('Journal'!D113,'Kontoplan'!$H$3:$H$302,0)),""))</f>
        <v/>
      </c>
      <c r="F223" s="20">
        <f>IF('Journal'!G113="","",'Journal'!G113)</f>
        <v/>
      </c>
      <c r="G223" s="20">
        <f>IF('Journal'!F113="","",'Journal'!F113)</f>
        <v/>
      </c>
      <c r="H223" s="5">
        <f>IF('Journal'!I113="","",'Journal'!I113)</f>
        <v/>
      </c>
    </row>
    <row r="224">
      <c r="A224" s="18">
        <f>IF('Journal'!A113="","",'Journal'!A113)</f>
        <v/>
      </c>
      <c r="B224" s="21">
        <f>IF('Journal'!B113="","",'Journal'!B113)</f>
        <v/>
      </c>
      <c r="C224" s="5">
        <f>IF('Journal'!C113="","",'Journal'!C113)</f>
        <v/>
      </c>
      <c r="D224" s="5">
        <f>IF('Journal'!E113="","",IFERROR(LEFT('Journal'!E113,FIND(" ",'Journal'!E113)-1),'Journal'!E113))</f>
        <v/>
      </c>
      <c r="E224" s="5">
        <f>IF('Journal'!E113="","",IFERROR(INDEX('Kontoplan'!$B$3:$B$302,MATCH('Journal'!E113,'Kontoplan'!$H$3:$H$302,0)),""))</f>
        <v/>
      </c>
      <c r="F224" s="20">
        <f>IF('Journal'!F113="","",'Journal'!F113)</f>
        <v/>
      </c>
      <c r="G224" s="20">
        <f>IF('Journal'!G113="","",'Journal'!G113)</f>
        <v/>
      </c>
      <c r="H224" s="5">
        <f>IF('Journal'!I113="","",'Journal'!I113)</f>
        <v/>
      </c>
    </row>
    <row r="225">
      <c r="A225" s="18">
        <f>IF('Journal'!A114="","",'Journal'!A114)</f>
        <v/>
      </c>
      <c r="B225" s="21">
        <f>IF('Journal'!B114="","",'Journal'!B114)</f>
        <v/>
      </c>
      <c r="C225" s="5">
        <f>IF('Journal'!C114="","",'Journal'!C114)</f>
        <v/>
      </c>
      <c r="D225" s="5">
        <f>IF('Journal'!D114="","",IFERROR(LEFT('Journal'!D114,FIND(" ",'Journal'!D114)-1),'Journal'!D114))</f>
        <v/>
      </c>
      <c r="E225" s="5">
        <f>IF('Journal'!D114="","",IFERROR(INDEX('Kontoplan'!$B$3:$B$302,MATCH('Journal'!D114,'Kontoplan'!$H$3:$H$302,0)),""))</f>
        <v/>
      </c>
      <c r="F225" s="20">
        <f>IF('Journal'!G114="","",'Journal'!G114)</f>
        <v/>
      </c>
      <c r="G225" s="20">
        <f>IF('Journal'!F114="","",'Journal'!F114)</f>
        <v/>
      </c>
      <c r="H225" s="5">
        <f>IF('Journal'!I114="","",'Journal'!I114)</f>
        <v/>
      </c>
    </row>
    <row r="226">
      <c r="A226" s="18">
        <f>IF('Journal'!A114="","",'Journal'!A114)</f>
        <v/>
      </c>
      <c r="B226" s="21">
        <f>IF('Journal'!B114="","",'Journal'!B114)</f>
        <v/>
      </c>
      <c r="C226" s="5">
        <f>IF('Journal'!C114="","",'Journal'!C114)</f>
        <v/>
      </c>
      <c r="D226" s="5">
        <f>IF('Journal'!E114="","",IFERROR(LEFT('Journal'!E114,FIND(" ",'Journal'!E114)-1),'Journal'!E114))</f>
        <v/>
      </c>
      <c r="E226" s="5">
        <f>IF('Journal'!E114="","",IFERROR(INDEX('Kontoplan'!$B$3:$B$302,MATCH('Journal'!E114,'Kontoplan'!$H$3:$H$302,0)),""))</f>
        <v/>
      </c>
      <c r="F226" s="20">
        <f>IF('Journal'!F114="","",'Journal'!F114)</f>
        <v/>
      </c>
      <c r="G226" s="20">
        <f>IF('Journal'!G114="","",'Journal'!G114)</f>
        <v/>
      </c>
      <c r="H226" s="5">
        <f>IF('Journal'!I114="","",'Journal'!I114)</f>
        <v/>
      </c>
    </row>
    <row r="227">
      <c r="A227" s="18">
        <f>IF('Journal'!A115="","",'Journal'!A115)</f>
        <v/>
      </c>
      <c r="B227" s="21">
        <f>IF('Journal'!B115="","",'Journal'!B115)</f>
        <v/>
      </c>
      <c r="C227" s="5">
        <f>IF('Journal'!C115="","",'Journal'!C115)</f>
        <v/>
      </c>
      <c r="D227" s="5">
        <f>IF('Journal'!D115="","",IFERROR(LEFT('Journal'!D115,FIND(" ",'Journal'!D115)-1),'Journal'!D115))</f>
        <v/>
      </c>
      <c r="E227" s="5">
        <f>IF('Journal'!D115="","",IFERROR(INDEX('Kontoplan'!$B$3:$B$302,MATCH('Journal'!D115,'Kontoplan'!$H$3:$H$302,0)),""))</f>
        <v/>
      </c>
      <c r="F227" s="20">
        <f>IF('Journal'!G115="","",'Journal'!G115)</f>
        <v/>
      </c>
      <c r="G227" s="20">
        <f>IF('Journal'!F115="","",'Journal'!F115)</f>
        <v/>
      </c>
      <c r="H227" s="5">
        <f>IF('Journal'!I115="","",'Journal'!I115)</f>
        <v/>
      </c>
    </row>
    <row r="228">
      <c r="A228" s="18">
        <f>IF('Journal'!A115="","",'Journal'!A115)</f>
        <v/>
      </c>
      <c r="B228" s="21">
        <f>IF('Journal'!B115="","",'Journal'!B115)</f>
        <v/>
      </c>
      <c r="C228" s="5">
        <f>IF('Journal'!C115="","",'Journal'!C115)</f>
        <v/>
      </c>
      <c r="D228" s="5">
        <f>IF('Journal'!E115="","",IFERROR(LEFT('Journal'!E115,FIND(" ",'Journal'!E115)-1),'Journal'!E115))</f>
        <v/>
      </c>
      <c r="E228" s="5">
        <f>IF('Journal'!E115="","",IFERROR(INDEX('Kontoplan'!$B$3:$B$302,MATCH('Journal'!E115,'Kontoplan'!$H$3:$H$302,0)),""))</f>
        <v/>
      </c>
      <c r="F228" s="20">
        <f>IF('Journal'!F115="","",'Journal'!F115)</f>
        <v/>
      </c>
      <c r="G228" s="20">
        <f>IF('Journal'!G115="","",'Journal'!G115)</f>
        <v/>
      </c>
      <c r="H228" s="5">
        <f>IF('Journal'!I115="","",'Journal'!I115)</f>
        <v/>
      </c>
    </row>
    <row r="229">
      <c r="A229" s="18">
        <f>IF('Journal'!A116="","",'Journal'!A116)</f>
        <v/>
      </c>
      <c r="B229" s="21">
        <f>IF('Journal'!B116="","",'Journal'!B116)</f>
        <v/>
      </c>
      <c r="C229" s="5">
        <f>IF('Journal'!C116="","",'Journal'!C116)</f>
        <v/>
      </c>
      <c r="D229" s="5">
        <f>IF('Journal'!D116="","",IFERROR(LEFT('Journal'!D116,FIND(" ",'Journal'!D116)-1),'Journal'!D116))</f>
        <v/>
      </c>
      <c r="E229" s="5">
        <f>IF('Journal'!D116="","",IFERROR(INDEX('Kontoplan'!$B$3:$B$302,MATCH('Journal'!D116,'Kontoplan'!$H$3:$H$302,0)),""))</f>
        <v/>
      </c>
      <c r="F229" s="20">
        <f>IF('Journal'!G116="","",'Journal'!G116)</f>
        <v/>
      </c>
      <c r="G229" s="20">
        <f>IF('Journal'!F116="","",'Journal'!F116)</f>
        <v/>
      </c>
      <c r="H229" s="5">
        <f>IF('Journal'!I116="","",'Journal'!I116)</f>
        <v/>
      </c>
    </row>
    <row r="230">
      <c r="A230" s="18">
        <f>IF('Journal'!A116="","",'Journal'!A116)</f>
        <v/>
      </c>
      <c r="B230" s="21">
        <f>IF('Journal'!B116="","",'Journal'!B116)</f>
        <v/>
      </c>
      <c r="C230" s="5">
        <f>IF('Journal'!C116="","",'Journal'!C116)</f>
        <v/>
      </c>
      <c r="D230" s="5">
        <f>IF('Journal'!E116="","",IFERROR(LEFT('Journal'!E116,FIND(" ",'Journal'!E116)-1),'Journal'!E116))</f>
        <v/>
      </c>
      <c r="E230" s="5">
        <f>IF('Journal'!E116="","",IFERROR(INDEX('Kontoplan'!$B$3:$B$302,MATCH('Journal'!E116,'Kontoplan'!$H$3:$H$302,0)),""))</f>
        <v/>
      </c>
      <c r="F230" s="20">
        <f>IF('Journal'!F116="","",'Journal'!F116)</f>
        <v/>
      </c>
      <c r="G230" s="20">
        <f>IF('Journal'!G116="","",'Journal'!G116)</f>
        <v/>
      </c>
      <c r="H230" s="5">
        <f>IF('Journal'!I116="","",'Journal'!I116)</f>
        <v/>
      </c>
    </row>
    <row r="231">
      <c r="A231" s="18">
        <f>IF('Journal'!A117="","",'Journal'!A117)</f>
        <v/>
      </c>
      <c r="B231" s="21">
        <f>IF('Journal'!B117="","",'Journal'!B117)</f>
        <v/>
      </c>
      <c r="C231" s="5">
        <f>IF('Journal'!C117="","",'Journal'!C117)</f>
        <v/>
      </c>
      <c r="D231" s="5">
        <f>IF('Journal'!D117="","",IFERROR(LEFT('Journal'!D117,FIND(" ",'Journal'!D117)-1),'Journal'!D117))</f>
        <v/>
      </c>
      <c r="E231" s="5">
        <f>IF('Journal'!D117="","",IFERROR(INDEX('Kontoplan'!$B$3:$B$302,MATCH('Journal'!D117,'Kontoplan'!$H$3:$H$302,0)),""))</f>
        <v/>
      </c>
      <c r="F231" s="20">
        <f>IF('Journal'!G117="","",'Journal'!G117)</f>
        <v/>
      </c>
      <c r="G231" s="20">
        <f>IF('Journal'!F117="","",'Journal'!F117)</f>
        <v/>
      </c>
      <c r="H231" s="5">
        <f>IF('Journal'!I117="","",'Journal'!I117)</f>
        <v/>
      </c>
    </row>
    <row r="232">
      <c r="A232" s="18">
        <f>IF('Journal'!A117="","",'Journal'!A117)</f>
        <v/>
      </c>
      <c r="B232" s="21">
        <f>IF('Journal'!B117="","",'Journal'!B117)</f>
        <v/>
      </c>
      <c r="C232" s="5">
        <f>IF('Journal'!C117="","",'Journal'!C117)</f>
        <v/>
      </c>
      <c r="D232" s="5">
        <f>IF('Journal'!E117="","",IFERROR(LEFT('Journal'!E117,FIND(" ",'Journal'!E117)-1),'Journal'!E117))</f>
        <v/>
      </c>
      <c r="E232" s="5">
        <f>IF('Journal'!E117="","",IFERROR(INDEX('Kontoplan'!$B$3:$B$302,MATCH('Journal'!E117,'Kontoplan'!$H$3:$H$302,0)),""))</f>
        <v/>
      </c>
      <c r="F232" s="20">
        <f>IF('Journal'!F117="","",'Journal'!F117)</f>
        <v/>
      </c>
      <c r="G232" s="20">
        <f>IF('Journal'!G117="","",'Journal'!G117)</f>
        <v/>
      </c>
      <c r="H232" s="5">
        <f>IF('Journal'!I117="","",'Journal'!I117)</f>
        <v/>
      </c>
    </row>
    <row r="233">
      <c r="A233" s="18">
        <f>IF('Journal'!A118="","",'Journal'!A118)</f>
        <v/>
      </c>
      <c r="B233" s="21">
        <f>IF('Journal'!B118="","",'Journal'!B118)</f>
        <v/>
      </c>
      <c r="C233" s="5">
        <f>IF('Journal'!C118="","",'Journal'!C118)</f>
        <v/>
      </c>
      <c r="D233" s="5">
        <f>IF('Journal'!D118="","",IFERROR(LEFT('Journal'!D118,FIND(" ",'Journal'!D118)-1),'Journal'!D118))</f>
        <v/>
      </c>
      <c r="E233" s="5">
        <f>IF('Journal'!D118="","",IFERROR(INDEX('Kontoplan'!$B$3:$B$302,MATCH('Journal'!D118,'Kontoplan'!$H$3:$H$302,0)),""))</f>
        <v/>
      </c>
      <c r="F233" s="20">
        <f>IF('Journal'!G118="","",'Journal'!G118)</f>
        <v/>
      </c>
      <c r="G233" s="20">
        <f>IF('Journal'!F118="","",'Journal'!F118)</f>
        <v/>
      </c>
      <c r="H233" s="5">
        <f>IF('Journal'!I118="","",'Journal'!I118)</f>
        <v/>
      </c>
    </row>
    <row r="234">
      <c r="A234" s="18">
        <f>IF('Journal'!A118="","",'Journal'!A118)</f>
        <v/>
      </c>
      <c r="B234" s="21">
        <f>IF('Journal'!B118="","",'Journal'!B118)</f>
        <v/>
      </c>
      <c r="C234" s="5">
        <f>IF('Journal'!C118="","",'Journal'!C118)</f>
        <v/>
      </c>
      <c r="D234" s="5">
        <f>IF('Journal'!E118="","",IFERROR(LEFT('Journal'!E118,FIND(" ",'Journal'!E118)-1),'Journal'!E118))</f>
        <v/>
      </c>
      <c r="E234" s="5">
        <f>IF('Journal'!E118="","",IFERROR(INDEX('Kontoplan'!$B$3:$B$302,MATCH('Journal'!E118,'Kontoplan'!$H$3:$H$302,0)),""))</f>
        <v/>
      </c>
      <c r="F234" s="20">
        <f>IF('Journal'!F118="","",'Journal'!F118)</f>
        <v/>
      </c>
      <c r="G234" s="20">
        <f>IF('Journal'!G118="","",'Journal'!G118)</f>
        <v/>
      </c>
      <c r="H234" s="5">
        <f>IF('Journal'!I118="","",'Journal'!I118)</f>
        <v/>
      </c>
    </row>
    <row r="235">
      <c r="A235" s="18">
        <f>IF('Journal'!A119="","",'Journal'!A119)</f>
        <v/>
      </c>
      <c r="B235" s="21">
        <f>IF('Journal'!B119="","",'Journal'!B119)</f>
        <v/>
      </c>
      <c r="C235" s="5">
        <f>IF('Journal'!C119="","",'Journal'!C119)</f>
        <v/>
      </c>
      <c r="D235" s="5">
        <f>IF('Journal'!D119="","",IFERROR(LEFT('Journal'!D119,FIND(" ",'Journal'!D119)-1),'Journal'!D119))</f>
        <v/>
      </c>
      <c r="E235" s="5">
        <f>IF('Journal'!D119="","",IFERROR(INDEX('Kontoplan'!$B$3:$B$302,MATCH('Journal'!D119,'Kontoplan'!$H$3:$H$302,0)),""))</f>
        <v/>
      </c>
      <c r="F235" s="20">
        <f>IF('Journal'!G119="","",'Journal'!G119)</f>
        <v/>
      </c>
      <c r="G235" s="20">
        <f>IF('Journal'!F119="","",'Journal'!F119)</f>
        <v/>
      </c>
      <c r="H235" s="5">
        <f>IF('Journal'!I119="","",'Journal'!I119)</f>
        <v/>
      </c>
    </row>
    <row r="236">
      <c r="A236" s="18">
        <f>IF('Journal'!A119="","",'Journal'!A119)</f>
        <v/>
      </c>
      <c r="B236" s="21">
        <f>IF('Journal'!B119="","",'Journal'!B119)</f>
        <v/>
      </c>
      <c r="C236" s="5">
        <f>IF('Journal'!C119="","",'Journal'!C119)</f>
        <v/>
      </c>
      <c r="D236" s="5">
        <f>IF('Journal'!E119="","",IFERROR(LEFT('Journal'!E119,FIND(" ",'Journal'!E119)-1),'Journal'!E119))</f>
        <v/>
      </c>
      <c r="E236" s="5">
        <f>IF('Journal'!E119="","",IFERROR(INDEX('Kontoplan'!$B$3:$B$302,MATCH('Journal'!E119,'Kontoplan'!$H$3:$H$302,0)),""))</f>
        <v/>
      </c>
      <c r="F236" s="20">
        <f>IF('Journal'!F119="","",'Journal'!F119)</f>
        <v/>
      </c>
      <c r="G236" s="20">
        <f>IF('Journal'!G119="","",'Journal'!G119)</f>
        <v/>
      </c>
      <c r="H236" s="5">
        <f>IF('Journal'!I119="","",'Journal'!I119)</f>
        <v/>
      </c>
    </row>
    <row r="237">
      <c r="A237" s="18">
        <f>IF('Journal'!A120="","",'Journal'!A120)</f>
        <v/>
      </c>
      <c r="B237" s="21">
        <f>IF('Journal'!B120="","",'Journal'!B120)</f>
        <v/>
      </c>
      <c r="C237" s="5">
        <f>IF('Journal'!C120="","",'Journal'!C120)</f>
        <v/>
      </c>
      <c r="D237" s="5">
        <f>IF('Journal'!D120="","",IFERROR(LEFT('Journal'!D120,FIND(" ",'Journal'!D120)-1),'Journal'!D120))</f>
        <v/>
      </c>
      <c r="E237" s="5">
        <f>IF('Journal'!D120="","",IFERROR(INDEX('Kontoplan'!$B$3:$B$302,MATCH('Journal'!D120,'Kontoplan'!$H$3:$H$302,0)),""))</f>
        <v/>
      </c>
      <c r="F237" s="20">
        <f>IF('Journal'!G120="","",'Journal'!G120)</f>
        <v/>
      </c>
      <c r="G237" s="20">
        <f>IF('Journal'!F120="","",'Journal'!F120)</f>
        <v/>
      </c>
      <c r="H237" s="5">
        <f>IF('Journal'!I120="","",'Journal'!I120)</f>
        <v/>
      </c>
    </row>
    <row r="238">
      <c r="A238" s="18">
        <f>IF('Journal'!A120="","",'Journal'!A120)</f>
        <v/>
      </c>
      <c r="B238" s="21">
        <f>IF('Journal'!B120="","",'Journal'!B120)</f>
        <v/>
      </c>
      <c r="C238" s="5">
        <f>IF('Journal'!C120="","",'Journal'!C120)</f>
        <v/>
      </c>
      <c r="D238" s="5">
        <f>IF('Journal'!E120="","",IFERROR(LEFT('Journal'!E120,FIND(" ",'Journal'!E120)-1),'Journal'!E120))</f>
        <v/>
      </c>
      <c r="E238" s="5">
        <f>IF('Journal'!E120="","",IFERROR(INDEX('Kontoplan'!$B$3:$B$302,MATCH('Journal'!E120,'Kontoplan'!$H$3:$H$302,0)),""))</f>
        <v/>
      </c>
      <c r="F238" s="20">
        <f>IF('Journal'!F120="","",'Journal'!F120)</f>
        <v/>
      </c>
      <c r="G238" s="20">
        <f>IF('Journal'!G120="","",'Journal'!G120)</f>
        <v/>
      </c>
      <c r="H238" s="5">
        <f>IF('Journal'!I120="","",'Journal'!I120)</f>
        <v/>
      </c>
    </row>
    <row r="239">
      <c r="A239" s="18">
        <f>IF('Journal'!A121="","",'Journal'!A121)</f>
        <v/>
      </c>
      <c r="B239" s="21">
        <f>IF('Journal'!B121="","",'Journal'!B121)</f>
        <v/>
      </c>
      <c r="C239" s="5">
        <f>IF('Journal'!C121="","",'Journal'!C121)</f>
        <v/>
      </c>
      <c r="D239" s="5">
        <f>IF('Journal'!D121="","",IFERROR(LEFT('Journal'!D121,FIND(" ",'Journal'!D121)-1),'Journal'!D121))</f>
        <v/>
      </c>
      <c r="E239" s="5">
        <f>IF('Journal'!D121="","",IFERROR(INDEX('Kontoplan'!$B$3:$B$302,MATCH('Journal'!D121,'Kontoplan'!$H$3:$H$302,0)),""))</f>
        <v/>
      </c>
      <c r="F239" s="20">
        <f>IF('Journal'!G121="","",'Journal'!G121)</f>
        <v/>
      </c>
      <c r="G239" s="20">
        <f>IF('Journal'!F121="","",'Journal'!F121)</f>
        <v/>
      </c>
      <c r="H239" s="5">
        <f>IF('Journal'!I121="","",'Journal'!I121)</f>
        <v/>
      </c>
    </row>
    <row r="240">
      <c r="A240" s="18">
        <f>IF('Journal'!A121="","",'Journal'!A121)</f>
        <v/>
      </c>
      <c r="B240" s="21">
        <f>IF('Journal'!B121="","",'Journal'!B121)</f>
        <v/>
      </c>
      <c r="C240" s="5">
        <f>IF('Journal'!C121="","",'Journal'!C121)</f>
        <v/>
      </c>
      <c r="D240" s="5">
        <f>IF('Journal'!E121="","",IFERROR(LEFT('Journal'!E121,FIND(" ",'Journal'!E121)-1),'Journal'!E121))</f>
        <v/>
      </c>
      <c r="E240" s="5">
        <f>IF('Journal'!E121="","",IFERROR(INDEX('Kontoplan'!$B$3:$B$302,MATCH('Journal'!E121,'Kontoplan'!$H$3:$H$302,0)),""))</f>
        <v/>
      </c>
      <c r="F240" s="20">
        <f>IF('Journal'!F121="","",'Journal'!F121)</f>
        <v/>
      </c>
      <c r="G240" s="20">
        <f>IF('Journal'!G121="","",'Journal'!G121)</f>
        <v/>
      </c>
      <c r="H240" s="5">
        <f>IF('Journal'!I121="","",'Journal'!I121)</f>
        <v/>
      </c>
    </row>
    <row r="241">
      <c r="A241" s="18">
        <f>IF('Journal'!A122="","",'Journal'!A122)</f>
        <v/>
      </c>
      <c r="B241" s="21">
        <f>IF('Journal'!B122="","",'Journal'!B122)</f>
        <v/>
      </c>
      <c r="C241" s="5">
        <f>IF('Journal'!C122="","",'Journal'!C122)</f>
        <v/>
      </c>
      <c r="D241" s="5">
        <f>IF('Journal'!D122="","",IFERROR(LEFT('Journal'!D122,FIND(" ",'Journal'!D122)-1),'Journal'!D122))</f>
        <v/>
      </c>
      <c r="E241" s="5">
        <f>IF('Journal'!D122="","",IFERROR(INDEX('Kontoplan'!$B$3:$B$302,MATCH('Journal'!D122,'Kontoplan'!$H$3:$H$302,0)),""))</f>
        <v/>
      </c>
      <c r="F241" s="20">
        <f>IF('Journal'!G122="","",'Journal'!G122)</f>
        <v/>
      </c>
      <c r="G241" s="20">
        <f>IF('Journal'!F122="","",'Journal'!F122)</f>
        <v/>
      </c>
      <c r="H241" s="5">
        <f>IF('Journal'!I122="","",'Journal'!I122)</f>
        <v/>
      </c>
    </row>
    <row r="242">
      <c r="A242" s="18">
        <f>IF('Journal'!A122="","",'Journal'!A122)</f>
        <v/>
      </c>
      <c r="B242" s="21">
        <f>IF('Journal'!B122="","",'Journal'!B122)</f>
        <v/>
      </c>
      <c r="C242" s="5">
        <f>IF('Journal'!C122="","",'Journal'!C122)</f>
        <v/>
      </c>
      <c r="D242" s="5">
        <f>IF('Journal'!E122="","",IFERROR(LEFT('Journal'!E122,FIND(" ",'Journal'!E122)-1),'Journal'!E122))</f>
        <v/>
      </c>
      <c r="E242" s="5">
        <f>IF('Journal'!E122="","",IFERROR(INDEX('Kontoplan'!$B$3:$B$302,MATCH('Journal'!E122,'Kontoplan'!$H$3:$H$302,0)),""))</f>
        <v/>
      </c>
      <c r="F242" s="20">
        <f>IF('Journal'!F122="","",'Journal'!F122)</f>
        <v/>
      </c>
      <c r="G242" s="20">
        <f>IF('Journal'!G122="","",'Journal'!G122)</f>
        <v/>
      </c>
      <c r="H242" s="5">
        <f>IF('Journal'!I122="","",'Journal'!I122)</f>
        <v/>
      </c>
    </row>
    <row r="243">
      <c r="A243" s="18">
        <f>IF('Journal'!A123="","",'Journal'!A123)</f>
        <v/>
      </c>
      <c r="B243" s="21">
        <f>IF('Journal'!B123="","",'Journal'!B123)</f>
        <v/>
      </c>
      <c r="C243" s="5">
        <f>IF('Journal'!C123="","",'Journal'!C123)</f>
        <v/>
      </c>
      <c r="D243" s="5">
        <f>IF('Journal'!D123="","",IFERROR(LEFT('Journal'!D123,FIND(" ",'Journal'!D123)-1),'Journal'!D123))</f>
        <v/>
      </c>
      <c r="E243" s="5">
        <f>IF('Journal'!D123="","",IFERROR(INDEX('Kontoplan'!$B$3:$B$302,MATCH('Journal'!D123,'Kontoplan'!$H$3:$H$302,0)),""))</f>
        <v/>
      </c>
      <c r="F243" s="20">
        <f>IF('Journal'!G123="","",'Journal'!G123)</f>
        <v/>
      </c>
      <c r="G243" s="20">
        <f>IF('Journal'!F123="","",'Journal'!F123)</f>
        <v/>
      </c>
      <c r="H243" s="5">
        <f>IF('Journal'!I123="","",'Journal'!I123)</f>
        <v/>
      </c>
    </row>
    <row r="244">
      <c r="A244" s="18">
        <f>IF('Journal'!A123="","",'Journal'!A123)</f>
        <v/>
      </c>
      <c r="B244" s="21">
        <f>IF('Journal'!B123="","",'Journal'!B123)</f>
        <v/>
      </c>
      <c r="C244" s="5">
        <f>IF('Journal'!C123="","",'Journal'!C123)</f>
        <v/>
      </c>
      <c r="D244" s="5">
        <f>IF('Journal'!E123="","",IFERROR(LEFT('Journal'!E123,FIND(" ",'Journal'!E123)-1),'Journal'!E123))</f>
        <v/>
      </c>
      <c r="E244" s="5">
        <f>IF('Journal'!E123="","",IFERROR(INDEX('Kontoplan'!$B$3:$B$302,MATCH('Journal'!E123,'Kontoplan'!$H$3:$H$302,0)),""))</f>
        <v/>
      </c>
      <c r="F244" s="20">
        <f>IF('Journal'!F123="","",'Journal'!F123)</f>
        <v/>
      </c>
      <c r="G244" s="20">
        <f>IF('Journal'!G123="","",'Journal'!G123)</f>
        <v/>
      </c>
      <c r="H244" s="5">
        <f>IF('Journal'!I123="","",'Journal'!I123)</f>
        <v/>
      </c>
    </row>
    <row r="245">
      <c r="A245" s="18">
        <f>IF('Journal'!A124="","",'Journal'!A124)</f>
        <v/>
      </c>
      <c r="B245" s="21">
        <f>IF('Journal'!B124="","",'Journal'!B124)</f>
        <v/>
      </c>
      <c r="C245" s="5">
        <f>IF('Journal'!C124="","",'Journal'!C124)</f>
        <v/>
      </c>
      <c r="D245" s="5">
        <f>IF('Journal'!D124="","",IFERROR(LEFT('Journal'!D124,FIND(" ",'Journal'!D124)-1),'Journal'!D124))</f>
        <v/>
      </c>
      <c r="E245" s="5">
        <f>IF('Journal'!D124="","",IFERROR(INDEX('Kontoplan'!$B$3:$B$302,MATCH('Journal'!D124,'Kontoplan'!$H$3:$H$302,0)),""))</f>
        <v/>
      </c>
      <c r="F245" s="20">
        <f>IF('Journal'!G124="","",'Journal'!G124)</f>
        <v/>
      </c>
      <c r="G245" s="20">
        <f>IF('Journal'!F124="","",'Journal'!F124)</f>
        <v/>
      </c>
      <c r="H245" s="5">
        <f>IF('Journal'!I124="","",'Journal'!I124)</f>
        <v/>
      </c>
    </row>
    <row r="246">
      <c r="A246" s="18">
        <f>IF('Journal'!A124="","",'Journal'!A124)</f>
        <v/>
      </c>
      <c r="B246" s="21">
        <f>IF('Journal'!B124="","",'Journal'!B124)</f>
        <v/>
      </c>
      <c r="C246" s="5">
        <f>IF('Journal'!C124="","",'Journal'!C124)</f>
        <v/>
      </c>
      <c r="D246" s="5">
        <f>IF('Journal'!E124="","",IFERROR(LEFT('Journal'!E124,FIND(" ",'Journal'!E124)-1),'Journal'!E124))</f>
        <v/>
      </c>
      <c r="E246" s="5">
        <f>IF('Journal'!E124="","",IFERROR(INDEX('Kontoplan'!$B$3:$B$302,MATCH('Journal'!E124,'Kontoplan'!$H$3:$H$302,0)),""))</f>
        <v/>
      </c>
      <c r="F246" s="20">
        <f>IF('Journal'!F124="","",'Journal'!F124)</f>
        <v/>
      </c>
      <c r="G246" s="20">
        <f>IF('Journal'!G124="","",'Journal'!G124)</f>
        <v/>
      </c>
      <c r="H246" s="5">
        <f>IF('Journal'!I124="","",'Journal'!I124)</f>
        <v/>
      </c>
    </row>
    <row r="247">
      <c r="A247" s="18">
        <f>IF('Journal'!A125="","",'Journal'!A125)</f>
        <v/>
      </c>
      <c r="B247" s="21">
        <f>IF('Journal'!B125="","",'Journal'!B125)</f>
        <v/>
      </c>
      <c r="C247" s="5">
        <f>IF('Journal'!C125="","",'Journal'!C125)</f>
        <v/>
      </c>
      <c r="D247" s="5">
        <f>IF('Journal'!D125="","",IFERROR(LEFT('Journal'!D125,FIND(" ",'Journal'!D125)-1),'Journal'!D125))</f>
        <v/>
      </c>
      <c r="E247" s="5">
        <f>IF('Journal'!D125="","",IFERROR(INDEX('Kontoplan'!$B$3:$B$302,MATCH('Journal'!D125,'Kontoplan'!$H$3:$H$302,0)),""))</f>
        <v/>
      </c>
      <c r="F247" s="20">
        <f>IF('Journal'!G125="","",'Journal'!G125)</f>
        <v/>
      </c>
      <c r="G247" s="20">
        <f>IF('Journal'!F125="","",'Journal'!F125)</f>
        <v/>
      </c>
      <c r="H247" s="5">
        <f>IF('Journal'!I125="","",'Journal'!I125)</f>
        <v/>
      </c>
    </row>
    <row r="248">
      <c r="A248" s="18">
        <f>IF('Journal'!A125="","",'Journal'!A125)</f>
        <v/>
      </c>
      <c r="B248" s="21">
        <f>IF('Journal'!B125="","",'Journal'!B125)</f>
        <v/>
      </c>
      <c r="C248" s="5">
        <f>IF('Journal'!C125="","",'Journal'!C125)</f>
        <v/>
      </c>
      <c r="D248" s="5">
        <f>IF('Journal'!E125="","",IFERROR(LEFT('Journal'!E125,FIND(" ",'Journal'!E125)-1),'Journal'!E125))</f>
        <v/>
      </c>
      <c r="E248" s="5">
        <f>IF('Journal'!E125="","",IFERROR(INDEX('Kontoplan'!$B$3:$B$302,MATCH('Journal'!E125,'Kontoplan'!$H$3:$H$302,0)),""))</f>
        <v/>
      </c>
      <c r="F248" s="20">
        <f>IF('Journal'!F125="","",'Journal'!F125)</f>
        <v/>
      </c>
      <c r="G248" s="20">
        <f>IF('Journal'!G125="","",'Journal'!G125)</f>
        <v/>
      </c>
      <c r="H248" s="5">
        <f>IF('Journal'!I125="","",'Journal'!I125)</f>
        <v/>
      </c>
    </row>
    <row r="249">
      <c r="A249" s="18">
        <f>IF('Journal'!A126="","",'Journal'!A126)</f>
        <v/>
      </c>
      <c r="B249" s="21">
        <f>IF('Journal'!B126="","",'Journal'!B126)</f>
        <v/>
      </c>
      <c r="C249" s="5">
        <f>IF('Journal'!C126="","",'Journal'!C126)</f>
        <v/>
      </c>
      <c r="D249" s="5">
        <f>IF('Journal'!D126="","",IFERROR(LEFT('Journal'!D126,FIND(" ",'Journal'!D126)-1),'Journal'!D126))</f>
        <v/>
      </c>
      <c r="E249" s="5">
        <f>IF('Journal'!D126="","",IFERROR(INDEX('Kontoplan'!$B$3:$B$302,MATCH('Journal'!D126,'Kontoplan'!$H$3:$H$302,0)),""))</f>
        <v/>
      </c>
      <c r="F249" s="20">
        <f>IF('Journal'!G126="","",'Journal'!G126)</f>
        <v/>
      </c>
      <c r="G249" s="20">
        <f>IF('Journal'!F126="","",'Journal'!F126)</f>
        <v/>
      </c>
      <c r="H249" s="5">
        <f>IF('Journal'!I126="","",'Journal'!I126)</f>
        <v/>
      </c>
    </row>
    <row r="250">
      <c r="A250" s="18">
        <f>IF('Journal'!A126="","",'Journal'!A126)</f>
        <v/>
      </c>
      <c r="B250" s="21">
        <f>IF('Journal'!B126="","",'Journal'!B126)</f>
        <v/>
      </c>
      <c r="C250" s="5">
        <f>IF('Journal'!C126="","",'Journal'!C126)</f>
        <v/>
      </c>
      <c r="D250" s="5">
        <f>IF('Journal'!E126="","",IFERROR(LEFT('Journal'!E126,FIND(" ",'Journal'!E126)-1),'Journal'!E126))</f>
        <v/>
      </c>
      <c r="E250" s="5">
        <f>IF('Journal'!E126="","",IFERROR(INDEX('Kontoplan'!$B$3:$B$302,MATCH('Journal'!E126,'Kontoplan'!$H$3:$H$302,0)),""))</f>
        <v/>
      </c>
      <c r="F250" s="20">
        <f>IF('Journal'!F126="","",'Journal'!F126)</f>
        <v/>
      </c>
      <c r="G250" s="20">
        <f>IF('Journal'!G126="","",'Journal'!G126)</f>
        <v/>
      </c>
      <c r="H250" s="5">
        <f>IF('Journal'!I126="","",'Journal'!I126)</f>
        <v/>
      </c>
    </row>
    <row r="251">
      <c r="A251" s="18">
        <f>IF('Journal'!A127="","",'Journal'!A127)</f>
        <v/>
      </c>
      <c r="B251" s="21">
        <f>IF('Journal'!B127="","",'Journal'!B127)</f>
        <v/>
      </c>
      <c r="C251" s="5">
        <f>IF('Journal'!C127="","",'Journal'!C127)</f>
        <v/>
      </c>
      <c r="D251" s="5">
        <f>IF('Journal'!D127="","",IFERROR(LEFT('Journal'!D127,FIND(" ",'Journal'!D127)-1),'Journal'!D127))</f>
        <v/>
      </c>
      <c r="E251" s="5">
        <f>IF('Journal'!D127="","",IFERROR(INDEX('Kontoplan'!$B$3:$B$302,MATCH('Journal'!D127,'Kontoplan'!$H$3:$H$302,0)),""))</f>
        <v/>
      </c>
      <c r="F251" s="20">
        <f>IF('Journal'!G127="","",'Journal'!G127)</f>
        <v/>
      </c>
      <c r="G251" s="20">
        <f>IF('Journal'!F127="","",'Journal'!F127)</f>
        <v/>
      </c>
      <c r="H251" s="5">
        <f>IF('Journal'!I127="","",'Journal'!I127)</f>
        <v/>
      </c>
    </row>
    <row r="252">
      <c r="A252" s="18">
        <f>IF('Journal'!A127="","",'Journal'!A127)</f>
        <v/>
      </c>
      <c r="B252" s="21">
        <f>IF('Journal'!B127="","",'Journal'!B127)</f>
        <v/>
      </c>
      <c r="C252" s="5">
        <f>IF('Journal'!C127="","",'Journal'!C127)</f>
        <v/>
      </c>
      <c r="D252" s="5">
        <f>IF('Journal'!E127="","",IFERROR(LEFT('Journal'!E127,FIND(" ",'Journal'!E127)-1),'Journal'!E127))</f>
        <v/>
      </c>
      <c r="E252" s="5">
        <f>IF('Journal'!E127="","",IFERROR(INDEX('Kontoplan'!$B$3:$B$302,MATCH('Journal'!E127,'Kontoplan'!$H$3:$H$302,0)),""))</f>
        <v/>
      </c>
      <c r="F252" s="20">
        <f>IF('Journal'!F127="","",'Journal'!F127)</f>
        <v/>
      </c>
      <c r="G252" s="20">
        <f>IF('Journal'!G127="","",'Journal'!G127)</f>
        <v/>
      </c>
      <c r="H252" s="5">
        <f>IF('Journal'!I127="","",'Journal'!I127)</f>
        <v/>
      </c>
    </row>
    <row r="253">
      <c r="A253" s="18">
        <f>IF('Journal'!A128="","",'Journal'!A128)</f>
        <v/>
      </c>
      <c r="B253" s="21">
        <f>IF('Journal'!B128="","",'Journal'!B128)</f>
        <v/>
      </c>
      <c r="C253" s="5">
        <f>IF('Journal'!C128="","",'Journal'!C128)</f>
        <v/>
      </c>
      <c r="D253" s="5">
        <f>IF('Journal'!D128="","",IFERROR(LEFT('Journal'!D128,FIND(" ",'Journal'!D128)-1),'Journal'!D128))</f>
        <v/>
      </c>
      <c r="E253" s="5">
        <f>IF('Journal'!D128="","",IFERROR(INDEX('Kontoplan'!$B$3:$B$302,MATCH('Journal'!D128,'Kontoplan'!$H$3:$H$302,0)),""))</f>
        <v/>
      </c>
      <c r="F253" s="20">
        <f>IF('Journal'!G128="","",'Journal'!G128)</f>
        <v/>
      </c>
      <c r="G253" s="20">
        <f>IF('Journal'!F128="","",'Journal'!F128)</f>
        <v/>
      </c>
      <c r="H253" s="5">
        <f>IF('Journal'!I128="","",'Journal'!I128)</f>
        <v/>
      </c>
    </row>
    <row r="254">
      <c r="A254" s="18">
        <f>IF('Journal'!A128="","",'Journal'!A128)</f>
        <v/>
      </c>
      <c r="B254" s="21">
        <f>IF('Journal'!B128="","",'Journal'!B128)</f>
        <v/>
      </c>
      <c r="C254" s="5">
        <f>IF('Journal'!C128="","",'Journal'!C128)</f>
        <v/>
      </c>
      <c r="D254" s="5">
        <f>IF('Journal'!E128="","",IFERROR(LEFT('Journal'!E128,FIND(" ",'Journal'!E128)-1),'Journal'!E128))</f>
        <v/>
      </c>
      <c r="E254" s="5">
        <f>IF('Journal'!E128="","",IFERROR(INDEX('Kontoplan'!$B$3:$B$302,MATCH('Journal'!E128,'Kontoplan'!$H$3:$H$302,0)),""))</f>
        <v/>
      </c>
      <c r="F254" s="20">
        <f>IF('Journal'!F128="","",'Journal'!F128)</f>
        <v/>
      </c>
      <c r="G254" s="20">
        <f>IF('Journal'!G128="","",'Journal'!G128)</f>
        <v/>
      </c>
      <c r="H254" s="5">
        <f>IF('Journal'!I128="","",'Journal'!I128)</f>
        <v/>
      </c>
    </row>
    <row r="255">
      <c r="A255" s="18">
        <f>IF('Journal'!A129="","",'Journal'!A129)</f>
        <v/>
      </c>
      <c r="B255" s="21">
        <f>IF('Journal'!B129="","",'Journal'!B129)</f>
        <v/>
      </c>
      <c r="C255" s="5">
        <f>IF('Journal'!C129="","",'Journal'!C129)</f>
        <v/>
      </c>
      <c r="D255" s="5">
        <f>IF('Journal'!D129="","",IFERROR(LEFT('Journal'!D129,FIND(" ",'Journal'!D129)-1),'Journal'!D129))</f>
        <v/>
      </c>
      <c r="E255" s="5">
        <f>IF('Journal'!D129="","",IFERROR(INDEX('Kontoplan'!$B$3:$B$302,MATCH('Journal'!D129,'Kontoplan'!$H$3:$H$302,0)),""))</f>
        <v/>
      </c>
      <c r="F255" s="20">
        <f>IF('Journal'!G129="","",'Journal'!G129)</f>
        <v/>
      </c>
      <c r="G255" s="20">
        <f>IF('Journal'!F129="","",'Journal'!F129)</f>
        <v/>
      </c>
      <c r="H255" s="5">
        <f>IF('Journal'!I129="","",'Journal'!I129)</f>
        <v/>
      </c>
    </row>
    <row r="256">
      <c r="A256" s="18">
        <f>IF('Journal'!A129="","",'Journal'!A129)</f>
        <v/>
      </c>
      <c r="B256" s="21">
        <f>IF('Journal'!B129="","",'Journal'!B129)</f>
        <v/>
      </c>
      <c r="C256" s="5">
        <f>IF('Journal'!C129="","",'Journal'!C129)</f>
        <v/>
      </c>
      <c r="D256" s="5">
        <f>IF('Journal'!E129="","",IFERROR(LEFT('Journal'!E129,FIND(" ",'Journal'!E129)-1),'Journal'!E129))</f>
        <v/>
      </c>
      <c r="E256" s="5">
        <f>IF('Journal'!E129="","",IFERROR(INDEX('Kontoplan'!$B$3:$B$302,MATCH('Journal'!E129,'Kontoplan'!$H$3:$H$302,0)),""))</f>
        <v/>
      </c>
      <c r="F256" s="20">
        <f>IF('Journal'!F129="","",'Journal'!F129)</f>
        <v/>
      </c>
      <c r="G256" s="20">
        <f>IF('Journal'!G129="","",'Journal'!G129)</f>
        <v/>
      </c>
      <c r="H256" s="5">
        <f>IF('Journal'!I129="","",'Journal'!I129)</f>
        <v/>
      </c>
    </row>
    <row r="257">
      <c r="A257" s="18">
        <f>IF('Journal'!A130="","",'Journal'!A130)</f>
        <v/>
      </c>
      <c r="B257" s="21">
        <f>IF('Journal'!B130="","",'Journal'!B130)</f>
        <v/>
      </c>
      <c r="C257" s="5">
        <f>IF('Journal'!C130="","",'Journal'!C130)</f>
        <v/>
      </c>
      <c r="D257" s="5">
        <f>IF('Journal'!D130="","",IFERROR(LEFT('Journal'!D130,FIND(" ",'Journal'!D130)-1),'Journal'!D130))</f>
        <v/>
      </c>
      <c r="E257" s="5">
        <f>IF('Journal'!D130="","",IFERROR(INDEX('Kontoplan'!$B$3:$B$302,MATCH('Journal'!D130,'Kontoplan'!$H$3:$H$302,0)),""))</f>
        <v/>
      </c>
      <c r="F257" s="20">
        <f>IF('Journal'!G130="","",'Journal'!G130)</f>
        <v/>
      </c>
      <c r="G257" s="20">
        <f>IF('Journal'!F130="","",'Journal'!F130)</f>
        <v/>
      </c>
      <c r="H257" s="5">
        <f>IF('Journal'!I130="","",'Journal'!I130)</f>
        <v/>
      </c>
    </row>
    <row r="258">
      <c r="A258" s="18">
        <f>IF('Journal'!A130="","",'Journal'!A130)</f>
        <v/>
      </c>
      <c r="B258" s="21">
        <f>IF('Journal'!B130="","",'Journal'!B130)</f>
        <v/>
      </c>
      <c r="C258" s="5">
        <f>IF('Journal'!C130="","",'Journal'!C130)</f>
        <v/>
      </c>
      <c r="D258" s="5">
        <f>IF('Journal'!E130="","",IFERROR(LEFT('Journal'!E130,FIND(" ",'Journal'!E130)-1),'Journal'!E130))</f>
        <v/>
      </c>
      <c r="E258" s="5">
        <f>IF('Journal'!E130="","",IFERROR(INDEX('Kontoplan'!$B$3:$B$302,MATCH('Journal'!E130,'Kontoplan'!$H$3:$H$302,0)),""))</f>
        <v/>
      </c>
      <c r="F258" s="20">
        <f>IF('Journal'!F130="","",'Journal'!F130)</f>
        <v/>
      </c>
      <c r="G258" s="20">
        <f>IF('Journal'!G130="","",'Journal'!G130)</f>
        <v/>
      </c>
      <c r="H258" s="5">
        <f>IF('Journal'!I130="","",'Journal'!I130)</f>
        <v/>
      </c>
    </row>
    <row r="259">
      <c r="A259" s="18">
        <f>IF('Journal'!A131="","",'Journal'!A131)</f>
        <v/>
      </c>
      <c r="B259" s="21">
        <f>IF('Journal'!B131="","",'Journal'!B131)</f>
        <v/>
      </c>
      <c r="C259" s="5">
        <f>IF('Journal'!C131="","",'Journal'!C131)</f>
        <v/>
      </c>
      <c r="D259" s="5">
        <f>IF('Journal'!D131="","",IFERROR(LEFT('Journal'!D131,FIND(" ",'Journal'!D131)-1),'Journal'!D131))</f>
        <v/>
      </c>
      <c r="E259" s="5">
        <f>IF('Journal'!D131="","",IFERROR(INDEX('Kontoplan'!$B$3:$B$302,MATCH('Journal'!D131,'Kontoplan'!$H$3:$H$302,0)),""))</f>
        <v/>
      </c>
      <c r="F259" s="20">
        <f>IF('Journal'!G131="","",'Journal'!G131)</f>
        <v/>
      </c>
      <c r="G259" s="20">
        <f>IF('Journal'!F131="","",'Journal'!F131)</f>
        <v/>
      </c>
      <c r="H259" s="5">
        <f>IF('Journal'!I131="","",'Journal'!I131)</f>
        <v/>
      </c>
    </row>
    <row r="260">
      <c r="A260" s="18">
        <f>IF('Journal'!A131="","",'Journal'!A131)</f>
        <v/>
      </c>
      <c r="B260" s="21">
        <f>IF('Journal'!B131="","",'Journal'!B131)</f>
        <v/>
      </c>
      <c r="C260" s="5">
        <f>IF('Journal'!C131="","",'Journal'!C131)</f>
        <v/>
      </c>
      <c r="D260" s="5">
        <f>IF('Journal'!E131="","",IFERROR(LEFT('Journal'!E131,FIND(" ",'Journal'!E131)-1),'Journal'!E131))</f>
        <v/>
      </c>
      <c r="E260" s="5">
        <f>IF('Journal'!E131="","",IFERROR(INDEX('Kontoplan'!$B$3:$B$302,MATCH('Journal'!E131,'Kontoplan'!$H$3:$H$302,0)),""))</f>
        <v/>
      </c>
      <c r="F260" s="20">
        <f>IF('Journal'!F131="","",'Journal'!F131)</f>
        <v/>
      </c>
      <c r="G260" s="20">
        <f>IF('Journal'!G131="","",'Journal'!G131)</f>
        <v/>
      </c>
      <c r="H260" s="5">
        <f>IF('Journal'!I131="","",'Journal'!I131)</f>
        <v/>
      </c>
    </row>
    <row r="261">
      <c r="A261" s="18">
        <f>IF('Journal'!A132="","",'Journal'!A132)</f>
        <v/>
      </c>
      <c r="B261" s="21">
        <f>IF('Journal'!B132="","",'Journal'!B132)</f>
        <v/>
      </c>
      <c r="C261" s="5">
        <f>IF('Journal'!C132="","",'Journal'!C132)</f>
        <v/>
      </c>
      <c r="D261" s="5">
        <f>IF('Journal'!D132="","",IFERROR(LEFT('Journal'!D132,FIND(" ",'Journal'!D132)-1),'Journal'!D132))</f>
        <v/>
      </c>
      <c r="E261" s="5">
        <f>IF('Journal'!D132="","",IFERROR(INDEX('Kontoplan'!$B$3:$B$302,MATCH('Journal'!D132,'Kontoplan'!$H$3:$H$302,0)),""))</f>
        <v/>
      </c>
      <c r="F261" s="20">
        <f>IF('Journal'!G132="","",'Journal'!G132)</f>
        <v/>
      </c>
      <c r="G261" s="20">
        <f>IF('Journal'!F132="","",'Journal'!F132)</f>
        <v/>
      </c>
      <c r="H261" s="5">
        <f>IF('Journal'!I132="","",'Journal'!I132)</f>
        <v/>
      </c>
    </row>
    <row r="262">
      <c r="A262" s="18">
        <f>IF('Journal'!A132="","",'Journal'!A132)</f>
        <v/>
      </c>
      <c r="B262" s="21">
        <f>IF('Journal'!B132="","",'Journal'!B132)</f>
        <v/>
      </c>
      <c r="C262" s="5">
        <f>IF('Journal'!C132="","",'Journal'!C132)</f>
        <v/>
      </c>
      <c r="D262" s="5">
        <f>IF('Journal'!E132="","",IFERROR(LEFT('Journal'!E132,FIND(" ",'Journal'!E132)-1),'Journal'!E132))</f>
        <v/>
      </c>
      <c r="E262" s="5">
        <f>IF('Journal'!E132="","",IFERROR(INDEX('Kontoplan'!$B$3:$B$302,MATCH('Journal'!E132,'Kontoplan'!$H$3:$H$302,0)),""))</f>
        <v/>
      </c>
      <c r="F262" s="20">
        <f>IF('Journal'!F132="","",'Journal'!F132)</f>
        <v/>
      </c>
      <c r="G262" s="20">
        <f>IF('Journal'!G132="","",'Journal'!G132)</f>
        <v/>
      </c>
      <c r="H262" s="5">
        <f>IF('Journal'!I132="","",'Journal'!I132)</f>
        <v/>
      </c>
    </row>
    <row r="263">
      <c r="A263" s="18">
        <f>IF('Journal'!A133="","",'Journal'!A133)</f>
        <v/>
      </c>
      <c r="B263" s="21">
        <f>IF('Journal'!B133="","",'Journal'!B133)</f>
        <v/>
      </c>
      <c r="C263" s="5">
        <f>IF('Journal'!C133="","",'Journal'!C133)</f>
        <v/>
      </c>
      <c r="D263" s="5">
        <f>IF('Journal'!D133="","",IFERROR(LEFT('Journal'!D133,FIND(" ",'Journal'!D133)-1),'Journal'!D133))</f>
        <v/>
      </c>
      <c r="E263" s="5">
        <f>IF('Journal'!D133="","",IFERROR(INDEX('Kontoplan'!$B$3:$B$302,MATCH('Journal'!D133,'Kontoplan'!$H$3:$H$302,0)),""))</f>
        <v/>
      </c>
      <c r="F263" s="20">
        <f>IF('Journal'!G133="","",'Journal'!G133)</f>
        <v/>
      </c>
      <c r="G263" s="20">
        <f>IF('Journal'!F133="","",'Journal'!F133)</f>
        <v/>
      </c>
      <c r="H263" s="5">
        <f>IF('Journal'!I133="","",'Journal'!I133)</f>
        <v/>
      </c>
    </row>
    <row r="264">
      <c r="A264" s="18">
        <f>IF('Journal'!A133="","",'Journal'!A133)</f>
        <v/>
      </c>
      <c r="B264" s="21">
        <f>IF('Journal'!B133="","",'Journal'!B133)</f>
        <v/>
      </c>
      <c r="C264" s="5">
        <f>IF('Journal'!C133="","",'Journal'!C133)</f>
        <v/>
      </c>
      <c r="D264" s="5">
        <f>IF('Journal'!E133="","",IFERROR(LEFT('Journal'!E133,FIND(" ",'Journal'!E133)-1),'Journal'!E133))</f>
        <v/>
      </c>
      <c r="E264" s="5">
        <f>IF('Journal'!E133="","",IFERROR(INDEX('Kontoplan'!$B$3:$B$302,MATCH('Journal'!E133,'Kontoplan'!$H$3:$H$302,0)),""))</f>
        <v/>
      </c>
      <c r="F264" s="20">
        <f>IF('Journal'!F133="","",'Journal'!F133)</f>
        <v/>
      </c>
      <c r="G264" s="20">
        <f>IF('Journal'!G133="","",'Journal'!G133)</f>
        <v/>
      </c>
      <c r="H264" s="5">
        <f>IF('Journal'!I133="","",'Journal'!I133)</f>
        <v/>
      </c>
    </row>
    <row r="265">
      <c r="A265" s="18">
        <f>IF('Journal'!A134="","",'Journal'!A134)</f>
        <v/>
      </c>
      <c r="B265" s="21">
        <f>IF('Journal'!B134="","",'Journal'!B134)</f>
        <v/>
      </c>
      <c r="C265" s="5">
        <f>IF('Journal'!C134="","",'Journal'!C134)</f>
        <v/>
      </c>
      <c r="D265" s="5">
        <f>IF('Journal'!D134="","",IFERROR(LEFT('Journal'!D134,FIND(" ",'Journal'!D134)-1),'Journal'!D134))</f>
        <v/>
      </c>
      <c r="E265" s="5">
        <f>IF('Journal'!D134="","",IFERROR(INDEX('Kontoplan'!$B$3:$B$302,MATCH('Journal'!D134,'Kontoplan'!$H$3:$H$302,0)),""))</f>
        <v/>
      </c>
      <c r="F265" s="20">
        <f>IF('Journal'!G134="","",'Journal'!G134)</f>
        <v/>
      </c>
      <c r="G265" s="20">
        <f>IF('Journal'!F134="","",'Journal'!F134)</f>
        <v/>
      </c>
      <c r="H265" s="5">
        <f>IF('Journal'!I134="","",'Journal'!I134)</f>
        <v/>
      </c>
    </row>
    <row r="266">
      <c r="A266" s="18">
        <f>IF('Journal'!A134="","",'Journal'!A134)</f>
        <v/>
      </c>
      <c r="B266" s="21">
        <f>IF('Journal'!B134="","",'Journal'!B134)</f>
        <v/>
      </c>
      <c r="C266" s="5">
        <f>IF('Journal'!C134="","",'Journal'!C134)</f>
        <v/>
      </c>
      <c r="D266" s="5">
        <f>IF('Journal'!E134="","",IFERROR(LEFT('Journal'!E134,FIND(" ",'Journal'!E134)-1),'Journal'!E134))</f>
        <v/>
      </c>
      <c r="E266" s="5">
        <f>IF('Journal'!E134="","",IFERROR(INDEX('Kontoplan'!$B$3:$B$302,MATCH('Journal'!E134,'Kontoplan'!$H$3:$H$302,0)),""))</f>
        <v/>
      </c>
      <c r="F266" s="20">
        <f>IF('Journal'!F134="","",'Journal'!F134)</f>
        <v/>
      </c>
      <c r="G266" s="20">
        <f>IF('Journal'!G134="","",'Journal'!G134)</f>
        <v/>
      </c>
      <c r="H266" s="5">
        <f>IF('Journal'!I134="","",'Journal'!I134)</f>
        <v/>
      </c>
    </row>
    <row r="267">
      <c r="A267" s="18">
        <f>IF('Journal'!A135="","",'Journal'!A135)</f>
        <v/>
      </c>
      <c r="B267" s="21">
        <f>IF('Journal'!B135="","",'Journal'!B135)</f>
        <v/>
      </c>
      <c r="C267" s="5">
        <f>IF('Journal'!C135="","",'Journal'!C135)</f>
        <v/>
      </c>
      <c r="D267" s="5">
        <f>IF('Journal'!D135="","",IFERROR(LEFT('Journal'!D135,FIND(" ",'Journal'!D135)-1),'Journal'!D135))</f>
        <v/>
      </c>
      <c r="E267" s="5">
        <f>IF('Journal'!D135="","",IFERROR(INDEX('Kontoplan'!$B$3:$B$302,MATCH('Journal'!D135,'Kontoplan'!$H$3:$H$302,0)),""))</f>
        <v/>
      </c>
      <c r="F267" s="20">
        <f>IF('Journal'!G135="","",'Journal'!G135)</f>
        <v/>
      </c>
      <c r="G267" s="20">
        <f>IF('Journal'!F135="","",'Journal'!F135)</f>
        <v/>
      </c>
      <c r="H267" s="5">
        <f>IF('Journal'!I135="","",'Journal'!I135)</f>
        <v/>
      </c>
    </row>
    <row r="268">
      <c r="A268" s="18">
        <f>IF('Journal'!A135="","",'Journal'!A135)</f>
        <v/>
      </c>
      <c r="B268" s="21">
        <f>IF('Journal'!B135="","",'Journal'!B135)</f>
        <v/>
      </c>
      <c r="C268" s="5">
        <f>IF('Journal'!C135="","",'Journal'!C135)</f>
        <v/>
      </c>
      <c r="D268" s="5">
        <f>IF('Journal'!E135="","",IFERROR(LEFT('Journal'!E135,FIND(" ",'Journal'!E135)-1),'Journal'!E135))</f>
        <v/>
      </c>
      <c r="E268" s="5">
        <f>IF('Journal'!E135="","",IFERROR(INDEX('Kontoplan'!$B$3:$B$302,MATCH('Journal'!E135,'Kontoplan'!$H$3:$H$302,0)),""))</f>
        <v/>
      </c>
      <c r="F268" s="20">
        <f>IF('Journal'!F135="","",'Journal'!F135)</f>
        <v/>
      </c>
      <c r="G268" s="20">
        <f>IF('Journal'!G135="","",'Journal'!G135)</f>
        <v/>
      </c>
      <c r="H268" s="5">
        <f>IF('Journal'!I135="","",'Journal'!I135)</f>
        <v/>
      </c>
    </row>
    <row r="269">
      <c r="A269" s="18">
        <f>IF('Journal'!A136="","",'Journal'!A136)</f>
        <v/>
      </c>
      <c r="B269" s="21">
        <f>IF('Journal'!B136="","",'Journal'!B136)</f>
        <v/>
      </c>
      <c r="C269" s="5">
        <f>IF('Journal'!C136="","",'Journal'!C136)</f>
        <v/>
      </c>
      <c r="D269" s="5">
        <f>IF('Journal'!D136="","",IFERROR(LEFT('Journal'!D136,FIND(" ",'Journal'!D136)-1),'Journal'!D136))</f>
        <v/>
      </c>
      <c r="E269" s="5">
        <f>IF('Journal'!D136="","",IFERROR(INDEX('Kontoplan'!$B$3:$B$302,MATCH('Journal'!D136,'Kontoplan'!$H$3:$H$302,0)),""))</f>
        <v/>
      </c>
      <c r="F269" s="20">
        <f>IF('Journal'!G136="","",'Journal'!G136)</f>
        <v/>
      </c>
      <c r="G269" s="20">
        <f>IF('Journal'!F136="","",'Journal'!F136)</f>
        <v/>
      </c>
      <c r="H269" s="5">
        <f>IF('Journal'!I136="","",'Journal'!I136)</f>
        <v/>
      </c>
    </row>
    <row r="270">
      <c r="A270" s="18">
        <f>IF('Journal'!A136="","",'Journal'!A136)</f>
        <v/>
      </c>
      <c r="B270" s="21">
        <f>IF('Journal'!B136="","",'Journal'!B136)</f>
        <v/>
      </c>
      <c r="C270" s="5">
        <f>IF('Journal'!C136="","",'Journal'!C136)</f>
        <v/>
      </c>
      <c r="D270" s="5">
        <f>IF('Journal'!E136="","",IFERROR(LEFT('Journal'!E136,FIND(" ",'Journal'!E136)-1),'Journal'!E136))</f>
        <v/>
      </c>
      <c r="E270" s="5">
        <f>IF('Journal'!E136="","",IFERROR(INDEX('Kontoplan'!$B$3:$B$302,MATCH('Journal'!E136,'Kontoplan'!$H$3:$H$302,0)),""))</f>
        <v/>
      </c>
      <c r="F270" s="20">
        <f>IF('Journal'!F136="","",'Journal'!F136)</f>
        <v/>
      </c>
      <c r="G270" s="20">
        <f>IF('Journal'!G136="","",'Journal'!G136)</f>
        <v/>
      </c>
      <c r="H270" s="5">
        <f>IF('Journal'!I136="","",'Journal'!I136)</f>
        <v/>
      </c>
    </row>
    <row r="271">
      <c r="A271" s="18">
        <f>IF('Journal'!A137="","",'Journal'!A137)</f>
        <v/>
      </c>
      <c r="B271" s="21">
        <f>IF('Journal'!B137="","",'Journal'!B137)</f>
        <v/>
      </c>
      <c r="C271" s="5">
        <f>IF('Journal'!C137="","",'Journal'!C137)</f>
        <v/>
      </c>
      <c r="D271" s="5">
        <f>IF('Journal'!D137="","",IFERROR(LEFT('Journal'!D137,FIND(" ",'Journal'!D137)-1),'Journal'!D137))</f>
        <v/>
      </c>
      <c r="E271" s="5">
        <f>IF('Journal'!D137="","",IFERROR(INDEX('Kontoplan'!$B$3:$B$302,MATCH('Journal'!D137,'Kontoplan'!$H$3:$H$302,0)),""))</f>
        <v/>
      </c>
      <c r="F271" s="20">
        <f>IF('Journal'!G137="","",'Journal'!G137)</f>
        <v/>
      </c>
      <c r="G271" s="20">
        <f>IF('Journal'!F137="","",'Journal'!F137)</f>
        <v/>
      </c>
      <c r="H271" s="5">
        <f>IF('Journal'!I137="","",'Journal'!I137)</f>
        <v/>
      </c>
    </row>
    <row r="272">
      <c r="A272" s="18">
        <f>IF('Journal'!A137="","",'Journal'!A137)</f>
        <v/>
      </c>
      <c r="B272" s="21">
        <f>IF('Journal'!B137="","",'Journal'!B137)</f>
        <v/>
      </c>
      <c r="C272" s="5">
        <f>IF('Journal'!C137="","",'Journal'!C137)</f>
        <v/>
      </c>
      <c r="D272" s="5">
        <f>IF('Journal'!E137="","",IFERROR(LEFT('Journal'!E137,FIND(" ",'Journal'!E137)-1),'Journal'!E137))</f>
        <v/>
      </c>
      <c r="E272" s="5">
        <f>IF('Journal'!E137="","",IFERROR(INDEX('Kontoplan'!$B$3:$B$302,MATCH('Journal'!E137,'Kontoplan'!$H$3:$H$302,0)),""))</f>
        <v/>
      </c>
      <c r="F272" s="20">
        <f>IF('Journal'!F137="","",'Journal'!F137)</f>
        <v/>
      </c>
      <c r="G272" s="20">
        <f>IF('Journal'!G137="","",'Journal'!G137)</f>
        <v/>
      </c>
      <c r="H272" s="5">
        <f>IF('Journal'!I137="","",'Journal'!I137)</f>
        <v/>
      </c>
    </row>
    <row r="273">
      <c r="A273" s="18">
        <f>IF('Journal'!A138="","",'Journal'!A138)</f>
        <v/>
      </c>
      <c r="B273" s="21">
        <f>IF('Journal'!B138="","",'Journal'!B138)</f>
        <v/>
      </c>
      <c r="C273" s="5">
        <f>IF('Journal'!C138="","",'Journal'!C138)</f>
        <v/>
      </c>
      <c r="D273" s="5">
        <f>IF('Journal'!D138="","",IFERROR(LEFT('Journal'!D138,FIND(" ",'Journal'!D138)-1),'Journal'!D138))</f>
        <v/>
      </c>
      <c r="E273" s="5">
        <f>IF('Journal'!D138="","",IFERROR(INDEX('Kontoplan'!$B$3:$B$302,MATCH('Journal'!D138,'Kontoplan'!$H$3:$H$302,0)),""))</f>
        <v/>
      </c>
      <c r="F273" s="20">
        <f>IF('Journal'!G138="","",'Journal'!G138)</f>
        <v/>
      </c>
      <c r="G273" s="20">
        <f>IF('Journal'!F138="","",'Journal'!F138)</f>
        <v/>
      </c>
      <c r="H273" s="5">
        <f>IF('Journal'!I138="","",'Journal'!I138)</f>
        <v/>
      </c>
    </row>
    <row r="274">
      <c r="A274" s="18">
        <f>IF('Journal'!A138="","",'Journal'!A138)</f>
        <v/>
      </c>
      <c r="B274" s="21">
        <f>IF('Journal'!B138="","",'Journal'!B138)</f>
        <v/>
      </c>
      <c r="C274" s="5">
        <f>IF('Journal'!C138="","",'Journal'!C138)</f>
        <v/>
      </c>
      <c r="D274" s="5">
        <f>IF('Journal'!E138="","",IFERROR(LEFT('Journal'!E138,FIND(" ",'Journal'!E138)-1),'Journal'!E138))</f>
        <v/>
      </c>
      <c r="E274" s="5">
        <f>IF('Journal'!E138="","",IFERROR(INDEX('Kontoplan'!$B$3:$B$302,MATCH('Journal'!E138,'Kontoplan'!$H$3:$H$302,0)),""))</f>
        <v/>
      </c>
      <c r="F274" s="20">
        <f>IF('Journal'!F138="","",'Journal'!F138)</f>
        <v/>
      </c>
      <c r="G274" s="20">
        <f>IF('Journal'!G138="","",'Journal'!G138)</f>
        <v/>
      </c>
      <c r="H274" s="5">
        <f>IF('Journal'!I138="","",'Journal'!I138)</f>
        <v/>
      </c>
    </row>
    <row r="275">
      <c r="A275" s="18">
        <f>IF('Journal'!A139="","",'Journal'!A139)</f>
        <v/>
      </c>
      <c r="B275" s="21">
        <f>IF('Journal'!B139="","",'Journal'!B139)</f>
        <v/>
      </c>
      <c r="C275" s="5">
        <f>IF('Journal'!C139="","",'Journal'!C139)</f>
        <v/>
      </c>
      <c r="D275" s="5">
        <f>IF('Journal'!D139="","",IFERROR(LEFT('Journal'!D139,FIND(" ",'Journal'!D139)-1),'Journal'!D139))</f>
        <v/>
      </c>
      <c r="E275" s="5">
        <f>IF('Journal'!D139="","",IFERROR(INDEX('Kontoplan'!$B$3:$B$302,MATCH('Journal'!D139,'Kontoplan'!$H$3:$H$302,0)),""))</f>
        <v/>
      </c>
      <c r="F275" s="20">
        <f>IF('Journal'!G139="","",'Journal'!G139)</f>
        <v/>
      </c>
      <c r="G275" s="20">
        <f>IF('Journal'!F139="","",'Journal'!F139)</f>
        <v/>
      </c>
      <c r="H275" s="5">
        <f>IF('Journal'!I139="","",'Journal'!I139)</f>
        <v/>
      </c>
    </row>
    <row r="276">
      <c r="A276" s="18">
        <f>IF('Journal'!A139="","",'Journal'!A139)</f>
        <v/>
      </c>
      <c r="B276" s="21">
        <f>IF('Journal'!B139="","",'Journal'!B139)</f>
        <v/>
      </c>
      <c r="C276" s="5">
        <f>IF('Journal'!C139="","",'Journal'!C139)</f>
        <v/>
      </c>
      <c r="D276" s="5">
        <f>IF('Journal'!E139="","",IFERROR(LEFT('Journal'!E139,FIND(" ",'Journal'!E139)-1),'Journal'!E139))</f>
        <v/>
      </c>
      <c r="E276" s="5">
        <f>IF('Journal'!E139="","",IFERROR(INDEX('Kontoplan'!$B$3:$B$302,MATCH('Journal'!E139,'Kontoplan'!$H$3:$H$302,0)),""))</f>
        <v/>
      </c>
      <c r="F276" s="20">
        <f>IF('Journal'!F139="","",'Journal'!F139)</f>
        <v/>
      </c>
      <c r="G276" s="20">
        <f>IF('Journal'!G139="","",'Journal'!G139)</f>
        <v/>
      </c>
      <c r="H276" s="5">
        <f>IF('Journal'!I139="","",'Journal'!I139)</f>
        <v/>
      </c>
    </row>
    <row r="277">
      <c r="A277" s="18">
        <f>IF('Journal'!A140="","",'Journal'!A140)</f>
        <v/>
      </c>
      <c r="B277" s="21">
        <f>IF('Journal'!B140="","",'Journal'!B140)</f>
        <v/>
      </c>
      <c r="C277" s="5">
        <f>IF('Journal'!C140="","",'Journal'!C140)</f>
        <v/>
      </c>
      <c r="D277" s="5">
        <f>IF('Journal'!D140="","",IFERROR(LEFT('Journal'!D140,FIND(" ",'Journal'!D140)-1),'Journal'!D140))</f>
        <v/>
      </c>
      <c r="E277" s="5">
        <f>IF('Journal'!D140="","",IFERROR(INDEX('Kontoplan'!$B$3:$B$302,MATCH('Journal'!D140,'Kontoplan'!$H$3:$H$302,0)),""))</f>
        <v/>
      </c>
      <c r="F277" s="20">
        <f>IF('Journal'!G140="","",'Journal'!G140)</f>
        <v/>
      </c>
      <c r="G277" s="20">
        <f>IF('Journal'!F140="","",'Journal'!F140)</f>
        <v/>
      </c>
      <c r="H277" s="5">
        <f>IF('Journal'!I140="","",'Journal'!I140)</f>
        <v/>
      </c>
    </row>
    <row r="278">
      <c r="A278" s="18">
        <f>IF('Journal'!A140="","",'Journal'!A140)</f>
        <v/>
      </c>
      <c r="B278" s="21">
        <f>IF('Journal'!B140="","",'Journal'!B140)</f>
        <v/>
      </c>
      <c r="C278" s="5">
        <f>IF('Journal'!C140="","",'Journal'!C140)</f>
        <v/>
      </c>
      <c r="D278" s="5">
        <f>IF('Journal'!E140="","",IFERROR(LEFT('Journal'!E140,FIND(" ",'Journal'!E140)-1),'Journal'!E140))</f>
        <v/>
      </c>
      <c r="E278" s="5">
        <f>IF('Journal'!E140="","",IFERROR(INDEX('Kontoplan'!$B$3:$B$302,MATCH('Journal'!E140,'Kontoplan'!$H$3:$H$302,0)),""))</f>
        <v/>
      </c>
      <c r="F278" s="20">
        <f>IF('Journal'!F140="","",'Journal'!F140)</f>
        <v/>
      </c>
      <c r="G278" s="20">
        <f>IF('Journal'!G140="","",'Journal'!G140)</f>
        <v/>
      </c>
      <c r="H278" s="5">
        <f>IF('Journal'!I140="","",'Journal'!I140)</f>
        <v/>
      </c>
    </row>
    <row r="279">
      <c r="A279" s="18">
        <f>IF('Journal'!A141="","",'Journal'!A141)</f>
        <v/>
      </c>
      <c r="B279" s="21">
        <f>IF('Journal'!B141="","",'Journal'!B141)</f>
        <v/>
      </c>
      <c r="C279" s="5">
        <f>IF('Journal'!C141="","",'Journal'!C141)</f>
        <v/>
      </c>
      <c r="D279" s="5">
        <f>IF('Journal'!D141="","",IFERROR(LEFT('Journal'!D141,FIND(" ",'Journal'!D141)-1),'Journal'!D141))</f>
        <v/>
      </c>
      <c r="E279" s="5">
        <f>IF('Journal'!D141="","",IFERROR(INDEX('Kontoplan'!$B$3:$B$302,MATCH('Journal'!D141,'Kontoplan'!$H$3:$H$302,0)),""))</f>
        <v/>
      </c>
      <c r="F279" s="20">
        <f>IF('Journal'!G141="","",'Journal'!G141)</f>
        <v/>
      </c>
      <c r="G279" s="20">
        <f>IF('Journal'!F141="","",'Journal'!F141)</f>
        <v/>
      </c>
      <c r="H279" s="5">
        <f>IF('Journal'!I141="","",'Journal'!I141)</f>
        <v/>
      </c>
    </row>
    <row r="280">
      <c r="A280" s="18">
        <f>IF('Journal'!A141="","",'Journal'!A141)</f>
        <v/>
      </c>
      <c r="B280" s="21">
        <f>IF('Journal'!B141="","",'Journal'!B141)</f>
        <v/>
      </c>
      <c r="C280" s="5">
        <f>IF('Journal'!C141="","",'Journal'!C141)</f>
        <v/>
      </c>
      <c r="D280" s="5">
        <f>IF('Journal'!E141="","",IFERROR(LEFT('Journal'!E141,FIND(" ",'Journal'!E141)-1),'Journal'!E141))</f>
        <v/>
      </c>
      <c r="E280" s="5">
        <f>IF('Journal'!E141="","",IFERROR(INDEX('Kontoplan'!$B$3:$B$302,MATCH('Journal'!E141,'Kontoplan'!$H$3:$H$302,0)),""))</f>
        <v/>
      </c>
      <c r="F280" s="20">
        <f>IF('Journal'!F141="","",'Journal'!F141)</f>
        <v/>
      </c>
      <c r="G280" s="20">
        <f>IF('Journal'!G141="","",'Journal'!G141)</f>
        <v/>
      </c>
      <c r="H280" s="5">
        <f>IF('Journal'!I141="","",'Journal'!I141)</f>
        <v/>
      </c>
    </row>
    <row r="281">
      <c r="A281" s="18">
        <f>IF('Journal'!A142="","",'Journal'!A142)</f>
        <v/>
      </c>
      <c r="B281" s="21">
        <f>IF('Journal'!B142="","",'Journal'!B142)</f>
        <v/>
      </c>
      <c r="C281" s="5">
        <f>IF('Journal'!C142="","",'Journal'!C142)</f>
        <v/>
      </c>
      <c r="D281" s="5">
        <f>IF('Journal'!D142="","",IFERROR(LEFT('Journal'!D142,FIND(" ",'Journal'!D142)-1),'Journal'!D142))</f>
        <v/>
      </c>
      <c r="E281" s="5">
        <f>IF('Journal'!D142="","",IFERROR(INDEX('Kontoplan'!$B$3:$B$302,MATCH('Journal'!D142,'Kontoplan'!$H$3:$H$302,0)),""))</f>
        <v/>
      </c>
      <c r="F281" s="20">
        <f>IF('Journal'!G142="","",'Journal'!G142)</f>
        <v/>
      </c>
      <c r="G281" s="20">
        <f>IF('Journal'!F142="","",'Journal'!F142)</f>
        <v/>
      </c>
      <c r="H281" s="5">
        <f>IF('Journal'!I142="","",'Journal'!I142)</f>
        <v/>
      </c>
    </row>
    <row r="282">
      <c r="A282" s="18">
        <f>IF('Journal'!A142="","",'Journal'!A142)</f>
        <v/>
      </c>
      <c r="B282" s="21">
        <f>IF('Journal'!B142="","",'Journal'!B142)</f>
        <v/>
      </c>
      <c r="C282" s="5">
        <f>IF('Journal'!C142="","",'Journal'!C142)</f>
        <v/>
      </c>
      <c r="D282" s="5">
        <f>IF('Journal'!E142="","",IFERROR(LEFT('Journal'!E142,FIND(" ",'Journal'!E142)-1),'Journal'!E142))</f>
        <v/>
      </c>
      <c r="E282" s="5">
        <f>IF('Journal'!E142="","",IFERROR(INDEX('Kontoplan'!$B$3:$B$302,MATCH('Journal'!E142,'Kontoplan'!$H$3:$H$302,0)),""))</f>
        <v/>
      </c>
      <c r="F282" s="20">
        <f>IF('Journal'!F142="","",'Journal'!F142)</f>
        <v/>
      </c>
      <c r="G282" s="20">
        <f>IF('Journal'!G142="","",'Journal'!G142)</f>
        <v/>
      </c>
      <c r="H282" s="5">
        <f>IF('Journal'!I142="","",'Journal'!I142)</f>
        <v/>
      </c>
    </row>
    <row r="283">
      <c r="A283" s="18">
        <f>IF('Journal'!A143="","",'Journal'!A143)</f>
        <v/>
      </c>
      <c r="B283" s="21">
        <f>IF('Journal'!B143="","",'Journal'!B143)</f>
        <v/>
      </c>
      <c r="C283" s="5">
        <f>IF('Journal'!C143="","",'Journal'!C143)</f>
        <v/>
      </c>
      <c r="D283" s="5">
        <f>IF('Journal'!D143="","",IFERROR(LEFT('Journal'!D143,FIND(" ",'Journal'!D143)-1),'Journal'!D143))</f>
        <v/>
      </c>
      <c r="E283" s="5">
        <f>IF('Journal'!D143="","",IFERROR(INDEX('Kontoplan'!$B$3:$B$302,MATCH('Journal'!D143,'Kontoplan'!$H$3:$H$302,0)),""))</f>
        <v/>
      </c>
      <c r="F283" s="20">
        <f>IF('Journal'!G143="","",'Journal'!G143)</f>
        <v/>
      </c>
      <c r="G283" s="20">
        <f>IF('Journal'!F143="","",'Journal'!F143)</f>
        <v/>
      </c>
      <c r="H283" s="5">
        <f>IF('Journal'!I143="","",'Journal'!I143)</f>
        <v/>
      </c>
    </row>
    <row r="284">
      <c r="A284" s="18">
        <f>IF('Journal'!A143="","",'Journal'!A143)</f>
        <v/>
      </c>
      <c r="B284" s="21">
        <f>IF('Journal'!B143="","",'Journal'!B143)</f>
        <v/>
      </c>
      <c r="C284" s="5">
        <f>IF('Journal'!C143="","",'Journal'!C143)</f>
        <v/>
      </c>
      <c r="D284" s="5">
        <f>IF('Journal'!E143="","",IFERROR(LEFT('Journal'!E143,FIND(" ",'Journal'!E143)-1),'Journal'!E143))</f>
        <v/>
      </c>
      <c r="E284" s="5">
        <f>IF('Journal'!E143="","",IFERROR(INDEX('Kontoplan'!$B$3:$B$302,MATCH('Journal'!E143,'Kontoplan'!$H$3:$H$302,0)),""))</f>
        <v/>
      </c>
      <c r="F284" s="20">
        <f>IF('Journal'!F143="","",'Journal'!F143)</f>
        <v/>
      </c>
      <c r="G284" s="20">
        <f>IF('Journal'!G143="","",'Journal'!G143)</f>
        <v/>
      </c>
      <c r="H284" s="5">
        <f>IF('Journal'!I143="","",'Journal'!I143)</f>
        <v/>
      </c>
    </row>
    <row r="285">
      <c r="A285" s="18">
        <f>IF('Journal'!A144="","",'Journal'!A144)</f>
        <v/>
      </c>
      <c r="B285" s="21">
        <f>IF('Journal'!B144="","",'Journal'!B144)</f>
        <v/>
      </c>
      <c r="C285" s="5">
        <f>IF('Journal'!C144="","",'Journal'!C144)</f>
        <v/>
      </c>
      <c r="D285" s="5">
        <f>IF('Journal'!D144="","",IFERROR(LEFT('Journal'!D144,FIND(" ",'Journal'!D144)-1),'Journal'!D144))</f>
        <v/>
      </c>
      <c r="E285" s="5">
        <f>IF('Journal'!D144="","",IFERROR(INDEX('Kontoplan'!$B$3:$B$302,MATCH('Journal'!D144,'Kontoplan'!$H$3:$H$302,0)),""))</f>
        <v/>
      </c>
      <c r="F285" s="20">
        <f>IF('Journal'!G144="","",'Journal'!G144)</f>
        <v/>
      </c>
      <c r="G285" s="20">
        <f>IF('Journal'!F144="","",'Journal'!F144)</f>
        <v/>
      </c>
      <c r="H285" s="5">
        <f>IF('Journal'!I144="","",'Journal'!I144)</f>
        <v/>
      </c>
    </row>
    <row r="286">
      <c r="A286" s="18">
        <f>IF('Journal'!A144="","",'Journal'!A144)</f>
        <v/>
      </c>
      <c r="B286" s="21">
        <f>IF('Journal'!B144="","",'Journal'!B144)</f>
        <v/>
      </c>
      <c r="C286" s="5">
        <f>IF('Journal'!C144="","",'Journal'!C144)</f>
        <v/>
      </c>
      <c r="D286" s="5">
        <f>IF('Journal'!E144="","",IFERROR(LEFT('Journal'!E144,FIND(" ",'Journal'!E144)-1),'Journal'!E144))</f>
        <v/>
      </c>
      <c r="E286" s="5">
        <f>IF('Journal'!E144="","",IFERROR(INDEX('Kontoplan'!$B$3:$B$302,MATCH('Journal'!E144,'Kontoplan'!$H$3:$H$302,0)),""))</f>
        <v/>
      </c>
      <c r="F286" s="20">
        <f>IF('Journal'!F144="","",'Journal'!F144)</f>
        <v/>
      </c>
      <c r="G286" s="20">
        <f>IF('Journal'!G144="","",'Journal'!G144)</f>
        <v/>
      </c>
      <c r="H286" s="5">
        <f>IF('Journal'!I144="","",'Journal'!I144)</f>
        <v/>
      </c>
    </row>
    <row r="287">
      <c r="A287" s="18">
        <f>IF('Journal'!A145="","",'Journal'!A145)</f>
        <v/>
      </c>
      <c r="B287" s="21">
        <f>IF('Journal'!B145="","",'Journal'!B145)</f>
        <v/>
      </c>
      <c r="C287" s="5">
        <f>IF('Journal'!C145="","",'Journal'!C145)</f>
        <v/>
      </c>
      <c r="D287" s="5">
        <f>IF('Journal'!D145="","",IFERROR(LEFT('Journal'!D145,FIND(" ",'Journal'!D145)-1),'Journal'!D145))</f>
        <v/>
      </c>
      <c r="E287" s="5">
        <f>IF('Journal'!D145="","",IFERROR(INDEX('Kontoplan'!$B$3:$B$302,MATCH('Journal'!D145,'Kontoplan'!$H$3:$H$302,0)),""))</f>
        <v/>
      </c>
      <c r="F287" s="20">
        <f>IF('Journal'!G145="","",'Journal'!G145)</f>
        <v/>
      </c>
      <c r="G287" s="20">
        <f>IF('Journal'!F145="","",'Journal'!F145)</f>
        <v/>
      </c>
      <c r="H287" s="5">
        <f>IF('Journal'!I145="","",'Journal'!I145)</f>
        <v/>
      </c>
    </row>
    <row r="288">
      <c r="A288" s="18">
        <f>IF('Journal'!A145="","",'Journal'!A145)</f>
        <v/>
      </c>
      <c r="B288" s="21">
        <f>IF('Journal'!B145="","",'Journal'!B145)</f>
        <v/>
      </c>
      <c r="C288" s="5">
        <f>IF('Journal'!C145="","",'Journal'!C145)</f>
        <v/>
      </c>
      <c r="D288" s="5">
        <f>IF('Journal'!E145="","",IFERROR(LEFT('Journal'!E145,FIND(" ",'Journal'!E145)-1),'Journal'!E145))</f>
        <v/>
      </c>
      <c r="E288" s="5">
        <f>IF('Journal'!E145="","",IFERROR(INDEX('Kontoplan'!$B$3:$B$302,MATCH('Journal'!E145,'Kontoplan'!$H$3:$H$302,0)),""))</f>
        <v/>
      </c>
      <c r="F288" s="20">
        <f>IF('Journal'!F145="","",'Journal'!F145)</f>
        <v/>
      </c>
      <c r="G288" s="20">
        <f>IF('Journal'!G145="","",'Journal'!G145)</f>
        <v/>
      </c>
      <c r="H288" s="5">
        <f>IF('Journal'!I145="","",'Journal'!I145)</f>
        <v/>
      </c>
    </row>
    <row r="289">
      <c r="A289" s="18">
        <f>IF('Journal'!A146="","",'Journal'!A146)</f>
        <v/>
      </c>
      <c r="B289" s="21">
        <f>IF('Journal'!B146="","",'Journal'!B146)</f>
        <v/>
      </c>
      <c r="C289" s="5">
        <f>IF('Journal'!C146="","",'Journal'!C146)</f>
        <v/>
      </c>
      <c r="D289" s="5">
        <f>IF('Journal'!D146="","",IFERROR(LEFT('Journal'!D146,FIND(" ",'Journal'!D146)-1),'Journal'!D146))</f>
        <v/>
      </c>
      <c r="E289" s="5">
        <f>IF('Journal'!D146="","",IFERROR(INDEX('Kontoplan'!$B$3:$B$302,MATCH('Journal'!D146,'Kontoplan'!$H$3:$H$302,0)),""))</f>
        <v/>
      </c>
      <c r="F289" s="20">
        <f>IF('Journal'!G146="","",'Journal'!G146)</f>
        <v/>
      </c>
      <c r="G289" s="20">
        <f>IF('Journal'!F146="","",'Journal'!F146)</f>
        <v/>
      </c>
      <c r="H289" s="5">
        <f>IF('Journal'!I146="","",'Journal'!I146)</f>
        <v/>
      </c>
    </row>
    <row r="290">
      <c r="A290" s="18">
        <f>IF('Journal'!A146="","",'Journal'!A146)</f>
        <v/>
      </c>
      <c r="B290" s="21">
        <f>IF('Journal'!B146="","",'Journal'!B146)</f>
        <v/>
      </c>
      <c r="C290" s="5">
        <f>IF('Journal'!C146="","",'Journal'!C146)</f>
        <v/>
      </c>
      <c r="D290" s="5">
        <f>IF('Journal'!E146="","",IFERROR(LEFT('Journal'!E146,FIND(" ",'Journal'!E146)-1),'Journal'!E146))</f>
        <v/>
      </c>
      <c r="E290" s="5">
        <f>IF('Journal'!E146="","",IFERROR(INDEX('Kontoplan'!$B$3:$B$302,MATCH('Journal'!E146,'Kontoplan'!$H$3:$H$302,0)),""))</f>
        <v/>
      </c>
      <c r="F290" s="20">
        <f>IF('Journal'!F146="","",'Journal'!F146)</f>
        <v/>
      </c>
      <c r="G290" s="20">
        <f>IF('Journal'!G146="","",'Journal'!G146)</f>
        <v/>
      </c>
      <c r="H290" s="5">
        <f>IF('Journal'!I146="","",'Journal'!I146)</f>
        <v/>
      </c>
    </row>
    <row r="291">
      <c r="A291" s="18">
        <f>IF('Journal'!A147="","",'Journal'!A147)</f>
        <v/>
      </c>
      <c r="B291" s="21">
        <f>IF('Journal'!B147="","",'Journal'!B147)</f>
        <v/>
      </c>
      <c r="C291" s="5">
        <f>IF('Journal'!C147="","",'Journal'!C147)</f>
        <v/>
      </c>
      <c r="D291" s="5">
        <f>IF('Journal'!D147="","",IFERROR(LEFT('Journal'!D147,FIND(" ",'Journal'!D147)-1),'Journal'!D147))</f>
        <v/>
      </c>
      <c r="E291" s="5">
        <f>IF('Journal'!D147="","",IFERROR(INDEX('Kontoplan'!$B$3:$B$302,MATCH('Journal'!D147,'Kontoplan'!$H$3:$H$302,0)),""))</f>
        <v/>
      </c>
      <c r="F291" s="20">
        <f>IF('Journal'!G147="","",'Journal'!G147)</f>
        <v/>
      </c>
      <c r="G291" s="20">
        <f>IF('Journal'!F147="","",'Journal'!F147)</f>
        <v/>
      </c>
      <c r="H291" s="5">
        <f>IF('Journal'!I147="","",'Journal'!I147)</f>
        <v/>
      </c>
    </row>
    <row r="292">
      <c r="A292" s="18">
        <f>IF('Journal'!A147="","",'Journal'!A147)</f>
        <v/>
      </c>
      <c r="B292" s="21">
        <f>IF('Journal'!B147="","",'Journal'!B147)</f>
        <v/>
      </c>
      <c r="C292" s="5">
        <f>IF('Journal'!C147="","",'Journal'!C147)</f>
        <v/>
      </c>
      <c r="D292" s="5">
        <f>IF('Journal'!E147="","",IFERROR(LEFT('Journal'!E147,FIND(" ",'Journal'!E147)-1),'Journal'!E147))</f>
        <v/>
      </c>
      <c r="E292" s="5">
        <f>IF('Journal'!E147="","",IFERROR(INDEX('Kontoplan'!$B$3:$B$302,MATCH('Journal'!E147,'Kontoplan'!$H$3:$H$302,0)),""))</f>
        <v/>
      </c>
      <c r="F292" s="20">
        <f>IF('Journal'!F147="","",'Journal'!F147)</f>
        <v/>
      </c>
      <c r="G292" s="20">
        <f>IF('Journal'!G147="","",'Journal'!G147)</f>
        <v/>
      </c>
      <c r="H292" s="5">
        <f>IF('Journal'!I147="","",'Journal'!I147)</f>
        <v/>
      </c>
    </row>
    <row r="293">
      <c r="A293" s="18">
        <f>IF('Journal'!A148="","",'Journal'!A148)</f>
        <v/>
      </c>
      <c r="B293" s="21">
        <f>IF('Journal'!B148="","",'Journal'!B148)</f>
        <v/>
      </c>
      <c r="C293" s="5">
        <f>IF('Journal'!C148="","",'Journal'!C148)</f>
        <v/>
      </c>
      <c r="D293" s="5">
        <f>IF('Journal'!D148="","",IFERROR(LEFT('Journal'!D148,FIND(" ",'Journal'!D148)-1),'Journal'!D148))</f>
        <v/>
      </c>
      <c r="E293" s="5">
        <f>IF('Journal'!D148="","",IFERROR(INDEX('Kontoplan'!$B$3:$B$302,MATCH('Journal'!D148,'Kontoplan'!$H$3:$H$302,0)),""))</f>
        <v/>
      </c>
      <c r="F293" s="20">
        <f>IF('Journal'!G148="","",'Journal'!G148)</f>
        <v/>
      </c>
      <c r="G293" s="20">
        <f>IF('Journal'!F148="","",'Journal'!F148)</f>
        <v/>
      </c>
      <c r="H293" s="5">
        <f>IF('Journal'!I148="","",'Journal'!I148)</f>
        <v/>
      </c>
    </row>
    <row r="294">
      <c r="A294" s="18">
        <f>IF('Journal'!A148="","",'Journal'!A148)</f>
        <v/>
      </c>
      <c r="B294" s="21">
        <f>IF('Journal'!B148="","",'Journal'!B148)</f>
        <v/>
      </c>
      <c r="C294" s="5">
        <f>IF('Journal'!C148="","",'Journal'!C148)</f>
        <v/>
      </c>
      <c r="D294" s="5">
        <f>IF('Journal'!E148="","",IFERROR(LEFT('Journal'!E148,FIND(" ",'Journal'!E148)-1),'Journal'!E148))</f>
        <v/>
      </c>
      <c r="E294" s="5">
        <f>IF('Journal'!E148="","",IFERROR(INDEX('Kontoplan'!$B$3:$B$302,MATCH('Journal'!E148,'Kontoplan'!$H$3:$H$302,0)),""))</f>
        <v/>
      </c>
      <c r="F294" s="20">
        <f>IF('Journal'!F148="","",'Journal'!F148)</f>
        <v/>
      </c>
      <c r="G294" s="20">
        <f>IF('Journal'!G148="","",'Journal'!G148)</f>
        <v/>
      </c>
      <c r="H294" s="5">
        <f>IF('Journal'!I148="","",'Journal'!I148)</f>
        <v/>
      </c>
    </row>
    <row r="295">
      <c r="A295" s="18">
        <f>IF('Journal'!A149="","",'Journal'!A149)</f>
        <v/>
      </c>
      <c r="B295" s="21">
        <f>IF('Journal'!B149="","",'Journal'!B149)</f>
        <v/>
      </c>
      <c r="C295" s="5">
        <f>IF('Journal'!C149="","",'Journal'!C149)</f>
        <v/>
      </c>
      <c r="D295" s="5">
        <f>IF('Journal'!D149="","",IFERROR(LEFT('Journal'!D149,FIND(" ",'Journal'!D149)-1),'Journal'!D149))</f>
        <v/>
      </c>
      <c r="E295" s="5">
        <f>IF('Journal'!D149="","",IFERROR(INDEX('Kontoplan'!$B$3:$B$302,MATCH('Journal'!D149,'Kontoplan'!$H$3:$H$302,0)),""))</f>
        <v/>
      </c>
      <c r="F295" s="20">
        <f>IF('Journal'!G149="","",'Journal'!G149)</f>
        <v/>
      </c>
      <c r="G295" s="20">
        <f>IF('Journal'!F149="","",'Journal'!F149)</f>
        <v/>
      </c>
      <c r="H295" s="5">
        <f>IF('Journal'!I149="","",'Journal'!I149)</f>
        <v/>
      </c>
    </row>
    <row r="296">
      <c r="A296" s="18">
        <f>IF('Journal'!A149="","",'Journal'!A149)</f>
        <v/>
      </c>
      <c r="B296" s="21">
        <f>IF('Journal'!B149="","",'Journal'!B149)</f>
        <v/>
      </c>
      <c r="C296" s="5">
        <f>IF('Journal'!C149="","",'Journal'!C149)</f>
        <v/>
      </c>
      <c r="D296" s="5">
        <f>IF('Journal'!E149="","",IFERROR(LEFT('Journal'!E149,FIND(" ",'Journal'!E149)-1),'Journal'!E149))</f>
        <v/>
      </c>
      <c r="E296" s="5">
        <f>IF('Journal'!E149="","",IFERROR(INDEX('Kontoplan'!$B$3:$B$302,MATCH('Journal'!E149,'Kontoplan'!$H$3:$H$302,0)),""))</f>
        <v/>
      </c>
      <c r="F296" s="20">
        <f>IF('Journal'!F149="","",'Journal'!F149)</f>
        <v/>
      </c>
      <c r="G296" s="20">
        <f>IF('Journal'!G149="","",'Journal'!G149)</f>
        <v/>
      </c>
      <c r="H296" s="5">
        <f>IF('Journal'!I149="","",'Journal'!I149)</f>
        <v/>
      </c>
    </row>
    <row r="297">
      <c r="A297" s="18">
        <f>IF('Journal'!A150="","",'Journal'!A150)</f>
        <v/>
      </c>
      <c r="B297" s="21">
        <f>IF('Journal'!B150="","",'Journal'!B150)</f>
        <v/>
      </c>
      <c r="C297" s="5">
        <f>IF('Journal'!C150="","",'Journal'!C150)</f>
        <v/>
      </c>
      <c r="D297" s="5">
        <f>IF('Journal'!D150="","",IFERROR(LEFT('Journal'!D150,FIND(" ",'Journal'!D150)-1),'Journal'!D150))</f>
        <v/>
      </c>
      <c r="E297" s="5">
        <f>IF('Journal'!D150="","",IFERROR(INDEX('Kontoplan'!$B$3:$B$302,MATCH('Journal'!D150,'Kontoplan'!$H$3:$H$302,0)),""))</f>
        <v/>
      </c>
      <c r="F297" s="20">
        <f>IF('Journal'!G150="","",'Journal'!G150)</f>
        <v/>
      </c>
      <c r="G297" s="20">
        <f>IF('Journal'!F150="","",'Journal'!F150)</f>
        <v/>
      </c>
      <c r="H297" s="5">
        <f>IF('Journal'!I150="","",'Journal'!I150)</f>
        <v/>
      </c>
    </row>
    <row r="298">
      <c r="A298" s="18">
        <f>IF('Journal'!A150="","",'Journal'!A150)</f>
        <v/>
      </c>
      <c r="B298" s="21">
        <f>IF('Journal'!B150="","",'Journal'!B150)</f>
        <v/>
      </c>
      <c r="C298" s="5">
        <f>IF('Journal'!C150="","",'Journal'!C150)</f>
        <v/>
      </c>
      <c r="D298" s="5">
        <f>IF('Journal'!E150="","",IFERROR(LEFT('Journal'!E150,FIND(" ",'Journal'!E150)-1),'Journal'!E150))</f>
        <v/>
      </c>
      <c r="E298" s="5">
        <f>IF('Journal'!E150="","",IFERROR(INDEX('Kontoplan'!$B$3:$B$302,MATCH('Journal'!E150,'Kontoplan'!$H$3:$H$302,0)),""))</f>
        <v/>
      </c>
      <c r="F298" s="20">
        <f>IF('Journal'!F150="","",'Journal'!F150)</f>
        <v/>
      </c>
      <c r="G298" s="20">
        <f>IF('Journal'!G150="","",'Journal'!G150)</f>
        <v/>
      </c>
      <c r="H298" s="5">
        <f>IF('Journal'!I150="","",'Journal'!I150)</f>
        <v/>
      </c>
    </row>
    <row r="299">
      <c r="A299" s="18">
        <f>IF('Journal'!A151="","",'Journal'!A151)</f>
        <v/>
      </c>
      <c r="B299" s="21">
        <f>IF('Journal'!B151="","",'Journal'!B151)</f>
        <v/>
      </c>
      <c r="C299" s="5">
        <f>IF('Journal'!C151="","",'Journal'!C151)</f>
        <v/>
      </c>
      <c r="D299" s="5">
        <f>IF('Journal'!D151="","",IFERROR(LEFT('Journal'!D151,FIND(" ",'Journal'!D151)-1),'Journal'!D151))</f>
        <v/>
      </c>
      <c r="E299" s="5">
        <f>IF('Journal'!D151="","",IFERROR(INDEX('Kontoplan'!$B$3:$B$302,MATCH('Journal'!D151,'Kontoplan'!$H$3:$H$302,0)),""))</f>
        <v/>
      </c>
      <c r="F299" s="20">
        <f>IF('Journal'!G151="","",'Journal'!G151)</f>
        <v/>
      </c>
      <c r="G299" s="20">
        <f>IF('Journal'!F151="","",'Journal'!F151)</f>
        <v/>
      </c>
      <c r="H299" s="5">
        <f>IF('Journal'!I151="","",'Journal'!I151)</f>
        <v/>
      </c>
    </row>
    <row r="300">
      <c r="A300" s="18">
        <f>IF('Journal'!A151="","",'Journal'!A151)</f>
        <v/>
      </c>
      <c r="B300" s="21">
        <f>IF('Journal'!B151="","",'Journal'!B151)</f>
        <v/>
      </c>
      <c r="C300" s="5">
        <f>IF('Journal'!C151="","",'Journal'!C151)</f>
        <v/>
      </c>
      <c r="D300" s="5">
        <f>IF('Journal'!E151="","",IFERROR(LEFT('Journal'!E151,FIND(" ",'Journal'!E151)-1),'Journal'!E151))</f>
        <v/>
      </c>
      <c r="E300" s="5">
        <f>IF('Journal'!E151="","",IFERROR(INDEX('Kontoplan'!$B$3:$B$302,MATCH('Journal'!E151,'Kontoplan'!$H$3:$H$302,0)),""))</f>
        <v/>
      </c>
      <c r="F300" s="20">
        <f>IF('Journal'!F151="","",'Journal'!F151)</f>
        <v/>
      </c>
      <c r="G300" s="20">
        <f>IF('Journal'!G151="","",'Journal'!G151)</f>
        <v/>
      </c>
      <c r="H300" s="5">
        <f>IF('Journal'!I151="","",'Journal'!I151)</f>
        <v/>
      </c>
    </row>
    <row r="301">
      <c r="A301" s="18">
        <f>IF('Journal'!A152="","",'Journal'!A152)</f>
        <v/>
      </c>
      <c r="B301" s="21">
        <f>IF('Journal'!B152="","",'Journal'!B152)</f>
        <v/>
      </c>
      <c r="C301" s="5">
        <f>IF('Journal'!C152="","",'Journal'!C152)</f>
        <v/>
      </c>
      <c r="D301" s="5">
        <f>IF('Journal'!D152="","",IFERROR(LEFT('Journal'!D152,FIND(" ",'Journal'!D152)-1),'Journal'!D152))</f>
        <v/>
      </c>
      <c r="E301" s="5">
        <f>IF('Journal'!D152="","",IFERROR(INDEX('Kontoplan'!$B$3:$B$302,MATCH('Journal'!D152,'Kontoplan'!$H$3:$H$302,0)),""))</f>
        <v/>
      </c>
      <c r="F301" s="20">
        <f>IF('Journal'!G152="","",'Journal'!G152)</f>
        <v/>
      </c>
      <c r="G301" s="20">
        <f>IF('Journal'!F152="","",'Journal'!F152)</f>
        <v/>
      </c>
      <c r="H301" s="5">
        <f>IF('Journal'!I152="","",'Journal'!I152)</f>
        <v/>
      </c>
    </row>
    <row r="302">
      <c r="A302" s="18">
        <f>IF('Journal'!A152="","",'Journal'!A152)</f>
        <v/>
      </c>
      <c r="B302" s="21">
        <f>IF('Journal'!B152="","",'Journal'!B152)</f>
        <v/>
      </c>
      <c r="C302" s="5">
        <f>IF('Journal'!C152="","",'Journal'!C152)</f>
        <v/>
      </c>
      <c r="D302" s="5">
        <f>IF('Journal'!E152="","",IFERROR(LEFT('Journal'!E152,FIND(" ",'Journal'!E152)-1),'Journal'!E152))</f>
        <v/>
      </c>
      <c r="E302" s="5">
        <f>IF('Journal'!E152="","",IFERROR(INDEX('Kontoplan'!$B$3:$B$302,MATCH('Journal'!E152,'Kontoplan'!$H$3:$H$302,0)),""))</f>
        <v/>
      </c>
      <c r="F302" s="20">
        <f>IF('Journal'!F152="","",'Journal'!F152)</f>
        <v/>
      </c>
      <c r="G302" s="20">
        <f>IF('Journal'!G152="","",'Journal'!G152)</f>
        <v/>
      </c>
      <c r="H302" s="5">
        <f>IF('Journal'!I152="","",'Journal'!I152)</f>
        <v/>
      </c>
    </row>
    <row r="303">
      <c r="A303" s="18">
        <f>IF('Journal'!A153="","",'Journal'!A153)</f>
        <v/>
      </c>
      <c r="B303" s="21">
        <f>IF('Journal'!B153="","",'Journal'!B153)</f>
        <v/>
      </c>
      <c r="C303" s="5">
        <f>IF('Journal'!C153="","",'Journal'!C153)</f>
        <v/>
      </c>
      <c r="D303" s="5">
        <f>IF('Journal'!D153="","",IFERROR(LEFT('Journal'!D153,FIND(" ",'Journal'!D153)-1),'Journal'!D153))</f>
        <v/>
      </c>
      <c r="E303" s="5">
        <f>IF('Journal'!D153="","",IFERROR(INDEX('Kontoplan'!$B$3:$B$302,MATCH('Journal'!D153,'Kontoplan'!$H$3:$H$302,0)),""))</f>
        <v/>
      </c>
      <c r="F303" s="20">
        <f>IF('Journal'!G153="","",'Journal'!G153)</f>
        <v/>
      </c>
      <c r="G303" s="20">
        <f>IF('Journal'!F153="","",'Journal'!F153)</f>
        <v/>
      </c>
      <c r="H303" s="5">
        <f>IF('Journal'!I153="","",'Journal'!I153)</f>
        <v/>
      </c>
    </row>
    <row r="304">
      <c r="A304" s="18">
        <f>IF('Journal'!A153="","",'Journal'!A153)</f>
        <v/>
      </c>
      <c r="B304" s="21">
        <f>IF('Journal'!B153="","",'Journal'!B153)</f>
        <v/>
      </c>
      <c r="C304" s="5">
        <f>IF('Journal'!C153="","",'Journal'!C153)</f>
        <v/>
      </c>
      <c r="D304" s="5">
        <f>IF('Journal'!E153="","",IFERROR(LEFT('Journal'!E153,FIND(" ",'Journal'!E153)-1),'Journal'!E153))</f>
        <v/>
      </c>
      <c r="E304" s="5">
        <f>IF('Journal'!E153="","",IFERROR(INDEX('Kontoplan'!$B$3:$B$302,MATCH('Journal'!E153,'Kontoplan'!$H$3:$H$302,0)),""))</f>
        <v/>
      </c>
      <c r="F304" s="20">
        <f>IF('Journal'!F153="","",'Journal'!F153)</f>
        <v/>
      </c>
      <c r="G304" s="20">
        <f>IF('Journal'!G153="","",'Journal'!G153)</f>
        <v/>
      </c>
      <c r="H304" s="5">
        <f>IF('Journal'!I153="","",'Journal'!I153)</f>
        <v/>
      </c>
    </row>
    <row r="305">
      <c r="A305" s="18">
        <f>IF('Journal'!A154="","",'Journal'!A154)</f>
        <v/>
      </c>
      <c r="B305" s="21">
        <f>IF('Journal'!B154="","",'Journal'!B154)</f>
        <v/>
      </c>
      <c r="C305" s="5">
        <f>IF('Journal'!C154="","",'Journal'!C154)</f>
        <v/>
      </c>
      <c r="D305" s="5">
        <f>IF('Journal'!D154="","",IFERROR(LEFT('Journal'!D154,FIND(" ",'Journal'!D154)-1),'Journal'!D154))</f>
        <v/>
      </c>
      <c r="E305" s="5">
        <f>IF('Journal'!D154="","",IFERROR(INDEX('Kontoplan'!$B$3:$B$302,MATCH('Journal'!D154,'Kontoplan'!$H$3:$H$302,0)),""))</f>
        <v/>
      </c>
      <c r="F305" s="20">
        <f>IF('Journal'!G154="","",'Journal'!G154)</f>
        <v/>
      </c>
      <c r="G305" s="20">
        <f>IF('Journal'!F154="","",'Journal'!F154)</f>
        <v/>
      </c>
      <c r="H305" s="5">
        <f>IF('Journal'!I154="","",'Journal'!I154)</f>
        <v/>
      </c>
    </row>
    <row r="306">
      <c r="A306" s="18">
        <f>IF('Journal'!A154="","",'Journal'!A154)</f>
        <v/>
      </c>
      <c r="B306" s="21">
        <f>IF('Journal'!B154="","",'Journal'!B154)</f>
        <v/>
      </c>
      <c r="C306" s="5">
        <f>IF('Journal'!C154="","",'Journal'!C154)</f>
        <v/>
      </c>
      <c r="D306" s="5">
        <f>IF('Journal'!E154="","",IFERROR(LEFT('Journal'!E154,FIND(" ",'Journal'!E154)-1),'Journal'!E154))</f>
        <v/>
      </c>
      <c r="E306" s="5">
        <f>IF('Journal'!E154="","",IFERROR(INDEX('Kontoplan'!$B$3:$B$302,MATCH('Journal'!E154,'Kontoplan'!$H$3:$H$302,0)),""))</f>
        <v/>
      </c>
      <c r="F306" s="20">
        <f>IF('Journal'!F154="","",'Journal'!F154)</f>
        <v/>
      </c>
      <c r="G306" s="20">
        <f>IF('Journal'!G154="","",'Journal'!G154)</f>
        <v/>
      </c>
      <c r="H306" s="5">
        <f>IF('Journal'!I154="","",'Journal'!I154)</f>
        <v/>
      </c>
    </row>
    <row r="307">
      <c r="A307" s="18">
        <f>IF('Journal'!A155="","",'Journal'!A155)</f>
        <v/>
      </c>
      <c r="B307" s="21">
        <f>IF('Journal'!B155="","",'Journal'!B155)</f>
        <v/>
      </c>
      <c r="C307" s="5">
        <f>IF('Journal'!C155="","",'Journal'!C155)</f>
        <v/>
      </c>
      <c r="D307" s="5">
        <f>IF('Journal'!D155="","",IFERROR(LEFT('Journal'!D155,FIND(" ",'Journal'!D155)-1),'Journal'!D155))</f>
        <v/>
      </c>
      <c r="E307" s="5">
        <f>IF('Journal'!D155="","",IFERROR(INDEX('Kontoplan'!$B$3:$B$302,MATCH('Journal'!D155,'Kontoplan'!$H$3:$H$302,0)),""))</f>
        <v/>
      </c>
      <c r="F307" s="20">
        <f>IF('Journal'!G155="","",'Journal'!G155)</f>
        <v/>
      </c>
      <c r="G307" s="20">
        <f>IF('Journal'!F155="","",'Journal'!F155)</f>
        <v/>
      </c>
      <c r="H307" s="5">
        <f>IF('Journal'!I155="","",'Journal'!I155)</f>
        <v/>
      </c>
    </row>
    <row r="308">
      <c r="A308" s="18">
        <f>IF('Journal'!A155="","",'Journal'!A155)</f>
        <v/>
      </c>
      <c r="B308" s="21">
        <f>IF('Journal'!B155="","",'Journal'!B155)</f>
        <v/>
      </c>
      <c r="C308" s="5">
        <f>IF('Journal'!C155="","",'Journal'!C155)</f>
        <v/>
      </c>
      <c r="D308" s="5">
        <f>IF('Journal'!E155="","",IFERROR(LEFT('Journal'!E155,FIND(" ",'Journal'!E155)-1),'Journal'!E155))</f>
        <v/>
      </c>
      <c r="E308" s="5">
        <f>IF('Journal'!E155="","",IFERROR(INDEX('Kontoplan'!$B$3:$B$302,MATCH('Journal'!E155,'Kontoplan'!$H$3:$H$302,0)),""))</f>
        <v/>
      </c>
      <c r="F308" s="20">
        <f>IF('Journal'!F155="","",'Journal'!F155)</f>
        <v/>
      </c>
      <c r="G308" s="20">
        <f>IF('Journal'!G155="","",'Journal'!G155)</f>
        <v/>
      </c>
      <c r="H308" s="5">
        <f>IF('Journal'!I155="","",'Journal'!I155)</f>
        <v/>
      </c>
    </row>
    <row r="309">
      <c r="A309" s="18">
        <f>IF('Journal'!A156="","",'Journal'!A156)</f>
        <v/>
      </c>
      <c r="B309" s="21">
        <f>IF('Journal'!B156="","",'Journal'!B156)</f>
        <v/>
      </c>
      <c r="C309" s="5">
        <f>IF('Journal'!C156="","",'Journal'!C156)</f>
        <v/>
      </c>
      <c r="D309" s="5">
        <f>IF('Journal'!D156="","",IFERROR(LEFT('Journal'!D156,FIND(" ",'Journal'!D156)-1),'Journal'!D156))</f>
        <v/>
      </c>
      <c r="E309" s="5">
        <f>IF('Journal'!D156="","",IFERROR(INDEX('Kontoplan'!$B$3:$B$302,MATCH('Journal'!D156,'Kontoplan'!$H$3:$H$302,0)),""))</f>
        <v/>
      </c>
      <c r="F309" s="20">
        <f>IF('Journal'!G156="","",'Journal'!G156)</f>
        <v/>
      </c>
      <c r="G309" s="20">
        <f>IF('Journal'!F156="","",'Journal'!F156)</f>
        <v/>
      </c>
      <c r="H309" s="5">
        <f>IF('Journal'!I156="","",'Journal'!I156)</f>
        <v/>
      </c>
    </row>
    <row r="310">
      <c r="A310" s="18">
        <f>IF('Journal'!A156="","",'Journal'!A156)</f>
        <v/>
      </c>
      <c r="B310" s="21">
        <f>IF('Journal'!B156="","",'Journal'!B156)</f>
        <v/>
      </c>
      <c r="C310" s="5">
        <f>IF('Journal'!C156="","",'Journal'!C156)</f>
        <v/>
      </c>
      <c r="D310" s="5">
        <f>IF('Journal'!E156="","",IFERROR(LEFT('Journal'!E156,FIND(" ",'Journal'!E156)-1),'Journal'!E156))</f>
        <v/>
      </c>
      <c r="E310" s="5">
        <f>IF('Journal'!E156="","",IFERROR(INDEX('Kontoplan'!$B$3:$B$302,MATCH('Journal'!E156,'Kontoplan'!$H$3:$H$302,0)),""))</f>
        <v/>
      </c>
      <c r="F310" s="20">
        <f>IF('Journal'!F156="","",'Journal'!F156)</f>
        <v/>
      </c>
      <c r="G310" s="20">
        <f>IF('Journal'!G156="","",'Journal'!G156)</f>
        <v/>
      </c>
      <c r="H310" s="5">
        <f>IF('Journal'!I156="","",'Journal'!I156)</f>
        <v/>
      </c>
    </row>
    <row r="311">
      <c r="A311" s="18">
        <f>IF('Journal'!A157="","",'Journal'!A157)</f>
        <v/>
      </c>
      <c r="B311" s="21">
        <f>IF('Journal'!B157="","",'Journal'!B157)</f>
        <v/>
      </c>
      <c r="C311" s="5">
        <f>IF('Journal'!C157="","",'Journal'!C157)</f>
        <v/>
      </c>
      <c r="D311" s="5">
        <f>IF('Journal'!D157="","",IFERROR(LEFT('Journal'!D157,FIND(" ",'Journal'!D157)-1),'Journal'!D157))</f>
        <v/>
      </c>
      <c r="E311" s="5">
        <f>IF('Journal'!D157="","",IFERROR(INDEX('Kontoplan'!$B$3:$B$302,MATCH('Journal'!D157,'Kontoplan'!$H$3:$H$302,0)),""))</f>
        <v/>
      </c>
      <c r="F311" s="20">
        <f>IF('Journal'!G157="","",'Journal'!G157)</f>
        <v/>
      </c>
      <c r="G311" s="20">
        <f>IF('Journal'!F157="","",'Journal'!F157)</f>
        <v/>
      </c>
      <c r="H311" s="5">
        <f>IF('Journal'!I157="","",'Journal'!I157)</f>
        <v/>
      </c>
    </row>
    <row r="312">
      <c r="A312" s="18">
        <f>IF('Journal'!A157="","",'Journal'!A157)</f>
        <v/>
      </c>
      <c r="B312" s="21">
        <f>IF('Journal'!B157="","",'Journal'!B157)</f>
        <v/>
      </c>
      <c r="C312" s="5">
        <f>IF('Journal'!C157="","",'Journal'!C157)</f>
        <v/>
      </c>
      <c r="D312" s="5">
        <f>IF('Journal'!E157="","",IFERROR(LEFT('Journal'!E157,FIND(" ",'Journal'!E157)-1),'Journal'!E157))</f>
        <v/>
      </c>
      <c r="E312" s="5">
        <f>IF('Journal'!E157="","",IFERROR(INDEX('Kontoplan'!$B$3:$B$302,MATCH('Journal'!E157,'Kontoplan'!$H$3:$H$302,0)),""))</f>
        <v/>
      </c>
      <c r="F312" s="20">
        <f>IF('Journal'!F157="","",'Journal'!F157)</f>
        <v/>
      </c>
      <c r="G312" s="20">
        <f>IF('Journal'!G157="","",'Journal'!G157)</f>
        <v/>
      </c>
      <c r="H312" s="5">
        <f>IF('Journal'!I157="","",'Journal'!I157)</f>
        <v/>
      </c>
    </row>
    <row r="313">
      <c r="A313" s="18">
        <f>IF('Journal'!A158="","",'Journal'!A158)</f>
        <v/>
      </c>
      <c r="B313" s="21">
        <f>IF('Journal'!B158="","",'Journal'!B158)</f>
        <v/>
      </c>
      <c r="C313" s="5">
        <f>IF('Journal'!C158="","",'Journal'!C158)</f>
        <v/>
      </c>
      <c r="D313" s="5">
        <f>IF('Journal'!D158="","",IFERROR(LEFT('Journal'!D158,FIND(" ",'Journal'!D158)-1),'Journal'!D158))</f>
        <v/>
      </c>
      <c r="E313" s="5">
        <f>IF('Journal'!D158="","",IFERROR(INDEX('Kontoplan'!$B$3:$B$302,MATCH('Journal'!D158,'Kontoplan'!$H$3:$H$302,0)),""))</f>
        <v/>
      </c>
      <c r="F313" s="20">
        <f>IF('Journal'!G158="","",'Journal'!G158)</f>
        <v/>
      </c>
      <c r="G313" s="20">
        <f>IF('Journal'!F158="","",'Journal'!F158)</f>
        <v/>
      </c>
      <c r="H313" s="5">
        <f>IF('Journal'!I158="","",'Journal'!I158)</f>
        <v/>
      </c>
    </row>
    <row r="314">
      <c r="A314" s="18">
        <f>IF('Journal'!A158="","",'Journal'!A158)</f>
        <v/>
      </c>
      <c r="B314" s="21">
        <f>IF('Journal'!B158="","",'Journal'!B158)</f>
        <v/>
      </c>
      <c r="C314" s="5">
        <f>IF('Journal'!C158="","",'Journal'!C158)</f>
        <v/>
      </c>
      <c r="D314" s="5">
        <f>IF('Journal'!E158="","",IFERROR(LEFT('Journal'!E158,FIND(" ",'Journal'!E158)-1),'Journal'!E158))</f>
        <v/>
      </c>
      <c r="E314" s="5">
        <f>IF('Journal'!E158="","",IFERROR(INDEX('Kontoplan'!$B$3:$B$302,MATCH('Journal'!E158,'Kontoplan'!$H$3:$H$302,0)),""))</f>
        <v/>
      </c>
      <c r="F314" s="20">
        <f>IF('Journal'!F158="","",'Journal'!F158)</f>
        <v/>
      </c>
      <c r="G314" s="20">
        <f>IF('Journal'!G158="","",'Journal'!G158)</f>
        <v/>
      </c>
      <c r="H314" s="5">
        <f>IF('Journal'!I158="","",'Journal'!I158)</f>
        <v/>
      </c>
    </row>
    <row r="315">
      <c r="A315" s="18">
        <f>IF('Journal'!A159="","",'Journal'!A159)</f>
        <v/>
      </c>
      <c r="B315" s="21">
        <f>IF('Journal'!B159="","",'Journal'!B159)</f>
        <v/>
      </c>
      <c r="C315" s="5">
        <f>IF('Journal'!C159="","",'Journal'!C159)</f>
        <v/>
      </c>
      <c r="D315" s="5">
        <f>IF('Journal'!D159="","",IFERROR(LEFT('Journal'!D159,FIND(" ",'Journal'!D159)-1),'Journal'!D159))</f>
        <v/>
      </c>
      <c r="E315" s="5">
        <f>IF('Journal'!D159="","",IFERROR(INDEX('Kontoplan'!$B$3:$B$302,MATCH('Journal'!D159,'Kontoplan'!$H$3:$H$302,0)),""))</f>
        <v/>
      </c>
      <c r="F315" s="20">
        <f>IF('Journal'!G159="","",'Journal'!G159)</f>
        <v/>
      </c>
      <c r="G315" s="20">
        <f>IF('Journal'!F159="","",'Journal'!F159)</f>
        <v/>
      </c>
      <c r="H315" s="5">
        <f>IF('Journal'!I159="","",'Journal'!I159)</f>
        <v/>
      </c>
    </row>
    <row r="316">
      <c r="A316" s="18">
        <f>IF('Journal'!A159="","",'Journal'!A159)</f>
        <v/>
      </c>
      <c r="B316" s="21">
        <f>IF('Journal'!B159="","",'Journal'!B159)</f>
        <v/>
      </c>
      <c r="C316" s="5">
        <f>IF('Journal'!C159="","",'Journal'!C159)</f>
        <v/>
      </c>
      <c r="D316" s="5">
        <f>IF('Journal'!E159="","",IFERROR(LEFT('Journal'!E159,FIND(" ",'Journal'!E159)-1),'Journal'!E159))</f>
        <v/>
      </c>
      <c r="E316" s="5">
        <f>IF('Journal'!E159="","",IFERROR(INDEX('Kontoplan'!$B$3:$B$302,MATCH('Journal'!E159,'Kontoplan'!$H$3:$H$302,0)),""))</f>
        <v/>
      </c>
      <c r="F316" s="20">
        <f>IF('Journal'!F159="","",'Journal'!F159)</f>
        <v/>
      </c>
      <c r="G316" s="20">
        <f>IF('Journal'!G159="","",'Journal'!G159)</f>
        <v/>
      </c>
      <c r="H316" s="5">
        <f>IF('Journal'!I159="","",'Journal'!I159)</f>
        <v/>
      </c>
    </row>
    <row r="317">
      <c r="A317" s="18">
        <f>IF('Journal'!A160="","",'Journal'!A160)</f>
        <v/>
      </c>
      <c r="B317" s="21">
        <f>IF('Journal'!B160="","",'Journal'!B160)</f>
        <v/>
      </c>
      <c r="C317" s="5">
        <f>IF('Journal'!C160="","",'Journal'!C160)</f>
        <v/>
      </c>
      <c r="D317" s="5">
        <f>IF('Journal'!D160="","",IFERROR(LEFT('Journal'!D160,FIND(" ",'Journal'!D160)-1),'Journal'!D160))</f>
        <v/>
      </c>
      <c r="E317" s="5">
        <f>IF('Journal'!D160="","",IFERROR(INDEX('Kontoplan'!$B$3:$B$302,MATCH('Journal'!D160,'Kontoplan'!$H$3:$H$302,0)),""))</f>
        <v/>
      </c>
      <c r="F317" s="20">
        <f>IF('Journal'!G160="","",'Journal'!G160)</f>
        <v/>
      </c>
      <c r="G317" s="20">
        <f>IF('Journal'!F160="","",'Journal'!F160)</f>
        <v/>
      </c>
      <c r="H317" s="5">
        <f>IF('Journal'!I160="","",'Journal'!I160)</f>
        <v/>
      </c>
    </row>
    <row r="318">
      <c r="A318" s="18">
        <f>IF('Journal'!A160="","",'Journal'!A160)</f>
        <v/>
      </c>
      <c r="B318" s="21">
        <f>IF('Journal'!B160="","",'Journal'!B160)</f>
        <v/>
      </c>
      <c r="C318" s="5">
        <f>IF('Journal'!C160="","",'Journal'!C160)</f>
        <v/>
      </c>
      <c r="D318" s="5">
        <f>IF('Journal'!E160="","",IFERROR(LEFT('Journal'!E160,FIND(" ",'Journal'!E160)-1),'Journal'!E160))</f>
        <v/>
      </c>
      <c r="E318" s="5">
        <f>IF('Journal'!E160="","",IFERROR(INDEX('Kontoplan'!$B$3:$B$302,MATCH('Journal'!E160,'Kontoplan'!$H$3:$H$302,0)),""))</f>
        <v/>
      </c>
      <c r="F318" s="20">
        <f>IF('Journal'!F160="","",'Journal'!F160)</f>
        <v/>
      </c>
      <c r="G318" s="20">
        <f>IF('Journal'!G160="","",'Journal'!G160)</f>
        <v/>
      </c>
      <c r="H318" s="5">
        <f>IF('Journal'!I160="","",'Journal'!I160)</f>
        <v/>
      </c>
    </row>
    <row r="319">
      <c r="A319" s="18">
        <f>IF('Journal'!A161="","",'Journal'!A161)</f>
        <v/>
      </c>
      <c r="B319" s="21">
        <f>IF('Journal'!B161="","",'Journal'!B161)</f>
        <v/>
      </c>
      <c r="C319" s="5">
        <f>IF('Journal'!C161="","",'Journal'!C161)</f>
        <v/>
      </c>
      <c r="D319" s="5">
        <f>IF('Journal'!D161="","",IFERROR(LEFT('Journal'!D161,FIND(" ",'Journal'!D161)-1),'Journal'!D161))</f>
        <v/>
      </c>
      <c r="E319" s="5">
        <f>IF('Journal'!D161="","",IFERROR(INDEX('Kontoplan'!$B$3:$B$302,MATCH('Journal'!D161,'Kontoplan'!$H$3:$H$302,0)),""))</f>
        <v/>
      </c>
      <c r="F319" s="20">
        <f>IF('Journal'!G161="","",'Journal'!G161)</f>
        <v/>
      </c>
      <c r="G319" s="20">
        <f>IF('Journal'!F161="","",'Journal'!F161)</f>
        <v/>
      </c>
      <c r="H319" s="5">
        <f>IF('Journal'!I161="","",'Journal'!I161)</f>
        <v/>
      </c>
    </row>
    <row r="320">
      <c r="A320" s="18">
        <f>IF('Journal'!A161="","",'Journal'!A161)</f>
        <v/>
      </c>
      <c r="B320" s="21">
        <f>IF('Journal'!B161="","",'Journal'!B161)</f>
        <v/>
      </c>
      <c r="C320" s="5">
        <f>IF('Journal'!C161="","",'Journal'!C161)</f>
        <v/>
      </c>
      <c r="D320" s="5">
        <f>IF('Journal'!E161="","",IFERROR(LEFT('Journal'!E161,FIND(" ",'Journal'!E161)-1),'Journal'!E161))</f>
        <v/>
      </c>
      <c r="E320" s="5">
        <f>IF('Journal'!E161="","",IFERROR(INDEX('Kontoplan'!$B$3:$B$302,MATCH('Journal'!E161,'Kontoplan'!$H$3:$H$302,0)),""))</f>
        <v/>
      </c>
      <c r="F320" s="20">
        <f>IF('Journal'!F161="","",'Journal'!F161)</f>
        <v/>
      </c>
      <c r="G320" s="20">
        <f>IF('Journal'!G161="","",'Journal'!G161)</f>
        <v/>
      </c>
      <c r="H320" s="5">
        <f>IF('Journal'!I161="","",'Journal'!I161)</f>
        <v/>
      </c>
    </row>
    <row r="321">
      <c r="A321" s="18">
        <f>IF('Journal'!A162="","",'Journal'!A162)</f>
        <v/>
      </c>
      <c r="B321" s="21">
        <f>IF('Journal'!B162="","",'Journal'!B162)</f>
        <v/>
      </c>
      <c r="C321" s="5">
        <f>IF('Journal'!C162="","",'Journal'!C162)</f>
        <v/>
      </c>
      <c r="D321" s="5">
        <f>IF('Journal'!D162="","",IFERROR(LEFT('Journal'!D162,FIND(" ",'Journal'!D162)-1),'Journal'!D162))</f>
        <v/>
      </c>
      <c r="E321" s="5">
        <f>IF('Journal'!D162="","",IFERROR(INDEX('Kontoplan'!$B$3:$B$302,MATCH('Journal'!D162,'Kontoplan'!$H$3:$H$302,0)),""))</f>
        <v/>
      </c>
      <c r="F321" s="20">
        <f>IF('Journal'!G162="","",'Journal'!G162)</f>
        <v/>
      </c>
      <c r="G321" s="20">
        <f>IF('Journal'!F162="","",'Journal'!F162)</f>
        <v/>
      </c>
      <c r="H321" s="5">
        <f>IF('Journal'!I162="","",'Journal'!I162)</f>
        <v/>
      </c>
    </row>
    <row r="322">
      <c r="A322" s="18">
        <f>IF('Journal'!A162="","",'Journal'!A162)</f>
        <v/>
      </c>
      <c r="B322" s="21">
        <f>IF('Journal'!B162="","",'Journal'!B162)</f>
        <v/>
      </c>
      <c r="C322" s="5">
        <f>IF('Journal'!C162="","",'Journal'!C162)</f>
        <v/>
      </c>
      <c r="D322" s="5">
        <f>IF('Journal'!E162="","",IFERROR(LEFT('Journal'!E162,FIND(" ",'Journal'!E162)-1),'Journal'!E162))</f>
        <v/>
      </c>
      <c r="E322" s="5">
        <f>IF('Journal'!E162="","",IFERROR(INDEX('Kontoplan'!$B$3:$B$302,MATCH('Journal'!E162,'Kontoplan'!$H$3:$H$302,0)),""))</f>
        <v/>
      </c>
      <c r="F322" s="20">
        <f>IF('Journal'!F162="","",'Journal'!F162)</f>
        <v/>
      </c>
      <c r="G322" s="20">
        <f>IF('Journal'!G162="","",'Journal'!G162)</f>
        <v/>
      </c>
      <c r="H322" s="5">
        <f>IF('Journal'!I162="","",'Journal'!I162)</f>
        <v/>
      </c>
    </row>
    <row r="323">
      <c r="A323" s="18">
        <f>IF('Journal'!A163="","",'Journal'!A163)</f>
        <v/>
      </c>
      <c r="B323" s="21">
        <f>IF('Journal'!B163="","",'Journal'!B163)</f>
        <v/>
      </c>
      <c r="C323" s="5">
        <f>IF('Journal'!C163="","",'Journal'!C163)</f>
        <v/>
      </c>
      <c r="D323" s="5">
        <f>IF('Journal'!D163="","",IFERROR(LEFT('Journal'!D163,FIND(" ",'Journal'!D163)-1),'Journal'!D163))</f>
        <v/>
      </c>
      <c r="E323" s="5">
        <f>IF('Journal'!D163="","",IFERROR(INDEX('Kontoplan'!$B$3:$B$302,MATCH('Journal'!D163,'Kontoplan'!$H$3:$H$302,0)),""))</f>
        <v/>
      </c>
      <c r="F323" s="20">
        <f>IF('Journal'!G163="","",'Journal'!G163)</f>
        <v/>
      </c>
      <c r="G323" s="20">
        <f>IF('Journal'!F163="","",'Journal'!F163)</f>
        <v/>
      </c>
      <c r="H323" s="5">
        <f>IF('Journal'!I163="","",'Journal'!I163)</f>
        <v/>
      </c>
    </row>
    <row r="324">
      <c r="A324" s="18">
        <f>IF('Journal'!A163="","",'Journal'!A163)</f>
        <v/>
      </c>
      <c r="B324" s="21">
        <f>IF('Journal'!B163="","",'Journal'!B163)</f>
        <v/>
      </c>
      <c r="C324" s="5">
        <f>IF('Journal'!C163="","",'Journal'!C163)</f>
        <v/>
      </c>
      <c r="D324" s="5">
        <f>IF('Journal'!E163="","",IFERROR(LEFT('Journal'!E163,FIND(" ",'Journal'!E163)-1),'Journal'!E163))</f>
        <v/>
      </c>
      <c r="E324" s="5">
        <f>IF('Journal'!E163="","",IFERROR(INDEX('Kontoplan'!$B$3:$B$302,MATCH('Journal'!E163,'Kontoplan'!$H$3:$H$302,0)),""))</f>
        <v/>
      </c>
      <c r="F324" s="20">
        <f>IF('Journal'!F163="","",'Journal'!F163)</f>
        <v/>
      </c>
      <c r="G324" s="20">
        <f>IF('Journal'!G163="","",'Journal'!G163)</f>
        <v/>
      </c>
      <c r="H324" s="5">
        <f>IF('Journal'!I163="","",'Journal'!I163)</f>
        <v/>
      </c>
    </row>
    <row r="325">
      <c r="A325" s="18">
        <f>IF('Journal'!A164="","",'Journal'!A164)</f>
        <v/>
      </c>
      <c r="B325" s="21">
        <f>IF('Journal'!B164="","",'Journal'!B164)</f>
        <v/>
      </c>
      <c r="C325" s="5">
        <f>IF('Journal'!C164="","",'Journal'!C164)</f>
        <v/>
      </c>
      <c r="D325" s="5">
        <f>IF('Journal'!D164="","",IFERROR(LEFT('Journal'!D164,FIND(" ",'Journal'!D164)-1),'Journal'!D164))</f>
        <v/>
      </c>
      <c r="E325" s="5">
        <f>IF('Journal'!D164="","",IFERROR(INDEX('Kontoplan'!$B$3:$B$302,MATCH('Journal'!D164,'Kontoplan'!$H$3:$H$302,0)),""))</f>
        <v/>
      </c>
      <c r="F325" s="20">
        <f>IF('Journal'!G164="","",'Journal'!G164)</f>
        <v/>
      </c>
      <c r="G325" s="20">
        <f>IF('Journal'!F164="","",'Journal'!F164)</f>
        <v/>
      </c>
      <c r="H325" s="5">
        <f>IF('Journal'!I164="","",'Journal'!I164)</f>
        <v/>
      </c>
    </row>
    <row r="326">
      <c r="A326" s="18">
        <f>IF('Journal'!A164="","",'Journal'!A164)</f>
        <v/>
      </c>
      <c r="B326" s="21">
        <f>IF('Journal'!B164="","",'Journal'!B164)</f>
        <v/>
      </c>
      <c r="C326" s="5">
        <f>IF('Journal'!C164="","",'Journal'!C164)</f>
        <v/>
      </c>
      <c r="D326" s="5">
        <f>IF('Journal'!E164="","",IFERROR(LEFT('Journal'!E164,FIND(" ",'Journal'!E164)-1),'Journal'!E164))</f>
        <v/>
      </c>
      <c r="E326" s="5">
        <f>IF('Journal'!E164="","",IFERROR(INDEX('Kontoplan'!$B$3:$B$302,MATCH('Journal'!E164,'Kontoplan'!$H$3:$H$302,0)),""))</f>
        <v/>
      </c>
      <c r="F326" s="20">
        <f>IF('Journal'!F164="","",'Journal'!F164)</f>
        <v/>
      </c>
      <c r="G326" s="20">
        <f>IF('Journal'!G164="","",'Journal'!G164)</f>
        <v/>
      </c>
      <c r="H326" s="5">
        <f>IF('Journal'!I164="","",'Journal'!I164)</f>
        <v/>
      </c>
    </row>
    <row r="327">
      <c r="A327" s="18">
        <f>IF('Journal'!A165="","",'Journal'!A165)</f>
        <v/>
      </c>
      <c r="B327" s="21">
        <f>IF('Journal'!B165="","",'Journal'!B165)</f>
        <v/>
      </c>
      <c r="C327" s="5">
        <f>IF('Journal'!C165="","",'Journal'!C165)</f>
        <v/>
      </c>
      <c r="D327" s="5">
        <f>IF('Journal'!D165="","",IFERROR(LEFT('Journal'!D165,FIND(" ",'Journal'!D165)-1),'Journal'!D165))</f>
        <v/>
      </c>
      <c r="E327" s="5">
        <f>IF('Journal'!D165="","",IFERROR(INDEX('Kontoplan'!$B$3:$B$302,MATCH('Journal'!D165,'Kontoplan'!$H$3:$H$302,0)),""))</f>
        <v/>
      </c>
      <c r="F327" s="20">
        <f>IF('Journal'!G165="","",'Journal'!G165)</f>
        <v/>
      </c>
      <c r="G327" s="20">
        <f>IF('Journal'!F165="","",'Journal'!F165)</f>
        <v/>
      </c>
      <c r="H327" s="5">
        <f>IF('Journal'!I165="","",'Journal'!I165)</f>
        <v/>
      </c>
    </row>
    <row r="328">
      <c r="A328" s="18">
        <f>IF('Journal'!A165="","",'Journal'!A165)</f>
        <v/>
      </c>
      <c r="B328" s="21">
        <f>IF('Journal'!B165="","",'Journal'!B165)</f>
        <v/>
      </c>
      <c r="C328" s="5">
        <f>IF('Journal'!C165="","",'Journal'!C165)</f>
        <v/>
      </c>
      <c r="D328" s="5">
        <f>IF('Journal'!E165="","",IFERROR(LEFT('Journal'!E165,FIND(" ",'Journal'!E165)-1),'Journal'!E165))</f>
        <v/>
      </c>
      <c r="E328" s="5">
        <f>IF('Journal'!E165="","",IFERROR(INDEX('Kontoplan'!$B$3:$B$302,MATCH('Journal'!E165,'Kontoplan'!$H$3:$H$302,0)),""))</f>
        <v/>
      </c>
      <c r="F328" s="20">
        <f>IF('Journal'!F165="","",'Journal'!F165)</f>
        <v/>
      </c>
      <c r="G328" s="20">
        <f>IF('Journal'!G165="","",'Journal'!G165)</f>
        <v/>
      </c>
      <c r="H328" s="5">
        <f>IF('Journal'!I165="","",'Journal'!I165)</f>
        <v/>
      </c>
    </row>
    <row r="329">
      <c r="A329" s="18">
        <f>IF('Journal'!A166="","",'Journal'!A166)</f>
        <v/>
      </c>
      <c r="B329" s="21">
        <f>IF('Journal'!B166="","",'Journal'!B166)</f>
        <v/>
      </c>
      <c r="C329" s="5">
        <f>IF('Journal'!C166="","",'Journal'!C166)</f>
        <v/>
      </c>
      <c r="D329" s="5">
        <f>IF('Journal'!D166="","",IFERROR(LEFT('Journal'!D166,FIND(" ",'Journal'!D166)-1),'Journal'!D166))</f>
        <v/>
      </c>
      <c r="E329" s="5">
        <f>IF('Journal'!D166="","",IFERROR(INDEX('Kontoplan'!$B$3:$B$302,MATCH('Journal'!D166,'Kontoplan'!$H$3:$H$302,0)),""))</f>
        <v/>
      </c>
      <c r="F329" s="20">
        <f>IF('Journal'!G166="","",'Journal'!G166)</f>
        <v/>
      </c>
      <c r="G329" s="20">
        <f>IF('Journal'!F166="","",'Journal'!F166)</f>
        <v/>
      </c>
      <c r="H329" s="5">
        <f>IF('Journal'!I166="","",'Journal'!I166)</f>
        <v/>
      </c>
    </row>
    <row r="330">
      <c r="A330" s="18">
        <f>IF('Journal'!A166="","",'Journal'!A166)</f>
        <v/>
      </c>
      <c r="B330" s="21">
        <f>IF('Journal'!B166="","",'Journal'!B166)</f>
        <v/>
      </c>
      <c r="C330" s="5">
        <f>IF('Journal'!C166="","",'Journal'!C166)</f>
        <v/>
      </c>
      <c r="D330" s="5">
        <f>IF('Journal'!E166="","",IFERROR(LEFT('Journal'!E166,FIND(" ",'Journal'!E166)-1),'Journal'!E166))</f>
        <v/>
      </c>
      <c r="E330" s="5">
        <f>IF('Journal'!E166="","",IFERROR(INDEX('Kontoplan'!$B$3:$B$302,MATCH('Journal'!E166,'Kontoplan'!$H$3:$H$302,0)),""))</f>
        <v/>
      </c>
      <c r="F330" s="20">
        <f>IF('Journal'!F166="","",'Journal'!F166)</f>
        <v/>
      </c>
      <c r="G330" s="20">
        <f>IF('Journal'!G166="","",'Journal'!G166)</f>
        <v/>
      </c>
      <c r="H330" s="5">
        <f>IF('Journal'!I166="","",'Journal'!I166)</f>
        <v/>
      </c>
    </row>
    <row r="331">
      <c r="A331" s="18">
        <f>IF('Journal'!A167="","",'Journal'!A167)</f>
        <v/>
      </c>
      <c r="B331" s="21">
        <f>IF('Journal'!B167="","",'Journal'!B167)</f>
        <v/>
      </c>
      <c r="C331" s="5">
        <f>IF('Journal'!C167="","",'Journal'!C167)</f>
        <v/>
      </c>
      <c r="D331" s="5">
        <f>IF('Journal'!D167="","",IFERROR(LEFT('Journal'!D167,FIND(" ",'Journal'!D167)-1),'Journal'!D167))</f>
        <v/>
      </c>
      <c r="E331" s="5">
        <f>IF('Journal'!D167="","",IFERROR(INDEX('Kontoplan'!$B$3:$B$302,MATCH('Journal'!D167,'Kontoplan'!$H$3:$H$302,0)),""))</f>
        <v/>
      </c>
      <c r="F331" s="20">
        <f>IF('Journal'!G167="","",'Journal'!G167)</f>
        <v/>
      </c>
      <c r="G331" s="20">
        <f>IF('Journal'!F167="","",'Journal'!F167)</f>
        <v/>
      </c>
      <c r="H331" s="5">
        <f>IF('Journal'!I167="","",'Journal'!I167)</f>
        <v/>
      </c>
    </row>
    <row r="332">
      <c r="A332" s="18">
        <f>IF('Journal'!A167="","",'Journal'!A167)</f>
        <v/>
      </c>
      <c r="B332" s="21">
        <f>IF('Journal'!B167="","",'Journal'!B167)</f>
        <v/>
      </c>
      <c r="C332" s="5">
        <f>IF('Journal'!C167="","",'Journal'!C167)</f>
        <v/>
      </c>
      <c r="D332" s="5">
        <f>IF('Journal'!E167="","",IFERROR(LEFT('Journal'!E167,FIND(" ",'Journal'!E167)-1),'Journal'!E167))</f>
        <v/>
      </c>
      <c r="E332" s="5">
        <f>IF('Journal'!E167="","",IFERROR(INDEX('Kontoplan'!$B$3:$B$302,MATCH('Journal'!E167,'Kontoplan'!$H$3:$H$302,0)),""))</f>
        <v/>
      </c>
      <c r="F332" s="20">
        <f>IF('Journal'!F167="","",'Journal'!F167)</f>
        <v/>
      </c>
      <c r="G332" s="20">
        <f>IF('Journal'!G167="","",'Journal'!G167)</f>
        <v/>
      </c>
      <c r="H332" s="5">
        <f>IF('Journal'!I167="","",'Journal'!I167)</f>
        <v/>
      </c>
    </row>
    <row r="333">
      <c r="A333" s="18">
        <f>IF('Journal'!A168="","",'Journal'!A168)</f>
        <v/>
      </c>
      <c r="B333" s="21">
        <f>IF('Journal'!B168="","",'Journal'!B168)</f>
        <v/>
      </c>
      <c r="C333" s="5">
        <f>IF('Journal'!C168="","",'Journal'!C168)</f>
        <v/>
      </c>
      <c r="D333" s="5">
        <f>IF('Journal'!D168="","",IFERROR(LEFT('Journal'!D168,FIND(" ",'Journal'!D168)-1),'Journal'!D168))</f>
        <v/>
      </c>
      <c r="E333" s="5">
        <f>IF('Journal'!D168="","",IFERROR(INDEX('Kontoplan'!$B$3:$B$302,MATCH('Journal'!D168,'Kontoplan'!$H$3:$H$302,0)),""))</f>
        <v/>
      </c>
      <c r="F333" s="20">
        <f>IF('Journal'!G168="","",'Journal'!G168)</f>
        <v/>
      </c>
      <c r="G333" s="20">
        <f>IF('Journal'!F168="","",'Journal'!F168)</f>
        <v/>
      </c>
      <c r="H333" s="5">
        <f>IF('Journal'!I168="","",'Journal'!I168)</f>
        <v/>
      </c>
    </row>
    <row r="334">
      <c r="A334" s="18">
        <f>IF('Journal'!A168="","",'Journal'!A168)</f>
        <v/>
      </c>
      <c r="B334" s="21">
        <f>IF('Journal'!B168="","",'Journal'!B168)</f>
        <v/>
      </c>
      <c r="C334" s="5">
        <f>IF('Journal'!C168="","",'Journal'!C168)</f>
        <v/>
      </c>
      <c r="D334" s="5">
        <f>IF('Journal'!E168="","",IFERROR(LEFT('Journal'!E168,FIND(" ",'Journal'!E168)-1),'Journal'!E168))</f>
        <v/>
      </c>
      <c r="E334" s="5">
        <f>IF('Journal'!E168="","",IFERROR(INDEX('Kontoplan'!$B$3:$B$302,MATCH('Journal'!E168,'Kontoplan'!$H$3:$H$302,0)),""))</f>
        <v/>
      </c>
      <c r="F334" s="20">
        <f>IF('Journal'!F168="","",'Journal'!F168)</f>
        <v/>
      </c>
      <c r="G334" s="20">
        <f>IF('Journal'!G168="","",'Journal'!G168)</f>
        <v/>
      </c>
      <c r="H334" s="5">
        <f>IF('Journal'!I168="","",'Journal'!I168)</f>
        <v/>
      </c>
    </row>
    <row r="335">
      <c r="A335" s="18">
        <f>IF('Journal'!A169="","",'Journal'!A169)</f>
        <v/>
      </c>
      <c r="B335" s="21">
        <f>IF('Journal'!B169="","",'Journal'!B169)</f>
        <v/>
      </c>
      <c r="C335" s="5">
        <f>IF('Journal'!C169="","",'Journal'!C169)</f>
        <v/>
      </c>
      <c r="D335" s="5">
        <f>IF('Journal'!D169="","",IFERROR(LEFT('Journal'!D169,FIND(" ",'Journal'!D169)-1),'Journal'!D169))</f>
        <v/>
      </c>
      <c r="E335" s="5">
        <f>IF('Journal'!D169="","",IFERROR(INDEX('Kontoplan'!$B$3:$B$302,MATCH('Journal'!D169,'Kontoplan'!$H$3:$H$302,0)),""))</f>
        <v/>
      </c>
      <c r="F335" s="20">
        <f>IF('Journal'!G169="","",'Journal'!G169)</f>
        <v/>
      </c>
      <c r="G335" s="20">
        <f>IF('Journal'!F169="","",'Journal'!F169)</f>
        <v/>
      </c>
      <c r="H335" s="5">
        <f>IF('Journal'!I169="","",'Journal'!I169)</f>
        <v/>
      </c>
    </row>
    <row r="336">
      <c r="A336" s="18">
        <f>IF('Journal'!A169="","",'Journal'!A169)</f>
        <v/>
      </c>
      <c r="B336" s="21">
        <f>IF('Journal'!B169="","",'Journal'!B169)</f>
        <v/>
      </c>
      <c r="C336" s="5">
        <f>IF('Journal'!C169="","",'Journal'!C169)</f>
        <v/>
      </c>
      <c r="D336" s="5">
        <f>IF('Journal'!E169="","",IFERROR(LEFT('Journal'!E169,FIND(" ",'Journal'!E169)-1),'Journal'!E169))</f>
        <v/>
      </c>
      <c r="E336" s="5">
        <f>IF('Journal'!E169="","",IFERROR(INDEX('Kontoplan'!$B$3:$B$302,MATCH('Journal'!E169,'Kontoplan'!$H$3:$H$302,0)),""))</f>
        <v/>
      </c>
      <c r="F336" s="20">
        <f>IF('Journal'!F169="","",'Journal'!F169)</f>
        <v/>
      </c>
      <c r="G336" s="20">
        <f>IF('Journal'!G169="","",'Journal'!G169)</f>
        <v/>
      </c>
      <c r="H336" s="5">
        <f>IF('Journal'!I169="","",'Journal'!I169)</f>
        <v/>
      </c>
    </row>
    <row r="337">
      <c r="A337" s="18">
        <f>IF('Journal'!A170="","",'Journal'!A170)</f>
        <v/>
      </c>
      <c r="B337" s="21">
        <f>IF('Journal'!B170="","",'Journal'!B170)</f>
        <v/>
      </c>
      <c r="C337" s="5">
        <f>IF('Journal'!C170="","",'Journal'!C170)</f>
        <v/>
      </c>
      <c r="D337" s="5">
        <f>IF('Journal'!D170="","",IFERROR(LEFT('Journal'!D170,FIND(" ",'Journal'!D170)-1),'Journal'!D170))</f>
        <v/>
      </c>
      <c r="E337" s="5">
        <f>IF('Journal'!D170="","",IFERROR(INDEX('Kontoplan'!$B$3:$B$302,MATCH('Journal'!D170,'Kontoplan'!$H$3:$H$302,0)),""))</f>
        <v/>
      </c>
      <c r="F337" s="20">
        <f>IF('Journal'!G170="","",'Journal'!G170)</f>
        <v/>
      </c>
      <c r="G337" s="20">
        <f>IF('Journal'!F170="","",'Journal'!F170)</f>
        <v/>
      </c>
      <c r="H337" s="5">
        <f>IF('Journal'!I170="","",'Journal'!I170)</f>
        <v/>
      </c>
    </row>
    <row r="338">
      <c r="A338" s="18">
        <f>IF('Journal'!A170="","",'Journal'!A170)</f>
        <v/>
      </c>
      <c r="B338" s="21">
        <f>IF('Journal'!B170="","",'Journal'!B170)</f>
        <v/>
      </c>
      <c r="C338" s="5">
        <f>IF('Journal'!C170="","",'Journal'!C170)</f>
        <v/>
      </c>
      <c r="D338" s="5">
        <f>IF('Journal'!E170="","",IFERROR(LEFT('Journal'!E170,FIND(" ",'Journal'!E170)-1),'Journal'!E170))</f>
        <v/>
      </c>
      <c r="E338" s="5">
        <f>IF('Journal'!E170="","",IFERROR(INDEX('Kontoplan'!$B$3:$B$302,MATCH('Journal'!E170,'Kontoplan'!$H$3:$H$302,0)),""))</f>
        <v/>
      </c>
      <c r="F338" s="20">
        <f>IF('Journal'!F170="","",'Journal'!F170)</f>
        <v/>
      </c>
      <c r="G338" s="20">
        <f>IF('Journal'!G170="","",'Journal'!G170)</f>
        <v/>
      </c>
      <c r="H338" s="5">
        <f>IF('Journal'!I170="","",'Journal'!I170)</f>
        <v/>
      </c>
    </row>
    <row r="339">
      <c r="A339" s="18">
        <f>IF('Journal'!A171="","",'Journal'!A171)</f>
        <v/>
      </c>
      <c r="B339" s="21">
        <f>IF('Journal'!B171="","",'Journal'!B171)</f>
        <v/>
      </c>
      <c r="C339" s="5">
        <f>IF('Journal'!C171="","",'Journal'!C171)</f>
        <v/>
      </c>
      <c r="D339" s="5">
        <f>IF('Journal'!D171="","",IFERROR(LEFT('Journal'!D171,FIND(" ",'Journal'!D171)-1),'Journal'!D171))</f>
        <v/>
      </c>
      <c r="E339" s="5">
        <f>IF('Journal'!D171="","",IFERROR(INDEX('Kontoplan'!$B$3:$B$302,MATCH('Journal'!D171,'Kontoplan'!$H$3:$H$302,0)),""))</f>
        <v/>
      </c>
      <c r="F339" s="20">
        <f>IF('Journal'!G171="","",'Journal'!G171)</f>
        <v/>
      </c>
      <c r="G339" s="20">
        <f>IF('Journal'!F171="","",'Journal'!F171)</f>
        <v/>
      </c>
      <c r="H339" s="5">
        <f>IF('Journal'!I171="","",'Journal'!I171)</f>
        <v/>
      </c>
    </row>
    <row r="340">
      <c r="A340" s="18">
        <f>IF('Journal'!A171="","",'Journal'!A171)</f>
        <v/>
      </c>
      <c r="B340" s="21">
        <f>IF('Journal'!B171="","",'Journal'!B171)</f>
        <v/>
      </c>
      <c r="C340" s="5">
        <f>IF('Journal'!C171="","",'Journal'!C171)</f>
        <v/>
      </c>
      <c r="D340" s="5">
        <f>IF('Journal'!E171="","",IFERROR(LEFT('Journal'!E171,FIND(" ",'Journal'!E171)-1),'Journal'!E171))</f>
        <v/>
      </c>
      <c r="E340" s="5">
        <f>IF('Journal'!E171="","",IFERROR(INDEX('Kontoplan'!$B$3:$B$302,MATCH('Journal'!E171,'Kontoplan'!$H$3:$H$302,0)),""))</f>
        <v/>
      </c>
      <c r="F340" s="20">
        <f>IF('Journal'!F171="","",'Journal'!F171)</f>
        <v/>
      </c>
      <c r="G340" s="20">
        <f>IF('Journal'!G171="","",'Journal'!G171)</f>
        <v/>
      </c>
      <c r="H340" s="5">
        <f>IF('Journal'!I171="","",'Journal'!I171)</f>
        <v/>
      </c>
    </row>
    <row r="341">
      <c r="A341" s="18">
        <f>IF('Journal'!A172="","",'Journal'!A172)</f>
        <v/>
      </c>
      <c r="B341" s="21">
        <f>IF('Journal'!B172="","",'Journal'!B172)</f>
        <v/>
      </c>
      <c r="C341" s="5">
        <f>IF('Journal'!C172="","",'Journal'!C172)</f>
        <v/>
      </c>
      <c r="D341" s="5">
        <f>IF('Journal'!D172="","",IFERROR(LEFT('Journal'!D172,FIND(" ",'Journal'!D172)-1),'Journal'!D172))</f>
        <v/>
      </c>
      <c r="E341" s="5">
        <f>IF('Journal'!D172="","",IFERROR(INDEX('Kontoplan'!$B$3:$B$302,MATCH('Journal'!D172,'Kontoplan'!$H$3:$H$302,0)),""))</f>
        <v/>
      </c>
      <c r="F341" s="20">
        <f>IF('Journal'!G172="","",'Journal'!G172)</f>
        <v/>
      </c>
      <c r="G341" s="20">
        <f>IF('Journal'!F172="","",'Journal'!F172)</f>
        <v/>
      </c>
      <c r="H341" s="5">
        <f>IF('Journal'!I172="","",'Journal'!I172)</f>
        <v/>
      </c>
    </row>
    <row r="342">
      <c r="A342" s="18">
        <f>IF('Journal'!A172="","",'Journal'!A172)</f>
        <v/>
      </c>
      <c r="B342" s="21">
        <f>IF('Journal'!B172="","",'Journal'!B172)</f>
        <v/>
      </c>
      <c r="C342" s="5">
        <f>IF('Journal'!C172="","",'Journal'!C172)</f>
        <v/>
      </c>
      <c r="D342" s="5">
        <f>IF('Journal'!E172="","",IFERROR(LEFT('Journal'!E172,FIND(" ",'Journal'!E172)-1),'Journal'!E172))</f>
        <v/>
      </c>
      <c r="E342" s="5">
        <f>IF('Journal'!E172="","",IFERROR(INDEX('Kontoplan'!$B$3:$B$302,MATCH('Journal'!E172,'Kontoplan'!$H$3:$H$302,0)),""))</f>
        <v/>
      </c>
      <c r="F342" s="20">
        <f>IF('Journal'!F172="","",'Journal'!F172)</f>
        <v/>
      </c>
      <c r="G342" s="20">
        <f>IF('Journal'!G172="","",'Journal'!G172)</f>
        <v/>
      </c>
      <c r="H342" s="5">
        <f>IF('Journal'!I172="","",'Journal'!I172)</f>
        <v/>
      </c>
    </row>
    <row r="343">
      <c r="A343" s="18">
        <f>IF('Journal'!A173="","",'Journal'!A173)</f>
        <v/>
      </c>
      <c r="B343" s="21">
        <f>IF('Journal'!B173="","",'Journal'!B173)</f>
        <v/>
      </c>
      <c r="C343" s="5">
        <f>IF('Journal'!C173="","",'Journal'!C173)</f>
        <v/>
      </c>
      <c r="D343" s="5">
        <f>IF('Journal'!D173="","",IFERROR(LEFT('Journal'!D173,FIND(" ",'Journal'!D173)-1),'Journal'!D173))</f>
        <v/>
      </c>
      <c r="E343" s="5">
        <f>IF('Journal'!D173="","",IFERROR(INDEX('Kontoplan'!$B$3:$B$302,MATCH('Journal'!D173,'Kontoplan'!$H$3:$H$302,0)),""))</f>
        <v/>
      </c>
      <c r="F343" s="20">
        <f>IF('Journal'!G173="","",'Journal'!G173)</f>
        <v/>
      </c>
      <c r="G343" s="20">
        <f>IF('Journal'!F173="","",'Journal'!F173)</f>
        <v/>
      </c>
      <c r="H343" s="5">
        <f>IF('Journal'!I173="","",'Journal'!I173)</f>
        <v/>
      </c>
    </row>
    <row r="344">
      <c r="A344" s="18">
        <f>IF('Journal'!A173="","",'Journal'!A173)</f>
        <v/>
      </c>
      <c r="B344" s="21">
        <f>IF('Journal'!B173="","",'Journal'!B173)</f>
        <v/>
      </c>
      <c r="C344" s="5">
        <f>IF('Journal'!C173="","",'Journal'!C173)</f>
        <v/>
      </c>
      <c r="D344" s="5">
        <f>IF('Journal'!E173="","",IFERROR(LEFT('Journal'!E173,FIND(" ",'Journal'!E173)-1),'Journal'!E173))</f>
        <v/>
      </c>
      <c r="E344" s="5">
        <f>IF('Journal'!E173="","",IFERROR(INDEX('Kontoplan'!$B$3:$B$302,MATCH('Journal'!E173,'Kontoplan'!$H$3:$H$302,0)),""))</f>
        <v/>
      </c>
      <c r="F344" s="20">
        <f>IF('Journal'!F173="","",'Journal'!F173)</f>
        <v/>
      </c>
      <c r="G344" s="20">
        <f>IF('Journal'!G173="","",'Journal'!G173)</f>
        <v/>
      </c>
      <c r="H344" s="5">
        <f>IF('Journal'!I173="","",'Journal'!I173)</f>
        <v/>
      </c>
    </row>
    <row r="345">
      <c r="A345" s="18">
        <f>IF('Journal'!A174="","",'Journal'!A174)</f>
        <v/>
      </c>
      <c r="B345" s="21">
        <f>IF('Journal'!B174="","",'Journal'!B174)</f>
        <v/>
      </c>
      <c r="C345" s="5">
        <f>IF('Journal'!C174="","",'Journal'!C174)</f>
        <v/>
      </c>
      <c r="D345" s="5">
        <f>IF('Journal'!D174="","",IFERROR(LEFT('Journal'!D174,FIND(" ",'Journal'!D174)-1),'Journal'!D174))</f>
        <v/>
      </c>
      <c r="E345" s="5">
        <f>IF('Journal'!D174="","",IFERROR(INDEX('Kontoplan'!$B$3:$B$302,MATCH('Journal'!D174,'Kontoplan'!$H$3:$H$302,0)),""))</f>
        <v/>
      </c>
      <c r="F345" s="20">
        <f>IF('Journal'!G174="","",'Journal'!G174)</f>
        <v/>
      </c>
      <c r="G345" s="20">
        <f>IF('Journal'!F174="","",'Journal'!F174)</f>
        <v/>
      </c>
      <c r="H345" s="5">
        <f>IF('Journal'!I174="","",'Journal'!I174)</f>
        <v/>
      </c>
    </row>
    <row r="346">
      <c r="A346" s="18">
        <f>IF('Journal'!A174="","",'Journal'!A174)</f>
        <v/>
      </c>
      <c r="B346" s="21">
        <f>IF('Journal'!B174="","",'Journal'!B174)</f>
        <v/>
      </c>
      <c r="C346" s="5">
        <f>IF('Journal'!C174="","",'Journal'!C174)</f>
        <v/>
      </c>
      <c r="D346" s="5">
        <f>IF('Journal'!E174="","",IFERROR(LEFT('Journal'!E174,FIND(" ",'Journal'!E174)-1),'Journal'!E174))</f>
        <v/>
      </c>
      <c r="E346" s="5">
        <f>IF('Journal'!E174="","",IFERROR(INDEX('Kontoplan'!$B$3:$B$302,MATCH('Journal'!E174,'Kontoplan'!$H$3:$H$302,0)),""))</f>
        <v/>
      </c>
      <c r="F346" s="20">
        <f>IF('Journal'!F174="","",'Journal'!F174)</f>
        <v/>
      </c>
      <c r="G346" s="20">
        <f>IF('Journal'!G174="","",'Journal'!G174)</f>
        <v/>
      </c>
      <c r="H346" s="5">
        <f>IF('Journal'!I174="","",'Journal'!I174)</f>
        <v/>
      </c>
    </row>
    <row r="347">
      <c r="A347" s="18">
        <f>IF('Journal'!A175="","",'Journal'!A175)</f>
        <v/>
      </c>
      <c r="B347" s="21">
        <f>IF('Journal'!B175="","",'Journal'!B175)</f>
        <v/>
      </c>
      <c r="C347" s="5">
        <f>IF('Journal'!C175="","",'Journal'!C175)</f>
        <v/>
      </c>
      <c r="D347" s="5">
        <f>IF('Journal'!D175="","",IFERROR(LEFT('Journal'!D175,FIND(" ",'Journal'!D175)-1),'Journal'!D175))</f>
        <v/>
      </c>
      <c r="E347" s="5">
        <f>IF('Journal'!D175="","",IFERROR(INDEX('Kontoplan'!$B$3:$B$302,MATCH('Journal'!D175,'Kontoplan'!$H$3:$H$302,0)),""))</f>
        <v/>
      </c>
      <c r="F347" s="20">
        <f>IF('Journal'!G175="","",'Journal'!G175)</f>
        <v/>
      </c>
      <c r="G347" s="20">
        <f>IF('Journal'!F175="","",'Journal'!F175)</f>
        <v/>
      </c>
      <c r="H347" s="5">
        <f>IF('Journal'!I175="","",'Journal'!I175)</f>
        <v/>
      </c>
    </row>
    <row r="348">
      <c r="A348" s="18">
        <f>IF('Journal'!A175="","",'Journal'!A175)</f>
        <v/>
      </c>
      <c r="B348" s="21">
        <f>IF('Journal'!B175="","",'Journal'!B175)</f>
        <v/>
      </c>
      <c r="C348" s="5">
        <f>IF('Journal'!C175="","",'Journal'!C175)</f>
        <v/>
      </c>
      <c r="D348" s="5">
        <f>IF('Journal'!E175="","",IFERROR(LEFT('Journal'!E175,FIND(" ",'Journal'!E175)-1),'Journal'!E175))</f>
        <v/>
      </c>
      <c r="E348" s="5">
        <f>IF('Journal'!E175="","",IFERROR(INDEX('Kontoplan'!$B$3:$B$302,MATCH('Journal'!E175,'Kontoplan'!$H$3:$H$302,0)),""))</f>
        <v/>
      </c>
      <c r="F348" s="20">
        <f>IF('Journal'!F175="","",'Journal'!F175)</f>
        <v/>
      </c>
      <c r="G348" s="20">
        <f>IF('Journal'!G175="","",'Journal'!G175)</f>
        <v/>
      </c>
      <c r="H348" s="5">
        <f>IF('Journal'!I175="","",'Journal'!I175)</f>
        <v/>
      </c>
    </row>
    <row r="349">
      <c r="A349" s="18">
        <f>IF('Journal'!A176="","",'Journal'!A176)</f>
        <v/>
      </c>
      <c r="B349" s="21">
        <f>IF('Journal'!B176="","",'Journal'!B176)</f>
        <v/>
      </c>
      <c r="C349" s="5">
        <f>IF('Journal'!C176="","",'Journal'!C176)</f>
        <v/>
      </c>
      <c r="D349" s="5">
        <f>IF('Journal'!D176="","",IFERROR(LEFT('Journal'!D176,FIND(" ",'Journal'!D176)-1),'Journal'!D176))</f>
        <v/>
      </c>
      <c r="E349" s="5">
        <f>IF('Journal'!D176="","",IFERROR(INDEX('Kontoplan'!$B$3:$B$302,MATCH('Journal'!D176,'Kontoplan'!$H$3:$H$302,0)),""))</f>
        <v/>
      </c>
      <c r="F349" s="20">
        <f>IF('Journal'!G176="","",'Journal'!G176)</f>
        <v/>
      </c>
      <c r="G349" s="20">
        <f>IF('Journal'!F176="","",'Journal'!F176)</f>
        <v/>
      </c>
      <c r="H349" s="5">
        <f>IF('Journal'!I176="","",'Journal'!I176)</f>
        <v/>
      </c>
    </row>
    <row r="350">
      <c r="A350" s="18">
        <f>IF('Journal'!A176="","",'Journal'!A176)</f>
        <v/>
      </c>
      <c r="B350" s="21">
        <f>IF('Journal'!B176="","",'Journal'!B176)</f>
        <v/>
      </c>
      <c r="C350" s="5">
        <f>IF('Journal'!C176="","",'Journal'!C176)</f>
        <v/>
      </c>
      <c r="D350" s="5">
        <f>IF('Journal'!E176="","",IFERROR(LEFT('Journal'!E176,FIND(" ",'Journal'!E176)-1),'Journal'!E176))</f>
        <v/>
      </c>
      <c r="E350" s="5">
        <f>IF('Journal'!E176="","",IFERROR(INDEX('Kontoplan'!$B$3:$B$302,MATCH('Journal'!E176,'Kontoplan'!$H$3:$H$302,0)),""))</f>
        <v/>
      </c>
      <c r="F350" s="20">
        <f>IF('Journal'!F176="","",'Journal'!F176)</f>
        <v/>
      </c>
      <c r="G350" s="20">
        <f>IF('Journal'!G176="","",'Journal'!G176)</f>
        <v/>
      </c>
      <c r="H350" s="5">
        <f>IF('Journal'!I176="","",'Journal'!I176)</f>
        <v/>
      </c>
    </row>
    <row r="351">
      <c r="A351" s="18">
        <f>IF('Journal'!A177="","",'Journal'!A177)</f>
        <v/>
      </c>
      <c r="B351" s="21">
        <f>IF('Journal'!B177="","",'Journal'!B177)</f>
        <v/>
      </c>
      <c r="C351" s="5">
        <f>IF('Journal'!C177="","",'Journal'!C177)</f>
        <v/>
      </c>
      <c r="D351" s="5">
        <f>IF('Journal'!D177="","",IFERROR(LEFT('Journal'!D177,FIND(" ",'Journal'!D177)-1),'Journal'!D177))</f>
        <v/>
      </c>
      <c r="E351" s="5">
        <f>IF('Journal'!D177="","",IFERROR(INDEX('Kontoplan'!$B$3:$B$302,MATCH('Journal'!D177,'Kontoplan'!$H$3:$H$302,0)),""))</f>
        <v/>
      </c>
      <c r="F351" s="20">
        <f>IF('Journal'!G177="","",'Journal'!G177)</f>
        <v/>
      </c>
      <c r="G351" s="20">
        <f>IF('Journal'!F177="","",'Journal'!F177)</f>
        <v/>
      </c>
      <c r="H351" s="5">
        <f>IF('Journal'!I177="","",'Journal'!I177)</f>
        <v/>
      </c>
    </row>
    <row r="352">
      <c r="A352" s="18">
        <f>IF('Journal'!A177="","",'Journal'!A177)</f>
        <v/>
      </c>
      <c r="B352" s="21">
        <f>IF('Journal'!B177="","",'Journal'!B177)</f>
        <v/>
      </c>
      <c r="C352" s="5">
        <f>IF('Journal'!C177="","",'Journal'!C177)</f>
        <v/>
      </c>
      <c r="D352" s="5">
        <f>IF('Journal'!E177="","",IFERROR(LEFT('Journal'!E177,FIND(" ",'Journal'!E177)-1),'Journal'!E177))</f>
        <v/>
      </c>
      <c r="E352" s="5">
        <f>IF('Journal'!E177="","",IFERROR(INDEX('Kontoplan'!$B$3:$B$302,MATCH('Journal'!E177,'Kontoplan'!$H$3:$H$302,0)),""))</f>
        <v/>
      </c>
      <c r="F352" s="20">
        <f>IF('Journal'!F177="","",'Journal'!F177)</f>
        <v/>
      </c>
      <c r="G352" s="20">
        <f>IF('Journal'!G177="","",'Journal'!G177)</f>
        <v/>
      </c>
      <c r="H352" s="5">
        <f>IF('Journal'!I177="","",'Journal'!I177)</f>
        <v/>
      </c>
    </row>
    <row r="353">
      <c r="A353" s="18">
        <f>IF('Journal'!A178="","",'Journal'!A178)</f>
        <v/>
      </c>
      <c r="B353" s="21">
        <f>IF('Journal'!B178="","",'Journal'!B178)</f>
        <v/>
      </c>
      <c r="C353" s="5">
        <f>IF('Journal'!C178="","",'Journal'!C178)</f>
        <v/>
      </c>
      <c r="D353" s="5">
        <f>IF('Journal'!D178="","",IFERROR(LEFT('Journal'!D178,FIND(" ",'Journal'!D178)-1),'Journal'!D178))</f>
        <v/>
      </c>
      <c r="E353" s="5">
        <f>IF('Journal'!D178="","",IFERROR(INDEX('Kontoplan'!$B$3:$B$302,MATCH('Journal'!D178,'Kontoplan'!$H$3:$H$302,0)),""))</f>
        <v/>
      </c>
      <c r="F353" s="20">
        <f>IF('Journal'!G178="","",'Journal'!G178)</f>
        <v/>
      </c>
      <c r="G353" s="20">
        <f>IF('Journal'!F178="","",'Journal'!F178)</f>
        <v/>
      </c>
      <c r="H353" s="5">
        <f>IF('Journal'!I178="","",'Journal'!I178)</f>
        <v/>
      </c>
    </row>
    <row r="354">
      <c r="A354" s="18">
        <f>IF('Journal'!A178="","",'Journal'!A178)</f>
        <v/>
      </c>
      <c r="B354" s="21">
        <f>IF('Journal'!B178="","",'Journal'!B178)</f>
        <v/>
      </c>
      <c r="C354" s="5">
        <f>IF('Journal'!C178="","",'Journal'!C178)</f>
        <v/>
      </c>
      <c r="D354" s="5">
        <f>IF('Journal'!E178="","",IFERROR(LEFT('Journal'!E178,FIND(" ",'Journal'!E178)-1),'Journal'!E178))</f>
        <v/>
      </c>
      <c r="E354" s="5">
        <f>IF('Journal'!E178="","",IFERROR(INDEX('Kontoplan'!$B$3:$B$302,MATCH('Journal'!E178,'Kontoplan'!$H$3:$H$302,0)),""))</f>
        <v/>
      </c>
      <c r="F354" s="20">
        <f>IF('Journal'!F178="","",'Journal'!F178)</f>
        <v/>
      </c>
      <c r="G354" s="20">
        <f>IF('Journal'!G178="","",'Journal'!G178)</f>
        <v/>
      </c>
      <c r="H354" s="5">
        <f>IF('Journal'!I178="","",'Journal'!I178)</f>
        <v/>
      </c>
    </row>
    <row r="355">
      <c r="A355" s="18">
        <f>IF('Journal'!A179="","",'Journal'!A179)</f>
        <v/>
      </c>
      <c r="B355" s="21">
        <f>IF('Journal'!B179="","",'Journal'!B179)</f>
        <v/>
      </c>
      <c r="C355" s="5">
        <f>IF('Journal'!C179="","",'Journal'!C179)</f>
        <v/>
      </c>
      <c r="D355" s="5">
        <f>IF('Journal'!D179="","",IFERROR(LEFT('Journal'!D179,FIND(" ",'Journal'!D179)-1),'Journal'!D179))</f>
        <v/>
      </c>
      <c r="E355" s="5">
        <f>IF('Journal'!D179="","",IFERROR(INDEX('Kontoplan'!$B$3:$B$302,MATCH('Journal'!D179,'Kontoplan'!$H$3:$H$302,0)),""))</f>
        <v/>
      </c>
      <c r="F355" s="20">
        <f>IF('Journal'!G179="","",'Journal'!G179)</f>
        <v/>
      </c>
      <c r="G355" s="20">
        <f>IF('Journal'!F179="","",'Journal'!F179)</f>
        <v/>
      </c>
      <c r="H355" s="5">
        <f>IF('Journal'!I179="","",'Journal'!I179)</f>
        <v/>
      </c>
    </row>
    <row r="356">
      <c r="A356" s="18">
        <f>IF('Journal'!A179="","",'Journal'!A179)</f>
        <v/>
      </c>
      <c r="B356" s="21">
        <f>IF('Journal'!B179="","",'Journal'!B179)</f>
        <v/>
      </c>
      <c r="C356" s="5">
        <f>IF('Journal'!C179="","",'Journal'!C179)</f>
        <v/>
      </c>
      <c r="D356" s="5">
        <f>IF('Journal'!E179="","",IFERROR(LEFT('Journal'!E179,FIND(" ",'Journal'!E179)-1),'Journal'!E179))</f>
        <v/>
      </c>
      <c r="E356" s="5">
        <f>IF('Journal'!E179="","",IFERROR(INDEX('Kontoplan'!$B$3:$B$302,MATCH('Journal'!E179,'Kontoplan'!$H$3:$H$302,0)),""))</f>
        <v/>
      </c>
      <c r="F356" s="20">
        <f>IF('Journal'!F179="","",'Journal'!F179)</f>
        <v/>
      </c>
      <c r="G356" s="20">
        <f>IF('Journal'!G179="","",'Journal'!G179)</f>
        <v/>
      </c>
      <c r="H356" s="5">
        <f>IF('Journal'!I179="","",'Journal'!I179)</f>
        <v/>
      </c>
    </row>
    <row r="357">
      <c r="A357" s="18">
        <f>IF('Journal'!A180="","",'Journal'!A180)</f>
        <v/>
      </c>
      <c r="B357" s="21">
        <f>IF('Journal'!B180="","",'Journal'!B180)</f>
        <v/>
      </c>
      <c r="C357" s="5">
        <f>IF('Journal'!C180="","",'Journal'!C180)</f>
        <v/>
      </c>
      <c r="D357" s="5">
        <f>IF('Journal'!D180="","",IFERROR(LEFT('Journal'!D180,FIND(" ",'Journal'!D180)-1),'Journal'!D180))</f>
        <v/>
      </c>
      <c r="E357" s="5">
        <f>IF('Journal'!D180="","",IFERROR(INDEX('Kontoplan'!$B$3:$B$302,MATCH('Journal'!D180,'Kontoplan'!$H$3:$H$302,0)),""))</f>
        <v/>
      </c>
      <c r="F357" s="20">
        <f>IF('Journal'!G180="","",'Journal'!G180)</f>
        <v/>
      </c>
      <c r="G357" s="20">
        <f>IF('Journal'!F180="","",'Journal'!F180)</f>
        <v/>
      </c>
      <c r="H357" s="5">
        <f>IF('Journal'!I180="","",'Journal'!I180)</f>
        <v/>
      </c>
    </row>
    <row r="358">
      <c r="A358" s="18">
        <f>IF('Journal'!A180="","",'Journal'!A180)</f>
        <v/>
      </c>
      <c r="B358" s="21">
        <f>IF('Journal'!B180="","",'Journal'!B180)</f>
        <v/>
      </c>
      <c r="C358" s="5">
        <f>IF('Journal'!C180="","",'Journal'!C180)</f>
        <v/>
      </c>
      <c r="D358" s="5">
        <f>IF('Journal'!E180="","",IFERROR(LEFT('Journal'!E180,FIND(" ",'Journal'!E180)-1),'Journal'!E180))</f>
        <v/>
      </c>
      <c r="E358" s="5">
        <f>IF('Journal'!E180="","",IFERROR(INDEX('Kontoplan'!$B$3:$B$302,MATCH('Journal'!E180,'Kontoplan'!$H$3:$H$302,0)),""))</f>
        <v/>
      </c>
      <c r="F358" s="20">
        <f>IF('Journal'!F180="","",'Journal'!F180)</f>
        <v/>
      </c>
      <c r="G358" s="20">
        <f>IF('Journal'!G180="","",'Journal'!G180)</f>
        <v/>
      </c>
      <c r="H358" s="5">
        <f>IF('Journal'!I180="","",'Journal'!I180)</f>
        <v/>
      </c>
    </row>
    <row r="359">
      <c r="A359" s="18">
        <f>IF('Journal'!A181="","",'Journal'!A181)</f>
        <v/>
      </c>
      <c r="B359" s="21">
        <f>IF('Journal'!B181="","",'Journal'!B181)</f>
        <v/>
      </c>
      <c r="C359" s="5">
        <f>IF('Journal'!C181="","",'Journal'!C181)</f>
        <v/>
      </c>
      <c r="D359" s="5">
        <f>IF('Journal'!D181="","",IFERROR(LEFT('Journal'!D181,FIND(" ",'Journal'!D181)-1),'Journal'!D181))</f>
        <v/>
      </c>
      <c r="E359" s="5">
        <f>IF('Journal'!D181="","",IFERROR(INDEX('Kontoplan'!$B$3:$B$302,MATCH('Journal'!D181,'Kontoplan'!$H$3:$H$302,0)),""))</f>
        <v/>
      </c>
      <c r="F359" s="20">
        <f>IF('Journal'!G181="","",'Journal'!G181)</f>
        <v/>
      </c>
      <c r="G359" s="20">
        <f>IF('Journal'!F181="","",'Journal'!F181)</f>
        <v/>
      </c>
      <c r="H359" s="5">
        <f>IF('Journal'!I181="","",'Journal'!I181)</f>
        <v/>
      </c>
    </row>
    <row r="360">
      <c r="A360" s="18">
        <f>IF('Journal'!A181="","",'Journal'!A181)</f>
        <v/>
      </c>
      <c r="B360" s="21">
        <f>IF('Journal'!B181="","",'Journal'!B181)</f>
        <v/>
      </c>
      <c r="C360" s="5">
        <f>IF('Journal'!C181="","",'Journal'!C181)</f>
        <v/>
      </c>
      <c r="D360" s="5">
        <f>IF('Journal'!E181="","",IFERROR(LEFT('Journal'!E181,FIND(" ",'Journal'!E181)-1),'Journal'!E181))</f>
        <v/>
      </c>
      <c r="E360" s="5">
        <f>IF('Journal'!E181="","",IFERROR(INDEX('Kontoplan'!$B$3:$B$302,MATCH('Journal'!E181,'Kontoplan'!$H$3:$H$302,0)),""))</f>
        <v/>
      </c>
      <c r="F360" s="20">
        <f>IF('Journal'!F181="","",'Journal'!F181)</f>
        <v/>
      </c>
      <c r="G360" s="20">
        <f>IF('Journal'!G181="","",'Journal'!G181)</f>
        <v/>
      </c>
      <c r="H360" s="5">
        <f>IF('Journal'!I181="","",'Journal'!I181)</f>
        <v/>
      </c>
    </row>
    <row r="361">
      <c r="A361" s="18">
        <f>IF('Journal'!A182="","",'Journal'!A182)</f>
        <v/>
      </c>
      <c r="B361" s="21">
        <f>IF('Journal'!B182="","",'Journal'!B182)</f>
        <v/>
      </c>
      <c r="C361" s="5">
        <f>IF('Journal'!C182="","",'Journal'!C182)</f>
        <v/>
      </c>
      <c r="D361" s="5">
        <f>IF('Journal'!D182="","",IFERROR(LEFT('Journal'!D182,FIND(" ",'Journal'!D182)-1),'Journal'!D182))</f>
        <v/>
      </c>
      <c r="E361" s="5">
        <f>IF('Journal'!D182="","",IFERROR(INDEX('Kontoplan'!$B$3:$B$302,MATCH('Journal'!D182,'Kontoplan'!$H$3:$H$302,0)),""))</f>
        <v/>
      </c>
      <c r="F361" s="20">
        <f>IF('Journal'!G182="","",'Journal'!G182)</f>
        <v/>
      </c>
      <c r="G361" s="20">
        <f>IF('Journal'!F182="","",'Journal'!F182)</f>
        <v/>
      </c>
      <c r="H361" s="5">
        <f>IF('Journal'!I182="","",'Journal'!I182)</f>
        <v/>
      </c>
    </row>
    <row r="362">
      <c r="A362" s="18">
        <f>IF('Journal'!A182="","",'Journal'!A182)</f>
        <v/>
      </c>
      <c r="B362" s="21">
        <f>IF('Journal'!B182="","",'Journal'!B182)</f>
        <v/>
      </c>
      <c r="C362" s="5">
        <f>IF('Journal'!C182="","",'Journal'!C182)</f>
        <v/>
      </c>
      <c r="D362" s="5">
        <f>IF('Journal'!E182="","",IFERROR(LEFT('Journal'!E182,FIND(" ",'Journal'!E182)-1),'Journal'!E182))</f>
        <v/>
      </c>
      <c r="E362" s="5">
        <f>IF('Journal'!E182="","",IFERROR(INDEX('Kontoplan'!$B$3:$B$302,MATCH('Journal'!E182,'Kontoplan'!$H$3:$H$302,0)),""))</f>
        <v/>
      </c>
      <c r="F362" s="20">
        <f>IF('Journal'!F182="","",'Journal'!F182)</f>
        <v/>
      </c>
      <c r="G362" s="20">
        <f>IF('Journal'!G182="","",'Journal'!G182)</f>
        <v/>
      </c>
      <c r="H362" s="5">
        <f>IF('Journal'!I182="","",'Journal'!I182)</f>
        <v/>
      </c>
    </row>
    <row r="363">
      <c r="A363" s="18">
        <f>IF('Journal'!A183="","",'Journal'!A183)</f>
        <v/>
      </c>
      <c r="B363" s="21">
        <f>IF('Journal'!B183="","",'Journal'!B183)</f>
        <v/>
      </c>
      <c r="C363" s="5">
        <f>IF('Journal'!C183="","",'Journal'!C183)</f>
        <v/>
      </c>
      <c r="D363" s="5">
        <f>IF('Journal'!D183="","",IFERROR(LEFT('Journal'!D183,FIND(" ",'Journal'!D183)-1),'Journal'!D183))</f>
        <v/>
      </c>
      <c r="E363" s="5">
        <f>IF('Journal'!D183="","",IFERROR(INDEX('Kontoplan'!$B$3:$B$302,MATCH('Journal'!D183,'Kontoplan'!$H$3:$H$302,0)),""))</f>
        <v/>
      </c>
      <c r="F363" s="20">
        <f>IF('Journal'!G183="","",'Journal'!G183)</f>
        <v/>
      </c>
      <c r="G363" s="20">
        <f>IF('Journal'!F183="","",'Journal'!F183)</f>
        <v/>
      </c>
      <c r="H363" s="5">
        <f>IF('Journal'!I183="","",'Journal'!I183)</f>
        <v/>
      </c>
    </row>
    <row r="364">
      <c r="A364" s="18">
        <f>IF('Journal'!A183="","",'Journal'!A183)</f>
        <v/>
      </c>
      <c r="B364" s="21">
        <f>IF('Journal'!B183="","",'Journal'!B183)</f>
        <v/>
      </c>
      <c r="C364" s="5">
        <f>IF('Journal'!C183="","",'Journal'!C183)</f>
        <v/>
      </c>
      <c r="D364" s="5">
        <f>IF('Journal'!E183="","",IFERROR(LEFT('Journal'!E183,FIND(" ",'Journal'!E183)-1),'Journal'!E183))</f>
        <v/>
      </c>
      <c r="E364" s="5">
        <f>IF('Journal'!E183="","",IFERROR(INDEX('Kontoplan'!$B$3:$B$302,MATCH('Journal'!E183,'Kontoplan'!$H$3:$H$302,0)),""))</f>
        <v/>
      </c>
      <c r="F364" s="20">
        <f>IF('Journal'!F183="","",'Journal'!F183)</f>
        <v/>
      </c>
      <c r="G364" s="20">
        <f>IF('Journal'!G183="","",'Journal'!G183)</f>
        <v/>
      </c>
      <c r="H364" s="5">
        <f>IF('Journal'!I183="","",'Journal'!I183)</f>
        <v/>
      </c>
    </row>
    <row r="365">
      <c r="A365" s="18">
        <f>IF('Journal'!A184="","",'Journal'!A184)</f>
        <v/>
      </c>
      <c r="B365" s="21">
        <f>IF('Journal'!B184="","",'Journal'!B184)</f>
        <v/>
      </c>
      <c r="C365" s="5">
        <f>IF('Journal'!C184="","",'Journal'!C184)</f>
        <v/>
      </c>
      <c r="D365" s="5">
        <f>IF('Journal'!D184="","",IFERROR(LEFT('Journal'!D184,FIND(" ",'Journal'!D184)-1),'Journal'!D184))</f>
        <v/>
      </c>
      <c r="E365" s="5">
        <f>IF('Journal'!D184="","",IFERROR(INDEX('Kontoplan'!$B$3:$B$302,MATCH('Journal'!D184,'Kontoplan'!$H$3:$H$302,0)),""))</f>
        <v/>
      </c>
      <c r="F365" s="20">
        <f>IF('Journal'!G184="","",'Journal'!G184)</f>
        <v/>
      </c>
      <c r="G365" s="20">
        <f>IF('Journal'!F184="","",'Journal'!F184)</f>
        <v/>
      </c>
      <c r="H365" s="5">
        <f>IF('Journal'!I184="","",'Journal'!I184)</f>
        <v/>
      </c>
    </row>
    <row r="366">
      <c r="A366" s="18">
        <f>IF('Journal'!A184="","",'Journal'!A184)</f>
        <v/>
      </c>
      <c r="B366" s="21">
        <f>IF('Journal'!B184="","",'Journal'!B184)</f>
        <v/>
      </c>
      <c r="C366" s="5">
        <f>IF('Journal'!C184="","",'Journal'!C184)</f>
        <v/>
      </c>
      <c r="D366" s="5">
        <f>IF('Journal'!E184="","",IFERROR(LEFT('Journal'!E184,FIND(" ",'Journal'!E184)-1),'Journal'!E184))</f>
        <v/>
      </c>
      <c r="E366" s="5">
        <f>IF('Journal'!E184="","",IFERROR(INDEX('Kontoplan'!$B$3:$B$302,MATCH('Journal'!E184,'Kontoplan'!$H$3:$H$302,0)),""))</f>
        <v/>
      </c>
      <c r="F366" s="20">
        <f>IF('Journal'!F184="","",'Journal'!F184)</f>
        <v/>
      </c>
      <c r="G366" s="20">
        <f>IF('Journal'!G184="","",'Journal'!G184)</f>
        <v/>
      </c>
      <c r="H366" s="5">
        <f>IF('Journal'!I184="","",'Journal'!I184)</f>
        <v/>
      </c>
    </row>
    <row r="367">
      <c r="A367" s="18">
        <f>IF('Journal'!A185="","",'Journal'!A185)</f>
        <v/>
      </c>
      <c r="B367" s="21">
        <f>IF('Journal'!B185="","",'Journal'!B185)</f>
        <v/>
      </c>
      <c r="C367" s="5">
        <f>IF('Journal'!C185="","",'Journal'!C185)</f>
        <v/>
      </c>
      <c r="D367" s="5">
        <f>IF('Journal'!D185="","",IFERROR(LEFT('Journal'!D185,FIND(" ",'Journal'!D185)-1),'Journal'!D185))</f>
        <v/>
      </c>
      <c r="E367" s="5">
        <f>IF('Journal'!D185="","",IFERROR(INDEX('Kontoplan'!$B$3:$B$302,MATCH('Journal'!D185,'Kontoplan'!$H$3:$H$302,0)),""))</f>
        <v/>
      </c>
      <c r="F367" s="20">
        <f>IF('Journal'!G185="","",'Journal'!G185)</f>
        <v/>
      </c>
      <c r="G367" s="20">
        <f>IF('Journal'!F185="","",'Journal'!F185)</f>
        <v/>
      </c>
      <c r="H367" s="5">
        <f>IF('Journal'!I185="","",'Journal'!I185)</f>
        <v/>
      </c>
    </row>
    <row r="368">
      <c r="A368" s="18">
        <f>IF('Journal'!A185="","",'Journal'!A185)</f>
        <v/>
      </c>
      <c r="B368" s="21">
        <f>IF('Journal'!B185="","",'Journal'!B185)</f>
        <v/>
      </c>
      <c r="C368" s="5">
        <f>IF('Journal'!C185="","",'Journal'!C185)</f>
        <v/>
      </c>
      <c r="D368" s="5">
        <f>IF('Journal'!E185="","",IFERROR(LEFT('Journal'!E185,FIND(" ",'Journal'!E185)-1),'Journal'!E185))</f>
        <v/>
      </c>
      <c r="E368" s="5">
        <f>IF('Journal'!E185="","",IFERROR(INDEX('Kontoplan'!$B$3:$B$302,MATCH('Journal'!E185,'Kontoplan'!$H$3:$H$302,0)),""))</f>
        <v/>
      </c>
      <c r="F368" s="20">
        <f>IF('Journal'!F185="","",'Journal'!F185)</f>
        <v/>
      </c>
      <c r="G368" s="20">
        <f>IF('Journal'!G185="","",'Journal'!G185)</f>
        <v/>
      </c>
      <c r="H368" s="5">
        <f>IF('Journal'!I185="","",'Journal'!I185)</f>
        <v/>
      </c>
    </row>
    <row r="369">
      <c r="A369" s="18">
        <f>IF('Journal'!A186="","",'Journal'!A186)</f>
        <v/>
      </c>
      <c r="B369" s="21">
        <f>IF('Journal'!B186="","",'Journal'!B186)</f>
        <v/>
      </c>
      <c r="C369" s="5">
        <f>IF('Journal'!C186="","",'Journal'!C186)</f>
        <v/>
      </c>
      <c r="D369" s="5">
        <f>IF('Journal'!D186="","",IFERROR(LEFT('Journal'!D186,FIND(" ",'Journal'!D186)-1),'Journal'!D186))</f>
        <v/>
      </c>
      <c r="E369" s="5">
        <f>IF('Journal'!D186="","",IFERROR(INDEX('Kontoplan'!$B$3:$B$302,MATCH('Journal'!D186,'Kontoplan'!$H$3:$H$302,0)),""))</f>
        <v/>
      </c>
      <c r="F369" s="20">
        <f>IF('Journal'!G186="","",'Journal'!G186)</f>
        <v/>
      </c>
      <c r="G369" s="20">
        <f>IF('Journal'!F186="","",'Journal'!F186)</f>
        <v/>
      </c>
      <c r="H369" s="5">
        <f>IF('Journal'!I186="","",'Journal'!I186)</f>
        <v/>
      </c>
    </row>
    <row r="370">
      <c r="A370" s="18">
        <f>IF('Journal'!A186="","",'Journal'!A186)</f>
        <v/>
      </c>
      <c r="B370" s="21">
        <f>IF('Journal'!B186="","",'Journal'!B186)</f>
        <v/>
      </c>
      <c r="C370" s="5">
        <f>IF('Journal'!C186="","",'Journal'!C186)</f>
        <v/>
      </c>
      <c r="D370" s="5">
        <f>IF('Journal'!E186="","",IFERROR(LEFT('Journal'!E186,FIND(" ",'Journal'!E186)-1),'Journal'!E186))</f>
        <v/>
      </c>
      <c r="E370" s="5">
        <f>IF('Journal'!E186="","",IFERROR(INDEX('Kontoplan'!$B$3:$B$302,MATCH('Journal'!E186,'Kontoplan'!$H$3:$H$302,0)),""))</f>
        <v/>
      </c>
      <c r="F370" s="20">
        <f>IF('Journal'!F186="","",'Journal'!F186)</f>
        <v/>
      </c>
      <c r="G370" s="20">
        <f>IF('Journal'!G186="","",'Journal'!G186)</f>
        <v/>
      </c>
      <c r="H370" s="5">
        <f>IF('Journal'!I186="","",'Journal'!I186)</f>
        <v/>
      </c>
    </row>
    <row r="371">
      <c r="A371" s="18">
        <f>IF('Journal'!A187="","",'Journal'!A187)</f>
        <v/>
      </c>
      <c r="B371" s="21">
        <f>IF('Journal'!B187="","",'Journal'!B187)</f>
        <v/>
      </c>
      <c r="C371" s="5">
        <f>IF('Journal'!C187="","",'Journal'!C187)</f>
        <v/>
      </c>
      <c r="D371" s="5">
        <f>IF('Journal'!D187="","",IFERROR(LEFT('Journal'!D187,FIND(" ",'Journal'!D187)-1),'Journal'!D187))</f>
        <v/>
      </c>
      <c r="E371" s="5">
        <f>IF('Journal'!D187="","",IFERROR(INDEX('Kontoplan'!$B$3:$B$302,MATCH('Journal'!D187,'Kontoplan'!$H$3:$H$302,0)),""))</f>
        <v/>
      </c>
      <c r="F371" s="20">
        <f>IF('Journal'!G187="","",'Journal'!G187)</f>
        <v/>
      </c>
      <c r="G371" s="20">
        <f>IF('Journal'!F187="","",'Journal'!F187)</f>
        <v/>
      </c>
      <c r="H371" s="5">
        <f>IF('Journal'!I187="","",'Journal'!I187)</f>
        <v/>
      </c>
    </row>
    <row r="372">
      <c r="A372" s="18">
        <f>IF('Journal'!A187="","",'Journal'!A187)</f>
        <v/>
      </c>
      <c r="B372" s="21">
        <f>IF('Journal'!B187="","",'Journal'!B187)</f>
        <v/>
      </c>
      <c r="C372" s="5">
        <f>IF('Journal'!C187="","",'Journal'!C187)</f>
        <v/>
      </c>
      <c r="D372" s="5">
        <f>IF('Journal'!E187="","",IFERROR(LEFT('Journal'!E187,FIND(" ",'Journal'!E187)-1),'Journal'!E187))</f>
        <v/>
      </c>
      <c r="E372" s="5">
        <f>IF('Journal'!E187="","",IFERROR(INDEX('Kontoplan'!$B$3:$B$302,MATCH('Journal'!E187,'Kontoplan'!$H$3:$H$302,0)),""))</f>
        <v/>
      </c>
      <c r="F372" s="20">
        <f>IF('Journal'!F187="","",'Journal'!F187)</f>
        <v/>
      </c>
      <c r="G372" s="20">
        <f>IF('Journal'!G187="","",'Journal'!G187)</f>
        <v/>
      </c>
      <c r="H372" s="5">
        <f>IF('Journal'!I187="","",'Journal'!I187)</f>
        <v/>
      </c>
    </row>
    <row r="373">
      <c r="A373" s="18">
        <f>IF('Journal'!A188="","",'Journal'!A188)</f>
        <v/>
      </c>
      <c r="B373" s="21">
        <f>IF('Journal'!B188="","",'Journal'!B188)</f>
        <v/>
      </c>
      <c r="C373" s="5">
        <f>IF('Journal'!C188="","",'Journal'!C188)</f>
        <v/>
      </c>
      <c r="D373" s="5">
        <f>IF('Journal'!D188="","",IFERROR(LEFT('Journal'!D188,FIND(" ",'Journal'!D188)-1),'Journal'!D188))</f>
        <v/>
      </c>
      <c r="E373" s="5">
        <f>IF('Journal'!D188="","",IFERROR(INDEX('Kontoplan'!$B$3:$B$302,MATCH('Journal'!D188,'Kontoplan'!$H$3:$H$302,0)),""))</f>
        <v/>
      </c>
      <c r="F373" s="20">
        <f>IF('Journal'!G188="","",'Journal'!G188)</f>
        <v/>
      </c>
      <c r="G373" s="20">
        <f>IF('Journal'!F188="","",'Journal'!F188)</f>
        <v/>
      </c>
      <c r="H373" s="5">
        <f>IF('Journal'!I188="","",'Journal'!I188)</f>
        <v/>
      </c>
    </row>
    <row r="374">
      <c r="A374" s="18">
        <f>IF('Journal'!A188="","",'Journal'!A188)</f>
        <v/>
      </c>
      <c r="B374" s="21">
        <f>IF('Journal'!B188="","",'Journal'!B188)</f>
        <v/>
      </c>
      <c r="C374" s="5">
        <f>IF('Journal'!C188="","",'Journal'!C188)</f>
        <v/>
      </c>
      <c r="D374" s="5">
        <f>IF('Journal'!E188="","",IFERROR(LEFT('Journal'!E188,FIND(" ",'Journal'!E188)-1),'Journal'!E188))</f>
        <v/>
      </c>
      <c r="E374" s="5">
        <f>IF('Journal'!E188="","",IFERROR(INDEX('Kontoplan'!$B$3:$B$302,MATCH('Journal'!E188,'Kontoplan'!$H$3:$H$302,0)),""))</f>
        <v/>
      </c>
      <c r="F374" s="20">
        <f>IF('Journal'!F188="","",'Journal'!F188)</f>
        <v/>
      </c>
      <c r="G374" s="20">
        <f>IF('Journal'!G188="","",'Journal'!G188)</f>
        <v/>
      </c>
      <c r="H374" s="5">
        <f>IF('Journal'!I188="","",'Journal'!I188)</f>
        <v/>
      </c>
    </row>
    <row r="375">
      <c r="A375" s="18">
        <f>IF('Journal'!A189="","",'Journal'!A189)</f>
        <v/>
      </c>
      <c r="B375" s="21">
        <f>IF('Journal'!B189="","",'Journal'!B189)</f>
        <v/>
      </c>
      <c r="C375" s="5">
        <f>IF('Journal'!C189="","",'Journal'!C189)</f>
        <v/>
      </c>
      <c r="D375" s="5">
        <f>IF('Journal'!D189="","",IFERROR(LEFT('Journal'!D189,FIND(" ",'Journal'!D189)-1),'Journal'!D189))</f>
        <v/>
      </c>
      <c r="E375" s="5">
        <f>IF('Journal'!D189="","",IFERROR(INDEX('Kontoplan'!$B$3:$B$302,MATCH('Journal'!D189,'Kontoplan'!$H$3:$H$302,0)),""))</f>
        <v/>
      </c>
      <c r="F375" s="20">
        <f>IF('Journal'!G189="","",'Journal'!G189)</f>
        <v/>
      </c>
      <c r="G375" s="20">
        <f>IF('Journal'!F189="","",'Journal'!F189)</f>
        <v/>
      </c>
      <c r="H375" s="5">
        <f>IF('Journal'!I189="","",'Journal'!I189)</f>
        <v/>
      </c>
    </row>
    <row r="376">
      <c r="A376" s="18">
        <f>IF('Journal'!A189="","",'Journal'!A189)</f>
        <v/>
      </c>
      <c r="B376" s="21">
        <f>IF('Journal'!B189="","",'Journal'!B189)</f>
        <v/>
      </c>
      <c r="C376" s="5">
        <f>IF('Journal'!C189="","",'Journal'!C189)</f>
        <v/>
      </c>
      <c r="D376" s="5">
        <f>IF('Journal'!E189="","",IFERROR(LEFT('Journal'!E189,FIND(" ",'Journal'!E189)-1),'Journal'!E189))</f>
        <v/>
      </c>
      <c r="E376" s="5">
        <f>IF('Journal'!E189="","",IFERROR(INDEX('Kontoplan'!$B$3:$B$302,MATCH('Journal'!E189,'Kontoplan'!$H$3:$H$302,0)),""))</f>
        <v/>
      </c>
      <c r="F376" s="20">
        <f>IF('Journal'!F189="","",'Journal'!F189)</f>
        <v/>
      </c>
      <c r="G376" s="20">
        <f>IF('Journal'!G189="","",'Journal'!G189)</f>
        <v/>
      </c>
      <c r="H376" s="5">
        <f>IF('Journal'!I189="","",'Journal'!I189)</f>
        <v/>
      </c>
    </row>
    <row r="377">
      <c r="A377" s="18">
        <f>IF('Journal'!A190="","",'Journal'!A190)</f>
        <v/>
      </c>
      <c r="B377" s="21">
        <f>IF('Journal'!B190="","",'Journal'!B190)</f>
        <v/>
      </c>
      <c r="C377" s="5">
        <f>IF('Journal'!C190="","",'Journal'!C190)</f>
        <v/>
      </c>
      <c r="D377" s="5">
        <f>IF('Journal'!D190="","",IFERROR(LEFT('Journal'!D190,FIND(" ",'Journal'!D190)-1),'Journal'!D190))</f>
        <v/>
      </c>
      <c r="E377" s="5">
        <f>IF('Journal'!D190="","",IFERROR(INDEX('Kontoplan'!$B$3:$B$302,MATCH('Journal'!D190,'Kontoplan'!$H$3:$H$302,0)),""))</f>
        <v/>
      </c>
      <c r="F377" s="20">
        <f>IF('Journal'!G190="","",'Journal'!G190)</f>
        <v/>
      </c>
      <c r="G377" s="20">
        <f>IF('Journal'!F190="","",'Journal'!F190)</f>
        <v/>
      </c>
      <c r="H377" s="5">
        <f>IF('Journal'!I190="","",'Journal'!I190)</f>
        <v/>
      </c>
    </row>
    <row r="378">
      <c r="A378" s="18">
        <f>IF('Journal'!A190="","",'Journal'!A190)</f>
        <v/>
      </c>
      <c r="B378" s="21">
        <f>IF('Journal'!B190="","",'Journal'!B190)</f>
        <v/>
      </c>
      <c r="C378" s="5">
        <f>IF('Journal'!C190="","",'Journal'!C190)</f>
        <v/>
      </c>
      <c r="D378" s="5">
        <f>IF('Journal'!E190="","",IFERROR(LEFT('Journal'!E190,FIND(" ",'Journal'!E190)-1),'Journal'!E190))</f>
        <v/>
      </c>
      <c r="E378" s="5">
        <f>IF('Journal'!E190="","",IFERROR(INDEX('Kontoplan'!$B$3:$B$302,MATCH('Journal'!E190,'Kontoplan'!$H$3:$H$302,0)),""))</f>
        <v/>
      </c>
      <c r="F378" s="20">
        <f>IF('Journal'!F190="","",'Journal'!F190)</f>
        <v/>
      </c>
      <c r="G378" s="20">
        <f>IF('Journal'!G190="","",'Journal'!G190)</f>
        <v/>
      </c>
      <c r="H378" s="5">
        <f>IF('Journal'!I190="","",'Journal'!I190)</f>
        <v/>
      </c>
    </row>
    <row r="379">
      <c r="A379" s="18">
        <f>IF('Journal'!A191="","",'Journal'!A191)</f>
        <v/>
      </c>
      <c r="B379" s="21">
        <f>IF('Journal'!B191="","",'Journal'!B191)</f>
        <v/>
      </c>
      <c r="C379" s="5">
        <f>IF('Journal'!C191="","",'Journal'!C191)</f>
        <v/>
      </c>
      <c r="D379" s="5">
        <f>IF('Journal'!D191="","",IFERROR(LEFT('Journal'!D191,FIND(" ",'Journal'!D191)-1),'Journal'!D191))</f>
        <v/>
      </c>
      <c r="E379" s="5">
        <f>IF('Journal'!D191="","",IFERROR(INDEX('Kontoplan'!$B$3:$B$302,MATCH('Journal'!D191,'Kontoplan'!$H$3:$H$302,0)),""))</f>
        <v/>
      </c>
      <c r="F379" s="20">
        <f>IF('Journal'!G191="","",'Journal'!G191)</f>
        <v/>
      </c>
      <c r="G379" s="20">
        <f>IF('Journal'!F191="","",'Journal'!F191)</f>
        <v/>
      </c>
      <c r="H379" s="5">
        <f>IF('Journal'!I191="","",'Journal'!I191)</f>
        <v/>
      </c>
    </row>
    <row r="380">
      <c r="A380" s="18">
        <f>IF('Journal'!A191="","",'Journal'!A191)</f>
        <v/>
      </c>
      <c r="B380" s="21">
        <f>IF('Journal'!B191="","",'Journal'!B191)</f>
        <v/>
      </c>
      <c r="C380" s="5">
        <f>IF('Journal'!C191="","",'Journal'!C191)</f>
        <v/>
      </c>
      <c r="D380" s="5">
        <f>IF('Journal'!E191="","",IFERROR(LEFT('Journal'!E191,FIND(" ",'Journal'!E191)-1),'Journal'!E191))</f>
        <v/>
      </c>
      <c r="E380" s="5">
        <f>IF('Journal'!E191="","",IFERROR(INDEX('Kontoplan'!$B$3:$B$302,MATCH('Journal'!E191,'Kontoplan'!$H$3:$H$302,0)),""))</f>
        <v/>
      </c>
      <c r="F380" s="20">
        <f>IF('Journal'!F191="","",'Journal'!F191)</f>
        <v/>
      </c>
      <c r="G380" s="20">
        <f>IF('Journal'!G191="","",'Journal'!G191)</f>
        <v/>
      </c>
      <c r="H380" s="5">
        <f>IF('Journal'!I191="","",'Journal'!I191)</f>
        <v/>
      </c>
    </row>
    <row r="381">
      <c r="A381" s="18">
        <f>IF('Journal'!A192="","",'Journal'!A192)</f>
        <v/>
      </c>
      <c r="B381" s="21">
        <f>IF('Journal'!B192="","",'Journal'!B192)</f>
        <v/>
      </c>
      <c r="C381" s="5">
        <f>IF('Journal'!C192="","",'Journal'!C192)</f>
        <v/>
      </c>
      <c r="D381" s="5">
        <f>IF('Journal'!D192="","",IFERROR(LEFT('Journal'!D192,FIND(" ",'Journal'!D192)-1),'Journal'!D192))</f>
        <v/>
      </c>
      <c r="E381" s="5">
        <f>IF('Journal'!D192="","",IFERROR(INDEX('Kontoplan'!$B$3:$B$302,MATCH('Journal'!D192,'Kontoplan'!$H$3:$H$302,0)),""))</f>
        <v/>
      </c>
      <c r="F381" s="20">
        <f>IF('Journal'!G192="","",'Journal'!G192)</f>
        <v/>
      </c>
      <c r="G381" s="20">
        <f>IF('Journal'!F192="","",'Journal'!F192)</f>
        <v/>
      </c>
      <c r="H381" s="5">
        <f>IF('Journal'!I192="","",'Journal'!I192)</f>
        <v/>
      </c>
    </row>
    <row r="382">
      <c r="A382" s="18">
        <f>IF('Journal'!A192="","",'Journal'!A192)</f>
        <v/>
      </c>
      <c r="B382" s="21">
        <f>IF('Journal'!B192="","",'Journal'!B192)</f>
        <v/>
      </c>
      <c r="C382" s="5">
        <f>IF('Journal'!C192="","",'Journal'!C192)</f>
        <v/>
      </c>
      <c r="D382" s="5">
        <f>IF('Journal'!E192="","",IFERROR(LEFT('Journal'!E192,FIND(" ",'Journal'!E192)-1),'Journal'!E192))</f>
        <v/>
      </c>
      <c r="E382" s="5">
        <f>IF('Journal'!E192="","",IFERROR(INDEX('Kontoplan'!$B$3:$B$302,MATCH('Journal'!E192,'Kontoplan'!$H$3:$H$302,0)),""))</f>
        <v/>
      </c>
      <c r="F382" s="20">
        <f>IF('Journal'!F192="","",'Journal'!F192)</f>
        <v/>
      </c>
      <c r="G382" s="20">
        <f>IF('Journal'!G192="","",'Journal'!G192)</f>
        <v/>
      </c>
      <c r="H382" s="5">
        <f>IF('Journal'!I192="","",'Journal'!I192)</f>
        <v/>
      </c>
    </row>
    <row r="383">
      <c r="A383" s="18">
        <f>IF('Journal'!A193="","",'Journal'!A193)</f>
        <v/>
      </c>
      <c r="B383" s="21">
        <f>IF('Journal'!B193="","",'Journal'!B193)</f>
        <v/>
      </c>
      <c r="C383" s="5">
        <f>IF('Journal'!C193="","",'Journal'!C193)</f>
        <v/>
      </c>
      <c r="D383" s="5">
        <f>IF('Journal'!D193="","",IFERROR(LEFT('Journal'!D193,FIND(" ",'Journal'!D193)-1),'Journal'!D193))</f>
        <v/>
      </c>
      <c r="E383" s="5">
        <f>IF('Journal'!D193="","",IFERROR(INDEX('Kontoplan'!$B$3:$B$302,MATCH('Journal'!D193,'Kontoplan'!$H$3:$H$302,0)),""))</f>
        <v/>
      </c>
      <c r="F383" s="20">
        <f>IF('Journal'!G193="","",'Journal'!G193)</f>
        <v/>
      </c>
      <c r="G383" s="20">
        <f>IF('Journal'!F193="","",'Journal'!F193)</f>
        <v/>
      </c>
      <c r="H383" s="5">
        <f>IF('Journal'!I193="","",'Journal'!I193)</f>
        <v/>
      </c>
    </row>
    <row r="384">
      <c r="A384" s="18">
        <f>IF('Journal'!A193="","",'Journal'!A193)</f>
        <v/>
      </c>
      <c r="B384" s="21">
        <f>IF('Journal'!B193="","",'Journal'!B193)</f>
        <v/>
      </c>
      <c r="C384" s="5">
        <f>IF('Journal'!C193="","",'Journal'!C193)</f>
        <v/>
      </c>
      <c r="D384" s="5">
        <f>IF('Journal'!E193="","",IFERROR(LEFT('Journal'!E193,FIND(" ",'Journal'!E193)-1),'Journal'!E193))</f>
        <v/>
      </c>
      <c r="E384" s="5">
        <f>IF('Journal'!E193="","",IFERROR(INDEX('Kontoplan'!$B$3:$B$302,MATCH('Journal'!E193,'Kontoplan'!$H$3:$H$302,0)),""))</f>
        <v/>
      </c>
      <c r="F384" s="20">
        <f>IF('Journal'!F193="","",'Journal'!F193)</f>
        <v/>
      </c>
      <c r="G384" s="20">
        <f>IF('Journal'!G193="","",'Journal'!G193)</f>
        <v/>
      </c>
      <c r="H384" s="5">
        <f>IF('Journal'!I193="","",'Journal'!I193)</f>
        <v/>
      </c>
    </row>
    <row r="385">
      <c r="A385" s="18">
        <f>IF('Journal'!A194="","",'Journal'!A194)</f>
        <v/>
      </c>
      <c r="B385" s="21">
        <f>IF('Journal'!B194="","",'Journal'!B194)</f>
        <v/>
      </c>
      <c r="C385" s="5">
        <f>IF('Journal'!C194="","",'Journal'!C194)</f>
        <v/>
      </c>
      <c r="D385" s="5">
        <f>IF('Journal'!D194="","",IFERROR(LEFT('Journal'!D194,FIND(" ",'Journal'!D194)-1),'Journal'!D194))</f>
        <v/>
      </c>
      <c r="E385" s="5">
        <f>IF('Journal'!D194="","",IFERROR(INDEX('Kontoplan'!$B$3:$B$302,MATCH('Journal'!D194,'Kontoplan'!$H$3:$H$302,0)),""))</f>
        <v/>
      </c>
      <c r="F385" s="20">
        <f>IF('Journal'!G194="","",'Journal'!G194)</f>
        <v/>
      </c>
      <c r="G385" s="20">
        <f>IF('Journal'!F194="","",'Journal'!F194)</f>
        <v/>
      </c>
      <c r="H385" s="5">
        <f>IF('Journal'!I194="","",'Journal'!I194)</f>
        <v/>
      </c>
    </row>
    <row r="386">
      <c r="A386" s="18">
        <f>IF('Journal'!A194="","",'Journal'!A194)</f>
        <v/>
      </c>
      <c r="B386" s="21">
        <f>IF('Journal'!B194="","",'Journal'!B194)</f>
        <v/>
      </c>
      <c r="C386" s="5">
        <f>IF('Journal'!C194="","",'Journal'!C194)</f>
        <v/>
      </c>
      <c r="D386" s="5">
        <f>IF('Journal'!E194="","",IFERROR(LEFT('Journal'!E194,FIND(" ",'Journal'!E194)-1),'Journal'!E194))</f>
        <v/>
      </c>
      <c r="E386" s="5">
        <f>IF('Journal'!E194="","",IFERROR(INDEX('Kontoplan'!$B$3:$B$302,MATCH('Journal'!E194,'Kontoplan'!$H$3:$H$302,0)),""))</f>
        <v/>
      </c>
      <c r="F386" s="20">
        <f>IF('Journal'!F194="","",'Journal'!F194)</f>
        <v/>
      </c>
      <c r="G386" s="20">
        <f>IF('Journal'!G194="","",'Journal'!G194)</f>
        <v/>
      </c>
      <c r="H386" s="5">
        <f>IF('Journal'!I194="","",'Journal'!I194)</f>
        <v/>
      </c>
    </row>
    <row r="387">
      <c r="A387" s="18">
        <f>IF('Journal'!A195="","",'Journal'!A195)</f>
        <v/>
      </c>
      <c r="B387" s="21">
        <f>IF('Journal'!B195="","",'Journal'!B195)</f>
        <v/>
      </c>
      <c r="C387" s="5">
        <f>IF('Journal'!C195="","",'Journal'!C195)</f>
        <v/>
      </c>
      <c r="D387" s="5">
        <f>IF('Journal'!D195="","",IFERROR(LEFT('Journal'!D195,FIND(" ",'Journal'!D195)-1),'Journal'!D195))</f>
        <v/>
      </c>
      <c r="E387" s="5">
        <f>IF('Journal'!D195="","",IFERROR(INDEX('Kontoplan'!$B$3:$B$302,MATCH('Journal'!D195,'Kontoplan'!$H$3:$H$302,0)),""))</f>
        <v/>
      </c>
      <c r="F387" s="20">
        <f>IF('Journal'!G195="","",'Journal'!G195)</f>
        <v/>
      </c>
      <c r="G387" s="20">
        <f>IF('Journal'!F195="","",'Journal'!F195)</f>
        <v/>
      </c>
      <c r="H387" s="5">
        <f>IF('Journal'!I195="","",'Journal'!I195)</f>
        <v/>
      </c>
    </row>
    <row r="388">
      <c r="A388" s="18">
        <f>IF('Journal'!A195="","",'Journal'!A195)</f>
        <v/>
      </c>
      <c r="B388" s="21">
        <f>IF('Journal'!B195="","",'Journal'!B195)</f>
        <v/>
      </c>
      <c r="C388" s="5">
        <f>IF('Journal'!C195="","",'Journal'!C195)</f>
        <v/>
      </c>
      <c r="D388" s="5">
        <f>IF('Journal'!E195="","",IFERROR(LEFT('Journal'!E195,FIND(" ",'Journal'!E195)-1),'Journal'!E195))</f>
        <v/>
      </c>
      <c r="E388" s="5">
        <f>IF('Journal'!E195="","",IFERROR(INDEX('Kontoplan'!$B$3:$B$302,MATCH('Journal'!E195,'Kontoplan'!$H$3:$H$302,0)),""))</f>
        <v/>
      </c>
      <c r="F388" s="20">
        <f>IF('Journal'!F195="","",'Journal'!F195)</f>
        <v/>
      </c>
      <c r="G388" s="20">
        <f>IF('Journal'!G195="","",'Journal'!G195)</f>
        <v/>
      </c>
      <c r="H388" s="5">
        <f>IF('Journal'!I195="","",'Journal'!I195)</f>
        <v/>
      </c>
    </row>
    <row r="389">
      <c r="A389" s="18">
        <f>IF('Journal'!A196="","",'Journal'!A196)</f>
        <v/>
      </c>
      <c r="B389" s="21">
        <f>IF('Journal'!B196="","",'Journal'!B196)</f>
        <v/>
      </c>
      <c r="C389" s="5">
        <f>IF('Journal'!C196="","",'Journal'!C196)</f>
        <v/>
      </c>
      <c r="D389" s="5">
        <f>IF('Journal'!D196="","",IFERROR(LEFT('Journal'!D196,FIND(" ",'Journal'!D196)-1),'Journal'!D196))</f>
        <v/>
      </c>
      <c r="E389" s="5">
        <f>IF('Journal'!D196="","",IFERROR(INDEX('Kontoplan'!$B$3:$B$302,MATCH('Journal'!D196,'Kontoplan'!$H$3:$H$302,0)),""))</f>
        <v/>
      </c>
      <c r="F389" s="20">
        <f>IF('Journal'!G196="","",'Journal'!G196)</f>
        <v/>
      </c>
      <c r="G389" s="20">
        <f>IF('Journal'!F196="","",'Journal'!F196)</f>
        <v/>
      </c>
      <c r="H389" s="5">
        <f>IF('Journal'!I196="","",'Journal'!I196)</f>
        <v/>
      </c>
    </row>
    <row r="390">
      <c r="A390" s="18">
        <f>IF('Journal'!A196="","",'Journal'!A196)</f>
        <v/>
      </c>
      <c r="B390" s="21">
        <f>IF('Journal'!B196="","",'Journal'!B196)</f>
        <v/>
      </c>
      <c r="C390" s="5">
        <f>IF('Journal'!C196="","",'Journal'!C196)</f>
        <v/>
      </c>
      <c r="D390" s="5">
        <f>IF('Journal'!E196="","",IFERROR(LEFT('Journal'!E196,FIND(" ",'Journal'!E196)-1),'Journal'!E196))</f>
        <v/>
      </c>
      <c r="E390" s="5">
        <f>IF('Journal'!E196="","",IFERROR(INDEX('Kontoplan'!$B$3:$B$302,MATCH('Journal'!E196,'Kontoplan'!$H$3:$H$302,0)),""))</f>
        <v/>
      </c>
      <c r="F390" s="20">
        <f>IF('Journal'!F196="","",'Journal'!F196)</f>
        <v/>
      </c>
      <c r="G390" s="20">
        <f>IF('Journal'!G196="","",'Journal'!G196)</f>
        <v/>
      </c>
      <c r="H390" s="5">
        <f>IF('Journal'!I196="","",'Journal'!I196)</f>
        <v/>
      </c>
    </row>
    <row r="391">
      <c r="A391" s="18">
        <f>IF('Journal'!A197="","",'Journal'!A197)</f>
        <v/>
      </c>
      <c r="B391" s="21">
        <f>IF('Journal'!B197="","",'Journal'!B197)</f>
        <v/>
      </c>
      <c r="C391" s="5">
        <f>IF('Journal'!C197="","",'Journal'!C197)</f>
        <v/>
      </c>
      <c r="D391" s="5">
        <f>IF('Journal'!D197="","",IFERROR(LEFT('Journal'!D197,FIND(" ",'Journal'!D197)-1),'Journal'!D197))</f>
        <v/>
      </c>
      <c r="E391" s="5">
        <f>IF('Journal'!D197="","",IFERROR(INDEX('Kontoplan'!$B$3:$B$302,MATCH('Journal'!D197,'Kontoplan'!$H$3:$H$302,0)),""))</f>
        <v/>
      </c>
      <c r="F391" s="20">
        <f>IF('Journal'!G197="","",'Journal'!G197)</f>
        <v/>
      </c>
      <c r="G391" s="20">
        <f>IF('Journal'!F197="","",'Journal'!F197)</f>
        <v/>
      </c>
      <c r="H391" s="5">
        <f>IF('Journal'!I197="","",'Journal'!I197)</f>
        <v/>
      </c>
    </row>
    <row r="392">
      <c r="A392" s="18">
        <f>IF('Journal'!A197="","",'Journal'!A197)</f>
        <v/>
      </c>
      <c r="B392" s="21">
        <f>IF('Journal'!B197="","",'Journal'!B197)</f>
        <v/>
      </c>
      <c r="C392" s="5">
        <f>IF('Journal'!C197="","",'Journal'!C197)</f>
        <v/>
      </c>
      <c r="D392" s="5">
        <f>IF('Journal'!E197="","",IFERROR(LEFT('Journal'!E197,FIND(" ",'Journal'!E197)-1),'Journal'!E197))</f>
        <v/>
      </c>
      <c r="E392" s="5">
        <f>IF('Journal'!E197="","",IFERROR(INDEX('Kontoplan'!$B$3:$B$302,MATCH('Journal'!E197,'Kontoplan'!$H$3:$H$302,0)),""))</f>
        <v/>
      </c>
      <c r="F392" s="20">
        <f>IF('Journal'!F197="","",'Journal'!F197)</f>
        <v/>
      </c>
      <c r="G392" s="20">
        <f>IF('Journal'!G197="","",'Journal'!G197)</f>
        <v/>
      </c>
      <c r="H392" s="5">
        <f>IF('Journal'!I197="","",'Journal'!I197)</f>
        <v/>
      </c>
    </row>
    <row r="393">
      <c r="A393" s="18">
        <f>IF('Journal'!A198="","",'Journal'!A198)</f>
        <v/>
      </c>
      <c r="B393" s="21">
        <f>IF('Journal'!B198="","",'Journal'!B198)</f>
        <v/>
      </c>
      <c r="C393" s="5">
        <f>IF('Journal'!C198="","",'Journal'!C198)</f>
        <v/>
      </c>
      <c r="D393" s="5">
        <f>IF('Journal'!D198="","",IFERROR(LEFT('Journal'!D198,FIND(" ",'Journal'!D198)-1),'Journal'!D198))</f>
        <v/>
      </c>
      <c r="E393" s="5">
        <f>IF('Journal'!D198="","",IFERROR(INDEX('Kontoplan'!$B$3:$B$302,MATCH('Journal'!D198,'Kontoplan'!$H$3:$H$302,0)),""))</f>
        <v/>
      </c>
      <c r="F393" s="20">
        <f>IF('Journal'!G198="","",'Journal'!G198)</f>
        <v/>
      </c>
      <c r="G393" s="20">
        <f>IF('Journal'!F198="","",'Journal'!F198)</f>
        <v/>
      </c>
      <c r="H393" s="5">
        <f>IF('Journal'!I198="","",'Journal'!I198)</f>
        <v/>
      </c>
    </row>
    <row r="394">
      <c r="A394" s="18">
        <f>IF('Journal'!A198="","",'Journal'!A198)</f>
        <v/>
      </c>
      <c r="B394" s="21">
        <f>IF('Journal'!B198="","",'Journal'!B198)</f>
        <v/>
      </c>
      <c r="C394" s="5">
        <f>IF('Journal'!C198="","",'Journal'!C198)</f>
        <v/>
      </c>
      <c r="D394" s="5">
        <f>IF('Journal'!E198="","",IFERROR(LEFT('Journal'!E198,FIND(" ",'Journal'!E198)-1),'Journal'!E198))</f>
        <v/>
      </c>
      <c r="E394" s="5">
        <f>IF('Journal'!E198="","",IFERROR(INDEX('Kontoplan'!$B$3:$B$302,MATCH('Journal'!E198,'Kontoplan'!$H$3:$H$302,0)),""))</f>
        <v/>
      </c>
      <c r="F394" s="20">
        <f>IF('Journal'!F198="","",'Journal'!F198)</f>
        <v/>
      </c>
      <c r="G394" s="20">
        <f>IF('Journal'!G198="","",'Journal'!G198)</f>
        <v/>
      </c>
      <c r="H394" s="5">
        <f>IF('Journal'!I198="","",'Journal'!I198)</f>
        <v/>
      </c>
    </row>
    <row r="395">
      <c r="A395" s="18">
        <f>IF('Journal'!A199="","",'Journal'!A199)</f>
        <v/>
      </c>
      <c r="B395" s="21">
        <f>IF('Journal'!B199="","",'Journal'!B199)</f>
        <v/>
      </c>
      <c r="C395" s="5">
        <f>IF('Journal'!C199="","",'Journal'!C199)</f>
        <v/>
      </c>
      <c r="D395" s="5">
        <f>IF('Journal'!D199="","",IFERROR(LEFT('Journal'!D199,FIND(" ",'Journal'!D199)-1),'Journal'!D199))</f>
        <v/>
      </c>
      <c r="E395" s="5">
        <f>IF('Journal'!D199="","",IFERROR(INDEX('Kontoplan'!$B$3:$B$302,MATCH('Journal'!D199,'Kontoplan'!$H$3:$H$302,0)),""))</f>
        <v/>
      </c>
      <c r="F395" s="20">
        <f>IF('Journal'!G199="","",'Journal'!G199)</f>
        <v/>
      </c>
      <c r="G395" s="20">
        <f>IF('Journal'!F199="","",'Journal'!F199)</f>
        <v/>
      </c>
      <c r="H395" s="5">
        <f>IF('Journal'!I199="","",'Journal'!I199)</f>
        <v/>
      </c>
    </row>
    <row r="396">
      <c r="A396" s="18">
        <f>IF('Journal'!A199="","",'Journal'!A199)</f>
        <v/>
      </c>
      <c r="B396" s="21">
        <f>IF('Journal'!B199="","",'Journal'!B199)</f>
        <v/>
      </c>
      <c r="C396" s="5">
        <f>IF('Journal'!C199="","",'Journal'!C199)</f>
        <v/>
      </c>
      <c r="D396" s="5">
        <f>IF('Journal'!E199="","",IFERROR(LEFT('Journal'!E199,FIND(" ",'Journal'!E199)-1),'Journal'!E199))</f>
        <v/>
      </c>
      <c r="E396" s="5">
        <f>IF('Journal'!E199="","",IFERROR(INDEX('Kontoplan'!$B$3:$B$302,MATCH('Journal'!E199,'Kontoplan'!$H$3:$H$302,0)),""))</f>
        <v/>
      </c>
      <c r="F396" s="20">
        <f>IF('Journal'!F199="","",'Journal'!F199)</f>
        <v/>
      </c>
      <c r="G396" s="20">
        <f>IF('Journal'!G199="","",'Journal'!G199)</f>
        <v/>
      </c>
      <c r="H396" s="5">
        <f>IF('Journal'!I199="","",'Journal'!I199)</f>
        <v/>
      </c>
    </row>
    <row r="397">
      <c r="A397" s="18">
        <f>IF('Journal'!A200="","",'Journal'!A200)</f>
        <v/>
      </c>
      <c r="B397" s="21">
        <f>IF('Journal'!B200="","",'Journal'!B200)</f>
        <v/>
      </c>
      <c r="C397" s="5">
        <f>IF('Journal'!C200="","",'Journal'!C200)</f>
        <v/>
      </c>
      <c r="D397" s="5">
        <f>IF('Journal'!D200="","",IFERROR(LEFT('Journal'!D200,FIND(" ",'Journal'!D200)-1),'Journal'!D200))</f>
        <v/>
      </c>
      <c r="E397" s="5">
        <f>IF('Journal'!D200="","",IFERROR(INDEX('Kontoplan'!$B$3:$B$302,MATCH('Journal'!D200,'Kontoplan'!$H$3:$H$302,0)),""))</f>
        <v/>
      </c>
      <c r="F397" s="20">
        <f>IF('Journal'!G200="","",'Journal'!G200)</f>
        <v/>
      </c>
      <c r="G397" s="20">
        <f>IF('Journal'!F200="","",'Journal'!F200)</f>
        <v/>
      </c>
      <c r="H397" s="5">
        <f>IF('Journal'!I200="","",'Journal'!I200)</f>
        <v/>
      </c>
    </row>
    <row r="398">
      <c r="A398" s="18">
        <f>IF('Journal'!A200="","",'Journal'!A200)</f>
        <v/>
      </c>
      <c r="B398" s="21">
        <f>IF('Journal'!B200="","",'Journal'!B200)</f>
        <v/>
      </c>
      <c r="C398" s="5">
        <f>IF('Journal'!C200="","",'Journal'!C200)</f>
        <v/>
      </c>
      <c r="D398" s="5">
        <f>IF('Journal'!E200="","",IFERROR(LEFT('Journal'!E200,FIND(" ",'Journal'!E200)-1),'Journal'!E200))</f>
        <v/>
      </c>
      <c r="E398" s="5">
        <f>IF('Journal'!E200="","",IFERROR(INDEX('Kontoplan'!$B$3:$B$302,MATCH('Journal'!E200,'Kontoplan'!$H$3:$H$302,0)),""))</f>
        <v/>
      </c>
      <c r="F398" s="20">
        <f>IF('Journal'!F200="","",'Journal'!F200)</f>
        <v/>
      </c>
      <c r="G398" s="20">
        <f>IF('Journal'!G200="","",'Journal'!G200)</f>
        <v/>
      </c>
      <c r="H398" s="5">
        <f>IF('Journal'!I200="","",'Journal'!I200)</f>
        <v/>
      </c>
    </row>
    <row r="399">
      <c r="A399" s="18">
        <f>IF('Journal'!A201="","",'Journal'!A201)</f>
        <v/>
      </c>
      <c r="B399" s="21">
        <f>IF('Journal'!B201="","",'Journal'!B201)</f>
        <v/>
      </c>
      <c r="C399" s="5">
        <f>IF('Journal'!C201="","",'Journal'!C201)</f>
        <v/>
      </c>
      <c r="D399" s="5">
        <f>IF('Journal'!D201="","",IFERROR(LEFT('Journal'!D201,FIND(" ",'Journal'!D201)-1),'Journal'!D201))</f>
        <v/>
      </c>
      <c r="E399" s="5">
        <f>IF('Journal'!D201="","",IFERROR(INDEX('Kontoplan'!$B$3:$B$302,MATCH('Journal'!D201,'Kontoplan'!$H$3:$H$302,0)),""))</f>
        <v/>
      </c>
      <c r="F399" s="20">
        <f>IF('Journal'!G201="","",'Journal'!G201)</f>
        <v/>
      </c>
      <c r="G399" s="20">
        <f>IF('Journal'!F201="","",'Journal'!F201)</f>
        <v/>
      </c>
      <c r="H399" s="5">
        <f>IF('Journal'!I201="","",'Journal'!I201)</f>
        <v/>
      </c>
    </row>
    <row r="400">
      <c r="A400" s="18">
        <f>IF('Journal'!A201="","",'Journal'!A201)</f>
        <v/>
      </c>
      <c r="B400" s="21">
        <f>IF('Journal'!B201="","",'Journal'!B201)</f>
        <v/>
      </c>
      <c r="C400" s="5">
        <f>IF('Journal'!C201="","",'Journal'!C201)</f>
        <v/>
      </c>
      <c r="D400" s="5">
        <f>IF('Journal'!E201="","",IFERROR(LEFT('Journal'!E201,FIND(" ",'Journal'!E201)-1),'Journal'!E201))</f>
        <v/>
      </c>
      <c r="E400" s="5">
        <f>IF('Journal'!E201="","",IFERROR(INDEX('Kontoplan'!$B$3:$B$302,MATCH('Journal'!E201,'Kontoplan'!$H$3:$H$302,0)),""))</f>
        <v/>
      </c>
      <c r="F400" s="20">
        <f>IF('Journal'!F201="","",'Journal'!F201)</f>
        <v/>
      </c>
      <c r="G400" s="20">
        <f>IF('Journal'!G201="","",'Journal'!G201)</f>
        <v/>
      </c>
      <c r="H400" s="5">
        <f>IF('Journal'!I201="","",'Journal'!I201)</f>
        <v/>
      </c>
    </row>
    <row r="401">
      <c r="A401" s="18">
        <f>IF('Journal'!A202="","",'Journal'!A202)</f>
        <v/>
      </c>
      <c r="B401" s="21">
        <f>IF('Journal'!B202="","",'Journal'!B202)</f>
        <v/>
      </c>
      <c r="C401" s="5">
        <f>IF('Journal'!C202="","",'Journal'!C202)</f>
        <v/>
      </c>
      <c r="D401" s="5">
        <f>IF('Journal'!D202="","",IFERROR(LEFT('Journal'!D202,FIND(" ",'Journal'!D202)-1),'Journal'!D202))</f>
        <v/>
      </c>
      <c r="E401" s="5">
        <f>IF('Journal'!D202="","",IFERROR(INDEX('Kontoplan'!$B$3:$B$302,MATCH('Journal'!D202,'Kontoplan'!$H$3:$H$302,0)),""))</f>
        <v/>
      </c>
      <c r="F401" s="20">
        <f>IF('Journal'!G202="","",'Journal'!G202)</f>
        <v/>
      </c>
      <c r="G401" s="20">
        <f>IF('Journal'!F202="","",'Journal'!F202)</f>
        <v/>
      </c>
      <c r="H401" s="5">
        <f>IF('Journal'!I202="","",'Journal'!I202)</f>
        <v/>
      </c>
    </row>
    <row r="402">
      <c r="A402" s="18">
        <f>IF('Journal'!A202="","",'Journal'!A202)</f>
        <v/>
      </c>
      <c r="B402" s="21">
        <f>IF('Journal'!B202="","",'Journal'!B202)</f>
        <v/>
      </c>
      <c r="C402" s="5">
        <f>IF('Journal'!C202="","",'Journal'!C202)</f>
        <v/>
      </c>
      <c r="D402" s="5">
        <f>IF('Journal'!E202="","",IFERROR(LEFT('Journal'!E202,FIND(" ",'Journal'!E202)-1),'Journal'!E202))</f>
        <v/>
      </c>
      <c r="E402" s="5">
        <f>IF('Journal'!E202="","",IFERROR(INDEX('Kontoplan'!$B$3:$B$302,MATCH('Journal'!E202,'Kontoplan'!$H$3:$H$302,0)),""))</f>
        <v/>
      </c>
      <c r="F402" s="20">
        <f>IF('Journal'!F202="","",'Journal'!F202)</f>
        <v/>
      </c>
      <c r="G402" s="20">
        <f>IF('Journal'!G202="","",'Journal'!G202)</f>
        <v/>
      </c>
      <c r="H402" s="5">
        <f>IF('Journal'!I202="","",'Journal'!I202)</f>
        <v/>
      </c>
    </row>
    <row r="403">
      <c r="A403" s="18">
        <f>IF('Journal'!A203="","",'Journal'!A203)</f>
        <v/>
      </c>
      <c r="B403" s="21">
        <f>IF('Journal'!B203="","",'Journal'!B203)</f>
        <v/>
      </c>
      <c r="C403" s="5">
        <f>IF('Journal'!C203="","",'Journal'!C203)</f>
        <v/>
      </c>
      <c r="D403" s="5">
        <f>IF('Journal'!D203="","",IFERROR(LEFT('Journal'!D203,FIND(" ",'Journal'!D203)-1),'Journal'!D203))</f>
        <v/>
      </c>
      <c r="E403" s="5">
        <f>IF('Journal'!D203="","",IFERROR(INDEX('Kontoplan'!$B$3:$B$302,MATCH('Journal'!D203,'Kontoplan'!$H$3:$H$302,0)),""))</f>
        <v/>
      </c>
      <c r="F403" s="20">
        <f>IF('Journal'!G203="","",'Journal'!G203)</f>
        <v/>
      </c>
      <c r="G403" s="20">
        <f>IF('Journal'!F203="","",'Journal'!F203)</f>
        <v/>
      </c>
      <c r="H403" s="5">
        <f>IF('Journal'!I203="","",'Journal'!I203)</f>
        <v/>
      </c>
    </row>
    <row r="404">
      <c r="A404" s="18">
        <f>IF('Journal'!A203="","",'Journal'!A203)</f>
        <v/>
      </c>
      <c r="B404" s="21">
        <f>IF('Journal'!B203="","",'Journal'!B203)</f>
        <v/>
      </c>
      <c r="C404" s="5">
        <f>IF('Journal'!C203="","",'Journal'!C203)</f>
        <v/>
      </c>
      <c r="D404" s="5">
        <f>IF('Journal'!E203="","",IFERROR(LEFT('Journal'!E203,FIND(" ",'Journal'!E203)-1),'Journal'!E203))</f>
        <v/>
      </c>
      <c r="E404" s="5">
        <f>IF('Journal'!E203="","",IFERROR(INDEX('Kontoplan'!$B$3:$B$302,MATCH('Journal'!E203,'Kontoplan'!$H$3:$H$302,0)),""))</f>
        <v/>
      </c>
      <c r="F404" s="20">
        <f>IF('Journal'!F203="","",'Journal'!F203)</f>
        <v/>
      </c>
      <c r="G404" s="20">
        <f>IF('Journal'!G203="","",'Journal'!G203)</f>
        <v/>
      </c>
      <c r="H404" s="5">
        <f>IF('Journal'!I203="","",'Journal'!I203)</f>
        <v/>
      </c>
    </row>
    <row r="405">
      <c r="A405" s="18">
        <f>IF('Journal'!A204="","",'Journal'!A204)</f>
        <v/>
      </c>
      <c r="B405" s="21">
        <f>IF('Journal'!B204="","",'Journal'!B204)</f>
        <v/>
      </c>
      <c r="C405" s="5">
        <f>IF('Journal'!C204="","",'Journal'!C204)</f>
        <v/>
      </c>
      <c r="D405" s="5">
        <f>IF('Journal'!D204="","",IFERROR(LEFT('Journal'!D204,FIND(" ",'Journal'!D204)-1),'Journal'!D204))</f>
        <v/>
      </c>
      <c r="E405" s="5">
        <f>IF('Journal'!D204="","",IFERROR(INDEX('Kontoplan'!$B$3:$B$302,MATCH('Journal'!D204,'Kontoplan'!$H$3:$H$302,0)),""))</f>
        <v/>
      </c>
      <c r="F405" s="20">
        <f>IF('Journal'!G204="","",'Journal'!G204)</f>
        <v/>
      </c>
      <c r="G405" s="20">
        <f>IF('Journal'!F204="","",'Journal'!F204)</f>
        <v/>
      </c>
      <c r="H405" s="5">
        <f>IF('Journal'!I204="","",'Journal'!I204)</f>
        <v/>
      </c>
    </row>
    <row r="406">
      <c r="A406" s="18">
        <f>IF('Journal'!A204="","",'Journal'!A204)</f>
        <v/>
      </c>
      <c r="B406" s="21">
        <f>IF('Journal'!B204="","",'Journal'!B204)</f>
        <v/>
      </c>
      <c r="C406" s="5">
        <f>IF('Journal'!C204="","",'Journal'!C204)</f>
        <v/>
      </c>
      <c r="D406" s="5">
        <f>IF('Journal'!E204="","",IFERROR(LEFT('Journal'!E204,FIND(" ",'Journal'!E204)-1),'Journal'!E204))</f>
        <v/>
      </c>
      <c r="E406" s="5">
        <f>IF('Journal'!E204="","",IFERROR(INDEX('Kontoplan'!$B$3:$B$302,MATCH('Journal'!E204,'Kontoplan'!$H$3:$H$302,0)),""))</f>
        <v/>
      </c>
      <c r="F406" s="20">
        <f>IF('Journal'!F204="","",'Journal'!F204)</f>
        <v/>
      </c>
      <c r="G406" s="20">
        <f>IF('Journal'!G204="","",'Journal'!G204)</f>
        <v/>
      </c>
      <c r="H406" s="5">
        <f>IF('Journal'!I204="","",'Journal'!I204)</f>
        <v/>
      </c>
    </row>
    <row r="407">
      <c r="A407" s="18">
        <f>IF('Journal'!A205="","",'Journal'!A205)</f>
        <v/>
      </c>
      <c r="B407" s="21">
        <f>IF('Journal'!B205="","",'Journal'!B205)</f>
        <v/>
      </c>
      <c r="C407" s="5">
        <f>IF('Journal'!C205="","",'Journal'!C205)</f>
        <v/>
      </c>
      <c r="D407" s="5">
        <f>IF('Journal'!D205="","",IFERROR(LEFT('Journal'!D205,FIND(" ",'Journal'!D205)-1),'Journal'!D205))</f>
        <v/>
      </c>
      <c r="E407" s="5">
        <f>IF('Journal'!D205="","",IFERROR(INDEX('Kontoplan'!$B$3:$B$302,MATCH('Journal'!D205,'Kontoplan'!$H$3:$H$302,0)),""))</f>
        <v/>
      </c>
      <c r="F407" s="20">
        <f>IF('Journal'!G205="","",'Journal'!G205)</f>
        <v/>
      </c>
      <c r="G407" s="20">
        <f>IF('Journal'!F205="","",'Journal'!F205)</f>
        <v/>
      </c>
      <c r="H407" s="5">
        <f>IF('Journal'!I205="","",'Journal'!I205)</f>
        <v/>
      </c>
    </row>
    <row r="408">
      <c r="A408" s="18">
        <f>IF('Journal'!A205="","",'Journal'!A205)</f>
        <v/>
      </c>
      <c r="B408" s="21">
        <f>IF('Journal'!B205="","",'Journal'!B205)</f>
        <v/>
      </c>
      <c r="C408" s="5">
        <f>IF('Journal'!C205="","",'Journal'!C205)</f>
        <v/>
      </c>
      <c r="D408" s="5">
        <f>IF('Journal'!E205="","",IFERROR(LEFT('Journal'!E205,FIND(" ",'Journal'!E205)-1),'Journal'!E205))</f>
        <v/>
      </c>
      <c r="E408" s="5">
        <f>IF('Journal'!E205="","",IFERROR(INDEX('Kontoplan'!$B$3:$B$302,MATCH('Journal'!E205,'Kontoplan'!$H$3:$H$302,0)),""))</f>
        <v/>
      </c>
      <c r="F408" s="20">
        <f>IF('Journal'!F205="","",'Journal'!F205)</f>
        <v/>
      </c>
      <c r="G408" s="20">
        <f>IF('Journal'!G205="","",'Journal'!G205)</f>
        <v/>
      </c>
      <c r="H408" s="5">
        <f>IF('Journal'!I205="","",'Journal'!I205)</f>
        <v/>
      </c>
    </row>
    <row r="409">
      <c r="A409" s="18">
        <f>IF('Journal'!A206="","",'Journal'!A206)</f>
        <v/>
      </c>
      <c r="B409" s="21">
        <f>IF('Journal'!B206="","",'Journal'!B206)</f>
        <v/>
      </c>
      <c r="C409" s="5">
        <f>IF('Journal'!C206="","",'Journal'!C206)</f>
        <v/>
      </c>
      <c r="D409" s="5">
        <f>IF('Journal'!D206="","",IFERROR(LEFT('Journal'!D206,FIND(" ",'Journal'!D206)-1),'Journal'!D206))</f>
        <v/>
      </c>
      <c r="E409" s="5">
        <f>IF('Journal'!D206="","",IFERROR(INDEX('Kontoplan'!$B$3:$B$302,MATCH('Journal'!D206,'Kontoplan'!$H$3:$H$302,0)),""))</f>
        <v/>
      </c>
      <c r="F409" s="20">
        <f>IF('Journal'!G206="","",'Journal'!G206)</f>
        <v/>
      </c>
      <c r="G409" s="20">
        <f>IF('Journal'!F206="","",'Journal'!F206)</f>
        <v/>
      </c>
      <c r="H409" s="5">
        <f>IF('Journal'!I206="","",'Journal'!I206)</f>
        <v/>
      </c>
    </row>
    <row r="410">
      <c r="A410" s="18">
        <f>IF('Journal'!A206="","",'Journal'!A206)</f>
        <v/>
      </c>
      <c r="B410" s="21">
        <f>IF('Journal'!B206="","",'Journal'!B206)</f>
        <v/>
      </c>
      <c r="C410" s="5">
        <f>IF('Journal'!C206="","",'Journal'!C206)</f>
        <v/>
      </c>
      <c r="D410" s="5">
        <f>IF('Journal'!E206="","",IFERROR(LEFT('Journal'!E206,FIND(" ",'Journal'!E206)-1),'Journal'!E206))</f>
        <v/>
      </c>
      <c r="E410" s="5">
        <f>IF('Journal'!E206="","",IFERROR(INDEX('Kontoplan'!$B$3:$B$302,MATCH('Journal'!E206,'Kontoplan'!$H$3:$H$302,0)),""))</f>
        <v/>
      </c>
      <c r="F410" s="20">
        <f>IF('Journal'!F206="","",'Journal'!F206)</f>
        <v/>
      </c>
      <c r="G410" s="20">
        <f>IF('Journal'!G206="","",'Journal'!G206)</f>
        <v/>
      </c>
      <c r="H410" s="5">
        <f>IF('Journal'!I206="","",'Journal'!I206)</f>
        <v/>
      </c>
    </row>
    <row r="411">
      <c r="A411" s="18">
        <f>IF('Journal'!A207="","",'Journal'!A207)</f>
        <v/>
      </c>
      <c r="B411" s="21">
        <f>IF('Journal'!B207="","",'Journal'!B207)</f>
        <v/>
      </c>
      <c r="C411" s="5">
        <f>IF('Journal'!C207="","",'Journal'!C207)</f>
        <v/>
      </c>
      <c r="D411" s="5">
        <f>IF('Journal'!D207="","",IFERROR(LEFT('Journal'!D207,FIND(" ",'Journal'!D207)-1),'Journal'!D207))</f>
        <v/>
      </c>
      <c r="E411" s="5">
        <f>IF('Journal'!D207="","",IFERROR(INDEX('Kontoplan'!$B$3:$B$302,MATCH('Journal'!D207,'Kontoplan'!$H$3:$H$302,0)),""))</f>
        <v/>
      </c>
      <c r="F411" s="20">
        <f>IF('Journal'!G207="","",'Journal'!G207)</f>
        <v/>
      </c>
      <c r="G411" s="20">
        <f>IF('Journal'!F207="","",'Journal'!F207)</f>
        <v/>
      </c>
      <c r="H411" s="5">
        <f>IF('Journal'!I207="","",'Journal'!I207)</f>
        <v/>
      </c>
    </row>
    <row r="412">
      <c r="A412" s="18">
        <f>IF('Journal'!A207="","",'Journal'!A207)</f>
        <v/>
      </c>
      <c r="B412" s="21">
        <f>IF('Journal'!B207="","",'Journal'!B207)</f>
        <v/>
      </c>
      <c r="C412" s="5">
        <f>IF('Journal'!C207="","",'Journal'!C207)</f>
        <v/>
      </c>
      <c r="D412" s="5">
        <f>IF('Journal'!E207="","",IFERROR(LEFT('Journal'!E207,FIND(" ",'Journal'!E207)-1),'Journal'!E207))</f>
        <v/>
      </c>
      <c r="E412" s="5">
        <f>IF('Journal'!E207="","",IFERROR(INDEX('Kontoplan'!$B$3:$B$302,MATCH('Journal'!E207,'Kontoplan'!$H$3:$H$302,0)),""))</f>
        <v/>
      </c>
      <c r="F412" s="20">
        <f>IF('Journal'!F207="","",'Journal'!F207)</f>
        <v/>
      </c>
      <c r="G412" s="20">
        <f>IF('Journal'!G207="","",'Journal'!G207)</f>
        <v/>
      </c>
      <c r="H412" s="5">
        <f>IF('Journal'!I207="","",'Journal'!I207)</f>
        <v/>
      </c>
    </row>
    <row r="413">
      <c r="A413" s="18">
        <f>IF('Journal'!A208="","",'Journal'!A208)</f>
        <v/>
      </c>
      <c r="B413" s="21">
        <f>IF('Journal'!B208="","",'Journal'!B208)</f>
        <v/>
      </c>
      <c r="C413" s="5">
        <f>IF('Journal'!C208="","",'Journal'!C208)</f>
        <v/>
      </c>
      <c r="D413" s="5">
        <f>IF('Journal'!D208="","",IFERROR(LEFT('Journal'!D208,FIND(" ",'Journal'!D208)-1),'Journal'!D208))</f>
        <v/>
      </c>
      <c r="E413" s="5">
        <f>IF('Journal'!D208="","",IFERROR(INDEX('Kontoplan'!$B$3:$B$302,MATCH('Journal'!D208,'Kontoplan'!$H$3:$H$302,0)),""))</f>
        <v/>
      </c>
      <c r="F413" s="20">
        <f>IF('Journal'!G208="","",'Journal'!G208)</f>
        <v/>
      </c>
      <c r="G413" s="20">
        <f>IF('Journal'!F208="","",'Journal'!F208)</f>
        <v/>
      </c>
      <c r="H413" s="5">
        <f>IF('Journal'!I208="","",'Journal'!I208)</f>
        <v/>
      </c>
    </row>
    <row r="414">
      <c r="A414" s="18">
        <f>IF('Journal'!A208="","",'Journal'!A208)</f>
        <v/>
      </c>
      <c r="B414" s="21">
        <f>IF('Journal'!B208="","",'Journal'!B208)</f>
        <v/>
      </c>
      <c r="C414" s="5">
        <f>IF('Journal'!C208="","",'Journal'!C208)</f>
        <v/>
      </c>
      <c r="D414" s="5">
        <f>IF('Journal'!E208="","",IFERROR(LEFT('Journal'!E208,FIND(" ",'Journal'!E208)-1),'Journal'!E208))</f>
        <v/>
      </c>
      <c r="E414" s="5">
        <f>IF('Journal'!E208="","",IFERROR(INDEX('Kontoplan'!$B$3:$B$302,MATCH('Journal'!E208,'Kontoplan'!$H$3:$H$302,0)),""))</f>
        <v/>
      </c>
      <c r="F414" s="20">
        <f>IF('Journal'!F208="","",'Journal'!F208)</f>
        <v/>
      </c>
      <c r="G414" s="20">
        <f>IF('Journal'!G208="","",'Journal'!G208)</f>
        <v/>
      </c>
      <c r="H414" s="5">
        <f>IF('Journal'!I208="","",'Journal'!I208)</f>
        <v/>
      </c>
    </row>
    <row r="415">
      <c r="A415" s="18">
        <f>IF('Journal'!A209="","",'Journal'!A209)</f>
        <v/>
      </c>
      <c r="B415" s="21">
        <f>IF('Journal'!B209="","",'Journal'!B209)</f>
        <v/>
      </c>
      <c r="C415" s="5">
        <f>IF('Journal'!C209="","",'Journal'!C209)</f>
        <v/>
      </c>
      <c r="D415" s="5">
        <f>IF('Journal'!D209="","",IFERROR(LEFT('Journal'!D209,FIND(" ",'Journal'!D209)-1),'Journal'!D209))</f>
        <v/>
      </c>
      <c r="E415" s="5">
        <f>IF('Journal'!D209="","",IFERROR(INDEX('Kontoplan'!$B$3:$B$302,MATCH('Journal'!D209,'Kontoplan'!$H$3:$H$302,0)),""))</f>
        <v/>
      </c>
      <c r="F415" s="20">
        <f>IF('Journal'!G209="","",'Journal'!G209)</f>
        <v/>
      </c>
      <c r="G415" s="20">
        <f>IF('Journal'!F209="","",'Journal'!F209)</f>
        <v/>
      </c>
      <c r="H415" s="5">
        <f>IF('Journal'!I209="","",'Journal'!I209)</f>
        <v/>
      </c>
    </row>
    <row r="416">
      <c r="A416" s="18">
        <f>IF('Journal'!A209="","",'Journal'!A209)</f>
        <v/>
      </c>
      <c r="B416" s="21">
        <f>IF('Journal'!B209="","",'Journal'!B209)</f>
        <v/>
      </c>
      <c r="C416" s="5">
        <f>IF('Journal'!C209="","",'Journal'!C209)</f>
        <v/>
      </c>
      <c r="D416" s="5">
        <f>IF('Journal'!E209="","",IFERROR(LEFT('Journal'!E209,FIND(" ",'Journal'!E209)-1),'Journal'!E209))</f>
        <v/>
      </c>
      <c r="E416" s="5">
        <f>IF('Journal'!E209="","",IFERROR(INDEX('Kontoplan'!$B$3:$B$302,MATCH('Journal'!E209,'Kontoplan'!$H$3:$H$302,0)),""))</f>
        <v/>
      </c>
      <c r="F416" s="20">
        <f>IF('Journal'!F209="","",'Journal'!F209)</f>
        <v/>
      </c>
      <c r="G416" s="20">
        <f>IF('Journal'!G209="","",'Journal'!G209)</f>
        <v/>
      </c>
      <c r="H416" s="5">
        <f>IF('Journal'!I209="","",'Journal'!I209)</f>
        <v/>
      </c>
    </row>
    <row r="417">
      <c r="A417" s="18">
        <f>IF('Journal'!A210="","",'Journal'!A210)</f>
        <v/>
      </c>
      <c r="B417" s="21">
        <f>IF('Journal'!B210="","",'Journal'!B210)</f>
        <v/>
      </c>
      <c r="C417" s="5">
        <f>IF('Journal'!C210="","",'Journal'!C210)</f>
        <v/>
      </c>
      <c r="D417" s="5">
        <f>IF('Journal'!D210="","",IFERROR(LEFT('Journal'!D210,FIND(" ",'Journal'!D210)-1),'Journal'!D210))</f>
        <v/>
      </c>
      <c r="E417" s="5">
        <f>IF('Journal'!D210="","",IFERROR(INDEX('Kontoplan'!$B$3:$B$302,MATCH('Journal'!D210,'Kontoplan'!$H$3:$H$302,0)),""))</f>
        <v/>
      </c>
      <c r="F417" s="20">
        <f>IF('Journal'!G210="","",'Journal'!G210)</f>
        <v/>
      </c>
      <c r="G417" s="20">
        <f>IF('Journal'!F210="","",'Journal'!F210)</f>
        <v/>
      </c>
      <c r="H417" s="5">
        <f>IF('Journal'!I210="","",'Journal'!I210)</f>
        <v/>
      </c>
    </row>
    <row r="418">
      <c r="A418" s="18">
        <f>IF('Journal'!A210="","",'Journal'!A210)</f>
        <v/>
      </c>
      <c r="B418" s="21">
        <f>IF('Journal'!B210="","",'Journal'!B210)</f>
        <v/>
      </c>
      <c r="C418" s="5">
        <f>IF('Journal'!C210="","",'Journal'!C210)</f>
        <v/>
      </c>
      <c r="D418" s="5">
        <f>IF('Journal'!E210="","",IFERROR(LEFT('Journal'!E210,FIND(" ",'Journal'!E210)-1),'Journal'!E210))</f>
        <v/>
      </c>
      <c r="E418" s="5">
        <f>IF('Journal'!E210="","",IFERROR(INDEX('Kontoplan'!$B$3:$B$302,MATCH('Journal'!E210,'Kontoplan'!$H$3:$H$302,0)),""))</f>
        <v/>
      </c>
      <c r="F418" s="20">
        <f>IF('Journal'!F210="","",'Journal'!F210)</f>
        <v/>
      </c>
      <c r="G418" s="20">
        <f>IF('Journal'!G210="","",'Journal'!G210)</f>
        <v/>
      </c>
      <c r="H418" s="5">
        <f>IF('Journal'!I210="","",'Journal'!I210)</f>
        <v/>
      </c>
    </row>
    <row r="419">
      <c r="A419" s="18">
        <f>IF('Journal'!A211="","",'Journal'!A211)</f>
        <v/>
      </c>
      <c r="B419" s="21">
        <f>IF('Journal'!B211="","",'Journal'!B211)</f>
        <v/>
      </c>
      <c r="C419" s="5">
        <f>IF('Journal'!C211="","",'Journal'!C211)</f>
        <v/>
      </c>
      <c r="D419" s="5">
        <f>IF('Journal'!D211="","",IFERROR(LEFT('Journal'!D211,FIND(" ",'Journal'!D211)-1),'Journal'!D211))</f>
        <v/>
      </c>
      <c r="E419" s="5">
        <f>IF('Journal'!D211="","",IFERROR(INDEX('Kontoplan'!$B$3:$B$302,MATCH('Journal'!D211,'Kontoplan'!$H$3:$H$302,0)),""))</f>
        <v/>
      </c>
      <c r="F419" s="20">
        <f>IF('Journal'!G211="","",'Journal'!G211)</f>
        <v/>
      </c>
      <c r="G419" s="20">
        <f>IF('Journal'!F211="","",'Journal'!F211)</f>
        <v/>
      </c>
      <c r="H419" s="5">
        <f>IF('Journal'!I211="","",'Journal'!I211)</f>
        <v/>
      </c>
    </row>
    <row r="420">
      <c r="A420" s="18">
        <f>IF('Journal'!A211="","",'Journal'!A211)</f>
        <v/>
      </c>
      <c r="B420" s="21">
        <f>IF('Journal'!B211="","",'Journal'!B211)</f>
        <v/>
      </c>
      <c r="C420" s="5">
        <f>IF('Journal'!C211="","",'Journal'!C211)</f>
        <v/>
      </c>
      <c r="D420" s="5">
        <f>IF('Journal'!E211="","",IFERROR(LEFT('Journal'!E211,FIND(" ",'Journal'!E211)-1),'Journal'!E211))</f>
        <v/>
      </c>
      <c r="E420" s="5">
        <f>IF('Journal'!E211="","",IFERROR(INDEX('Kontoplan'!$B$3:$B$302,MATCH('Journal'!E211,'Kontoplan'!$H$3:$H$302,0)),""))</f>
        <v/>
      </c>
      <c r="F420" s="20">
        <f>IF('Journal'!F211="","",'Journal'!F211)</f>
        <v/>
      </c>
      <c r="G420" s="20">
        <f>IF('Journal'!G211="","",'Journal'!G211)</f>
        <v/>
      </c>
      <c r="H420" s="5">
        <f>IF('Journal'!I211="","",'Journal'!I211)</f>
        <v/>
      </c>
    </row>
    <row r="421">
      <c r="A421" s="18">
        <f>IF('Journal'!A212="","",'Journal'!A212)</f>
        <v/>
      </c>
      <c r="B421" s="21">
        <f>IF('Journal'!B212="","",'Journal'!B212)</f>
        <v/>
      </c>
      <c r="C421" s="5">
        <f>IF('Journal'!C212="","",'Journal'!C212)</f>
        <v/>
      </c>
      <c r="D421" s="5">
        <f>IF('Journal'!D212="","",IFERROR(LEFT('Journal'!D212,FIND(" ",'Journal'!D212)-1),'Journal'!D212))</f>
        <v/>
      </c>
      <c r="E421" s="5">
        <f>IF('Journal'!D212="","",IFERROR(INDEX('Kontoplan'!$B$3:$B$302,MATCH('Journal'!D212,'Kontoplan'!$H$3:$H$302,0)),""))</f>
        <v/>
      </c>
      <c r="F421" s="20">
        <f>IF('Journal'!G212="","",'Journal'!G212)</f>
        <v/>
      </c>
      <c r="G421" s="20">
        <f>IF('Journal'!F212="","",'Journal'!F212)</f>
        <v/>
      </c>
      <c r="H421" s="5">
        <f>IF('Journal'!I212="","",'Journal'!I212)</f>
        <v/>
      </c>
    </row>
    <row r="422">
      <c r="A422" s="18">
        <f>IF('Journal'!A212="","",'Journal'!A212)</f>
        <v/>
      </c>
      <c r="B422" s="21">
        <f>IF('Journal'!B212="","",'Journal'!B212)</f>
        <v/>
      </c>
      <c r="C422" s="5">
        <f>IF('Journal'!C212="","",'Journal'!C212)</f>
        <v/>
      </c>
      <c r="D422" s="5">
        <f>IF('Journal'!E212="","",IFERROR(LEFT('Journal'!E212,FIND(" ",'Journal'!E212)-1),'Journal'!E212))</f>
        <v/>
      </c>
      <c r="E422" s="5">
        <f>IF('Journal'!E212="","",IFERROR(INDEX('Kontoplan'!$B$3:$B$302,MATCH('Journal'!E212,'Kontoplan'!$H$3:$H$302,0)),""))</f>
        <v/>
      </c>
      <c r="F422" s="20">
        <f>IF('Journal'!F212="","",'Journal'!F212)</f>
        <v/>
      </c>
      <c r="G422" s="20">
        <f>IF('Journal'!G212="","",'Journal'!G212)</f>
        <v/>
      </c>
      <c r="H422" s="5">
        <f>IF('Journal'!I212="","",'Journal'!I212)</f>
        <v/>
      </c>
    </row>
    <row r="423">
      <c r="A423" s="18">
        <f>IF('Journal'!A213="","",'Journal'!A213)</f>
        <v/>
      </c>
      <c r="B423" s="21">
        <f>IF('Journal'!B213="","",'Journal'!B213)</f>
        <v/>
      </c>
      <c r="C423" s="5">
        <f>IF('Journal'!C213="","",'Journal'!C213)</f>
        <v/>
      </c>
      <c r="D423" s="5">
        <f>IF('Journal'!D213="","",IFERROR(LEFT('Journal'!D213,FIND(" ",'Journal'!D213)-1),'Journal'!D213))</f>
        <v/>
      </c>
      <c r="E423" s="5">
        <f>IF('Journal'!D213="","",IFERROR(INDEX('Kontoplan'!$B$3:$B$302,MATCH('Journal'!D213,'Kontoplan'!$H$3:$H$302,0)),""))</f>
        <v/>
      </c>
      <c r="F423" s="20">
        <f>IF('Journal'!G213="","",'Journal'!G213)</f>
        <v/>
      </c>
      <c r="G423" s="20">
        <f>IF('Journal'!F213="","",'Journal'!F213)</f>
        <v/>
      </c>
      <c r="H423" s="5">
        <f>IF('Journal'!I213="","",'Journal'!I213)</f>
        <v/>
      </c>
    </row>
    <row r="424">
      <c r="A424" s="18">
        <f>IF('Journal'!A213="","",'Journal'!A213)</f>
        <v/>
      </c>
      <c r="B424" s="21">
        <f>IF('Journal'!B213="","",'Journal'!B213)</f>
        <v/>
      </c>
      <c r="C424" s="5">
        <f>IF('Journal'!C213="","",'Journal'!C213)</f>
        <v/>
      </c>
      <c r="D424" s="5">
        <f>IF('Journal'!E213="","",IFERROR(LEFT('Journal'!E213,FIND(" ",'Journal'!E213)-1),'Journal'!E213))</f>
        <v/>
      </c>
      <c r="E424" s="5">
        <f>IF('Journal'!E213="","",IFERROR(INDEX('Kontoplan'!$B$3:$B$302,MATCH('Journal'!E213,'Kontoplan'!$H$3:$H$302,0)),""))</f>
        <v/>
      </c>
      <c r="F424" s="20">
        <f>IF('Journal'!F213="","",'Journal'!F213)</f>
        <v/>
      </c>
      <c r="G424" s="20">
        <f>IF('Journal'!G213="","",'Journal'!G213)</f>
        <v/>
      </c>
      <c r="H424" s="5">
        <f>IF('Journal'!I213="","",'Journal'!I213)</f>
        <v/>
      </c>
    </row>
    <row r="425">
      <c r="A425" s="18">
        <f>IF('Journal'!A214="","",'Journal'!A214)</f>
        <v/>
      </c>
      <c r="B425" s="21">
        <f>IF('Journal'!B214="","",'Journal'!B214)</f>
        <v/>
      </c>
      <c r="C425" s="5">
        <f>IF('Journal'!C214="","",'Journal'!C214)</f>
        <v/>
      </c>
      <c r="D425" s="5">
        <f>IF('Journal'!D214="","",IFERROR(LEFT('Journal'!D214,FIND(" ",'Journal'!D214)-1),'Journal'!D214))</f>
        <v/>
      </c>
      <c r="E425" s="5">
        <f>IF('Journal'!D214="","",IFERROR(INDEX('Kontoplan'!$B$3:$B$302,MATCH('Journal'!D214,'Kontoplan'!$H$3:$H$302,0)),""))</f>
        <v/>
      </c>
      <c r="F425" s="20">
        <f>IF('Journal'!G214="","",'Journal'!G214)</f>
        <v/>
      </c>
      <c r="G425" s="20">
        <f>IF('Journal'!F214="","",'Journal'!F214)</f>
        <v/>
      </c>
      <c r="H425" s="5">
        <f>IF('Journal'!I214="","",'Journal'!I214)</f>
        <v/>
      </c>
    </row>
    <row r="426">
      <c r="A426" s="18">
        <f>IF('Journal'!A214="","",'Journal'!A214)</f>
        <v/>
      </c>
      <c r="B426" s="21">
        <f>IF('Journal'!B214="","",'Journal'!B214)</f>
        <v/>
      </c>
      <c r="C426" s="5">
        <f>IF('Journal'!C214="","",'Journal'!C214)</f>
        <v/>
      </c>
      <c r="D426" s="5">
        <f>IF('Journal'!E214="","",IFERROR(LEFT('Journal'!E214,FIND(" ",'Journal'!E214)-1),'Journal'!E214))</f>
        <v/>
      </c>
      <c r="E426" s="5">
        <f>IF('Journal'!E214="","",IFERROR(INDEX('Kontoplan'!$B$3:$B$302,MATCH('Journal'!E214,'Kontoplan'!$H$3:$H$302,0)),""))</f>
        <v/>
      </c>
      <c r="F426" s="20">
        <f>IF('Journal'!F214="","",'Journal'!F214)</f>
        <v/>
      </c>
      <c r="G426" s="20">
        <f>IF('Journal'!G214="","",'Journal'!G214)</f>
        <v/>
      </c>
      <c r="H426" s="5">
        <f>IF('Journal'!I214="","",'Journal'!I214)</f>
        <v/>
      </c>
    </row>
    <row r="427">
      <c r="A427" s="18">
        <f>IF('Journal'!A215="","",'Journal'!A215)</f>
        <v/>
      </c>
      <c r="B427" s="21">
        <f>IF('Journal'!B215="","",'Journal'!B215)</f>
        <v/>
      </c>
      <c r="C427" s="5">
        <f>IF('Journal'!C215="","",'Journal'!C215)</f>
        <v/>
      </c>
      <c r="D427" s="5">
        <f>IF('Journal'!D215="","",IFERROR(LEFT('Journal'!D215,FIND(" ",'Journal'!D215)-1),'Journal'!D215))</f>
        <v/>
      </c>
      <c r="E427" s="5">
        <f>IF('Journal'!D215="","",IFERROR(INDEX('Kontoplan'!$B$3:$B$302,MATCH('Journal'!D215,'Kontoplan'!$H$3:$H$302,0)),""))</f>
        <v/>
      </c>
      <c r="F427" s="20">
        <f>IF('Journal'!G215="","",'Journal'!G215)</f>
        <v/>
      </c>
      <c r="G427" s="20">
        <f>IF('Journal'!F215="","",'Journal'!F215)</f>
        <v/>
      </c>
      <c r="H427" s="5">
        <f>IF('Journal'!I215="","",'Journal'!I215)</f>
        <v/>
      </c>
    </row>
    <row r="428">
      <c r="A428" s="18">
        <f>IF('Journal'!A215="","",'Journal'!A215)</f>
        <v/>
      </c>
      <c r="B428" s="21">
        <f>IF('Journal'!B215="","",'Journal'!B215)</f>
        <v/>
      </c>
      <c r="C428" s="5">
        <f>IF('Journal'!C215="","",'Journal'!C215)</f>
        <v/>
      </c>
      <c r="D428" s="5">
        <f>IF('Journal'!E215="","",IFERROR(LEFT('Journal'!E215,FIND(" ",'Journal'!E215)-1),'Journal'!E215))</f>
        <v/>
      </c>
      <c r="E428" s="5">
        <f>IF('Journal'!E215="","",IFERROR(INDEX('Kontoplan'!$B$3:$B$302,MATCH('Journal'!E215,'Kontoplan'!$H$3:$H$302,0)),""))</f>
        <v/>
      </c>
      <c r="F428" s="20">
        <f>IF('Journal'!F215="","",'Journal'!F215)</f>
        <v/>
      </c>
      <c r="G428" s="20">
        <f>IF('Journal'!G215="","",'Journal'!G215)</f>
        <v/>
      </c>
      <c r="H428" s="5">
        <f>IF('Journal'!I215="","",'Journal'!I215)</f>
        <v/>
      </c>
    </row>
    <row r="429">
      <c r="A429" s="18">
        <f>IF('Journal'!A216="","",'Journal'!A216)</f>
        <v/>
      </c>
      <c r="B429" s="21">
        <f>IF('Journal'!B216="","",'Journal'!B216)</f>
        <v/>
      </c>
      <c r="C429" s="5">
        <f>IF('Journal'!C216="","",'Journal'!C216)</f>
        <v/>
      </c>
      <c r="D429" s="5">
        <f>IF('Journal'!D216="","",IFERROR(LEFT('Journal'!D216,FIND(" ",'Journal'!D216)-1),'Journal'!D216))</f>
        <v/>
      </c>
      <c r="E429" s="5">
        <f>IF('Journal'!D216="","",IFERROR(INDEX('Kontoplan'!$B$3:$B$302,MATCH('Journal'!D216,'Kontoplan'!$H$3:$H$302,0)),""))</f>
        <v/>
      </c>
      <c r="F429" s="20">
        <f>IF('Journal'!G216="","",'Journal'!G216)</f>
        <v/>
      </c>
      <c r="G429" s="20">
        <f>IF('Journal'!F216="","",'Journal'!F216)</f>
        <v/>
      </c>
      <c r="H429" s="5">
        <f>IF('Journal'!I216="","",'Journal'!I216)</f>
        <v/>
      </c>
    </row>
    <row r="430">
      <c r="A430" s="18">
        <f>IF('Journal'!A216="","",'Journal'!A216)</f>
        <v/>
      </c>
      <c r="B430" s="21">
        <f>IF('Journal'!B216="","",'Journal'!B216)</f>
        <v/>
      </c>
      <c r="C430" s="5">
        <f>IF('Journal'!C216="","",'Journal'!C216)</f>
        <v/>
      </c>
      <c r="D430" s="5">
        <f>IF('Journal'!E216="","",IFERROR(LEFT('Journal'!E216,FIND(" ",'Journal'!E216)-1),'Journal'!E216))</f>
        <v/>
      </c>
      <c r="E430" s="5">
        <f>IF('Journal'!E216="","",IFERROR(INDEX('Kontoplan'!$B$3:$B$302,MATCH('Journal'!E216,'Kontoplan'!$H$3:$H$302,0)),""))</f>
        <v/>
      </c>
      <c r="F430" s="20">
        <f>IF('Journal'!F216="","",'Journal'!F216)</f>
        <v/>
      </c>
      <c r="G430" s="20">
        <f>IF('Journal'!G216="","",'Journal'!G216)</f>
        <v/>
      </c>
      <c r="H430" s="5">
        <f>IF('Journal'!I216="","",'Journal'!I216)</f>
        <v/>
      </c>
    </row>
    <row r="431">
      <c r="A431" s="18">
        <f>IF('Journal'!A217="","",'Journal'!A217)</f>
        <v/>
      </c>
      <c r="B431" s="21">
        <f>IF('Journal'!B217="","",'Journal'!B217)</f>
        <v/>
      </c>
      <c r="C431" s="5">
        <f>IF('Journal'!C217="","",'Journal'!C217)</f>
        <v/>
      </c>
      <c r="D431" s="5">
        <f>IF('Journal'!D217="","",IFERROR(LEFT('Journal'!D217,FIND(" ",'Journal'!D217)-1),'Journal'!D217))</f>
        <v/>
      </c>
      <c r="E431" s="5">
        <f>IF('Journal'!D217="","",IFERROR(INDEX('Kontoplan'!$B$3:$B$302,MATCH('Journal'!D217,'Kontoplan'!$H$3:$H$302,0)),""))</f>
        <v/>
      </c>
      <c r="F431" s="20">
        <f>IF('Journal'!G217="","",'Journal'!G217)</f>
        <v/>
      </c>
      <c r="G431" s="20">
        <f>IF('Journal'!F217="","",'Journal'!F217)</f>
        <v/>
      </c>
      <c r="H431" s="5">
        <f>IF('Journal'!I217="","",'Journal'!I217)</f>
        <v/>
      </c>
    </row>
    <row r="432">
      <c r="A432" s="18">
        <f>IF('Journal'!A217="","",'Journal'!A217)</f>
        <v/>
      </c>
      <c r="B432" s="21">
        <f>IF('Journal'!B217="","",'Journal'!B217)</f>
        <v/>
      </c>
      <c r="C432" s="5">
        <f>IF('Journal'!C217="","",'Journal'!C217)</f>
        <v/>
      </c>
      <c r="D432" s="5">
        <f>IF('Journal'!E217="","",IFERROR(LEFT('Journal'!E217,FIND(" ",'Journal'!E217)-1),'Journal'!E217))</f>
        <v/>
      </c>
      <c r="E432" s="5">
        <f>IF('Journal'!E217="","",IFERROR(INDEX('Kontoplan'!$B$3:$B$302,MATCH('Journal'!E217,'Kontoplan'!$H$3:$H$302,0)),""))</f>
        <v/>
      </c>
      <c r="F432" s="20">
        <f>IF('Journal'!F217="","",'Journal'!F217)</f>
        <v/>
      </c>
      <c r="G432" s="20">
        <f>IF('Journal'!G217="","",'Journal'!G217)</f>
        <v/>
      </c>
      <c r="H432" s="5">
        <f>IF('Journal'!I217="","",'Journal'!I217)</f>
        <v/>
      </c>
    </row>
    <row r="433">
      <c r="A433" s="18">
        <f>IF('Journal'!A218="","",'Journal'!A218)</f>
        <v/>
      </c>
      <c r="B433" s="21">
        <f>IF('Journal'!B218="","",'Journal'!B218)</f>
        <v/>
      </c>
      <c r="C433" s="5">
        <f>IF('Journal'!C218="","",'Journal'!C218)</f>
        <v/>
      </c>
      <c r="D433" s="5">
        <f>IF('Journal'!D218="","",IFERROR(LEFT('Journal'!D218,FIND(" ",'Journal'!D218)-1),'Journal'!D218))</f>
        <v/>
      </c>
      <c r="E433" s="5">
        <f>IF('Journal'!D218="","",IFERROR(INDEX('Kontoplan'!$B$3:$B$302,MATCH('Journal'!D218,'Kontoplan'!$H$3:$H$302,0)),""))</f>
        <v/>
      </c>
      <c r="F433" s="20">
        <f>IF('Journal'!G218="","",'Journal'!G218)</f>
        <v/>
      </c>
      <c r="G433" s="20">
        <f>IF('Journal'!F218="","",'Journal'!F218)</f>
        <v/>
      </c>
      <c r="H433" s="5">
        <f>IF('Journal'!I218="","",'Journal'!I218)</f>
        <v/>
      </c>
    </row>
    <row r="434">
      <c r="A434" s="18">
        <f>IF('Journal'!A218="","",'Journal'!A218)</f>
        <v/>
      </c>
      <c r="B434" s="21">
        <f>IF('Journal'!B218="","",'Journal'!B218)</f>
        <v/>
      </c>
      <c r="C434" s="5">
        <f>IF('Journal'!C218="","",'Journal'!C218)</f>
        <v/>
      </c>
      <c r="D434" s="5">
        <f>IF('Journal'!E218="","",IFERROR(LEFT('Journal'!E218,FIND(" ",'Journal'!E218)-1),'Journal'!E218))</f>
        <v/>
      </c>
      <c r="E434" s="5">
        <f>IF('Journal'!E218="","",IFERROR(INDEX('Kontoplan'!$B$3:$B$302,MATCH('Journal'!E218,'Kontoplan'!$H$3:$H$302,0)),""))</f>
        <v/>
      </c>
      <c r="F434" s="20">
        <f>IF('Journal'!F218="","",'Journal'!F218)</f>
        <v/>
      </c>
      <c r="G434" s="20">
        <f>IF('Journal'!G218="","",'Journal'!G218)</f>
        <v/>
      </c>
      <c r="H434" s="5">
        <f>IF('Journal'!I218="","",'Journal'!I218)</f>
        <v/>
      </c>
    </row>
    <row r="435">
      <c r="A435" s="18">
        <f>IF('Journal'!A219="","",'Journal'!A219)</f>
        <v/>
      </c>
      <c r="B435" s="21">
        <f>IF('Journal'!B219="","",'Journal'!B219)</f>
        <v/>
      </c>
      <c r="C435" s="5">
        <f>IF('Journal'!C219="","",'Journal'!C219)</f>
        <v/>
      </c>
      <c r="D435" s="5">
        <f>IF('Journal'!D219="","",IFERROR(LEFT('Journal'!D219,FIND(" ",'Journal'!D219)-1),'Journal'!D219))</f>
        <v/>
      </c>
      <c r="E435" s="5">
        <f>IF('Journal'!D219="","",IFERROR(INDEX('Kontoplan'!$B$3:$B$302,MATCH('Journal'!D219,'Kontoplan'!$H$3:$H$302,0)),""))</f>
        <v/>
      </c>
      <c r="F435" s="20">
        <f>IF('Journal'!G219="","",'Journal'!G219)</f>
        <v/>
      </c>
      <c r="G435" s="20">
        <f>IF('Journal'!F219="","",'Journal'!F219)</f>
        <v/>
      </c>
      <c r="H435" s="5">
        <f>IF('Journal'!I219="","",'Journal'!I219)</f>
        <v/>
      </c>
    </row>
    <row r="436">
      <c r="A436" s="18">
        <f>IF('Journal'!A219="","",'Journal'!A219)</f>
        <v/>
      </c>
      <c r="B436" s="21">
        <f>IF('Journal'!B219="","",'Journal'!B219)</f>
        <v/>
      </c>
      <c r="C436" s="5">
        <f>IF('Journal'!C219="","",'Journal'!C219)</f>
        <v/>
      </c>
      <c r="D436" s="5">
        <f>IF('Journal'!E219="","",IFERROR(LEFT('Journal'!E219,FIND(" ",'Journal'!E219)-1),'Journal'!E219))</f>
        <v/>
      </c>
      <c r="E436" s="5">
        <f>IF('Journal'!E219="","",IFERROR(INDEX('Kontoplan'!$B$3:$B$302,MATCH('Journal'!E219,'Kontoplan'!$H$3:$H$302,0)),""))</f>
        <v/>
      </c>
      <c r="F436" s="20">
        <f>IF('Journal'!F219="","",'Journal'!F219)</f>
        <v/>
      </c>
      <c r="G436" s="20">
        <f>IF('Journal'!G219="","",'Journal'!G219)</f>
        <v/>
      </c>
      <c r="H436" s="5">
        <f>IF('Journal'!I219="","",'Journal'!I219)</f>
        <v/>
      </c>
    </row>
    <row r="437">
      <c r="A437" s="18">
        <f>IF('Journal'!A220="","",'Journal'!A220)</f>
        <v/>
      </c>
      <c r="B437" s="21">
        <f>IF('Journal'!B220="","",'Journal'!B220)</f>
        <v/>
      </c>
      <c r="C437" s="5">
        <f>IF('Journal'!C220="","",'Journal'!C220)</f>
        <v/>
      </c>
      <c r="D437" s="5">
        <f>IF('Journal'!D220="","",IFERROR(LEFT('Journal'!D220,FIND(" ",'Journal'!D220)-1),'Journal'!D220))</f>
        <v/>
      </c>
      <c r="E437" s="5">
        <f>IF('Journal'!D220="","",IFERROR(INDEX('Kontoplan'!$B$3:$B$302,MATCH('Journal'!D220,'Kontoplan'!$H$3:$H$302,0)),""))</f>
        <v/>
      </c>
      <c r="F437" s="20">
        <f>IF('Journal'!G220="","",'Journal'!G220)</f>
        <v/>
      </c>
      <c r="G437" s="20">
        <f>IF('Journal'!F220="","",'Journal'!F220)</f>
        <v/>
      </c>
      <c r="H437" s="5">
        <f>IF('Journal'!I220="","",'Journal'!I220)</f>
        <v/>
      </c>
    </row>
    <row r="438">
      <c r="A438" s="18">
        <f>IF('Journal'!A220="","",'Journal'!A220)</f>
        <v/>
      </c>
      <c r="B438" s="21">
        <f>IF('Journal'!B220="","",'Journal'!B220)</f>
        <v/>
      </c>
      <c r="C438" s="5">
        <f>IF('Journal'!C220="","",'Journal'!C220)</f>
        <v/>
      </c>
      <c r="D438" s="5">
        <f>IF('Journal'!E220="","",IFERROR(LEFT('Journal'!E220,FIND(" ",'Journal'!E220)-1),'Journal'!E220))</f>
        <v/>
      </c>
      <c r="E438" s="5">
        <f>IF('Journal'!E220="","",IFERROR(INDEX('Kontoplan'!$B$3:$B$302,MATCH('Journal'!E220,'Kontoplan'!$H$3:$H$302,0)),""))</f>
        <v/>
      </c>
      <c r="F438" s="20">
        <f>IF('Journal'!F220="","",'Journal'!F220)</f>
        <v/>
      </c>
      <c r="G438" s="20">
        <f>IF('Journal'!G220="","",'Journal'!G220)</f>
        <v/>
      </c>
      <c r="H438" s="5">
        <f>IF('Journal'!I220="","",'Journal'!I220)</f>
        <v/>
      </c>
    </row>
    <row r="439">
      <c r="A439" s="18">
        <f>IF('Journal'!A221="","",'Journal'!A221)</f>
        <v/>
      </c>
      <c r="B439" s="21">
        <f>IF('Journal'!B221="","",'Journal'!B221)</f>
        <v/>
      </c>
      <c r="C439" s="5">
        <f>IF('Journal'!C221="","",'Journal'!C221)</f>
        <v/>
      </c>
      <c r="D439" s="5">
        <f>IF('Journal'!D221="","",IFERROR(LEFT('Journal'!D221,FIND(" ",'Journal'!D221)-1),'Journal'!D221))</f>
        <v/>
      </c>
      <c r="E439" s="5">
        <f>IF('Journal'!D221="","",IFERROR(INDEX('Kontoplan'!$B$3:$B$302,MATCH('Journal'!D221,'Kontoplan'!$H$3:$H$302,0)),""))</f>
        <v/>
      </c>
      <c r="F439" s="20">
        <f>IF('Journal'!G221="","",'Journal'!G221)</f>
        <v/>
      </c>
      <c r="G439" s="20">
        <f>IF('Journal'!F221="","",'Journal'!F221)</f>
        <v/>
      </c>
      <c r="H439" s="5">
        <f>IF('Journal'!I221="","",'Journal'!I221)</f>
        <v/>
      </c>
    </row>
    <row r="440">
      <c r="A440" s="18">
        <f>IF('Journal'!A221="","",'Journal'!A221)</f>
        <v/>
      </c>
      <c r="B440" s="21">
        <f>IF('Journal'!B221="","",'Journal'!B221)</f>
        <v/>
      </c>
      <c r="C440" s="5">
        <f>IF('Journal'!C221="","",'Journal'!C221)</f>
        <v/>
      </c>
      <c r="D440" s="5">
        <f>IF('Journal'!E221="","",IFERROR(LEFT('Journal'!E221,FIND(" ",'Journal'!E221)-1),'Journal'!E221))</f>
        <v/>
      </c>
      <c r="E440" s="5">
        <f>IF('Journal'!E221="","",IFERROR(INDEX('Kontoplan'!$B$3:$B$302,MATCH('Journal'!E221,'Kontoplan'!$H$3:$H$302,0)),""))</f>
        <v/>
      </c>
      <c r="F440" s="20">
        <f>IF('Journal'!F221="","",'Journal'!F221)</f>
        <v/>
      </c>
      <c r="G440" s="20">
        <f>IF('Journal'!G221="","",'Journal'!G221)</f>
        <v/>
      </c>
      <c r="H440" s="5">
        <f>IF('Journal'!I221="","",'Journal'!I221)</f>
        <v/>
      </c>
    </row>
    <row r="441">
      <c r="A441" s="18">
        <f>IF('Journal'!A222="","",'Journal'!A222)</f>
        <v/>
      </c>
      <c r="B441" s="21">
        <f>IF('Journal'!B222="","",'Journal'!B222)</f>
        <v/>
      </c>
      <c r="C441" s="5">
        <f>IF('Journal'!C222="","",'Journal'!C222)</f>
        <v/>
      </c>
      <c r="D441" s="5">
        <f>IF('Journal'!D222="","",IFERROR(LEFT('Journal'!D222,FIND(" ",'Journal'!D222)-1),'Journal'!D222))</f>
        <v/>
      </c>
      <c r="E441" s="5">
        <f>IF('Journal'!D222="","",IFERROR(INDEX('Kontoplan'!$B$3:$B$302,MATCH('Journal'!D222,'Kontoplan'!$H$3:$H$302,0)),""))</f>
        <v/>
      </c>
      <c r="F441" s="20">
        <f>IF('Journal'!G222="","",'Journal'!G222)</f>
        <v/>
      </c>
      <c r="G441" s="20">
        <f>IF('Journal'!F222="","",'Journal'!F222)</f>
        <v/>
      </c>
      <c r="H441" s="5">
        <f>IF('Journal'!I222="","",'Journal'!I222)</f>
        <v/>
      </c>
    </row>
    <row r="442">
      <c r="A442" s="18">
        <f>IF('Journal'!A222="","",'Journal'!A222)</f>
        <v/>
      </c>
      <c r="B442" s="21">
        <f>IF('Journal'!B222="","",'Journal'!B222)</f>
        <v/>
      </c>
      <c r="C442" s="5">
        <f>IF('Journal'!C222="","",'Journal'!C222)</f>
        <v/>
      </c>
      <c r="D442" s="5">
        <f>IF('Journal'!E222="","",IFERROR(LEFT('Journal'!E222,FIND(" ",'Journal'!E222)-1),'Journal'!E222))</f>
        <v/>
      </c>
      <c r="E442" s="5">
        <f>IF('Journal'!E222="","",IFERROR(INDEX('Kontoplan'!$B$3:$B$302,MATCH('Journal'!E222,'Kontoplan'!$H$3:$H$302,0)),""))</f>
        <v/>
      </c>
      <c r="F442" s="20">
        <f>IF('Journal'!F222="","",'Journal'!F222)</f>
        <v/>
      </c>
      <c r="G442" s="20">
        <f>IF('Journal'!G222="","",'Journal'!G222)</f>
        <v/>
      </c>
      <c r="H442" s="5">
        <f>IF('Journal'!I222="","",'Journal'!I222)</f>
        <v/>
      </c>
    </row>
    <row r="443">
      <c r="A443" s="18">
        <f>IF('Journal'!A223="","",'Journal'!A223)</f>
        <v/>
      </c>
      <c r="B443" s="21">
        <f>IF('Journal'!B223="","",'Journal'!B223)</f>
        <v/>
      </c>
      <c r="C443" s="5">
        <f>IF('Journal'!C223="","",'Journal'!C223)</f>
        <v/>
      </c>
      <c r="D443" s="5">
        <f>IF('Journal'!D223="","",IFERROR(LEFT('Journal'!D223,FIND(" ",'Journal'!D223)-1),'Journal'!D223))</f>
        <v/>
      </c>
      <c r="E443" s="5">
        <f>IF('Journal'!D223="","",IFERROR(INDEX('Kontoplan'!$B$3:$B$302,MATCH('Journal'!D223,'Kontoplan'!$H$3:$H$302,0)),""))</f>
        <v/>
      </c>
      <c r="F443" s="20">
        <f>IF('Journal'!G223="","",'Journal'!G223)</f>
        <v/>
      </c>
      <c r="G443" s="20">
        <f>IF('Journal'!F223="","",'Journal'!F223)</f>
        <v/>
      </c>
      <c r="H443" s="5">
        <f>IF('Journal'!I223="","",'Journal'!I223)</f>
        <v/>
      </c>
    </row>
    <row r="444">
      <c r="A444" s="18">
        <f>IF('Journal'!A223="","",'Journal'!A223)</f>
        <v/>
      </c>
      <c r="B444" s="21">
        <f>IF('Journal'!B223="","",'Journal'!B223)</f>
        <v/>
      </c>
      <c r="C444" s="5">
        <f>IF('Journal'!C223="","",'Journal'!C223)</f>
        <v/>
      </c>
      <c r="D444" s="5">
        <f>IF('Journal'!E223="","",IFERROR(LEFT('Journal'!E223,FIND(" ",'Journal'!E223)-1),'Journal'!E223))</f>
        <v/>
      </c>
      <c r="E444" s="5">
        <f>IF('Journal'!E223="","",IFERROR(INDEX('Kontoplan'!$B$3:$B$302,MATCH('Journal'!E223,'Kontoplan'!$H$3:$H$302,0)),""))</f>
        <v/>
      </c>
      <c r="F444" s="20">
        <f>IF('Journal'!F223="","",'Journal'!F223)</f>
        <v/>
      </c>
      <c r="G444" s="20">
        <f>IF('Journal'!G223="","",'Journal'!G223)</f>
        <v/>
      </c>
      <c r="H444" s="5">
        <f>IF('Journal'!I223="","",'Journal'!I223)</f>
        <v/>
      </c>
    </row>
    <row r="445">
      <c r="A445" s="18">
        <f>IF('Journal'!A224="","",'Journal'!A224)</f>
        <v/>
      </c>
      <c r="B445" s="21">
        <f>IF('Journal'!B224="","",'Journal'!B224)</f>
        <v/>
      </c>
      <c r="C445" s="5">
        <f>IF('Journal'!C224="","",'Journal'!C224)</f>
        <v/>
      </c>
      <c r="D445" s="5">
        <f>IF('Journal'!D224="","",IFERROR(LEFT('Journal'!D224,FIND(" ",'Journal'!D224)-1),'Journal'!D224))</f>
        <v/>
      </c>
      <c r="E445" s="5">
        <f>IF('Journal'!D224="","",IFERROR(INDEX('Kontoplan'!$B$3:$B$302,MATCH('Journal'!D224,'Kontoplan'!$H$3:$H$302,0)),""))</f>
        <v/>
      </c>
      <c r="F445" s="20">
        <f>IF('Journal'!G224="","",'Journal'!G224)</f>
        <v/>
      </c>
      <c r="G445" s="20">
        <f>IF('Journal'!F224="","",'Journal'!F224)</f>
        <v/>
      </c>
      <c r="H445" s="5">
        <f>IF('Journal'!I224="","",'Journal'!I224)</f>
        <v/>
      </c>
    </row>
    <row r="446">
      <c r="A446" s="18">
        <f>IF('Journal'!A224="","",'Journal'!A224)</f>
        <v/>
      </c>
      <c r="B446" s="21">
        <f>IF('Journal'!B224="","",'Journal'!B224)</f>
        <v/>
      </c>
      <c r="C446" s="5">
        <f>IF('Journal'!C224="","",'Journal'!C224)</f>
        <v/>
      </c>
      <c r="D446" s="5">
        <f>IF('Journal'!E224="","",IFERROR(LEFT('Journal'!E224,FIND(" ",'Journal'!E224)-1),'Journal'!E224))</f>
        <v/>
      </c>
      <c r="E446" s="5">
        <f>IF('Journal'!E224="","",IFERROR(INDEX('Kontoplan'!$B$3:$B$302,MATCH('Journal'!E224,'Kontoplan'!$H$3:$H$302,0)),""))</f>
        <v/>
      </c>
      <c r="F446" s="20">
        <f>IF('Journal'!F224="","",'Journal'!F224)</f>
        <v/>
      </c>
      <c r="G446" s="20">
        <f>IF('Journal'!G224="","",'Journal'!G224)</f>
        <v/>
      </c>
      <c r="H446" s="5">
        <f>IF('Journal'!I224="","",'Journal'!I224)</f>
        <v/>
      </c>
    </row>
    <row r="447">
      <c r="A447" s="18">
        <f>IF('Journal'!A225="","",'Journal'!A225)</f>
        <v/>
      </c>
      <c r="B447" s="21">
        <f>IF('Journal'!B225="","",'Journal'!B225)</f>
        <v/>
      </c>
      <c r="C447" s="5">
        <f>IF('Journal'!C225="","",'Journal'!C225)</f>
        <v/>
      </c>
      <c r="D447" s="5">
        <f>IF('Journal'!D225="","",IFERROR(LEFT('Journal'!D225,FIND(" ",'Journal'!D225)-1),'Journal'!D225))</f>
        <v/>
      </c>
      <c r="E447" s="5">
        <f>IF('Journal'!D225="","",IFERROR(INDEX('Kontoplan'!$B$3:$B$302,MATCH('Journal'!D225,'Kontoplan'!$H$3:$H$302,0)),""))</f>
        <v/>
      </c>
      <c r="F447" s="20">
        <f>IF('Journal'!G225="","",'Journal'!G225)</f>
        <v/>
      </c>
      <c r="G447" s="20">
        <f>IF('Journal'!F225="","",'Journal'!F225)</f>
        <v/>
      </c>
      <c r="H447" s="5">
        <f>IF('Journal'!I225="","",'Journal'!I225)</f>
        <v/>
      </c>
    </row>
    <row r="448">
      <c r="A448" s="18">
        <f>IF('Journal'!A225="","",'Journal'!A225)</f>
        <v/>
      </c>
      <c r="B448" s="21">
        <f>IF('Journal'!B225="","",'Journal'!B225)</f>
        <v/>
      </c>
      <c r="C448" s="5">
        <f>IF('Journal'!C225="","",'Journal'!C225)</f>
        <v/>
      </c>
      <c r="D448" s="5">
        <f>IF('Journal'!E225="","",IFERROR(LEFT('Journal'!E225,FIND(" ",'Journal'!E225)-1),'Journal'!E225))</f>
        <v/>
      </c>
      <c r="E448" s="5">
        <f>IF('Journal'!E225="","",IFERROR(INDEX('Kontoplan'!$B$3:$B$302,MATCH('Journal'!E225,'Kontoplan'!$H$3:$H$302,0)),""))</f>
        <v/>
      </c>
      <c r="F448" s="20">
        <f>IF('Journal'!F225="","",'Journal'!F225)</f>
        <v/>
      </c>
      <c r="G448" s="20">
        <f>IF('Journal'!G225="","",'Journal'!G225)</f>
        <v/>
      </c>
      <c r="H448" s="5">
        <f>IF('Journal'!I225="","",'Journal'!I225)</f>
        <v/>
      </c>
    </row>
    <row r="449">
      <c r="A449" s="18">
        <f>IF('Journal'!A226="","",'Journal'!A226)</f>
        <v/>
      </c>
      <c r="B449" s="21">
        <f>IF('Journal'!B226="","",'Journal'!B226)</f>
        <v/>
      </c>
      <c r="C449" s="5">
        <f>IF('Journal'!C226="","",'Journal'!C226)</f>
        <v/>
      </c>
      <c r="D449" s="5">
        <f>IF('Journal'!D226="","",IFERROR(LEFT('Journal'!D226,FIND(" ",'Journal'!D226)-1),'Journal'!D226))</f>
        <v/>
      </c>
      <c r="E449" s="5">
        <f>IF('Journal'!D226="","",IFERROR(INDEX('Kontoplan'!$B$3:$B$302,MATCH('Journal'!D226,'Kontoplan'!$H$3:$H$302,0)),""))</f>
        <v/>
      </c>
      <c r="F449" s="20">
        <f>IF('Journal'!G226="","",'Journal'!G226)</f>
        <v/>
      </c>
      <c r="G449" s="20">
        <f>IF('Journal'!F226="","",'Journal'!F226)</f>
        <v/>
      </c>
      <c r="H449" s="5">
        <f>IF('Journal'!I226="","",'Journal'!I226)</f>
        <v/>
      </c>
    </row>
    <row r="450">
      <c r="A450" s="18">
        <f>IF('Journal'!A226="","",'Journal'!A226)</f>
        <v/>
      </c>
      <c r="B450" s="21">
        <f>IF('Journal'!B226="","",'Journal'!B226)</f>
        <v/>
      </c>
      <c r="C450" s="5">
        <f>IF('Journal'!C226="","",'Journal'!C226)</f>
        <v/>
      </c>
      <c r="D450" s="5">
        <f>IF('Journal'!E226="","",IFERROR(LEFT('Journal'!E226,FIND(" ",'Journal'!E226)-1),'Journal'!E226))</f>
        <v/>
      </c>
      <c r="E450" s="5">
        <f>IF('Journal'!E226="","",IFERROR(INDEX('Kontoplan'!$B$3:$B$302,MATCH('Journal'!E226,'Kontoplan'!$H$3:$H$302,0)),""))</f>
        <v/>
      </c>
      <c r="F450" s="20">
        <f>IF('Journal'!F226="","",'Journal'!F226)</f>
        <v/>
      </c>
      <c r="G450" s="20">
        <f>IF('Journal'!G226="","",'Journal'!G226)</f>
        <v/>
      </c>
      <c r="H450" s="5">
        <f>IF('Journal'!I226="","",'Journal'!I226)</f>
        <v/>
      </c>
    </row>
    <row r="451">
      <c r="A451" s="18">
        <f>IF('Journal'!A227="","",'Journal'!A227)</f>
        <v/>
      </c>
      <c r="B451" s="21">
        <f>IF('Journal'!B227="","",'Journal'!B227)</f>
        <v/>
      </c>
      <c r="C451" s="5">
        <f>IF('Journal'!C227="","",'Journal'!C227)</f>
        <v/>
      </c>
      <c r="D451" s="5">
        <f>IF('Journal'!D227="","",IFERROR(LEFT('Journal'!D227,FIND(" ",'Journal'!D227)-1),'Journal'!D227))</f>
        <v/>
      </c>
      <c r="E451" s="5">
        <f>IF('Journal'!D227="","",IFERROR(INDEX('Kontoplan'!$B$3:$B$302,MATCH('Journal'!D227,'Kontoplan'!$H$3:$H$302,0)),""))</f>
        <v/>
      </c>
      <c r="F451" s="20">
        <f>IF('Journal'!G227="","",'Journal'!G227)</f>
        <v/>
      </c>
      <c r="G451" s="20">
        <f>IF('Journal'!F227="","",'Journal'!F227)</f>
        <v/>
      </c>
      <c r="H451" s="5">
        <f>IF('Journal'!I227="","",'Journal'!I227)</f>
        <v/>
      </c>
    </row>
    <row r="452">
      <c r="A452" s="18">
        <f>IF('Journal'!A227="","",'Journal'!A227)</f>
        <v/>
      </c>
      <c r="B452" s="21">
        <f>IF('Journal'!B227="","",'Journal'!B227)</f>
        <v/>
      </c>
      <c r="C452" s="5">
        <f>IF('Journal'!C227="","",'Journal'!C227)</f>
        <v/>
      </c>
      <c r="D452" s="5">
        <f>IF('Journal'!E227="","",IFERROR(LEFT('Journal'!E227,FIND(" ",'Journal'!E227)-1),'Journal'!E227))</f>
        <v/>
      </c>
      <c r="E452" s="5">
        <f>IF('Journal'!E227="","",IFERROR(INDEX('Kontoplan'!$B$3:$B$302,MATCH('Journal'!E227,'Kontoplan'!$H$3:$H$302,0)),""))</f>
        <v/>
      </c>
      <c r="F452" s="20">
        <f>IF('Journal'!F227="","",'Journal'!F227)</f>
        <v/>
      </c>
      <c r="G452" s="20">
        <f>IF('Journal'!G227="","",'Journal'!G227)</f>
        <v/>
      </c>
      <c r="H452" s="5">
        <f>IF('Journal'!I227="","",'Journal'!I227)</f>
        <v/>
      </c>
    </row>
    <row r="453">
      <c r="A453" s="18">
        <f>IF('Journal'!A228="","",'Journal'!A228)</f>
        <v/>
      </c>
      <c r="B453" s="21">
        <f>IF('Journal'!B228="","",'Journal'!B228)</f>
        <v/>
      </c>
      <c r="C453" s="5">
        <f>IF('Journal'!C228="","",'Journal'!C228)</f>
        <v/>
      </c>
      <c r="D453" s="5">
        <f>IF('Journal'!D228="","",IFERROR(LEFT('Journal'!D228,FIND(" ",'Journal'!D228)-1),'Journal'!D228))</f>
        <v/>
      </c>
      <c r="E453" s="5">
        <f>IF('Journal'!D228="","",IFERROR(INDEX('Kontoplan'!$B$3:$B$302,MATCH('Journal'!D228,'Kontoplan'!$H$3:$H$302,0)),""))</f>
        <v/>
      </c>
      <c r="F453" s="20">
        <f>IF('Journal'!G228="","",'Journal'!G228)</f>
        <v/>
      </c>
      <c r="G453" s="20">
        <f>IF('Journal'!F228="","",'Journal'!F228)</f>
        <v/>
      </c>
      <c r="H453" s="5">
        <f>IF('Journal'!I228="","",'Journal'!I228)</f>
        <v/>
      </c>
    </row>
    <row r="454">
      <c r="A454" s="18">
        <f>IF('Journal'!A228="","",'Journal'!A228)</f>
        <v/>
      </c>
      <c r="B454" s="21">
        <f>IF('Journal'!B228="","",'Journal'!B228)</f>
        <v/>
      </c>
      <c r="C454" s="5">
        <f>IF('Journal'!C228="","",'Journal'!C228)</f>
        <v/>
      </c>
      <c r="D454" s="5">
        <f>IF('Journal'!E228="","",IFERROR(LEFT('Journal'!E228,FIND(" ",'Journal'!E228)-1),'Journal'!E228))</f>
        <v/>
      </c>
      <c r="E454" s="5">
        <f>IF('Journal'!E228="","",IFERROR(INDEX('Kontoplan'!$B$3:$B$302,MATCH('Journal'!E228,'Kontoplan'!$H$3:$H$302,0)),""))</f>
        <v/>
      </c>
      <c r="F454" s="20">
        <f>IF('Journal'!F228="","",'Journal'!F228)</f>
        <v/>
      </c>
      <c r="G454" s="20">
        <f>IF('Journal'!G228="","",'Journal'!G228)</f>
        <v/>
      </c>
      <c r="H454" s="5">
        <f>IF('Journal'!I228="","",'Journal'!I228)</f>
        <v/>
      </c>
    </row>
    <row r="455">
      <c r="A455" s="18">
        <f>IF('Journal'!A229="","",'Journal'!A229)</f>
        <v/>
      </c>
      <c r="B455" s="21">
        <f>IF('Journal'!B229="","",'Journal'!B229)</f>
        <v/>
      </c>
      <c r="C455" s="5">
        <f>IF('Journal'!C229="","",'Journal'!C229)</f>
        <v/>
      </c>
      <c r="D455" s="5">
        <f>IF('Journal'!D229="","",IFERROR(LEFT('Journal'!D229,FIND(" ",'Journal'!D229)-1),'Journal'!D229))</f>
        <v/>
      </c>
      <c r="E455" s="5">
        <f>IF('Journal'!D229="","",IFERROR(INDEX('Kontoplan'!$B$3:$B$302,MATCH('Journal'!D229,'Kontoplan'!$H$3:$H$302,0)),""))</f>
        <v/>
      </c>
      <c r="F455" s="20">
        <f>IF('Journal'!G229="","",'Journal'!G229)</f>
        <v/>
      </c>
      <c r="G455" s="20">
        <f>IF('Journal'!F229="","",'Journal'!F229)</f>
        <v/>
      </c>
      <c r="H455" s="5">
        <f>IF('Journal'!I229="","",'Journal'!I229)</f>
        <v/>
      </c>
    </row>
    <row r="456">
      <c r="A456" s="18">
        <f>IF('Journal'!A229="","",'Journal'!A229)</f>
        <v/>
      </c>
      <c r="B456" s="21">
        <f>IF('Journal'!B229="","",'Journal'!B229)</f>
        <v/>
      </c>
      <c r="C456" s="5">
        <f>IF('Journal'!C229="","",'Journal'!C229)</f>
        <v/>
      </c>
      <c r="D456" s="5">
        <f>IF('Journal'!E229="","",IFERROR(LEFT('Journal'!E229,FIND(" ",'Journal'!E229)-1),'Journal'!E229))</f>
        <v/>
      </c>
      <c r="E456" s="5">
        <f>IF('Journal'!E229="","",IFERROR(INDEX('Kontoplan'!$B$3:$B$302,MATCH('Journal'!E229,'Kontoplan'!$H$3:$H$302,0)),""))</f>
        <v/>
      </c>
      <c r="F456" s="20">
        <f>IF('Journal'!F229="","",'Journal'!F229)</f>
        <v/>
      </c>
      <c r="G456" s="20">
        <f>IF('Journal'!G229="","",'Journal'!G229)</f>
        <v/>
      </c>
      <c r="H456" s="5">
        <f>IF('Journal'!I229="","",'Journal'!I229)</f>
        <v/>
      </c>
    </row>
    <row r="457">
      <c r="A457" s="18">
        <f>IF('Journal'!A230="","",'Journal'!A230)</f>
        <v/>
      </c>
      <c r="B457" s="21">
        <f>IF('Journal'!B230="","",'Journal'!B230)</f>
        <v/>
      </c>
      <c r="C457" s="5">
        <f>IF('Journal'!C230="","",'Journal'!C230)</f>
        <v/>
      </c>
      <c r="D457" s="5">
        <f>IF('Journal'!D230="","",IFERROR(LEFT('Journal'!D230,FIND(" ",'Journal'!D230)-1),'Journal'!D230))</f>
        <v/>
      </c>
      <c r="E457" s="5">
        <f>IF('Journal'!D230="","",IFERROR(INDEX('Kontoplan'!$B$3:$B$302,MATCH('Journal'!D230,'Kontoplan'!$H$3:$H$302,0)),""))</f>
        <v/>
      </c>
      <c r="F457" s="20">
        <f>IF('Journal'!G230="","",'Journal'!G230)</f>
        <v/>
      </c>
      <c r="G457" s="20">
        <f>IF('Journal'!F230="","",'Journal'!F230)</f>
        <v/>
      </c>
      <c r="H457" s="5">
        <f>IF('Journal'!I230="","",'Journal'!I230)</f>
        <v/>
      </c>
    </row>
    <row r="458">
      <c r="A458" s="18">
        <f>IF('Journal'!A230="","",'Journal'!A230)</f>
        <v/>
      </c>
      <c r="B458" s="21">
        <f>IF('Journal'!B230="","",'Journal'!B230)</f>
        <v/>
      </c>
      <c r="C458" s="5">
        <f>IF('Journal'!C230="","",'Journal'!C230)</f>
        <v/>
      </c>
      <c r="D458" s="5">
        <f>IF('Journal'!E230="","",IFERROR(LEFT('Journal'!E230,FIND(" ",'Journal'!E230)-1),'Journal'!E230))</f>
        <v/>
      </c>
      <c r="E458" s="5">
        <f>IF('Journal'!E230="","",IFERROR(INDEX('Kontoplan'!$B$3:$B$302,MATCH('Journal'!E230,'Kontoplan'!$H$3:$H$302,0)),""))</f>
        <v/>
      </c>
      <c r="F458" s="20">
        <f>IF('Journal'!F230="","",'Journal'!F230)</f>
        <v/>
      </c>
      <c r="G458" s="20">
        <f>IF('Journal'!G230="","",'Journal'!G230)</f>
        <v/>
      </c>
      <c r="H458" s="5">
        <f>IF('Journal'!I230="","",'Journal'!I230)</f>
        <v/>
      </c>
    </row>
    <row r="459">
      <c r="A459" s="18">
        <f>IF('Journal'!A231="","",'Journal'!A231)</f>
        <v/>
      </c>
      <c r="B459" s="21">
        <f>IF('Journal'!B231="","",'Journal'!B231)</f>
        <v/>
      </c>
      <c r="C459" s="5">
        <f>IF('Journal'!C231="","",'Journal'!C231)</f>
        <v/>
      </c>
      <c r="D459" s="5">
        <f>IF('Journal'!D231="","",IFERROR(LEFT('Journal'!D231,FIND(" ",'Journal'!D231)-1),'Journal'!D231))</f>
        <v/>
      </c>
      <c r="E459" s="5">
        <f>IF('Journal'!D231="","",IFERROR(INDEX('Kontoplan'!$B$3:$B$302,MATCH('Journal'!D231,'Kontoplan'!$H$3:$H$302,0)),""))</f>
        <v/>
      </c>
      <c r="F459" s="20">
        <f>IF('Journal'!G231="","",'Journal'!G231)</f>
        <v/>
      </c>
      <c r="G459" s="20">
        <f>IF('Journal'!F231="","",'Journal'!F231)</f>
        <v/>
      </c>
      <c r="H459" s="5">
        <f>IF('Journal'!I231="","",'Journal'!I231)</f>
        <v/>
      </c>
    </row>
    <row r="460">
      <c r="A460" s="18">
        <f>IF('Journal'!A231="","",'Journal'!A231)</f>
        <v/>
      </c>
      <c r="B460" s="21">
        <f>IF('Journal'!B231="","",'Journal'!B231)</f>
        <v/>
      </c>
      <c r="C460" s="5">
        <f>IF('Journal'!C231="","",'Journal'!C231)</f>
        <v/>
      </c>
      <c r="D460" s="5">
        <f>IF('Journal'!E231="","",IFERROR(LEFT('Journal'!E231,FIND(" ",'Journal'!E231)-1),'Journal'!E231))</f>
        <v/>
      </c>
      <c r="E460" s="5">
        <f>IF('Journal'!E231="","",IFERROR(INDEX('Kontoplan'!$B$3:$B$302,MATCH('Journal'!E231,'Kontoplan'!$H$3:$H$302,0)),""))</f>
        <v/>
      </c>
      <c r="F460" s="20">
        <f>IF('Journal'!F231="","",'Journal'!F231)</f>
        <v/>
      </c>
      <c r="G460" s="20">
        <f>IF('Journal'!G231="","",'Journal'!G231)</f>
        <v/>
      </c>
      <c r="H460" s="5">
        <f>IF('Journal'!I231="","",'Journal'!I231)</f>
        <v/>
      </c>
    </row>
    <row r="461">
      <c r="A461" s="18">
        <f>IF('Journal'!A232="","",'Journal'!A232)</f>
        <v/>
      </c>
      <c r="B461" s="21">
        <f>IF('Journal'!B232="","",'Journal'!B232)</f>
        <v/>
      </c>
      <c r="C461" s="5">
        <f>IF('Journal'!C232="","",'Journal'!C232)</f>
        <v/>
      </c>
      <c r="D461" s="5">
        <f>IF('Journal'!D232="","",IFERROR(LEFT('Journal'!D232,FIND(" ",'Journal'!D232)-1),'Journal'!D232))</f>
        <v/>
      </c>
      <c r="E461" s="5">
        <f>IF('Journal'!D232="","",IFERROR(INDEX('Kontoplan'!$B$3:$B$302,MATCH('Journal'!D232,'Kontoplan'!$H$3:$H$302,0)),""))</f>
        <v/>
      </c>
      <c r="F461" s="20">
        <f>IF('Journal'!G232="","",'Journal'!G232)</f>
        <v/>
      </c>
      <c r="G461" s="20">
        <f>IF('Journal'!F232="","",'Journal'!F232)</f>
        <v/>
      </c>
      <c r="H461" s="5">
        <f>IF('Journal'!I232="","",'Journal'!I232)</f>
        <v/>
      </c>
    </row>
    <row r="462">
      <c r="A462" s="18">
        <f>IF('Journal'!A232="","",'Journal'!A232)</f>
        <v/>
      </c>
      <c r="B462" s="21">
        <f>IF('Journal'!B232="","",'Journal'!B232)</f>
        <v/>
      </c>
      <c r="C462" s="5">
        <f>IF('Journal'!C232="","",'Journal'!C232)</f>
        <v/>
      </c>
      <c r="D462" s="5">
        <f>IF('Journal'!E232="","",IFERROR(LEFT('Journal'!E232,FIND(" ",'Journal'!E232)-1),'Journal'!E232))</f>
        <v/>
      </c>
      <c r="E462" s="5">
        <f>IF('Journal'!E232="","",IFERROR(INDEX('Kontoplan'!$B$3:$B$302,MATCH('Journal'!E232,'Kontoplan'!$H$3:$H$302,0)),""))</f>
        <v/>
      </c>
      <c r="F462" s="20">
        <f>IF('Journal'!F232="","",'Journal'!F232)</f>
        <v/>
      </c>
      <c r="G462" s="20">
        <f>IF('Journal'!G232="","",'Journal'!G232)</f>
        <v/>
      </c>
      <c r="H462" s="5">
        <f>IF('Journal'!I232="","",'Journal'!I232)</f>
        <v/>
      </c>
    </row>
    <row r="463">
      <c r="A463" s="18">
        <f>IF('Journal'!A233="","",'Journal'!A233)</f>
        <v/>
      </c>
      <c r="B463" s="21">
        <f>IF('Journal'!B233="","",'Journal'!B233)</f>
        <v/>
      </c>
      <c r="C463" s="5">
        <f>IF('Journal'!C233="","",'Journal'!C233)</f>
        <v/>
      </c>
      <c r="D463" s="5">
        <f>IF('Journal'!D233="","",IFERROR(LEFT('Journal'!D233,FIND(" ",'Journal'!D233)-1),'Journal'!D233))</f>
        <v/>
      </c>
      <c r="E463" s="5">
        <f>IF('Journal'!D233="","",IFERROR(INDEX('Kontoplan'!$B$3:$B$302,MATCH('Journal'!D233,'Kontoplan'!$H$3:$H$302,0)),""))</f>
        <v/>
      </c>
      <c r="F463" s="20">
        <f>IF('Journal'!G233="","",'Journal'!G233)</f>
        <v/>
      </c>
      <c r="G463" s="20">
        <f>IF('Journal'!F233="","",'Journal'!F233)</f>
        <v/>
      </c>
      <c r="H463" s="5">
        <f>IF('Journal'!I233="","",'Journal'!I233)</f>
        <v/>
      </c>
    </row>
    <row r="464">
      <c r="A464" s="18">
        <f>IF('Journal'!A233="","",'Journal'!A233)</f>
        <v/>
      </c>
      <c r="B464" s="21">
        <f>IF('Journal'!B233="","",'Journal'!B233)</f>
        <v/>
      </c>
      <c r="C464" s="5">
        <f>IF('Journal'!C233="","",'Journal'!C233)</f>
        <v/>
      </c>
      <c r="D464" s="5">
        <f>IF('Journal'!E233="","",IFERROR(LEFT('Journal'!E233,FIND(" ",'Journal'!E233)-1),'Journal'!E233))</f>
        <v/>
      </c>
      <c r="E464" s="5">
        <f>IF('Journal'!E233="","",IFERROR(INDEX('Kontoplan'!$B$3:$B$302,MATCH('Journal'!E233,'Kontoplan'!$H$3:$H$302,0)),""))</f>
        <v/>
      </c>
      <c r="F464" s="20">
        <f>IF('Journal'!F233="","",'Journal'!F233)</f>
        <v/>
      </c>
      <c r="G464" s="20">
        <f>IF('Journal'!G233="","",'Journal'!G233)</f>
        <v/>
      </c>
      <c r="H464" s="5">
        <f>IF('Journal'!I233="","",'Journal'!I233)</f>
        <v/>
      </c>
    </row>
    <row r="465">
      <c r="A465" s="18">
        <f>IF('Journal'!A234="","",'Journal'!A234)</f>
        <v/>
      </c>
      <c r="B465" s="21">
        <f>IF('Journal'!B234="","",'Journal'!B234)</f>
        <v/>
      </c>
      <c r="C465" s="5">
        <f>IF('Journal'!C234="","",'Journal'!C234)</f>
        <v/>
      </c>
      <c r="D465" s="5">
        <f>IF('Journal'!D234="","",IFERROR(LEFT('Journal'!D234,FIND(" ",'Journal'!D234)-1),'Journal'!D234))</f>
        <v/>
      </c>
      <c r="E465" s="5">
        <f>IF('Journal'!D234="","",IFERROR(INDEX('Kontoplan'!$B$3:$B$302,MATCH('Journal'!D234,'Kontoplan'!$H$3:$H$302,0)),""))</f>
        <v/>
      </c>
      <c r="F465" s="20">
        <f>IF('Journal'!G234="","",'Journal'!G234)</f>
        <v/>
      </c>
      <c r="G465" s="20">
        <f>IF('Journal'!F234="","",'Journal'!F234)</f>
        <v/>
      </c>
      <c r="H465" s="5">
        <f>IF('Journal'!I234="","",'Journal'!I234)</f>
        <v/>
      </c>
    </row>
    <row r="466">
      <c r="A466" s="18">
        <f>IF('Journal'!A234="","",'Journal'!A234)</f>
        <v/>
      </c>
      <c r="B466" s="21">
        <f>IF('Journal'!B234="","",'Journal'!B234)</f>
        <v/>
      </c>
      <c r="C466" s="5">
        <f>IF('Journal'!C234="","",'Journal'!C234)</f>
        <v/>
      </c>
      <c r="D466" s="5">
        <f>IF('Journal'!E234="","",IFERROR(LEFT('Journal'!E234,FIND(" ",'Journal'!E234)-1),'Journal'!E234))</f>
        <v/>
      </c>
      <c r="E466" s="5">
        <f>IF('Journal'!E234="","",IFERROR(INDEX('Kontoplan'!$B$3:$B$302,MATCH('Journal'!E234,'Kontoplan'!$H$3:$H$302,0)),""))</f>
        <v/>
      </c>
      <c r="F466" s="20">
        <f>IF('Journal'!F234="","",'Journal'!F234)</f>
        <v/>
      </c>
      <c r="G466" s="20">
        <f>IF('Journal'!G234="","",'Journal'!G234)</f>
        <v/>
      </c>
      <c r="H466" s="5">
        <f>IF('Journal'!I234="","",'Journal'!I234)</f>
        <v/>
      </c>
    </row>
    <row r="467">
      <c r="A467" s="18">
        <f>IF('Journal'!A235="","",'Journal'!A235)</f>
        <v/>
      </c>
      <c r="B467" s="21">
        <f>IF('Journal'!B235="","",'Journal'!B235)</f>
        <v/>
      </c>
      <c r="C467" s="5">
        <f>IF('Journal'!C235="","",'Journal'!C235)</f>
        <v/>
      </c>
      <c r="D467" s="5">
        <f>IF('Journal'!D235="","",IFERROR(LEFT('Journal'!D235,FIND(" ",'Journal'!D235)-1),'Journal'!D235))</f>
        <v/>
      </c>
      <c r="E467" s="5">
        <f>IF('Journal'!D235="","",IFERROR(INDEX('Kontoplan'!$B$3:$B$302,MATCH('Journal'!D235,'Kontoplan'!$H$3:$H$302,0)),""))</f>
        <v/>
      </c>
      <c r="F467" s="20">
        <f>IF('Journal'!G235="","",'Journal'!G235)</f>
        <v/>
      </c>
      <c r="G467" s="20">
        <f>IF('Journal'!F235="","",'Journal'!F235)</f>
        <v/>
      </c>
      <c r="H467" s="5">
        <f>IF('Journal'!I235="","",'Journal'!I235)</f>
        <v/>
      </c>
    </row>
    <row r="468">
      <c r="A468" s="18">
        <f>IF('Journal'!A235="","",'Journal'!A235)</f>
        <v/>
      </c>
      <c r="B468" s="21">
        <f>IF('Journal'!B235="","",'Journal'!B235)</f>
        <v/>
      </c>
      <c r="C468" s="5">
        <f>IF('Journal'!C235="","",'Journal'!C235)</f>
        <v/>
      </c>
      <c r="D468" s="5">
        <f>IF('Journal'!E235="","",IFERROR(LEFT('Journal'!E235,FIND(" ",'Journal'!E235)-1),'Journal'!E235))</f>
        <v/>
      </c>
      <c r="E468" s="5">
        <f>IF('Journal'!E235="","",IFERROR(INDEX('Kontoplan'!$B$3:$B$302,MATCH('Journal'!E235,'Kontoplan'!$H$3:$H$302,0)),""))</f>
        <v/>
      </c>
      <c r="F468" s="20">
        <f>IF('Journal'!F235="","",'Journal'!F235)</f>
        <v/>
      </c>
      <c r="G468" s="20">
        <f>IF('Journal'!G235="","",'Journal'!G235)</f>
        <v/>
      </c>
      <c r="H468" s="5">
        <f>IF('Journal'!I235="","",'Journal'!I235)</f>
        <v/>
      </c>
    </row>
    <row r="469">
      <c r="A469" s="18">
        <f>IF('Journal'!A236="","",'Journal'!A236)</f>
        <v/>
      </c>
      <c r="B469" s="21">
        <f>IF('Journal'!B236="","",'Journal'!B236)</f>
        <v/>
      </c>
      <c r="C469" s="5">
        <f>IF('Journal'!C236="","",'Journal'!C236)</f>
        <v/>
      </c>
      <c r="D469" s="5">
        <f>IF('Journal'!D236="","",IFERROR(LEFT('Journal'!D236,FIND(" ",'Journal'!D236)-1),'Journal'!D236))</f>
        <v/>
      </c>
      <c r="E469" s="5">
        <f>IF('Journal'!D236="","",IFERROR(INDEX('Kontoplan'!$B$3:$B$302,MATCH('Journal'!D236,'Kontoplan'!$H$3:$H$302,0)),""))</f>
        <v/>
      </c>
      <c r="F469" s="20">
        <f>IF('Journal'!G236="","",'Journal'!G236)</f>
        <v/>
      </c>
      <c r="G469" s="20">
        <f>IF('Journal'!F236="","",'Journal'!F236)</f>
        <v/>
      </c>
      <c r="H469" s="5">
        <f>IF('Journal'!I236="","",'Journal'!I236)</f>
        <v/>
      </c>
    </row>
    <row r="470">
      <c r="A470" s="18">
        <f>IF('Journal'!A236="","",'Journal'!A236)</f>
        <v/>
      </c>
      <c r="B470" s="21">
        <f>IF('Journal'!B236="","",'Journal'!B236)</f>
        <v/>
      </c>
      <c r="C470" s="5">
        <f>IF('Journal'!C236="","",'Journal'!C236)</f>
        <v/>
      </c>
      <c r="D470" s="5">
        <f>IF('Journal'!E236="","",IFERROR(LEFT('Journal'!E236,FIND(" ",'Journal'!E236)-1),'Journal'!E236))</f>
        <v/>
      </c>
      <c r="E470" s="5">
        <f>IF('Journal'!E236="","",IFERROR(INDEX('Kontoplan'!$B$3:$B$302,MATCH('Journal'!E236,'Kontoplan'!$H$3:$H$302,0)),""))</f>
        <v/>
      </c>
      <c r="F470" s="20">
        <f>IF('Journal'!F236="","",'Journal'!F236)</f>
        <v/>
      </c>
      <c r="G470" s="20">
        <f>IF('Journal'!G236="","",'Journal'!G236)</f>
        <v/>
      </c>
      <c r="H470" s="5">
        <f>IF('Journal'!I236="","",'Journal'!I236)</f>
        <v/>
      </c>
    </row>
    <row r="471">
      <c r="A471" s="18">
        <f>IF('Journal'!A237="","",'Journal'!A237)</f>
        <v/>
      </c>
      <c r="B471" s="21">
        <f>IF('Journal'!B237="","",'Journal'!B237)</f>
        <v/>
      </c>
      <c r="C471" s="5">
        <f>IF('Journal'!C237="","",'Journal'!C237)</f>
        <v/>
      </c>
      <c r="D471" s="5">
        <f>IF('Journal'!D237="","",IFERROR(LEFT('Journal'!D237,FIND(" ",'Journal'!D237)-1),'Journal'!D237))</f>
        <v/>
      </c>
      <c r="E471" s="5">
        <f>IF('Journal'!D237="","",IFERROR(INDEX('Kontoplan'!$B$3:$B$302,MATCH('Journal'!D237,'Kontoplan'!$H$3:$H$302,0)),""))</f>
        <v/>
      </c>
      <c r="F471" s="20">
        <f>IF('Journal'!G237="","",'Journal'!G237)</f>
        <v/>
      </c>
      <c r="G471" s="20">
        <f>IF('Journal'!F237="","",'Journal'!F237)</f>
        <v/>
      </c>
      <c r="H471" s="5">
        <f>IF('Journal'!I237="","",'Journal'!I237)</f>
        <v/>
      </c>
    </row>
    <row r="472">
      <c r="A472" s="18">
        <f>IF('Journal'!A237="","",'Journal'!A237)</f>
        <v/>
      </c>
      <c r="B472" s="21">
        <f>IF('Journal'!B237="","",'Journal'!B237)</f>
        <v/>
      </c>
      <c r="C472" s="5">
        <f>IF('Journal'!C237="","",'Journal'!C237)</f>
        <v/>
      </c>
      <c r="D472" s="5">
        <f>IF('Journal'!E237="","",IFERROR(LEFT('Journal'!E237,FIND(" ",'Journal'!E237)-1),'Journal'!E237))</f>
        <v/>
      </c>
      <c r="E472" s="5">
        <f>IF('Journal'!E237="","",IFERROR(INDEX('Kontoplan'!$B$3:$B$302,MATCH('Journal'!E237,'Kontoplan'!$H$3:$H$302,0)),""))</f>
        <v/>
      </c>
      <c r="F472" s="20">
        <f>IF('Journal'!F237="","",'Journal'!F237)</f>
        <v/>
      </c>
      <c r="G472" s="20">
        <f>IF('Journal'!G237="","",'Journal'!G237)</f>
        <v/>
      </c>
      <c r="H472" s="5">
        <f>IF('Journal'!I237="","",'Journal'!I237)</f>
        <v/>
      </c>
    </row>
    <row r="473">
      <c r="A473" s="18">
        <f>IF('Journal'!A238="","",'Journal'!A238)</f>
        <v/>
      </c>
      <c r="B473" s="21">
        <f>IF('Journal'!B238="","",'Journal'!B238)</f>
        <v/>
      </c>
      <c r="C473" s="5">
        <f>IF('Journal'!C238="","",'Journal'!C238)</f>
        <v/>
      </c>
      <c r="D473" s="5">
        <f>IF('Journal'!D238="","",IFERROR(LEFT('Journal'!D238,FIND(" ",'Journal'!D238)-1),'Journal'!D238))</f>
        <v/>
      </c>
      <c r="E473" s="5">
        <f>IF('Journal'!D238="","",IFERROR(INDEX('Kontoplan'!$B$3:$B$302,MATCH('Journal'!D238,'Kontoplan'!$H$3:$H$302,0)),""))</f>
        <v/>
      </c>
      <c r="F473" s="20">
        <f>IF('Journal'!G238="","",'Journal'!G238)</f>
        <v/>
      </c>
      <c r="G473" s="20">
        <f>IF('Journal'!F238="","",'Journal'!F238)</f>
        <v/>
      </c>
      <c r="H473" s="5">
        <f>IF('Journal'!I238="","",'Journal'!I238)</f>
        <v/>
      </c>
    </row>
    <row r="474">
      <c r="A474" s="18">
        <f>IF('Journal'!A238="","",'Journal'!A238)</f>
        <v/>
      </c>
      <c r="B474" s="21">
        <f>IF('Journal'!B238="","",'Journal'!B238)</f>
        <v/>
      </c>
      <c r="C474" s="5">
        <f>IF('Journal'!C238="","",'Journal'!C238)</f>
        <v/>
      </c>
      <c r="D474" s="5">
        <f>IF('Journal'!E238="","",IFERROR(LEFT('Journal'!E238,FIND(" ",'Journal'!E238)-1),'Journal'!E238))</f>
        <v/>
      </c>
      <c r="E474" s="5">
        <f>IF('Journal'!E238="","",IFERROR(INDEX('Kontoplan'!$B$3:$B$302,MATCH('Journal'!E238,'Kontoplan'!$H$3:$H$302,0)),""))</f>
        <v/>
      </c>
      <c r="F474" s="20">
        <f>IF('Journal'!F238="","",'Journal'!F238)</f>
        <v/>
      </c>
      <c r="G474" s="20">
        <f>IF('Journal'!G238="","",'Journal'!G238)</f>
        <v/>
      </c>
      <c r="H474" s="5">
        <f>IF('Journal'!I238="","",'Journal'!I238)</f>
        <v/>
      </c>
    </row>
    <row r="475">
      <c r="A475" s="18">
        <f>IF('Journal'!A239="","",'Journal'!A239)</f>
        <v/>
      </c>
      <c r="B475" s="21">
        <f>IF('Journal'!B239="","",'Journal'!B239)</f>
        <v/>
      </c>
      <c r="C475" s="5">
        <f>IF('Journal'!C239="","",'Journal'!C239)</f>
        <v/>
      </c>
      <c r="D475" s="5">
        <f>IF('Journal'!D239="","",IFERROR(LEFT('Journal'!D239,FIND(" ",'Journal'!D239)-1),'Journal'!D239))</f>
        <v/>
      </c>
      <c r="E475" s="5">
        <f>IF('Journal'!D239="","",IFERROR(INDEX('Kontoplan'!$B$3:$B$302,MATCH('Journal'!D239,'Kontoplan'!$H$3:$H$302,0)),""))</f>
        <v/>
      </c>
      <c r="F475" s="20">
        <f>IF('Journal'!G239="","",'Journal'!G239)</f>
        <v/>
      </c>
      <c r="G475" s="20">
        <f>IF('Journal'!F239="","",'Journal'!F239)</f>
        <v/>
      </c>
      <c r="H475" s="5">
        <f>IF('Journal'!I239="","",'Journal'!I239)</f>
        <v/>
      </c>
    </row>
    <row r="476">
      <c r="A476" s="18">
        <f>IF('Journal'!A239="","",'Journal'!A239)</f>
        <v/>
      </c>
      <c r="B476" s="21">
        <f>IF('Journal'!B239="","",'Journal'!B239)</f>
        <v/>
      </c>
      <c r="C476" s="5">
        <f>IF('Journal'!C239="","",'Journal'!C239)</f>
        <v/>
      </c>
      <c r="D476" s="5">
        <f>IF('Journal'!E239="","",IFERROR(LEFT('Journal'!E239,FIND(" ",'Journal'!E239)-1),'Journal'!E239))</f>
        <v/>
      </c>
      <c r="E476" s="5">
        <f>IF('Journal'!E239="","",IFERROR(INDEX('Kontoplan'!$B$3:$B$302,MATCH('Journal'!E239,'Kontoplan'!$H$3:$H$302,0)),""))</f>
        <v/>
      </c>
      <c r="F476" s="20">
        <f>IF('Journal'!F239="","",'Journal'!F239)</f>
        <v/>
      </c>
      <c r="G476" s="20">
        <f>IF('Journal'!G239="","",'Journal'!G239)</f>
        <v/>
      </c>
      <c r="H476" s="5">
        <f>IF('Journal'!I239="","",'Journal'!I239)</f>
        <v/>
      </c>
    </row>
    <row r="477">
      <c r="A477" s="18">
        <f>IF('Journal'!A240="","",'Journal'!A240)</f>
        <v/>
      </c>
      <c r="B477" s="21">
        <f>IF('Journal'!B240="","",'Journal'!B240)</f>
        <v/>
      </c>
      <c r="C477" s="5">
        <f>IF('Journal'!C240="","",'Journal'!C240)</f>
        <v/>
      </c>
      <c r="D477" s="5">
        <f>IF('Journal'!D240="","",IFERROR(LEFT('Journal'!D240,FIND(" ",'Journal'!D240)-1),'Journal'!D240))</f>
        <v/>
      </c>
      <c r="E477" s="5">
        <f>IF('Journal'!D240="","",IFERROR(INDEX('Kontoplan'!$B$3:$B$302,MATCH('Journal'!D240,'Kontoplan'!$H$3:$H$302,0)),""))</f>
        <v/>
      </c>
      <c r="F477" s="20">
        <f>IF('Journal'!G240="","",'Journal'!G240)</f>
        <v/>
      </c>
      <c r="G477" s="20">
        <f>IF('Journal'!F240="","",'Journal'!F240)</f>
        <v/>
      </c>
      <c r="H477" s="5">
        <f>IF('Journal'!I240="","",'Journal'!I240)</f>
        <v/>
      </c>
    </row>
    <row r="478">
      <c r="A478" s="18">
        <f>IF('Journal'!A240="","",'Journal'!A240)</f>
        <v/>
      </c>
      <c r="B478" s="21">
        <f>IF('Journal'!B240="","",'Journal'!B240)</f>
        <v/>
      </c>
      <c r="C478" s="5">
        <f>IF('Journal'!C240="","",'Journal'!C240)</f>
        <v/>
      </c>
      <c r="D478" s="5">
        <f>IF('Journal'!E240="","",IFERROR(LEFT('Journal'!E240,FIND(" ",'Journal'!E240)-1),'Journal'!E240))</f>
        <v/>
      </c>
      <c r="E478" s="5">
        <f>IF('Journal'!E240="","",IFERROR(INDEX('Kontoplan'!$B$3:$B$302,MATCH('Journal'!E240,'Kontoplan'!$H$3:$H$302,0)),""))</f>
        <v/>
      </c>
      <c r="F478" s="20">
        <f>IF('Journal'!F240="","",'Journal'!F240)</f>
        <v/>
      </c>
      <c r="G478" s="20">
        <f>IF('Journal'!G240="","",'Journal'!G240)</f>
        <v/>
      </c>
      <c r="H478" s="5">
        <f>IF('Journal'!I240="","",'Journal'!I240)</f>
        <v/>
      </c>
    </row>
    <row r="479">
      <c r="A479" s="18">
        <f>IF('Journal'!A241="","",'Journal'!A241)</f>
        <v/>
      </c>
      <c r="B479" s="21">
        <f>IF('Journal'!B241="","",'Journal'!B241)</f>
        <v/>
      </c>
      <c r="C479" s="5">
        <f>IF('Journal'!C241="","",'Journal'!C241)</f>
        <v/>
      </c>
      <c r="D479" s="5">
        <f>IF('Journal'!D241="","",IFERROR(LEFT('Journal'!D241,FIND(" ",'Journal'!D241)-1),'Journal'!D241))</f>
        <v/>
      </c>
      <c r="E479" s="5">
        <f>IF('Journal'!D241="","",IFERROR(INDEX('Kontoplan'!$B$3:$B$302,MATCH('Journal'!D241,'Kontoplan'!$H$3:$H$302,0)),""))</f>
        <v/>
      </c>
      <c r="F479" s="20">
        <f>IF('Journal'!G241="","",'Journal'!G241)</f>
        <v/>
      </c>
      <c r="G479" s="20">
        <f>IF('Journal'!F241="","",'Journal'!F241)</f>
        <v/>
      </c>
      <c r="H479" s="5">
        <f>IF('Journal'!I241="","",'Journal'!I241)</f>
        <v/>
      </c>
    </row>
    <row r="480">
      <c r="A480" s="18">
        <f>IF('Journal'!A241="","",'Journal'!A241)</f>
        <v/>
      </c>
      <c r="B480" s="21">
        <f>IF('Journal'!B241="","",'Journal'!B241)</f>
        <v/>
      </c>
      <c r="C480" s="5">
        <f>IF('Journal'!C241="","",'Journal'!C241)</f>
        <v/>
      </c>
      <c r="D480" s="5">
        <f>IF('Journal'!E241="","",IFERROR(LEFT('Journal'!E241,FIND(" ",'Journal'!E241)-1),'Journal'!E241))</f>
        <v/>
      </c>
      <c r="E480" s="5">
        <f>IF('Journal'!E241="","",IFERROR(INDEX('Kontoplan'!$B$3:$B$302,MATCH('Journal'!E241,'Kontoplan'!$H$3:$H$302,0)),""))</f>
        <v/>
      </c>
      <c r="F480" s="20">
        <f>IF('Journal'!F241="","",'Journal'!F241)</f>
        <v/>
      </c>
      <c r="G480" s="20">
        <f>IF('Journal'!G241="","",'Journal'!G241)</f>
        <v/>
      </c>
      <c r="H480" s="5">
        <f>IF('Journal'!I241="","",'Journal'!I241)</f>
        <v/>
      </c>
    </row>
    <row r="481">
      <c r="A481" s="18">
        <f>IF('Journal'!A242="","",'Journal'!A242)</f>
        <v/>
      </c>
      <c r="B481" s="21">
        <f>IF('Journal'!B242="","",'Journal'!B242)</f>
        <v/>
      </c>
      <c r="C481" s="5">
        <f>IF('Journal'!C242="","",'Journal'!C242)</f>
        <v/>
      </c>
      <c r="D481" s="5">
        <f>IF('Journal'!D242="","",IFERROR(LEFT('Journal'!D242,FIND(" ",'Journal'!D242)-1),'Journal'!D242))</f>
        <v/>
      </c>
      <c r="E481" s="5">
        <f>IF('Journal'!D242="","",IFERROR(INDEX('Kontoplan'!$B$3:$B$302,MATCH('Journal'!D242,'Kontoplan'!$H$3:$H$302,0)),""))</f>
        <v/>
      </c>
      <c r="F481" s="20">
        <f>IF('Journal'!G242="","",'Journal'!G242)</f>
        <v/>
      </c>
      <c r="G481" s="20">
        <f>IF('Journal'!F242="","",'Journal'!F242)</f>
        <v/>
      </c>
      <c r="H481" s="5">
        <f>IF('Journal'!I242="","",'Journal'!I242)</f>
        <v/>
      </c>
    </row>
    <row r="482">
      <c r="A482" s="18">
        <f>IF('Journal'!A242="","",'Journal'!A242)</f>
        <v/>
      </c>
      <c r="B482" s="21">
        <f>IF('Journal'!B242="","",'Journal'!B242)</f>
        <v/>
      </c>
      <c r="C482" s="5">
        <f>IF('Journal'!C242="","",'Journal'!C242)</f>
        <v/>
      </c>
      <c r="D482" s="5">
        <f>IF('Journal'!E242="","",IFERROR(LEFT('Journal'!E242,FIND(" ",'Journal'!E242)-1),'Journal'!E242))</f>
        <v/>
      </c>
      <c r="E482" s="5">
        <f>IF('Journal'!E242="","",IFERROR(INDEX('Kontoplan'!$B$3:$B$302,MATCH('Journal'!E242,'Kontoplan'!$H$3:$H$302,0)),""))</f>
        <v/>
      </c>
      <c r="F482" s="20">
        <f>IF('Journal'!F242="","",'Journal'!F242)</f>
        <v/>
      </c>
      <c r="G482" s="20">
        <f>IF('Journal'!G242="","",'Journal'!G242)</f>
        <v/>
      </c>
      <c r="H482" s="5">
        <f>IF('Journal'!I242="","",'Journal'!I242)</f>
        <v/>
      </c>
    </row>
    <row r="483">
      <c r="A483" s="18">
        <f>IF('Journal'!A243="","",'Journal'!A243)</f>
        <v/>
      </c>
      <c r="B483" s="21">
        <f>IF('Journal'!B243="","",'Journal'!B243)</f>
        <v/>
      </c>
      <c r="C483" s="5">
        <f>IF('Journal'!C243="","",'Journal'!C243)</f>
        <v/>
      </c>
      <c r="D483" s="5">
        <f>IF('Journal'!D243="","",IFERROR(LEFT('Journal'!D243,FIND(" ",'Journal'!D243)-1),'Journal'!D243))</f>
        <v/>
      </c>
      <c r="E483" s="5">
        <f>IF('Journal'!D243="","",IFERROR(INDEX('Kontoplan'!$B$3:$B$302,MATCH('Journal'!D243,'Kontoplan'!$H$3:$H$302,0)),""))</f>
        <v/>
      </c>
      <c r="F483" s="20">
        <f>IF('Journal'!G243="","",'Journal'!G243)</f>
        <v/>
      </c>
      <c r="G483" s="20">
        <f>IF('Journal'!F243="","",'Journal'!F243)</f>
        <v/>
      </c>
      <c r="H483" s="5">
        <f>IF('Journal'!I243="","",'Journal'!I243)</f>
        <v/>
      </c>
    </row>
    <row r="484">
      <c r="A484" s="18">
        <f>IF('Journal'!A243="","",'Journal'!A243)</f>
        <v/>
      </c>
      <c r="B484" s="21">
        <f>IF('Journal'!B243="","",'Journal'!B243)</f>
        <v/>
      </c>
      <c r="C484" s="5">
        <f>IF('Journal'!C243="","",'Journal'!C243)</f>
        <v/>
      </c>
      <c r="D484" s="5">
        <f>IF('Journal'!E243="","",IFERROR(LEFT('Journal'!E243,FIND(" ",'Journal'!E243)-1),'Journal'!E243))</f>
        <v/>
      </c>
      <c r="E484" s="5">
        <f>IF('Journal'!E243="","",IFERROR(INDEX('Kontoplan'!$B$3:$B$302,MATCH('Journal'!E243,'Kontoplan'!$H$3:$H$302,0)),""))</f>
        <v/>
      </c>
      <c r="F484" s="20">
        <f>IF('Journal'!F243="","",'Journal'!F243)</f>
        <v/>
      </c>
      <c r="G484" s="20">
        <f>IF('Journal'!G243="","",'Journal'!G243)</f>
        <v/>
      </c>
      <c r="H484" s="5">
        <f>IF('Journal'!I243="","",'Journal'!I243)</f>
        <v/>
      </c>
    </row>
    <row r="485">
      <c r="A485" s="18">
        <f>IF('Journal'!A244="","",'Journal'!A244)</f>
        <v/>
      </c>
      <c r="B485" s="21">
        <f>IF('Journal'!B244="","",'Journal'!B244)</f>
        <v/>
      </c>
      <c r="C485" s="5">
        <f>IF('Journal'!C244="","",'Journal'!C244)</f>
        <v/>
      </c>
      <c r="D485" s="5">
        <f>IF('Journal'!D244="","",IFERROR(LEFT('Journal'!D244,FIND(" ",'Journal'!D244)-1),'Journal'!D244))</f>
        <v/>
      </c>
      <c r="E485" s="5">
        <f>IF('Journal'!D244="","",IFERROR(INDEX('Kontoplan'!$B$3:$B$302,MATCH('Journal'!D244,'Kontoplan'!$H$3:$H$302,0)),""))</f>
        <v/>
      </c>
      <c r="F485" s="20">
        <f>IF('Journal'!G244="","",'Journal'!G244)</f>
        <v/>
      </c>
      <c r="G485" s="20">
        <f>IF('Journal'!F244="","",'Journal'!F244)</f>
        <v/>
      </c>
      <c r="H485" s="5">
        <f>IF('Journal'!I244="","",'Journal'!I244)</f>
        <v/>
      </c>
    </row>
    <row r="486">
      <c r="A486" s="18">
        <f>IF('Journal'!A244="","",'Journal'!A244)</f>
        <v/>
      </c>
      <c r="B486" s="21">
        <f>IF('Journal'!B244="","",'Journal'!B244)</f>
        <v/>
      </c>
      <c r="C486" s="5">
        <f>IF('Journal'!C244="","",'Journal'!C244)</f>
        <v/>
      </c>
      <c r="D486" s="5">
        <f>IF('Journal'!E244="","",IFERROR(LEFT('Journal'!E244,FIND(" ",'Journal'!E244)-1),'Journal'!E244))</f>
        <v/>
      </c>
      <c r="E486" s="5">
        <f>IF('Journal'!E244="","",IFERROR(INDEX('Kontoplan'!$B$3:$B$302,MATCH('Journal'!E244,'Kontoplan'!$H$3:$H$302,0)),""))</f>
        <v/>
      </c>
      <c r="F486" s="20">
        <f>IF('Journal'!F244="","",'Journal'!F244)</f>
        <v/>
      </c>
      <c r="G486" s="20">
        <f>IF('Journal'!G244="","",'Journal'!G244)</f>
        <v/>
      </c>
      <c r="H486" s="5">
        <f>IF('Journal'!I244="","",'Journal'!I244)</f>
        <v/>
      </c>
    </row>
    <row r="487">
      <c r="A487" s="18">
        <f>IF('Journal'!A245="","",'Journal'!A245)</f>
        <v/>
      </c>
      <c r="B487" s="21">
        <f>IF('Journal'!B245="","",'Journal'!B245)</f>
        <v/>
      </c>
      <c r="C487" s="5">
        <f>IF('Journal'!C245="","",'Journal'!C245)</f>
        <v/>
      </c>
      <c r="D487" s="5">
        <f>IF('Journal'!D245="","",IFERROR(LEFT('Journal'!D245,FIND(" ",'Journal'!D245)-1),'Journal'!D245))</f>
        <v/>
      </c>
      <c r="E487" s="5">
        <f>IF('Journal'!D245="","",IFERROR(INDEX('Kontoplan'!$B$3:$B$302,MATCH('Journal'!D245,'Kontoplan'!$H$3:$H$302,0)),""))</f>
        <v/>
      </c>
      <c r="F487" s="20">
        <f>IF('Journal'!G245="","",'Journal'!G245)</f>
        <v/>
      </c>
      <c r="G487" s="20">
        <f>IF('Journal'!F245="","",'Journal'!F245)</f>
        <v/>
      </c>
      <c r="H487" s="5">
        <f>IF('Journal'!I245="","",'Journal'!I245)</f>
        <v/>
      </c>
    </row>
    <row r="488">
      <c r="A488" s="18">
        <f>IF('Journal'!A245="","",'Journal'!A245)</f>
        <v/>
      </c>
      <c r="B488" s="21">
        <f>IF('Journal'!B245="","",'Journal'!B245)</f>
        <v/>
      </c>
      <c r="C488" s="5">
        <f>IF('Journal'!C245="","",'Journal'!C245)</f>
        <v/>
      </c>
      <c r="D488" s="5">
        <f>IF('Journal'!E245="","",IFERROR(LEFT('Journal'!E245,FIND(" ",'Journal'!E245)-1),'Journal'!E245))</f>
        <v/>
      </c>
      <c r="E488" s="5">
        <f>IF('Journal'!E245="","",IFERROR(INDEX('Kontoplan'!$B$3:$B$302,MATCH('Journal'!E245,'Kontoplan'!$H$3:$H$302,0)),""))</f>
        <v/>
      </c>
      <c r="F488" s="20">
        <f>IF('Journal'!F245="","",'Journal'!F245)</f>
        <v/>
      </c>
      <c r="G488" s="20">
        <f>IF('Journal'!G245="","",'Journal'!G245)</f>
        <v/>
      </c>
      <c r="H488" s="5">
        <f>IF('Journal'!I245="","",'Journal'!I245)</f>
        <v/>
      </c>
    </row>
    <row r="489">
      <c r="A489" s="18">
        <f>IF('Journal'!A246="","",'Journal'!A246)</f>
        <v/>
      </c>
      <c r="B489" s="21">
        <f>IF('Journal'!B246="","",'Journal'!B246)</f>
        <v/>
      </c>
      <c r="C489" s="5">
        <f>IF('Journal'!C246="","",'Journal'!C246)</f>
        <v/>
      </c>
      <c r="D489" s="5">
        <f>IF('Journal'!D246="","",IFERROR(LEFT('Journal'!D246,FIND(" ",'Journal'!D246)-1),'Journal'!D246))</f>
        <v/>
      </c>
      <c r="E489" s="5">
        <f>IF('Journal'!D246="","",IFERROR(INDEX('Kontoplan'!$B$3:$B$302,MATCH('Journal'!D246,'Kontoplan'!$H$3:$H$302,0)),""))</f>
        <v/>
      </c>
      <c r="F489" s="20">
        <f>IF('Journal'!G246="","",'Journal'!G246)</f>
        <v/>
      </c>
      <c r="G489" s="20">
        <f>IF('Journal'!F246="","",'Journal'!F246)</f>
        <v/>
      </c>
      <c r="H489" s="5">
        <f>IF('Journal'!I246="","",'Journal'!I246)</f>
        <v/>
      </c>
    </row>
    <row r="490">
      <c r="A490" s="18">
        <f>IF('Journal'!A246="","",'Journal'!A246)</f>
        <v/>
      </c>
      <c r="B490" s="21">
        <f>IF('Journal'!B246="","",'Journal'!B246)</f>
        <v/>
      </c>
      <c r="C490" s="5">
        <f>IF('Journal'!C246="","",'Journal'!C246)</f>
        <v/>
      </c>
      <c r="D490" s="5">
        <f>IF('Journal'!E246="","",IFERROR(LEFT('Journal'!E246,FIND(" ",'Journal'!E246)-1),'Journal'!E246))</f>
        <v/>
      </c>
      <c r="E490" s="5">
        <f>IF('Journal'!E246="","",IFERROR(INDEX('Kontoplan'!$B$3:$B$302,MATCH('Journal'!E246,'Kontoplan'!$H$3:$H$302,0)),""))</f>
        <v/>
      </c>
      <c r="F490" s="20">
        <f>IF('Journal'!F246="","",'Journal'!F246)</f>
        <v/>
      </c>
      <c r="G490" s="20">
        <f>IF('Journal'!G246="","",'Journal'!G246)</f>
        <v/>
      </c>
      <c r="H490" s="5">
        <f>IF('Journal'!I246="","",'Journal'!I246)</f>
        <v/>
      </c>
    </row>
    <row r="491">
      <c r="A491" s="18">
        <f>IF('Journal'!A247="","",'Journal'!A247)</f>
        <v/>
      </c>
      <c r="B491" s="21">
        <f>IF('Journal'!B247="","",'Journal'!B247)</f>
        <v/>
      </c>
      <c r="C491" s="5">
        <f>IF('Journal'!C247="","",'Journal'!C247)</f>
        <v/>
      </c>
      <c r="D491" s="5">
        <f>IF('Journal'!D247="","",IFERROR(LEFT('Journal'!D247,FIND(" ",'Journal'!D247)-1),'Journal'!D247))</f>
        <v/>
      </c>
      <c r="E491" s="5">
        <f>IF('Journal'!D247="","",IFERROR(INDEX('Kontoplan'!$B$3:$B$302,MATCH('Journal'!D247,'Kontoplan'!$H$3:$H$302,0)),""))</f>
        <v/>
      </c>
      <c r="F491" s="20">
        <f>IF('Journal'!G247="","",'Journal'!G247)</f>
        <v/>
      </c>
      <c r="G491" s="20">
        <f>IF('Journal'!F247="","",'Journal'!F247)</f>
        <v/>
      </c>
      <c r="H491" s="5">
        <f>IF('Journal'!I247="","",'Journal'!I247)</f>
        <v/>
      </c>
    </row>
    <row r="492">
      <c r="A492" s="18">
        <f>IF('Journal'!A247="","",'Journal'!A247)</f>
        <v/>
      </c>
      <c r="B492" s="21">
        <f>IF('Journal'!B247="","",'Journal'!B247)</f>
        <v/>
      </c>
      <c r="C492" s="5">
        <f>IF('Journal'!C247="","",'Journal'!C247)</f>
        <v/>
      </c>
      <c r="D492" s="5">
        <f>IF('Journal'!E247="","",IFERROR(LEFT('Journal'!E247,FIND(" ",'Journal'!E247)-1),'Journal'!E247))</f>
        <v/>
      </c>
      <c r="E492" s="5">
        <f>IF('Journal'!E247="","",IFERROR(INDEX('Kontoplan'!$B$3:$B$302,MATCH('Journal'!E247,'Kontoplan'!$H$3:$H$302,0)),""))</f>
        <v/>
      </c>
      <c r="F492" s="20">
        <f>IF('Journal'!F247="","",'Journal'!F247)</f>
        <v/>
      </c>
      <c r="G492" s="20">
        <f>IF('Journal'!G247="","",'Journal'!G247)</f>
        <v/>
      </c>
      <c r="H492" s="5">
        <f>IF('Journal'!I247="","",'Journal'!I247)</f>
        <v/>
      </c>
    </row>
    <row r="493">
      <c r="A493" s="18">
        <f>IF('Journal'!A248="","",'Journal'!A248)</f>
        <v/>
      </c>
      <c r="B493" s="21">
        <f>IF('Journal'!B248="","",'Journal'!B248)</f>
        <v/>
      </c>
      <c r="C493" s="5">
        <f>IF('Journal'!C248="","",'Journal'!C248)</f>
        <v/>
      </c>
      <c r="D493" s="5">
        <f>IF('Journal'!D248="","",IFERROR(LEFT('Journal'!D248,FIND(" ",'Journal'!D248)-1),'Journal'!D248))</f>
        <v/>
      </c>
      <c r="E493" s="5">
        <f>IF('Journal'!D248="","",IFERROR(INDEX('Kontoplan'!$B$3:$B$302,MATCH('Journal'!D248,'Kontoplan'!$H$3:$H$302,0)),""))</f>
        <v/>
      </c>
      <c r="F493" s="20">
        <f>IF('Journal'!G248="","",'Journal'!G248)</f>
        <v/>
      </c>
      <c r="G493" s="20">
        <f>IF('Journal'!F248="","",'Journal'!F248)</f>
        <v/>
      </c>
      <c r="H493" s="5">
        <f>IF('Journal'!I248="","",'Journal'!I248)</f>
        <v/>
      </c>
    </row>
    <row r="494">
      <c r="A494" s="18">
        <f>IF('Journal'!A248="","",'Journal'!A248)</f>
        <v/>
      </c>
      <c r="B494" s="21">
        <f>IF('Journal'!B248="","",'Journal'!B248)</f>
        <v/>
      </c>
      <c r="C494" s="5">
        <f>IF('Journal'!C248="","",'Journal'!C248)</f>
        <v/>
      </c>
      <c r="D494" s="5">
        <f>IF('Journal'!E248="","",IFERROR(LEFT('Journal'!E248,FIND(" ",'Journal'!E248)-1),'Journal'!E248))</f>
        <v/>
      </c>
      <c r="E494" s="5">
        <f>IF('Journal'!E248="","",IFERROR(INDEX('Kontoplan'!$B$3:$B$302,MATCH('Journal'!E248,'Kontoplan'!$H$3:$H$302,0)),""))</f>
        <v/>
      </c>
      <c r="F494" s="20">
        <f>IF('Journal'!F248="","",'Journal'!F248)</f>
        <v/>
      </c>
      <c r="G494" s="20">
        <f>IF('Journal'!G248="","",'Journal'!G248)</f>
        <v/>
      </c>
      <c r="H494" s="5">
        <f>IF('Journal'!I248="","",'Journal'!I248)</f>
        <v/>
      </c>
    </row>
    <row r="495">
      <c r="A495" s="18">
        <f>IF('Journal'!A249="","",'Journal'!A249)</f>
        <v/>
      </c>
      <c r="B495" s="21">
        <f>IF('Journal'!B249="","",'Journal'!B249)</f>
        <v/>
      </c>
      <c r="C495" s="5">
        <f>IF('Journal'!C249="","",'Journal'!C249)</f>
        <v/>
      </c>
      <c r="D495" s="5">
        <f>IF('Journal'!D249="","",IFERROR(LEFT('Journal'!D249,FIND(" ",'Journal'!D249)-1),'Journal'!D249))</f>
        <v/>
      </c>
      <c r="E495" s="5">
        <f>IF('Journal'!D249="","",IFERROR(INDEX('Kontoplan'!$B$3:$B$302,MATCH('Journal'!D249,'Kontoplan'!$H$3:$H$302,0)),""))</f>
        <v/>
      </c>
      <c r="F495" s="20">
        <f>IF('Journal'!G249="","",'Journal'!G249)</f>
        <v/>
      </c>
      <c r="G495" s="20">
        <f>IF('Journal'!F249="","",'Journal'!F249)</f>
        <v/>
      </c>
      <c r="H495" s="5">
        <f>IF('Journal'!I249="","",'Journal'!I249)</f>
        <v/>
      </c>
    </row>
    <row r="496">
      <c r="A496" s="18">
        <f>IF('Journal'!A249="","",'Journal'!A249)</f>
        <v/>
      </c>
      <c r="B496" s="21">
        <f>IF('Journal'!B249="","",'Journal'!B249)</f>
        <v/>
      </c>
      <c r="C496" s="5">
        <f>IF('Journal'!C249="","",'Journal'!C249)</f>
        <v/>
      </c>
      <c r="D496" s="5">
        <f>IF('Journal'!E249="","",IFERROR(LEFT('Journal'!E249,FIND(" ",'Journal'!E249)-1),'Journal'!E249))</f>
        <v/>
      </c>
      <c r="E496" s="5">
        <f>IF('Journal'!E249="","",IFERROR(INDEX('Kontoplan'!$B$3:$B$302,MATCH('Journal'!E249,'Kontoplan'!$H$3:$H$302,0)),""))</f>
        <v/>
      </c>
      <c r="F496" s="20">
        <f>IF('Journal'!F249="","",'Journal'!F249)</f>
        <v/>
      </c>
      <c r="G496" s="20">
        <f>IF('Journal'!G249="","",'Journal'!G249)</f>
        <v/>
      </c>
      <c r="H496" s="5">
        <f>IF('Journal'!I249="","",'Journal'!I249)</f>
        <v/>
      </c>
    </row>
    <row r="497">
      <c r="A497" s="18">
        <f>IF('Journal'!A250="","",'Journal'!A250)</f>
        <v/>
      </c>
      <c r="B497" s="21">
        <f>IF('Journal'!B250="","",'Journal'!B250)</f>
        <v/>
      </c>
      <c r="C497" s="5">
        <f>IF('Journal'!C250="","",'Journal'!C250)</f>
        <v/>
      </c>
      <c r="D497" s="5">
        <f>IF('Journal'!D250="","",IFERROR(LEFT('Journal'!D250,FIND(" ",'Journal'!D250)-1),'Journal'!D250))</f>
        <v/>
      </c>
      <c r="E497" s="5">
        <f>IF('Journal'!D250="","",IFERROR(INDEX('Kontoplan'!$B$3:$B$302,MATCH('Journal'!D250,'Kontoplan'!$H$3:$H$302,0)),""))</f>
        <v/>
      </c>
      <c r="F497" s="20">
        <f>IF('Journal'!G250="","",'Journal'!G250)</f>
        <v/>
      </c>
      <c r="G497" s="20">
        <f>IF('Journal'!F250="","",'Journal'!F250)</f>
        <v/>
      </c>
      <c r="H497" s="5">
        <f>IF('Journal'!I250="","",'Journal'!I250)</f>
        <v/>
      </c>
    </row>
    <row r="498">
      <c r="A498" s="18">
        <f>IF('Journal'!A250="","",'Journal'!A250)</f>
        <v/>
      </c>
      <c r="B498" s="21">
        <f>IF('Journal'!B250="","",'Journal'!B250)</f>
        <v/>
      </c>
      <c r="C498" s="5">
        <f>IF('Journal'!C250="","",'Journal'!C250)</f>
        <v/>
      </c>
      <c r="D498" s="5">
        <f>IF('Journal'!E250="","",IFERROR(LEFT('Journal'!E250,FIND(" ",'Journal'!E250)-1),'Journal'!E250))</f>
        <v/>
      </c>
      <c r="E498" s="5">
        <f>IF('Journal'!E250="","",IFERROR(INDEX('Kontoplan'!$B$3:$B$302,MATCH('Journal'!E250,'Kontoplan'!$H$3:$H$302,0)),""))</f>
        <v/>
      </c>
      <c r="F498" s="20">
        <f>IF('Journal'!F250="","",'Journal'!F250)</f>
        <v/>
      </c>
      <c r="G498" s="20">
        <f>IF('Journal'!G250="","",'Journal'!G250)</f>
        <v/>
      </c>
      <c r="H498" s="5">
        <f>IF('Journal'!I250="","",'Journal'!I250)</f>
        <v/>
      </c>
    </row>
    <row r="499">
      <c r="A499" s="18">
        <f>IF('Journal'!A251="","",'Journal'!A251)</f>
        <v/>
      </c>
      <c r="B499" s="21">
        <f>IF('Journal'!B251="","",'Journal'!B251)</f>
        <v/>
      </c>
      <c r="C499" s="5">
        <f>IF('Journal'!C251="","",'Journal'!C251)</f>
        <v/>
      </c>
      <c r="D499" s="5">
        <f>IF('Journal'!D251="","",IFERROR(LEFT('Journal'!D251,FIND(" ",'Journal'!D251)-1),'Journal'!D251))</f>
        <v/>
      </c>
      <c r="E499" s="5">
        <f>IF('Journal'!D251="","",IFERROR(INDEX('Kontoplan'!$B$3:$B$302,MATCH('Journal'!D251,'Kontoplan'!$H$3:$H$302,0)),""))</f>
        <v/>
      </c>
      <c r="F499" s="20">
        <f>IF('Journal'!G251="","",'Journal'!G251)</f>
        <v/>
      </c>
      <c r="G499" s="20">
        <f>IF('Journal'!F251="","",'Journal'!F251)</f>
        <v/>
      </c>
      <c r="H499" s="5">
        <f>IF('Journal'!I251="","",'Journal'!I251)</f>
        <v/>
      </c>
    </row>
    <row r="500">
      <c r="A500" s="18">
        <f>IF('Journal'!A251="","",'Journal'!A251)</f>
        <v/>
      </c>
      <c r="B500" s="21">
        <f>IF('Journal'!B251="","",'Journal'!B251)</f>
        <v/>
      </c>
      <c r="C500" s="5">
        <f>IF('Journal'!C251="","",'Journal'!C251)</f>
        <v/>
      </c>
      <c r="D500" s="5">
        <f>IF('Journal'!E251="","",IFERROR(LEFT('Journal'!E251,FIND(" ",'Journal'!E251)-1),'Journal'!E251))</f>
        <v/>
      </c>
      <c r="E500" s="5">
        <f>IF('Journal'!E251="","",IFERROR(INDEX('Kontoplan'!$B$3:$B$302,MATCH('Journal'!E251,'Kontoplan'!$H$3:$H$302,0)),""))</f>
        <v/>
      </c>
      <c r="F500" s="20">
        <f>IF('Journal'!F251="","",'Journal'!F251)</f>
        <v/>
      </c>
      <c r="G500" s="20">
        <f>IF('Journal'!G251="","",'Journal'!G251)</f>
        <v/>
      </c>
      <c r="H500" s="5">
        <f>IF('Journal'!I251="","",'Journal'!I251)</f>
        <v/>
      </c>
    </row>
    <row r="501">
      <c r="A501" s="18">
        <f>IF('Journal'!A252="","",'Journal'!A252)</f>
        <v/>
      </c>
      <c r="B501" s="21">
        <f>IF('Journal'!B252="","",'Journal'!B252)</f>
        <v/>
      </c>
      <c r="C501" s="5">
        <f>IF('Journal'!C252="","",'Journal'!C252)</f>
        <v/>
      </c>
      <c r="D501" s="5">
        <f>IF('Journal'!D252="","",IFERROR(LEFT('Journal'!D252,FIND(" ",'Journal'!D252)-1),'Journal'!D252))</f>
        <v/>
      </c>
      <c r="E501" s="5">
        <f>IF('Journal'!D252="","",IFERROR(INDEX('Kontoplan'!$B$3:$B$302,MATCH('Journal'!D252,'Kontoplan'!$H$3:$H$302,0)),""))</f>
        <v/>
      </c>
      <c r="F501" s="20">
        <f>IF('Journal'!G252="","",'Journal'!G252)</f>
        <v/>
      </c>
      <c r="G501" s="20">
        <f>IF('Journal'!F252="","",'Journal'!F252)</f>
        <v/>
      </c>
      <c r="H501" s="5">
        <f>IF('Journal'!I252="","",'Journal'!I252)</f>
        <v/>
      </c>
    </row>
    <row r="502">
      <c r="A502" s="18">
        <f>IF('Journal'!A252="","",'Journal'!A252)</f>
        <v/>
      </c>
      <c r="B502" s="21">
        <f>IF('Journal'!B252="","",'Journal'!B252)</f>
        <v/>
      </c>
      <c r="C502" s="5">
        <f>IF('Journal'!C252="","",'Journal'!C252)</f>
        <v/>
      </c>
      <c r="D502" s="5">
        <f>IF('Journal'!E252="","",IFERROR(LEFT('Journal'!E252,FIND(" ",'Journal'!E252)-1),'Journal'!E252))</f>
        <v/>
      </c>
      <c r="E502" s="5">
        <f>IF('Journal'!E252="","",IFERROR(INDEX('Kontoplan'!$B$3:$B$302,MATCH('Journal'!E252,'Kontoplan'!$H$3:$H$302,0)),""))</f>
        <v/>
      </c>
      <c r="F502" s="20">
        <f>IF('Journal'!F252="","",'Journal'!F252)</f>
        <v/>
      </c>
      <c r="G502" s="20">
        <f>IF('Journal'!G252="","",'Journal'!G252)</f>
        <v/>
      </c>
      <c r="H502" s="5">
        <f>IF('Journal'!I252="","",'Journal'!I252)</f>
        <v/>
      </c>
    </row>
    <row r="503">
      <c r="A503" s="18">
        <f>IF('Journal'!A253="","",'Journal'!A253)</f>
        <v/>
      </c>
      <c r="B503" s="21">
        <f>IF('Journal'!B253="","",'Journal'!B253)</f>
        <v/>
      </c>
      <c r="C503" s="5">
        <f>IF('Journal'!C253="","",'Journal'!C253)</f>
        <v/>
      </c>
      <c r="D503" s="5">
        <f>IF('Journal'!D253="","",IFERROR(LEFT('Journal'!D253,FIND(" ",'Journal'!D253)-1),'Journal'!D253))</f>
        <v/>
      </c>
      <c r="E503" s="5">
        <f>IF('Journal'!D253="","",IFERROR(INDEX('Kontoplan'!$B$3:$B$302,MATCH('Journal'!D253,'Kontoplan'!$H$3:$H$302,0)),""))</f>
        <v/>
      </c>
      <c r="F503" s="20">
        <f>IF('Journal'!G253="","",'Journal'!G253)</f>
        <v/>
      </c>
      <c r="G503" s="20">
        <f>IF('Journal'!F253="","",'Journal'!F253)</f>
        <v/>
      </c>
      <c r="H503" s="5">
        <f>IF('Journal'!I253="","",'Journal'!I253)</f>
        <v/>
      </c>
    </row>
    <row r="504">
      <c r="A504" s="18">
        <f>IF('Journal'!A253="","",'Journal'!A253)</f>
        <v/>
      </c>
      <c r="B504" s="21">
        <f>IF('Journal'!B253="","",'Journal'!B253)</f>
        <v/>
      </c>
      <c r="C504" s="5">
        <f>IF('Journal'!C253="","",'Journal'!C253)</f>
        <v/>
      </c>
      <c r="D504" s="5">
        <f>IF('Journal'!E253="","",IFERROR(LEFT('Journal'!E253,FIND(" ",'Journal'!E253)-1),'Journal'!E253))</f>
        <v/>
      </c>
      <c r="E504" s="5">
        <f>IF('Journal'!E253="","",IFERROR(INDEX('Kontoplan'!$B$3:$B$302,MATCH('Journal'!E253,'Kontoplan'!$H$3:$H$302,0)),""))</f>
        <v/>
      </c>
      <c r="F504" s="20">
        <f>IF('Journal'!F253="","",'Journal'!F253)</f>
        <v/>
      </c>
      <c r="G504" s="20">
        <f>IF('Journal'!G253="","",'Journal'!G253)</f>
        <v/>
      </c>
      <c r="H504" s="5">
        <f>IF('Journal'!I253="","",'Journal'!I253)</f>
        <v/>
      </c>
    </row>
    <row r="505">
      <c r="A505" s="18">
        <f>IF('Journal'!A254="","",'Journal'!A254)</f>
        <v/>
      </c>
      <c r="B505" s="21">
        <f>IF('Journal'!B254="","",'Journal'!B254)</f>
        <v/>
      </c>
      <c r="C505" s="5">
        <f>IF('Journal'!C254="","",'Journal'!C254)</f>
        <v/>
      </c>
      <c r="D505" s="5">
        <f>IF('Journal'!D254="","",IFERROR(LEFT('Journal'!D254,FIND(" ",'Journal'!D254)-1),'Journal'!D254))</f>
        <v/>
      </c>
      <c r="E505" s="5">
        <f>IF('Journal'!D254="","",IFERROR(INDEX('Kontoplan'!$B$3:$B$302,MATCH('Journal'!D254,'Kontoplan'!$H$3:$H$302,0)),""))</f>
        <v/>
      </c>
      <c r="F505" s="20">
        <f>IF('Journal'!G254="","",'Journal'!G254)</f>
        <v/>
      </c>
      <c r="G505" s="20">
        <f>IF('Journal'!F254="","",'Journal'!F254)</f>
        <v/>
      </c>
      <c r="H505" s="5">
        <f>IF('Journal'!I254="","",'Journal'!I254)</f>
        <v/>
      </c>
    </row>
    <row r="506">
      <c r="A506" s="18">
        <f>IF('Journal'!A254="","",'Journal'!A254)</f>
        <v/>
      </c>
      <c r="B506" s="21">
        <f>IF('Journal'!B254="","",'Journal'!B254)</f>
        <v/>
      </c>
      <c r="C506" s="5">
        <f>IF('Journal'!C254="","",'Journal'!C254)</f>
        <v/>
      </c>
      <c r="D506" s="5">
        <f>IF('Journal'!E254="","",IFERROR(LEFT('Journal'!E254,FIND(" ",'Journal'!E254)-1),'Journal'!E254))</f>
        <v/>
      </c>
      <c r="E506" s="5">
        <f>IF('Journal'!E254="","",IFERROR(INDEX('Kontoplan'!$B$3:$B$302,MATCH('Journal'!E254,'Kontoplan'!$H$3:$H$302,0)),""))</f>
        <v/>
      </c>
      <c r="F506" s="20">
        <f>IF('Journal'!F254="","",'Journal'!F254)</f>
        <v/>
      </c>
      <c r="G506" s="20">
        <f>IF('Journal'!G254="","",'Journal'!G254)</f>
        <v/>
      </c>
      <c r="H506" s="5">
        <f>IF('Journal'!I254="","",'Journal'!I254)</f>
        <v/>
      </c>
    </row>
    <row r="507">
      <c r="A507" s="18">
        <f>IF('Journal'!A255="","",'Journal'!A255)</f>
        <v/>
      </c>
      <c r="B507" s="21">
        <f>IF('Journal'!B255="","",'Journal'!B255)</f>
        <v/>
      </c>
      <c r="C507" s="5">
        <f>IF('Journal'!C255="","",'Journal'!C255)</f>
        <v/>
      </c>
      <c r="D507" s="5">
        <f>IF('Journal'!D255="","",IFERROR(LEFT('Journal'!D255,FIND(" ",'Journal'!D255)-1),'Journal'!D255))</f>
        <v/>
      </c>
      <c r="E507" s="5">
        <f>IF('Journal'!D255="","",IFERROR(INDEX('Kontoplan'!$B$3:$B$302,MATCH('Journal'!D255,'Kontoplan'!$H$3:$H$302,0)),""))</f>
        <v/>
      </c>
      <c r="F507" s="20">
        <f>IF('Journal'!G255="","",'Journal'!G255)</f>
        <v/>
      </c>
      <c r="G507" s="20">
        <f>IF('Journal'!F255="","",'Journal'!F255)</f>
        <v/>
      </c>
      <c r="H507" s="5">
        <f>IF('Journal'!I255="","",'Journal'!I255)</f>
        <v/>
      </c>
    </row>
    <row r="508">
      <c r="A508" s="18">
        <f>IF('Journal'!A255="","",'Journal'!A255)</f>
        <v/>
      </c>
      <c r="B508" s="21">
        <f>IF('Journal'!B255="","",'Journal'!B255)</f>
        <v/>
      </c>
      <c r="C508" s="5">
        <f>IF('Journal'!C255="","",'Journal'!C255)</f>
        <v/>
      </c>
      <c r="D508" s="5">
        <f>IF('Journal'!E255="","",IFERROR(LEFT('Journal'!E255,FIND(" ",'Journal'!E255)-1),'Journal'!E255))</f>
        <v/>
      </c>
      <c r="E508" s="5">
        <f>IF('Journal'!E255="","",IFERROR(INDEX('Kontoplan'!$B$3:$B$302,MATCH('Journal'!E255,'Kontoplan'!$H$3:$H$302,0)),""))</f>
        <v/>
      </c>
      <c r="F508" s="20">
        <f>IF('Journal'!F255="","",'Journal'!F255)</f>
        <v/>
      </c>
      <c r="G508" s="20">
        <f>IF('Journal'!G255="","",'Journal'!G255)</f>
        <v/>
      </c>
      <c r="H508" s="5">
        <f>IF('Journal'!I255="","",'Journal'!I255)</f>
        <v/>
      </c>
    </row>
    <row r="509">
      <c r="A509" s="18">
        <f>IF('Journal'!A256="","",'Journal'!A256)</f>
        <v/>
      </c>
      <c r="B509" s="21">
        <f>IF('Journal'!B256="","",'Journal'!B256)</f>
        <v/>
      </c>
      <c r="C509" s="5">
        <f>IF('Journal'!C256="","",'Journal'!C256)</f>
        <v/>
      </c>
      <c r="D509" s="5">
        <f>IF('Journal'!D256="","",IFERROR(LEFT('Journal'!D256,FIND(" ",'Journal'!D256)-1),'Journal'!D256))</f>
        <v/>
      </c>
      <c r="E509" s="5">
        <f>IF('Journal'!D256="","",IFERROR(INDEX('Kontoplan'!$B$3:$B$302,MATCH('Journal'!D256,'Kontoplan'!$H$3:$H$302,0)),""))</f>
        <v/>
      </c>
      <c r="F509" s="20">
        <f>IF('Journal'!G256="","",'Journal'!G256)</f>
        <v/>
      </c>
      <c r="G509" s="20">
        <f>IF('Journal'!F256="","",'Journal'!F256)</f>
        <v/>
      </c>
      <c r="H509" s="5">
        <f>IF('Journal'!I256="","",'Journal'!I256)</f>
        <v/>
      </c>
    </row>
    <row r="510">
      <c r="A510" s="18">
        <f>IF('Journal'!A256="","",'Journal'!A256)</f>
        <v/>
      </c>
      <c r="B510" s="21">
        <f>IF('Journal'!B256="","",'Journal'!B256)</f>
        <v/>
      </c>
      <c r="C510" s="5">
        <f>IF('Journal'!C256="","",'Journal'!C256)</f>
        <v/>
      </c>
      <c r="D510" s="5">
        <f>IF('Journal'!E256="","",IFERROR(LEFT('Journal'!E256,FIND(" ",'Journal'!E256)-1),'Journal'!E256))</f>
        <v/>
      </c>
      <c r="E510" s="5">
        <f>IF('Journal'!E256="","",IFERROR(INDEX('Kontoplan'!$B$3:$B$302,MATCH('Journal'!E256,'Kontoplan'!$H$3:$H$302,0)),""))</f>
        <v/>
      </c>
      <c r="F510" s="20">
        <f>IF('Journal'!F256="","",'Journal'!F256)</f>
        <v/>
      </c>
      <c r="G510" s="20">
        <f>IF('Journal'!G256="","",'Journal'!G256)</f>
        <v/>
      </c>
      <c r="H510" s="5">
        <f>IF('Journal'!I256="","",'Journal'!I256)</f>
        <v/>
      </c>
    </row>
    <row r="511">
      <c r="A511" s="18">
        <f>IF('Journal'!A257="","",'Journal'!A257)</f>
        <v/>
      </c>
      <c r="B511" s="21">
        <f>IF('Journal'!B257="","",'Journal'!B257)</f>
        <v/>
      </c>
      <c r="C511" s="5">
        <f>IF('Journal'!C257="","",'Journal'!C257)</f>
        <v/>
      </c>
      <c r="D511" s="5">
        <f>IF('Journal'!D257="","",IFERROR(LEFT('Journal'!D257,FIND(" ",'Journal'!D257)-1),'Journal'!D257))</f>
        <v/>
      </c>
      <c r="E511" s="5">
        <f>IF('Journal'!D257="","",IFERROR(INDEX('Kontoplan'!$B$3:$B$302,MATCH('Journal'!D257,'Kontoplan'!$H$3:$H$302,0)),""))</f>
        <v/>
      </c>
      <c r="F511" s="20">
        <f>IF('Journal'!G257="","",'Journal'!G257)</f>
        <v/>
      </c>
      <c r="G511" s="20">
        <f>IF('Journal'!F257="","",'Journal'!F257)</f>
        <v/>
      </c>
      <c r="H511" s="5">
        <f>IF('Journal'!I257="","",'Journal'!I257)</f>
        <v/>
      </c>
    </row>
    <row r="512">
      <c r="A512" s="18">
        <f>IF('Journal'!A257="","",'Journal'!A257)</f>
        <v/>
      </c>
      <c r="B512" s="21">
        <f>IF('Journal'!B257="","",'Journal'!B257)</f>
        <v/>
      </c>
      <c r="C512" s="5">
        <f>IF('Journal'!C257="","",'Journal'!C257)</f>
        <v/>
      </c>
      <c r="D512" s="5">
        <f>IF('Journal'!E257="","",IFERROR(LEFT('Journal'!E257,FIND(" ",'Journal'!E257)-1),'Journal'!E257))</f>
        <v/>
      </c>
      <c r="E512" s="5">
        <f>IF('Journal'!E257="","",IFERROR(INDEX('Kontoplan'!$B$3:$B$302,MATCH('Journal'!E257,'Kontoplan'!$H$3:$H$302,0)),""))</f>
        <v/>
      </c>
      <c r="F512" s="20">
        <f>IF('Journal'!F257="","",'Journal'!F257)</f>
        <v/>
      </c>
      <c r="G512" s="20">
        <f>IF('Journal'!G257="","",'Journal'!G257)</f>
        <v/>
      </c>
      <c r="H512" s="5">
        <f>IF('Journal'!I257="","",'Journal'!I257)</f>
        <v/>
      </c>
    </row>
    <row r="513">
      <c r="A513" s="18">
        <f>IF('Journal'!A258="","",'Journal'!A258)</f>
        <v/>
      </c>
      <c r="B513" s="21">
        <f>IF('Journal'!B258="","",'Journal'!B258)</f>
        <v/>
      </c>
      <c r="C513" s="5">
        <f>IF('Journal'!C258="","",'Journal'!C258)</f>
        <v/>
      </c>
      <c r="D513" s="5">
        <f>IF('Journal'!D258="","",IFERROR(LEFT('Journal'!D258,FIND(" ",'Journal'!D258)-1),'Journal'!D258))</f>
        <v/>
      </c>
      <c r="E513" s="5">
        <f>IF('Journal'!D258="","",IFERROR(INDEX('Kontoplan'!$B$3:$B$302,MATCH('Journal'!D258,'Kontoplan'!$H$3:$H$302,0)),""))</f>
        <v/>
      </c>
      <c r="F513" s="20">
        <f>IF('Journal'!G258="","",'Journal'!G258)</f>
        <v/>
      </c>
      <c r="G513" s="20">
        <f>IF('Journal'!F258="","",'Journal'!F258)</f>
        <v/>
      </c>
      <c r="H513" s="5">
        <f>IF('Journal'!I258="","",'Journal'!I258)</f>
        <v/>
      </c>
    </row>
    <row r="514">
      <c r="A514" s="18">
        <f>IF('Journal'!A258="","",'Journal'!A258)</f>
        <v/>
      </c>
      <c r="B514" s="21">
        <f>IF('Journal'!B258="","",'Journal'!B258)</f>
        <v/>
      </c>
      <c r="C514" s="5">
        <f>IF('Journal'!C258="","",'Journal'!C258)</f>
        <v/>
      </c>
      <c r="D514" s="5">
        <f>IF('Journal'!E258="","",IFERROR(LEFT('Journal'!E258,FIND(" ",'Journal'!E258)-1),'Journal'!E258))</f>
        <v/>
      </c>
      <c r="E514" s="5">
        <f>IF('Journal'!E258="","",IFERROR(INDEX('Kontoplan'!$B$3:$B$302,MATCH('Journal'!E258,'Kontoplan'!$H$3:$H$302,0)),""))</f>
        <v/>
      </c>
      <c r="F514" s="20">
        <f>IF('Journal'!F258="","",'Journal'!F258)</f>
        <v/>
      </c>
      <c r="G514" s="20">
        <f>IF('Journal'!G258="","",'Journal'!G258)</f>
        <v/>
      </c>
      <c r="H514" s="5">
        <f>IF('Journal'!I258="","",'Journal'!I258)</f>
        <v/>
      </c>
    </row>
    <row r="515">
      <c r="A515" s="18">
        <f>IF('Journal'!A259="","",'Journal'!A259)</f>
        <v/>
      </c>
      <c r="B515" s="21">
        <f>IF('Journal'!B259="","",'Journal'!B259)</f>
        <v/>
      </c>
      <c r="C515" s="5">
        <f>IF('Journal'!C259="","",'Journal'!C259)</f>
        <v/>
      </c>
      <c r="D515" s="5">
        <f>IF('Journal'!D259="","",IFERROR(LEFT('Journal'!D259,FIND(" ",'Journal'!D259)-1),'Journal'!D259))</f>
        <v/>
      </c>
      <c r="E515" s="5">
        <f>IF('Journal'!D259="","",IFERROR(INDEX('Kontoplan'!$B$3:$B$302,MATCH('Journal'!D259,'Kontoplan'!$H$3:$H$302,0)),""))</f>
        <v/>
      </c>
      <c r="F515" s="20">
        <f>IF('Journal'!G259="","",'Journal'!G259)</f>
        <v/>
      </c>
      <c r="G515" s="20">
        <f>IF('Journal'!F259="","",'Journal'!F259)</f>
        <v/>
      </c>
      <c r="H515" s="5">
        <f>IF('Journal'!I259="","",'Journal'!I259)</f>
        <v/>
      </c>
    </row>
    <row r="516">
      <c r="A516" s="18">
        <f>IF('Journal'!A259="","",'Journal'!A259)</f>
        <v/>
      </c>
      <c r="B516" s="21">
        <f>IF('Journal'!B259="","",'Journal'!B259)</f>
        <v/>
      </c>
      <c r="C516" s="5">
        <f>IF('Journal'!C259="","",'Journal'!C259)</f>
        <v/>
      </c>
      <c r="D516" s="5">
        <f>IF('Journal'!E259="","",IFERROR(LEFT('Journal'!E259,FIND(" ",'Journal'!E259)-1),'Journal'!E259))</f>
        <v/>
      </c>
      <c r="E516" s="5">
        <f>IF('Journal'!E259="","",IFERROR(INDEX('Kontoplan'!$B$3:$B$302,MATCH('Journal'!E259,'Kontoplan'!$H$3:$H$302,0)),""))</f>
        <v/>
      </c>
      <c r="F516" s="20">
        <f>IF('Journal'!F259="","",'Journal'!F259)</f>
        <v/>
      </c>
      <c r="G516" s="20">
        <f>IF('Journal'!G259="","",'Journal'!G259)</f>
        <v/>
      </c>
      <c r="H516" s="5">
        <f>IF('Journal'!I259="","",'Journal'!I259)</f>
        <v/>
      </c>
    </row>
    <row r="517">
      <c r="A517" s="18">
        <f>IF('Journal'!A260="","",'Journal'!A260)</f>
        <v/>
      </c>
      <c r="B517" s="21">
        <f>IF('Journal'!B260="","",'Journal'!B260)</f>
        <v/>
      </c>
      <c r="C517" s="5">
        <f>IF('Journal'!C260="","",'Journal'!C260)</f>
        <v/>
      </c>
      <c r="D517" s="5">
        <f>IF('Journal'!D260="","",IFERROR(LEFT('Journal'!D260,FIND(" ",'Journal'!D260)-1),'Journal'!D260))</f>
        <v/>
      </c>
      <c r="E517" s="5">
        <f>IF('Journal'!D260="","",IFERROR(INDEX('Kontoplan'!$B$3:$B$302,MATCH('Journal'!D260,'Kontoplan'!$H$3:$H$302,0)),""))</f>
        <v/>
      </c>
      <c r="F517" s="20">
        <f>IF('Journal'!G260="","",'Journal'!G260)</f>
        <v/>
      </c>
      <c r="G517" s="20">
        <f>IF('Journal'!F260="","",'Journal'!F260)</f>
        <v/>
      </c>
      <c r="H517" s="5">
        <f>IF('Journal'!I260="","",'Journal'!I260)</f>
        <v/>
      </c>
    </row>
    <row r="518">
      <c r="A518" s="18">
        <f>IF('Journal'!A260="","",'Journal'!A260)</f>
        <v/>
      </c>
      <c r="B518" s="21">
        <f>IF('Journal'!B260="","",'Journal'!B260)</f>
        <v/>
      </c>
      <c r="C518" s="5">
        <f>IF('Journal'!C260="","",'Journal'!C260)</f>
        <v/>
      </c>
      <c r="D518" s="5">
        <f>IF('Journal'!E260="","",IFERROR(LEFT('Journal'!E260,FIND(" ",'Journal'!E260)-1),'Journal'!E260))</f>
        <v/>
      </c>
      <c r="E518" s="5">
        <f>IF('Journal'!E260="","",IFERROR(INDEX('Kontoplan'!$B$3:$B$302,MATCH('Journal'!E260,'Kontoplan'!$H$3:$H$302,0)),""))</f>
        <v/>
      </c>
      <c r="F518" s="20">
        <f>IF('Journal'!F260="","",'Journal'!F260)</f>
        <v/>
      </c>
      <c r="G518" s="20">
        <f>IF('Journal'!G260="","",'Journal'!G260)</f>
        <v/>
      </c>
      <c r="H518" s="5">
        <f>IF('Journal'!I260="","",'Journal'!I260)</f>
        <v/>
      </c>
    </row>
    <row r="519">
      <c r="A519" s="18">
        <f>IF('Journal'!A261="","",'Journal'!A261)</f>
        <v/>
      </c>
      <c r="B519" s="21">
        <f>IF('Journal'!B261="","",'Journal'!B261)</f>
        <v/>
      </c>
      <c r="C519" s="5">
        <f>IF('Journal'!C261="","",'Journal'!C261)</f>
        <v/>
      </c>
      <c r="D519" s="5">
        <f>IF('Journal'!D261="","",IFERROR(LEFT('Journal'!D261,FIND(" ",'Journal'!D261)-1),'Journal'!D261))</f>
        <v/>
      </c>
      <c r="E519" s="5">
        <f>IF('Journal'!D261="","",IFERROR(INDEX('Kontoplan'!$B$3:$B$302,MATCH('Journal'!D261,'Kontoplan'!$H$3:$H$302,0)),""))</f>
        <v/>
      </c>
      <c r="F519" s="20">
        <f>IF('Journal'!G261="","",'Journal'!G261)</f>
        <v/>
      </c>
      <c r="G519" s="20">
        <f>IF('Journal'!F261="","",'Journal'!F261)</f>
        <v/>
      </c>
      <c r="H519" s="5">
        <f>IF('Journal'!I261="","",'Journal'!I261)</f>
        <v/>
      </c>
    </row>
    <row r="520">
      <c r="A520" s="18">
        <f>IF('Journal'!A261="","",'Journal'!A261)</f>
        <v/>
      </c>
      <c r="B520" s="21">
        <f>IF('Journal'!B261="","",'Journal'!B261)</f>
        <v/>
      </c>
      <c r="C520" s="5">
        <f>IF('Journal'!C261="","",'Journal'!C261)</f>
        <v/>
      </c>
      <c r="D520" s="5">
        <f>IF('Journal'!E261="","",IFERROR(LEFT('Journal'!E261,FIND(" ",'Journal'!E261)-1),'Journal'!E261))</f>
        <v/>
      </c>
      <c r="E520" s="5">
        <f>IF('Journal'!E261="","",IFERROR(INDEX('Kontoplan'!$B$3:$B$302,MATCH('Journal'!E261,'Kontoplan'!$H$3:$H$302,0)),""))</f>
        <v/>
      </c>
      <c r="F520" s="20">
        <f>IF('Journal'!F261="","",'Journal'!F261)</f>
        <v/>
      </c>
      <c r="G520" s="20">
        <f>IF('Journal'!G261="","",'Journal'!G261)</f>
        <v/>
      </c>
      <c r="H520" s="5">
        <f>IF('Journal'!I261="","",'Journal'!I261)</f>
        <v/>
      </c>
    </row>
    <row r="521">
      <c r="A521" s="18">
        <f>IF('Journal'!A262="","",'Journal'!A262)</f>
        <v/>
      </c>
      <c r="B521" s="21">
        <f>IF('Journal'!B262="","",'Journal'!B262)</f>
        <v/>
      </c>
      <c r="C521" s="5">
        <f>IF('Journal'!C262="","",'Journal'!C262)</f>
        <v/>
      </c>
      <c r="D521" s="5">
        <f>IF('Journal'!D262="","",IFERROR(LEFT('Journal'!D262,FIND(" ",'Journal'!D262)-1),'Journal'!D262))</f>
        <v/>
      </c>
      <c r="E521" s="5">
        <f>IF('Journal'!D262="","",IFERROR(INDEX('Kontoplan'!$B$3:$B$302,MATCH('Journal'!D262,'Kontoplan'!$H$3:$H$302,0)),""))</f>
        <v/>
      </c>
      <c r="F521" s="20">
        <f>IF('Journal'!G262="","",'Journal'!G262)</f>
        <v/>
      </c>
      <c r="G521" s="20">
        <f>IF('Journal'!F262="","",'Journal'!F262)</f>
        <v/>
      </c>
      <c r="H521" s="5">
        <f>IF('Journal'!I262="","",'Journal'!I262)</f>
        <v/>
      </c>
    </row>
    <row r="522">
      <c r="A522" s="18">
        <f>IF('Journal'!A262="","",'Journal'!A262)</f>
        <v/>
      </c>
      <c r="B522" s="21">
        <f>IF('Journal'!B262="","",'Journal'!B262)</f>
        <v/>
      </c>
      <c r="C522" s="5">
        <f>IF('Journal'!C262="","",'Journal'!C262)</f>
        <v/>
      </c>
      <c r="D522" s="5">
        <f>IF('Journal'!E262="","",IFERROR(LEFT('Journal'!E262,FIND(" ",'Journal'!E262)-1),'Journal'!E262))</f>
        <v/>
      </c>
      <c r="E522" s="5">
        <f>IF('Journal'!E262="","",IFERROR(INDEX('Kontoplan'!$B$3:$B$302,MATCH('Journal'!E262,'Kontoplan'!$H$3:$H$302,0)),""))</f>
        <v/>
      </c>
      <c r="F522" s="20">
        <f>IF('Journal'!F262="","",'Journal'!F262)</f>
        <v/>
      </c>
      <c r="G522" s="20">
        <f>IF('Journal'!G262="","",'Journal'!G262)</f>
        <v/>
      </c>
      <c r="H522" s="5">
        <f>IF('Journal'!I262="","",'Journal'!I262)</f>
        <v/>
      </c>
    </row>
    <row r="523">
      <c r="A523" s="18">
        <f>IF('Journal'!A263="","",'Journal'!A263)</f>
        <v/>
      </c>
      <c r="B523" s="21">
        <f>IF('Journal'!B263="","",'Journal'!B263)</f>
        <v/>
      </c>
      <c r="C523" s="5">
        <f>IF('Journal'!C263="","",'Journal'!C263)</f>
        <v/>
      </c>
      <c r="D523" s="5">
        <f>IF('Journal'!D263="","",IFERROR(LEFT('Journal'!D263,FIND(" ",'Journal'!D263)-1),'Journal'!D263))</f>
        <v/>
      </c>
      <c r="E523" s="5">
        <f>IF('Journal'!D263="","",IFERROR(INDEX('Kontoplan'!$B$3:$B$302,MATCH('Journal'!D263,'Kontoplan'!$H$3:$H$302,0)),""))</f>
        <v/>
      </c>
      <c r="F523" s="20">
        <f>IF('Journal'!G263="","",'Journal'!G263)</f>
        <v/>
      </c>
      <c r="G523" s="20">
        <f>IF('Journal'!F263="","",'Journal'!F263)</f>
        <v/>
      </c>
      <c r="H523" s="5">
        <f>IF('Journal'!I263="","",'Journal'!I263)</f>
        <v/>
      </c>
    </row>
    <row r="524">
      <c r="A524" s="18">
        <f>IF('Journal'!A263="","",'Journal'!A263)</f>
        <v/>
      </c>
      <c r="B524" s="21">
        <f>IF('Journal'!B263="","",'Journal'!B263)</f>
        <v/>
      </c>
      <c r="C524" s="5">
        <f>IF('Journal'!C263="","",'Journal'!C263)</f>
        <v/>
      </c>
      <c r="D524" s="5">
        <f>IF('Journal'!E263="","",IFERROR(LEFT('Journal'!E263,FIND(" ",'Journal'!E263)-1),'Journal'!E263))</f>
        <v/>
      </c>
      <c r="E524" s="5">
        <f>IF('Journal'!E263="","",IFERROR(INDEX('Kontoplan'!$B$3:$B$302,MATCH('Journal'!E263,'Kontoplan'!$H$3:$H$302,0)),""))</f>
        <v/>
      </c>
      <c r="F524" s="20">
        <f>IF('Journal'!F263="","",'Journal'!F263)</f>
        <v/>
      </c>
      <c r="G524" s="20">
        <f>IF('Journal'!G263="","",'Journal'!G263)</f>
        <v/>
      </c>
      <c r="H524" s="5">
        <f>IF('Journal'!I263="","",'Journal'!I263)</f>
        <v/>
      </c>
    </row>
    <row r="525">
      <c r="A525" s="18">
        <f>IF('Journal'!A264="","",'Journal'!A264)</f>
        <v/>
      </c>
      <c r="B525" s="21">
        <f>IF('Journal'!B264="","",'Journal'!B264)</f>
        <v/>
      </c>
      <c r="C525" s="5">
        <f>IF('Journal'!C264="","",'Journal'!C264)</f>
        <v/>
      </c>
      <c r="D525" s="5">
        <f>IF('Journal'!D264="","",IFERROR(LEFT('Journal'!D264,FIND(" ",'Journal'!D264)-1),'Journal'!D264))</f>
        <v/>
      </c>
      <c r="E525" s="5">
        <f>IF('Journal'!D264="","",IFERROR(INDEX('Kontoplan'!$B$3:$B$302,MATCH('Journal'!D264,'Kontoplan'!$H$3:$H$302,0)),""))</f>
        <v/>
      </c>
      <c r="F525" s="20">
        <f>IF('Journal'!G264="","",'Journal'!G264)</f>
        <v/>
      </c>
      <c r="G525" s="20">
        <f>IF('Journal'!F264="","",'Journal'!F264)</f>
        <v/>
      </c>
      <c r="H525" s="5">
        <f>IF('Journal'!I264="","",'Journal'!I264)</f>
        <v/>
      </c>
    </row>
    <row r="526">
      <c r="A526" s="18">
        <f>IF('Journal'!A264="","",'Journal'!A264)</f>
        <v/>
      </c>
      <c r="B526" s="21">
        <f>IF('Journal'!B264="","",'Journal'!B264)</f>
        <v/>
      </c>
      <c r="C526" s="5">
        <f>IF('Journal'!C264="","",'Journal'!C264)</f>
        <v/>
      </c>
      <c r="D526" s="5">
        <f>IF('Journal'!E264="","",IFERROR(LEFT('Journal'!E264,FIND(" ",'Journal'!E264)-1),'Journal'!E264))</f>
        <v/>
      </c>
      <c r="E526" s="5">
        <f>IF('Journal'!E264="","",IFERROR(INDEX('Kontoplan'!$B$3:$B$302,MATCH('Journal'!E264,'Kontoplan'!$H$3:$H$302,0)),""))</f>
        <v/>
      </c>
      <c r="F526" s="20">
        <f>IF('Journal'!F264="","",'Journal'!F264)</f>
        <v/>
      </c>
      <c r="G526" s="20">
        <f>IF('Journal'!G264="","",'Journal'!G264)</f>
        <v/>
      </c>
      <c r="H526" s="5">
        <f>IF('Journal'!I264="","",'Journal'!I264)</f>
        <v/>
      </c>
    </row>
    <row r="527">
      <c r="A527" s="18">
        <f>IF('Journal'!A265="","",'Journal'!A265)</f>
        <v/>
      </c>
      <c r="B527" s="21">
        <f>IF('Journal'!B265="","",'Journal'!B265)</f>
        <v/>
      </c>
      <c r="C527" s="5">
        <f>IF('Journal'!C265="","",'Journal'!C265)</f>
        <v/>
      </c>
      <c r="D527" s="5">
        <f>IF('Journal'!D265="","",IFERROR(LEFT('Journal'!D265,FIND(" ",'Journal'!D265)-1),'Journal'!D265))</f>
        <v/>
      </c>
      <c r="E527" s="5">
        <f>IF('Journal'!D265="","",IFERROR(INDEX('Kontoplan'!$B$3:$B$302,MATCH('Journal'!D265,'Kontoplan'!$H$3:$H$302,0)),""))</f>
        <v/>
      </c>
      <c r="F527" s="20">
        <f>IF('Journal'!G265="","",'Journal'!G265)</f>
        <v/>
      </c>
      <c r="G527" s="20">
        <f>IF('Journal'!F265="","",'Journal'!F265)</f>
        <v/>
      </c>
      <c r="H527" s="5">
        <f>IF('Journal'!I265="","",'Journal'!I265)</f>
        <v/>
      </c>
    </row>
    <row r="528">
      <c r="A528" s="18">
        <f>IF('Journal'!A265="","",'Journal'!A265)</f>
        <v/>
      </c>
      <c r="B528" s="21">
        <f>IF('Journal'!B265="","",'Journal'!B265)</f>
        <v/>
      </c>
      <c r="C528" s="5">
        <f>IF('Journal'!C265="","",'Journal'!C265)</f>
        <v/>
      </c>
      <c r="D528" s="5">
        <f>IF('Journal'!E265="","",IFERROR(LEFT('Journal'!E265,FIND(" ",'Journal'!E265)-1),'Journal'!E265))</f>
        <v/>
      </c>
      <c r="E528" s="5">
        <f>IF('Journal'!E265="","",IFERROR(INDEX('Kontoplan'!$B$3:$B$302,MATCH('Journal'!E265,'Kontoplan'!$H$3:$H$302,0)),""))</f>
        <v/>
      </c>
      <c r="F528" s="20">
        <f>IF('Journal'!F265="","",'Journal'!F265)</f>
        <v/>
      </c>
      <c r="G528" s="20">
        <f>IF('Journal'!G265="","",'Journal'!G265)</f>
        <v/>
      </c>
      <c r="H528" s="5">
        <f>IF('Journal'!I265="","",'Journal'!I265)</f>
        <v/>
      </c>
    </row>
    <row r="529">
      <c r="A529" s="18">
        <f>IF('Journal'!A266="","",'Journal'!A266)</f>
        <v/>
      </c>
      <c r="B529" s="21">
        <f>IF('Journal'!B266="","",'Journal'!B266)</f>
        <v/>
      </c>
      <c r="C529" s="5">
        <f>IF('Journal'!C266="","",'Journal'!C266)</f>
        <v/>
      </c>
      <c r="D529" s="5">
        <f>IF('Journal'!D266="","",IFERROR(LEFT('Journal'!D266,FIND(" ",'Journal'!D266)-1),'Journal'!D266))</f>
        <v/>
      </c>
      <c r="E529" s="5">
        <f>IF('Journal'!D266="","",IFERROR(INDEX('Kontoplan'!$B$3:$B$302,MATCH('Journal'!D266,'Kontoplan'!$H$3:$H$302,0)),""))</f>
        <v/>
      </c>
      <c r="F529" s="20">
        <f>IF('Journal'!G266="","",'Journal'!G266)</f>
        <v/>
      </c>
      <c r="G529" s="20">
        <f>IF('Journal'!F266="","",'Journal'!F266)</f>
        <v/>
      </c>
      <c r="H529" s="5">
        <f>IF('Journal'!I266="","",'Journal'!I266)</f>
        <v/>
      </c>
    </row>
    <row r="530">
      <c r="A530" s="18">
        <f>IF('Journal'!A266="","",'Journal'!A266)</f>
        <v/>
      </c>
      <c r="B530" s="21">
        <f>IF('Journal'!B266="","",'Journal'!B266)</f>
        <v/>
      </c>
      <c r="C530" s="5">
        <f>IF('Journal'!C266="","",'Journal'!C266)</f>
        <v/>
      </c>
      <c r="D530" s="5">
        <f>IF('Journal'!E266="","",IFERROR(LEFT('Journal'!E266,FIND(" ",'Journal'!E266)-1),'Journal'!E266))</f>
        <v/>
      </c>
      <c r="E530" s="5">
        <f>IF('Journal'!E266="","",IFERROR(INDEX('Kontoplan'!$B$3:$B$302,MATCH('Journal'!E266,'Kontoplan'!$H$3:$H$302,0)),""))</f>
        <v/>
      </c>
      <c r="F530" s="20">
        <f>IF('Journal'!F266="","",'Journal'!F266)</f>
        <v/>
      </c>
      <c r="G530" s="20">
        <f>IF('Journal'!G266="","",'Journal'!G266)</f>
        <v/>
      </c>
      <c r="H530" s="5">
        <f>IF('Journal'!I266="","",'Journal'!I266)</f>
        <v/>
      </c>
    </row>
    <row r="531">
      <c r="A531" s="18">
        <f>IF('Journal'!A267="","",'Journal'!A267)</f>
        <v/>
      </c>
      <c r="B531" s="21">
        <f>IF('Journal'!B267="","",'Journal'!B267)</f>
        <v/>
      </c>
      <c r="C531" s="5">
        <f>IF('Journal'!C267="","",'Journal'!C267)</f>
        <v/>
      </c>
      <c r="D531" s="5">
        <f>IF('Journal'!D267="","",IFERROR(LEFT('Journal'!D267,FIND(" ",'Journal'!D267)-1),'Journal'!D267))</f>
        <v/>
      </c>
      <c r="E531" s="5">
        <f>IF('Journal'!D267="","",IFERROR(INDEX('Kontoplan'!$B$3:$B$302,MATCH('Journal'!D267,'Kontoplan'!$H$3:$H$302,0)),""))</f>
        <v/>
      </c>
      <c r="F531" s="20">
        <f>IF('Journal'!G267="","",'Journal'!G267)</f>
        <v/>
      </c>
      <c r="G531" s="20">
        <f>IF('Journal'!F267="","",'Journal'!F267)</f>
        <v/>
      </c>
      <c r="H531" s="5">
        <f>IF('Journal'!I267="","",'Journal'!I267)</f>
        <v/>
      </c>
    </row>
    <row r="532">
      <c r="A532" s="18">
        <f>IF('Journal'!A267="","",'Journal'!A267)</f>
        <v/>
      </c>
      <c r="B532" s="21">
        <f>IF('Journal'!B267="","",'Journal'!B267)</f>
        <v/>
      </c>
      <c r="C532" s="5">
        <f>IF('Journal'!C267="","",'Journal'!C267)</f>
        <v/>
      </c>
      <c r="D532" s="5">
        <f>IF('Journal'!E267="","",IFERROR(LEFT('Journal'!E267,FIND(" ",'Journal'!E267)-1),'Journal'!E267))</f>
        <v/>
      </c>
      <c r="E532" s="5">
        <f>IF('Journal'!E267="","",IFERROR(INDEX('Kontoplan'!$B$3:$B$302,MATCH('Journal'!E267,'Kontoplan'!$H$3:$H$302,0)),""))</f>
        <v/>
      </c>
      <c r="F532" s="20">
        <f>IF('Journal'!F267="","",'Journal'!F267)</f>
        <v/>
      </c>
      <c r="G532" s="20">
        <f>IF('Journal'!G267="","",'Journal'!G267)</f>
        <v/>
      </c>
      <c r="H532" s="5">
        <f>IF('Journal'!I267="","",'Journal'!I267)</f>
        <v/>
      </c>
    </row>
    <row r="533">
      <c r="A533" s="18">
        <f>IF('Journal'!A268="","",'Journal'!A268)</f>
        <v/>
      </c>
      <c r="B533" s="21">
        <f>IF('Journal'!B268="","",'Journal'!B268)</f>
        <v/>
      </c>
      <c r="C533" s="5">
        <f>IF('Journal'!C268="","",'Journal'!C268)</f>
        <v/>
      </c>
      <c r="D533" s="5">
        <f>IF('Journal'!D268="","",IFERROR(LEFT('Journal'!D268,FIND(" ",'Journal'!D268)-1),'Journal'!D268))</f>
        <v/>
      </c>
      <c r="E533" s="5">
        <f>IF('Journal'!D268="","",IFERROR(INDEX('Kontoplan'!$B$3:$B$302,MATCH('Journal'!D268,'Kontoplan'!$H$3:$H$302,0)),""))</f>
        <v/>
      </c>
      <c r="F533" s="20">
        <f>IF('Journal'!G268="","",'Journal'!G268)</f>
        <v/>
      </c>
      <c r="G533" s="20">
        <f>IF('Journal'!F268="","",'Journal'!F268)</f>
        <v/>
      </c>
      <c r="H533" s="5">
        <f>IF('Journal'!I268="","",'Journal'!I268)</f>
        <v/>
      </c>
    </row>
    <row r="534">
      <c r="A534" s="18">
        <f>IF('Journal'!A268="","",'Journal'!A268)</f>
        <v/>
      </c>
      <c r="B534" s="21">
        <f>IF('Journal'!B268="","",'Journal'!B268)</f>
        <v/>
      </c>
      <c r="C534" s="5">
        <f>IF('Journal'!C268="","",'Journal'!C268)</f>
        <v/>
      </c>
      <c r="D534" s="5">
        <f>IF('Journal'!E268="","",IFERROR(LEFT('Journal'!E268,FIND(" ",'Journal'!E268)-1),'Journal'!E268))</f>
        <v/>
      </c>
      <c r="E534" s="5">
        <f>IF('Journal'!E268="","",IFERROR(INDEX('Kontoplan'!$B$3:$B$302,MATCH('Journal'!E268,'Kontoplan'!$H$3:$H$302,0)),""))</f>
        <v/>
      </c>
      <c r="F534" s="20">
        <f>IF('Journal'!F268="","",'Journal'!F268)</f>
        <v/>
      </c>
      <c r="G534" s="20">
        <f>IF('Journal'!G268="","",'Journal'!G268)</f>
        <v/>
      </c>
      <c r="H534" s="5">
        <f>IF('Journal'!I268="","",'Journal'!I268)</f>
        <v/>
      </c>
    </row>
    <row r="535">
      <c r="A535" s="18">
        <f>IF('Journal'!A269="","",'Journal'!A269)</f>
        <v/>
      </c>
      <c r="B535" s="21">
        <f>IF('Journal'!B269="","",'Journal'!B269)</f>
        <v/>
      </c>
      <c r="C535" s="5">
        <f>IF('Journal'!C269="","",'Journal'!C269)</f>
        <v/>
      </c>
      <c r="D535" s="5">
        <f>IF('Journal'!D269="","",IFERROR(LEFT('Journal'!D269,FIND(" ",'Journal'!D269)-1),'Journal'!D269))</f>
        <v/>
      </c>
      <c r="E535" s="5">
        <f>IF('Journal'!D269="","",IFERROR(INDEX('Kontoplan'!$B$3:$B$302,MATCH('Journal'!D269,'Kontoplan'!$H$3:$H$302,0)),""))</f>
        <v/>
      </c>
      <c r="F535" s="20">
        <f>IF('Journal'!G269="","",'Journal'!G269)</f>
        <v/>
      </c>
      <c r="G535" s="20">
        <f>IF('Journal'!F269="","",'Journal'!F269)</f>
        <v/>
      </c>
      <c r="H535" s="5">
        <f>IF('Journal'!I269="","",'Journal'!I269)</f>
        <v/>
      </c>
    </row>
    <row r="536">
      <c r="A536" s="18">
        <f>IF('Journal'!A269="","",'Journal'!A269)</f>
        <v/>
      </c>
      <c r="B536" s="21">
        <f>IF('Journal'!B269="","",'Journal'!B269)</f>
        <v/>
      </c>
      <c r="C536" s="5">
        <f>IF('Journal'!C269="","",'Journal'!C269)</f>
        <v/>
      </c>
      <c r="D536" s="5">
        <f>IF('Journal'!E269="","",IFERROR(LEFT('Journal'!E269,FIND(" ",'Journal'!E269)-1),'Journal'!E269))</f>
        <v/>
      </c>
      <c r="E536" s="5">
        <f>IF('Journal'!E269="","",IFERROR(INDEX('Kontoplan'!$B$3:$B$302,MATCH('Journal'!E269,'Kontoplan'!$H$3:$H$302,0)),""))</f>
        <v/>
      </c>
      <c r="F536" s="20">
        <f>IF('Journal'!F269="","",'Journal'!F269)</f>
        <v/>
      </c>
      <c r="G536" s="20">
        <f>IF('Journal'!G269="","",'Journal'!G269)</f>
        <v/>
      </c>
      <c r="H536" s="5">
        <f>IF('Journal'!I269="","",'Journal'!I269)</f>
        <v/>
      </c>
    </row>
    <row r="537">
      <c r="A537" s="18">
        <f>IF('Journal'!A270="","",'Journal'!A270)</f>
        <v/>
      </c>
      <c r="B537" s="21">
        <f>IF('Journal'!B270="","",'Journal'!B270)</f>
        <v/>
      </c>
      <c r="C537" s="5">
        <f>IF('Journal'!C270="","",'Journal'!C270)</f>
        <v/>
      </c>
      <c r="D537" s="5">
        <f>IF('Journal'!D270="","",IFERROR(LEFT('Journal'!D270,FIND(" ",'Journal'!D270)-1),'Journal'!D270))</f>
        <v/>
      </c>
      <c r="E537" s="5">
        <f>IF('Journal'!D270="","",IFERROR(INDEX('Kontoplan'!$B$3:$B$302,MATCH('Journal'!D270,'Kontoplan'!$H$3:$H$302,0)),""))</f>
        <v/>
      </c>
      <c r="F537" s="20">
        <f>IF('Journal'!G270="","",'Journal'!G270)</f>
        <v/>
      </c>
      <c r="G537" s="20">
        <f>IF('Journal'!F270="","",'Journal'!F270)</f>
        <v/>
      </c>
      <c r="H537" s="5">
        <f>IF('Journal'!I270="","",'Journal'!I270)</f>
        <v/>
      </c>
    </row>
    <row r="538">
      <c r="A538" s="18">
        <f>IF('Journal'!A270="","",'Journal'!A270)</f>
        <v/>
      </c>
      <c r="B538" s="21">
        <f>IF('Journal'!B270="","",'Journal'!B270)</f>
        <v/>
      </c>
      <c r="C538" s="5">
        <f>IF('Journal'!C270="","",'Journal'!C270)</f>
        <v/>
      </c>
      <c r="D538" s="5">
        <f>IF('Journal'!E270="","",IFERROR(LEFT('Journal'!E270,FIND(" ",'Journal'!E270)-1),'Journal'!E270))</f>
        <v/>
      </c>
      <c r="E538" s="5">
        <f>IF('Journal'!E270="","",IFERROR(INDEX('Kontoplan'!$B$3:$B$302,MATCH('Journal'!E270,'Kontoplan'!$H$3:$H$302,0)),""))</f>
        <v/>
      </c>
      <c r="F538" s="20">
        <f>IF('Journal'!F270="","",'Journal'!F270)</f>
        <v/>
      </c>
      <c r="G538" s="20">
        <f>IF('Journal'!G270="","",'Journal'!G270)</f>
        <v/>
      </c>
      <c r="H538" s="5">
        <f>IF('Journal'!I270="","",'Journal'!I270)</f>
        <v/>
      </c>
    </row>
    <row r="539">
      <c r="A539" s="18">
        <f>IF('Journal'!A271="","",'Journal'!A271)</f>
        <v/>
      </c>
      <c r="B539" s="21">
        <f>IF('Journal'!B271="","",'Journal'!B271)</f>
        <v/>
      </c>
      <c r="C539" s="5">
        <f>IF('Journal'!C271="","",'Journal'!C271)</f>
        <v/>
      </c>
      <c r="D539" s="5">
        <f>IF('Journal'!D271="","",IFERROR(LEFT('Journal'!D271,FIND(" ",'Journal'!D271)-1),'Journal'!D271))</f>
        <v/>
      </c>
      <c r="E539" s="5">
        <f>IF('Journal'!D271="","",IFERROR(INDEX('Kontoplan'!$B$3:$B$302,MATCH('Journal'!D271,'Kontoplan'!$H$3:$H$302,0)),""))</f>
        <v/>
      </c>
      <c r="F539" s="20">
        <f>IF('Journal'!G271="","",'Journal'!G271)</f>
        <v/>
      </c>
      <c r="G539" s="20">
        <f>IF('Journal'!F271="","",'Journal'!F271)</f>
        <v/>
      </c>
      <c r="H539" s="5">
        <f>IF('Journal'!I271="","",'Journal'!I271)</f>
        <v/>
      </c>
    </row>
    <row r="540">
      <c r="A540" s="18">
        <f>IF('Journal'!A271="","",'Journal'!A271)</f>
        <v/>
      </c>
      <c r="B540" s="21">
        <f>IF('Journal'!B271="","",'Journal'!B271)</f>
        <v/>
      </c>
      <c r="C540" s="5">
        <f>IF('Journal'!C271="","",'Journal'!C271)</f>
        <v/>
      </c>
      <c r="D540" s="5">
        <f>IF('Journal'!E271="","",IFERROR(LEFT('Journal'!E271,FIND(" ",'Journal'!E271)-1),'Journal'!E271))</f>
        <v/>
      </c>
      <c r="E540" s="5">
        <f>IF('Journal'!E271="","",IFERROR(INDEX('Kontoplan'!$B$3:$B$302,MATCH('Journal'!E271,'Kontoplan'!$H$3:$H$302,0)),""))</f>
        <v/>
      </c>
      <c r="F540" s="20">
        <f>IF('Journal'!F271="","",'Journal'!F271)</f>
        <v/>
      </c>
      <c r="G540" s="20">
        <f>IF('Journal'!G271="","",'Journal'!G271)</f>
        <v/>
      </c>
      <c r="H540" s="5">
        <f>IF('Journal'!I271="","",'Journal'!I271)</f>
        <v/>
      </c>
    </row>
    <row r="541">
      <c r="A541" s="18">
        <f>IF('Journal'!A272="","",'Journal'!A272)</f>
        <v/>
      </c>
      <c r="B541" s="21">
        <f>IF('Journal'!B272="","",'Journal'!B272)</f>
        <v/>
      </c>
      <c r="C541" s="5">
        <f>IF('Journal'!C272="","",'Journal'!C272)</f>
        <v/>
      </c>
      <c r="D541" s="5">
        <f>IF('Journal'!D272="","",IFERROR(LEFT('Journal'!D272,FIND(" ",'Journal'!D272)-1),'Journal'!D272))</f>
        <v/>
      </c>
      <c r="E541" s="5">
        <f>IF('Journal'!D272="","",IFERROR(INDEX('Kontoplan'!$B$3:$B$302,MATCH('Journal'!D272,'Kontoplan'!$H$3:$H$302,0)),""))</f>
        <v/>
      </c>
      <c r="F541" s="20">
        <f>IF('Journal'!G272="","",'Journal'!G272)</f>
        <v/>
      </c>
      <c r="G541" s="20">
        <f>IF('Journal'!F272="","",'Journal'!F272)</f>
        <v/>
      </c>
      <c r="H541" s="5">
        <f>IF('Journal'!I272="","",'Journal'!I272)</f>
        <v/>
      </c>
    </row>
    <row r="542">
      <c r="A542" s="18">
        <f>IF('Journal'!A272="","",'Journal'!A272)</f>
        <v/>
      </c>
      <c r="B542" s="21">
        <f>IF('Journal'!B272="","",'Journal'!B272)</f>
        <v/>
      </c>
      <c r="C542" s="5">
        <f>IF('Journal'!C272="","",'Journal'!C272)</f>
        <v/>
      </c>
      <c r="D542" s="5">
        <f>IF('Journal'!E272="","",IFERROR(LEFT('Journal'!E272,FIND(" ",'Journal'!E272)-1),'Journal'!E272))</f>
        <v/>
      </c>
      <c r="E542" s="5">
        <f>IF('Journal'!E272="","",IFERROR(INDEX('Kontoplan'!$B$3:$B$302,MATCH('Journal'!E272,'Kontoplan'!$H$3:$H$302,0)),""))</f>
        <v/>
      </c>
      <c r="F542" s="20">
        <f>IF('Journal'!F272="","",'Journal'!F272)</f>
        <v/>
      </c>
      <c r="G542" s="20">
        <f>IF('Journal'!G272="","",'Journal'!G272)</f>
        <v/>
      </c>
      <c r="H542" s="5">
        <f>IF('Journal'!I272="","",'Journal'!I272)</f>
        <v/>
      </c>
    </row>
    <row r="543">
      <c r="A543" s="18">
        <f>IF('Journal'!A273="","",'Journal'!A273)</f>
        <v/>
      </c>
      <c r="B543" s="21">
        <f>IF('Journal'!B273="","",'Journal'!B273)</f>
        <v/>
      </c>
      <c r="C543" s="5">
        <f>IF('Journal'!C273="","",'Journal'!C273)</f>
        <v/>
      </c>
      <c r="D543" s="5">
        <f>IF('Journal'!D273="","",IFERROR(LEFT('Journal'!D273,FIND(" ",'Journal'!D273)-1),'Journal'!D273))</f>
        <v/>
      </c>
      <c r="E543" s="5">
        <f>IF('Journal'!D273="","",IFERROR(INDEX('Kontoplan'!$B$3:$B$302,MATCH('Journal'!D273,'Kontoplan'!$H$3:$H$302,0)),""))</f>
        <v/>
      </c>
      <c r="F543" s="20">
        <f>IF('Journal'!G273="","",'Journal'!G273)</f>
        <v/>
      </c>
      <c r="G543" s="20">
        <f>IF('Journal'!F273="","",'Journal'!F273)</f>
        <v/>
      </c>
      <c r="H543" s="5">
        <f>IF('Journal'!I273="","",'Journal'!I273)</f>
        <v/>
      </c>
    </row>
    <row r="544">
      <c r="A544" s="18">
        <f>IF('Journal'!A273="","",'Journal'!A273)</f>
        <v/>
      </c>
      <c r="B544" s="21">
        <f>IF('Journal'!B273="","",'Journal'!B273)</f>
        <v/>
      </c>
      <c r="C544" s="5">
        <f>IF('Journal'!C273="","",'Journal'!C273)</f>
        <v/>
      </c>
      <c r="D544" s="5">
        <f>IF('Journal'!E273="","",IFERROR(LEFT('Journal'!E273,FIND(" ",'Journal'!E273)-1),'Journal'!E273))</f>
        <v/>
      </c>
      <c r="E544" s="5">
        <f>IF('Journal'!E273="","",IFERROR(INDEX('Kontoplan'!$B$3:$B$302,MATCH('Journal'!E273,'Kontoplan'!$H$3:$H$302,0)),""))</f>
        <v/>
      </c>
      <c r="F544" s="20">
        <f>IF('Journal'!F273="","",'Journal'!F273)</f>
        <v/>
      </c>
      <c r="G544" s="20">
        <f>IF('Journal'!G273="","",'Journal'!G273)</f>
        <v/>
      </c>
      <c r="H544" s="5">
        <f>IF('Journal'!I273="","",'Journal'!I273)</f>
        <v/>
      </c>
    </row>
    <row r="545">
      <c r="A545" s="18">
        <f>IF('Journal'!A274="","",'Journal'!A274)</f>
        <v/>
      </c>
      <c r="B545" s="21">
        <f>IF('Journal'!B274="","",'Journal'!B274)</f>
        <v/>
      </c>
      <c r="C545" s="5">
        <f>IF('Journal'!C274="","",'Journal'!C274)</f>
        <v/>
      </c>
      <c r="D545" s="5">
        <f>IF('Journal'!D274="","",IFERROR(LEFT('Journal'!D274,FIND(" ",'Journal'!D274)-1),'Journal'!D274))</f>
        <v/>
      </c>
      <c r="E545" s="5">
        <f>IF('Journal'!D274="","",IFERROR(INDEX('Kontoplan'!$B$3:$B$302,MATCH('Journal'!D274,'Kontoplan'!$H$3:$H$302,0)),""))</f>
        <v/>
      </c>
      <c r="F545" s="20">
        <f>IF('Journal'!G274="","",'Journal'!G274)</f>
        <v/>
      </c>
      <c r="G545" s="20">
        <f>IF('Journal'!F274="","",'Journal'!F274)</f>
        <v/>
      </c>
      <c r="H545" s="5">
        <f>IF('Journal'!I274="","",'Journal'!I274)</f>
        <v/>
      </c>
    </row>
    <row r="546">
      <c r="A546" s="18">
        <f>IF('Journal'!A274="","",'Journal'!A274)</f>
        <v/>
      </c>
      <c r="B546" s="21">
        <f>IF('Journal'!B274="","",'Journal'!B274)</f>
        <v/>
      </c>
      <c r="C546" s="5">
        <f>IF('Journal'!C274="","",'Journal'!C274)</f>
        <v/>
      </c>
      <c r="D546" s="5">
        <f>IF('Journal'!E274="","",IFERROR(LEFT('Journal'!E274,FIND(" ",'Journal'!E274)-1),'Journal'!E274))</f>
        <v/>
      </c>
      <c r="E546" s="5">
        <f>IF('Journal'!E274="","",IFERROR(INDEX('Kontoplan'!$B$3:$B$302,MATCH('Journal'!E274,'Kontoplan'!$H$3:$H$302,0)),""))</f>
        <v/>
      </c>
      <c r="F546" s="20">
        <f>IF('Journal'!F274="","",'Journal'!F274)</f>
        <v/>
      </c>
      <c r="G546" s="20">
        <f>IF('Journal'!G274="","",'Journal'!G274)</f>
        <v/>
      </c>
      <c r="H546" s="5">
        <f>IF('Journal'!I274="","",'Journal'!I274)</f>
        <v/>
      </c>
    </row>
    <row r="547">
      <c r="A547" s="18">
        <f>IF('Journal'!A275="","",'Journal'!A275)</f>
        <v/>
      </c>
      <c r="B547" s="21">
        <f>IF('Journal'!B275="","",'Journal'!B275)</f>
        <v/>
      </c>
      <c r="C547" s="5">
        <f>IF('Journal'!C275="","",'Journal'!C275)</f>
        <v/>
      </c>
      <c r="D547" s="5">
        <f>IF('Journal'!D275="","",IFERROR(LEFT('Journal'!D275,FIND(" ",'Journal'!D275)-1),'Journal'!D275))</f>
        <v/>
      </c>
      <c r="E547" s="5">
        <f>IF('Journal'!D275="","",IFERROR(INDEX('Kontoplan'!$B$3:$B$302,MATCH('Journal'!D275,'Kontoplan'!$H$3:$H$302,0)),""))</f>
        <v/>
      </c>
      <c r="F547" s="20">
        <f>IF('Journal'!G275="","",'Journal'!G275)</f>
        <v/>
      </c>
      <c r="G547" s="20">
        <f>IF('Journal'!F275="","",'Journal'!F275)</f>
        <v/>
      </c>
      <c r="H547" s="5">
        <f>IF('Journal'!I275="","",'Journal'!I275)</f>
        <v/>
      </c>
    </row>
    <row r="548">
      <c r="A548" s="18">
        <f>IF('Journal'!A275="","",'Journal'!A275)</f>
        <v/>
      </c>
      <c r="B548" s="21">
        <f>IF('Journal'!B275="","",'Journal'!B275)</f>
        <v/>
      </c>
      <c r="C548" s="5">
        <f>IF('Journal'!C275="","",'Journal'!C275)</f>
        <v/>
      </c>
      <c r="D548" s="5">
        <f>IF('Journal'!E275="","",IFERROR(LEFT('Journal'!E275,FIND(" ",'Journal'!E275)-1),'Journal'!E275))</f>
        <v/>
      </c>
      <c r="E548" s="5">
        <f>IF('Journal'!E275="","",IFERROR(INDEX('Kontoplan'!$B$3:$B$302,MATCH('Journal'!E275,'Kontoplan'!$H$3:$H$302,0)),""))</f>
        <v/>
      </c>
      <c r="F548" s="20">
        <f>IF('Journal'!F275="","",'Journal'!F275)</f>
        <v/>
      </c>
      <c r="G548" s="20">
        <f>IF('Journal'!G275="","",'Journal'!G275)</f>
        <v/>
      </c>
      <c r="H548" s="5">
        <f>IF('Journal'!I275="","",'Journal'!I275)</f>
        <v/>
      </c>
    </row>
    <row r="549">
      <c r="A549" s="18">
        <f>IF('Journal'!A276="","",'Journal'!A276)</f>
        <v/>
      </c>
      <c r="B549" s="21">
        <f>IF('Journal'!B276="","",'Journal'!B276)</f>
        <v/>
      </c>
      <c r="C549" s="5">
        <f>IF('Journal'!C276="","",'Journal'!C276)</f>
        <v/>
      </c>
      <c r="D549" s="5">
        <f>IF('Journal'!D276="","",IFERROR(LEFT('Journal'!D276,FIND(" ",'Journal'!D276)-1),'Journal'!D276))</f>
        <v/>
      </c>
      <c r="E549" s="5">
        <f>IF('Journal'!D276="","",IFERROR(INDEX('Kontoplan'!$B$3:$B$302,MATCH('Journal'!D276,'Kontoplan'!$H$3:$H$302,0)),""))</f>
        <v/>
      </c>
      <c r="F549" s="20">
        <f>IF('Journal'!G276="","",'Journal'!G276)</f>
        <v/>
      </c>
      <c r="G549" s="20">
        <f>IF('Journal'!F276="","",'Journal'!F276)</f>
        <v/>
      </c>
      <c r="H549" s="5">
        <f>IF('Journal'!I276="","",'Journal'!I276)</f>
        <v/>
      </c>
    </row>
    <row r="550">
      <c r="A550" s="18">
        <f>IF('Journal'!A276="","",'Journal'!A276)</f>
        <v/>
      </c>
      <c r="B550" s="21">
        <f>IF('Journal'!B276="","",'Journal'!B276)</f>
        <v/>
      </c>
      <c r="C550" s="5">
        <f>IF('Journal'!C276="","",'Journal'!C276)</f>
        <v/>
      </c>
      <c r="D550" s="5">
        <f>IF('Journal'!E276="","",IFERROR(LEFT('Journal'!E276,FIND(" ",'Journal'!E276)-1),'Journal'!E276))</f>
        <v/>
      </c>
      <c r="E550" s="5">
        <f>IF('Journal'!E276="","",IFERROR(INDEX('Kontoplan'!$B$3:$B$302,MATCH('Journal'!E276,'Kontoplan'!$H$3:$H$302,0)),""))</f>
        <v/>
      </c>
      <c r="F550" s="20">
        <f>IF('Journal'!F276="","",'Journal'!F276)</f>
        <v/>
      </c>
      <c r="G550" s="20">
        <f>IF('Journal'!G276="","",'Journal'!G276)</f>
        <v/>
      </c>
      <c r="H550" s="5">
        <f>IF('Journal'!I276="","",'Journal'!I276)</f>
        <v/>
      </c>
    </row>
    <row r="551">
      <c r="A551" s="18">
        <f>IF('Journal'!A277="","",'Journal'!A277)</f>
        <v/>
      </c>
      <c r="B551" s="21">
        <f>IF('Journal'!B277="","",'Journal'!B277)</f>
        <v/>
      </c>
      <c r="C551" s="5">
        <f>IF('Journal'!C277="","",'Journal'!C277)</f>
        <v/>
      </c>
      <c r="D551" s="5">
        <f>IF('Journal'!D277="","",IFERROR(LEFT('Journal'!D277,FIND(" ",'Journal'!D277)-1),'Journal'!D277))</f>
        <v/>
      </c>
      <c r="E551" s="5">
        <f>IF('Journal'!D277="","",IFERROR(INDEX('Kontoplan'!$B$3:$B$302,MATCH('Journal'!D277,'Kontoplan'!$H$3:$H$302,0)),""))</f>
        <v/>
      </c>
      <c r="F551" s="20">
        <f>IF('Journal'!G277="","",'Journal'!G277)</f>
        <v/>
      </c>
      <c r="G551" s="20">
        <f>IF('Journal'!F277="","",'Journal'!F277)</f>
        <v/>
      </c>
      <c r="H551" s="5">
        <f>IF('Journal'!I277="","",'Journal'!I277)</f>
        <v/>
      </c>
    </row>
    <row r="552">
      <c r="A552" s="18">
        <f>IF('Journal'!A277="","",'Journal'!A277)</f>
        <v/>
      </c>
      <c r="B552" s="21">
        <f>IF('Journal'!B277="","",'Journal'!B277)</f>
        <v/>
      </c>
      <c r="C552" s="5">
        <f>IF('Journal'!C277="","",'Journal'!C277)</f>
        <v/>
      </c>
      <c r="D552" s="5">
        <f>IF('Journal'!E277="","",IFERROR(LEFT('Journal'!E277,FIND(" ",'Journal'!E277)-1),'Journal'!E277))</f>
        <v/>
      </c>
      <c r="E552" s="5">
        <f>IF('Journal'!E277="","",IFERROR(INDEX('Kontoplan'!$B$3:$B$302,MATCH('Journal'!E277,'Kontoplan'!$H$3:$H$302,0)),""))</f>
        <v/>
      </c>
      <c r="F552" s="20">
        <f>IF('Journal'!F277="","",'Journal'!F277)</f>
        <v/>
      </c>
      <c r="G552" s="20">
        <f>IF('Journal'!G277="","",'Journal'!G277)</f>
        <v/>
      </c>
      <c r="H552" s="5">
        <f>IF('Journal'!I277="","",'Journal'!I277)</f>
        <v/>
      </c>
    </row>
    <row r="553">
      <c r="A553" s="18">
        <f>IF('Journal'!A278="","",'Journal'!A278)</f>
        <v/>
      </c>
      <c r="B553" s="21">
        <f>IF('Journal'!B278="","",'Journal'!B278)</f>
        <v/>
      </c>
      <c r="C553" s="5">
        <f>IF('Journal'!C278="","",'Journal'!C278)</f>
        <v/>
      </c>
      <c r="D553" s="5">
        <f>IF('Journal'!D278="","",IFERROR(LEFT('Journal'!D278,FIND(" ",'Journal'!D278)-1),'Journal'!D278))</f>
        <v/>
      </c>
      <c r="E553" s="5">
        <f>IF('Journal'!D278="","",IFERROR(INDEX('Kontoplan'!$B$3:$B$302,MATCH('Journal'!D278,'Kontoplan'!$H$3:$H$302,0)),""))</f>
        <v/>
      </c>
      <c r="F553" s="20">
        <f>IF('Journal'!G278="","",'Journal'!G278)</f>
        <v/>
      </c>
      <c r="G553" s="20">
        <f>IF('Journal'!F278="","",'Journal'!F278)</f>
        <v/>
      </c>
      <c r="H553" s="5">
        <f>IF('Journal'!I278="","",'Journal'!I278)</f>
        <v/>
      </c>
    </row>
    <row r="554">
      <c r="A554" s="18">
        <f>IF('Journal'!A278="","",'Journal'!A278)</f>
        <v/>
      </c>
      <c r="B554" s="21">
        <f>IF('Journal'!B278="","",'Journal'!B278)</f>
        <v/>
      </c>
      <c r="C554" s="5">
        <f>IF('Journal'!C278="","",'Journal'!C278)</f>
        <v/>
      </c>
      <c r="D554" s="5">
        <f>IF('Journal'!E278="","",IFERROR(LEFT('Journal'!E278,FIND(" ",'Journal'!E278)-1),'Journal'!E278))</f>
        <v/>
      </c>
      <c r="E554" s="5">
        <f>IF('Journal'!E278="","",IFERROR(INDEX('Kontoplan'!$B$3:$B$302,MATCH('Journal'!E278,'Kontoplan'!$H$3:$H$302,0)),""))</f>
        <v/>
      </c>
      <c r="F554" s="20">
        <f>IF('Journal'!F278="","",'Journal'!F278)</f>
        <v/>
      </c>
      <c r="G554" s="20">
        <f>IF('Journal'!G278="","",'Journal'!G278)</f>
        <v/>
      </c>
      <c r="H554" s="5">
        <f>IF('Journal'!I278="","",'Journal'!I278)</f>
        <v/>
      </c>
    </row>
    <row r="555">
      <c r="A555" s="18">
        <f>IF('Journal'!A279="","",'Journal'!A279)</f>
        <v/>
      </c>
      <c r="B555" s="21">
        <f>IF('Journal'!B279="","",'Journal'!B279)</f>
        <v/>
      </c>
      <c r="C555" s="5">
        <f>IF('Journal'!C279="","",'Journal'!C279)</f>
        <v/>
      </c>
      <c r="D555" s="5">
        <f>IF('Journal'!D279="","",IFERROR(LEFT('Journal'!D279,FIND(" ",'Journal'!D279)-1),'Journal'!D279))</f>
        <v/>
      </c>
      <c r="E555" s="5">
        <f>IF('Journal'!D279="","",IFERROR(INDEX('Kontoplan'!$B$3:$B$302,MATCH('Journal'!D279,'Kontoplan'!$H$3:$H$302,0)),""))</f>
        <v/>
      </c>
      <c r="F555" s="20">
        <f>IF('Journal'!G279="","",'Journal'!G279)</f>
        <v/>
      </c>
      <c r="G555" s="20">
        <f>IF('Journal'!F279="","",'Journal'!F279)</f>
        <v/>
      </c>
      <c r="H555" s="5">
        <f>IF('Journal'!I279="","",'Journal'!I279)</f>
        <v/>
      </c>
    </row>
    <row r="556">
      <c r="A556" s="18">
        <f>IF('Journal'!A279="","",'Journal'!A279)</f>
        <v/>
      </c>
      <c r="B556" s="21">
        <f>IF('Journal'!B279="","",'Journal'!B279)</f>
        <v/>
      </c>
      <c r="C556" s="5">
        <f>IF('Journal'!C279="","",'Journal'!C279)</f>
        <v/>
      </c>
      <c r="D556" s="5">
        <f>IF('Journal'!E279="","",IFERROR(LEFT('Journal'!E279,FIND(" ",'Journal'!E279)-1),'Journal'!E279))</f>
        <v/>
      </c>
      <c r="E556" s="5">
        <f>IF('Journal'!E279="","",IFERROR(INDEX('Kontoplan'!$B$3:$B$302,MATCH('Journal'!E279,'Kontoplan'!$H$3:$H$302,0)),""))</f>
        <v/>
      </c>
      <c r="F556" s="20">
        <f>IF('Journal'!F279="","",'Journal'!F279)</f>
        <v/>
      </c>
      <c r="G556" s="20">
        <f>IF('Journal'!G279="","",'Journal'!G279)</f>
        <v/>
      </c>
      <c r="H556" s="5">
        <f>IF('Journal'!I279="","",'Journal'!I279)</f>
        <v/>
      </c>
    </row>
    <row r="557">
      <c r="A557" s="18">
        <f>IF('Journal'!A280="","",'Journal'!A280)</f>
        <v/>
      </c>
      <c r="B557" s="21">
        <f>IF('Journal'!B280="","",'Journal'!B280)</f>
        <v/>
      </c>
      <c r="C557" s="5">
        <f>IF('Journal'!C280="","",'Journal'!C280)</f>
        <v/>
      </c>
      <c r="D557" s="5">
        <f>IF('Journal'!D280="","",IFERROR(LEFT('Journal'!D280,FIND(" ",'Journal'!D280)-1),'Journal'!D280))</f>
        <v/>
      </c>
      <c r="E557" s="5">
        <f>IF('Journal'!D280="","",IFERROR(INDEX('Kontoplan'!$B$3:$B$302,MATCH('Journal'!D280,'Kontoplan'!$H$3:$H$302,0)),""))</f>
        <v/>
      </c>
      <c r="F557" s="20">
        <f>IF('Journal'!G280="","",'Journal'!G280)</f>
        <v/>
      </c>
      <c r="G557" s="20">
        <f>IF('Journal'!F280="","",'Journal'!F280)</f>
        <v/>
      </c>
      <c r="H557" s="5">
        <f>IF('Journal'!I280="","",'Journal'!I280)</f>
        <v/>
      </c>
    </row>
    <row r="558">
      <c r="A558" s="18">
        <f>IF('Journal'!A280="","",'Journal'!A280)</f>
        <v/>
      </c>
      <c r="B558" s="21">
        <f>IF('Journal'!B280="","",'Journal'!B280)</f>
        <v/>
      </c>
      <c r="C558" s="5">
        <f>IF('Journal'!C280="","",'Journal'!C280)</f>
        <v/>
      </c>
      <c r="D558" s="5">
        <f>IF('Journal'!E280="","",IFERROR(LEFT('Journal'!E280,FIND(" ",'Journal'!E280)-1),'Journal'!E280))</f>
        <v/>
      </c>
      <c r="E558" s="5">
        <f>IF('Journal'!E280="","",IFERROR(INDEX('Kontoplan'!$B$3:$B$302,MATCH('Journal'!E280,'Kontoplan'!$H$3:$H$302,0)),""))</f>
        <v/>
      </c>
      <c r="F558" s="20">
        <f>IF('Journal'!F280="","",'Journal'!F280)</f>
        <v/>
      </c>
      <c r="G558" s="20">
        <f>IF('Journal'!G280="","",'Journal'!G280)</f>
        <v/>
      </c>
      <c r="H558" s="5">
        <f>IF('Journal'!I280="","",'Journal'!I280)</f>
        <v/>
      </c>
    </row>
    <row r="559">
      <c r="A559" s="18">
        <f>IF('Journal'!A281="","",'Journal'!A281)</f>
        <v/>
      </c>
      <c r="B559" s="21">
        <f>IF('Journal'!B281="","",'Journal'!B281)</f>
        <v/>
      </c>
      <c r="C559" s="5">
        <f>IF('Journal'!C281="","",'Journal'!C281)</f>
        <v/>
      </c>
      <c r="D559" s="5">
        <f>IF('Journal'!D281="","",IFERROR(LEFT('Journal'!D281,FIND(" ",'Journal'!D281)-1),'Journal'!D281))</f>
        <v/>
      </c>
      <c r="E559" s="5">
        <f>IF('Journal'!D281="","",IFERROR(INDEX('Kontoplan'!$B$3:$B$302,MATCH('Journal'!D281,'Kontoplan'!$H$3:$H$302,0)),""))</f>
        <v/>
      </c>
      <c r="F559" s="20">
        <f>IF('Journal'!G281="","",'Journal'!G281)</f>
        <v/>
      </c>
      <c r="G559" s="20">
        <f>IF('Journal'!F281="","",'Journal'!F281)</f>
        <v/>
      </c>
      <c r="H559" s="5">
        <f>IF('Journal'!I281="","",'Journal'!I281)</f>
        <v/>
      </c>
    </row>
    <row r="560">
      <c r="A560" s="18">
        <f>IF('Journal'!A281="","",'Journal'!A281)</f>
        <v/>
      </c>
      <c r="B560" s="21">
        <f>IF('Journal'!B281="","",'Journal'!B281)</f>
        <v/>
      </c>
      <c r="C560" s="5">
        <f>IF('Journal'!C281="","",'Journal'!C281)</f>
        <v/>
      </c>
      <c r="D560" s="5">
        <f>IF('Journal'!E281="","",IFERROR(LEFT('Journal'!E281,FIND(" ",'Journal'!E281)-1),'Journal'!E281))</f>
        <v/>
      </c>
      <c r="E560" s="5">
        <f>IF('Journal'!E281="","",IFERROR(INDEX('Kontoplan'!$B$3:$B$302,MATCH('Journal'!E281,'Kontoplan'!$H$3:$H$302,0)),""))</f>
        <v/>
      </c>
      <c r="F560" s="20">
        <f>IF('Journal'!F281="","",'Journal'!F281)</f>
        <v/>
      </c>
      <c r="G560" s="20">
        <f>IF('Journal'!G281="","",'Journal'!G281)</f>
        <v/>
      </c>
      <c r="H560" s="5">
        <f>IF('Journal'!I281="","",'Journal'!I281)</f>
        <v/>
      </c>
    </row>
    <row r="561">
      <c r="A561" s="18">
        <f>IF('Journal'!A282="","",'Journal'!A282)</f>
        <v/>
      </c>
      <c r="B561" s="21">
        <f>IF('Journal'!B282="","",'Journal'!B282)</f>
        <v/>
      </c>
      <c r="C561" s="5">
        <f>IF('Journal'!C282="","",'Journal'!C282)</f>
        <v/>
      </c>
      <c r="D561" s="5">
        <f>IF('Journal'!D282="","",IFERROR(LEFT('Journal'!D282,FIND(" ",'Journal'!D282)-1),'Journal'!D282))</f>
        <v/>
      </c>
      <c r="E561" s="5">
        <f>IF('Journal'!D282="","",IFERROR(INDEX('Kontoplan'!$B$3:$B$302,MATCH('Journal'!D282,'Kontoplan'!$H$3:$H$302,0)),""))</f>
        <v/>
      </c>
      <c r="F561" s="20">
        <f>IF('Journal'!G282="","",'Journal'!G282)</f>
        <v/>
      </c>
      <c r="G561" s="20">
        <f>IF('Journal'!F282="","",'Journal'!F282)</f>
        <v/>
      </c>
      <c r="H561" s="5">
        <f>IF('Journal'!I282="","",'Journal'!I282)</f>
        <v/>
      </c>
    </row>
    <row r="562">
      <c r="A562" s="18">
        <f>IF('Journal'!A282="","",'Journal'!A282)</f>
        <v/>
      </c>
      <c r="B562" s="21">
        <f>IF('Journal'!B282="","",'Journal'!B282)</f>
        <v/>
      </c>
      <c r="C562" s="5">
        <f>IF('Journal'!C282="","",'Journal'!C282)</f>
        <v/>
      </c>
      <c r="D562" s="5">
        <f>IF('Journal'!E282="","",IFERROR(LEFT('Journal'!E282,FIND(" ",'Journal'!E282)-1),'Journal'!E282))</f>
        <v/>
      </c>
      <c r="E562" s="5">
        <f>IF('Journal'!E282="","",IFERROR(INDEX('Kontoplan'!$B$3:$B$302,MATCH('Journal'!E282,'Kontoplan'!$H$3:$H$302,0)),""))</f>
        <v/>
      </c>
      <c r="F562" s="20">
        <f>IF('Journal'!F282="","",'Journal'!F282)</f>
        <v/>
      </c>
      <c r="G562" s="20">
        <f>IF('Journal'!G282="","",'Journal'!G282)</f>
        <v/>
      </c>
      <c r="H562" s="5">
        <f>IF('Journal'!I282="","",'Journal'!I282)</f>
        <v/>
      </c>
    </row>
    <row r="563">
      <c r="A563" s="18">
        <f>IF('Journal'!A283="","",'Journal'!A283)</f>
        <v/>
      </c>
      <c r="B563" s="21">
        <f>IF('Journal'!B283="","",'Journal'!B283)</f>
        <v/>
      </c>
      <c r="C563" s="5">
        <f>IF('Journal'!C283="","",'Journal'!C283)</f>
        <v/>
      </c>
      <c r="D563" s="5">
        <f>IF('Journal'!D283="","",IFERROR(LEFT('Journal'!D283,FIND(" ",'Journal'!D283)-1),'Journal'!D283))</f>
        <v/>
      </c>
      <c r="E563" s="5">
        <f>IF('Journal'!D283="","",IFERROR(INDEX('Kontoplan'!$B$3:$B$302,MATCH('Journal'!D283,'Kontoplan'!$H$3:$H$302,0)),""))</f>
        <v/>
      </c>
      <c r="F563" s="20">
        <f>IF('Journal'!G283="","",'Journal'!G283)</f>
        <v/>
      </c>
      <c r="G563" s="20">
        <f>IF('Journal'!F283="","",'Journal'!F283)</f>
        <v/>
      </c>
      <c r="H563" s="5">
        <f>IF('Journal'!I283="","",'Journal'!I283)</f>
        <v/>
      </c>
    </row>
    <row r="564">
      <c r="A564" s="18">
        <f>IF('Journal'!A283="","",'Journal'!A283)</f>
        <v/>
      </c>
      <c r="B564" s="21">
        <f>IF('Journal'!B283="","",'Journal'!B283)</f>
        <v/>
      </c>
      <c r="C564" s="5">
        <f>IF('Journal'!C283="","",'Journal'!C283)</f>
        <v/>
      </c>
      <c r="D564" s="5">
        <f>IF('Journal'!E283="","",IFERROR(LEFT('Journal'!E283,FIND(" ",'Journal'!E283)-1),'Journal'!E283))</f>
        <v/>
      </c>
      <c r="E564" s="5">
        <f>IF('Journal'!E283="","",IFERROR(INDEX('Kontoplan'!$B$3:$B$302,MATCH('Journal'!E283,'Kontoplan'!$H$3:$H$302,0)),""))</f>
        <v/>
      </c>
      <c r="F564" s="20">
        <f>IF('Journal'!F283="","",'Journal'!F283)</f>
        <v/>
      </c>
      <c r="G564" s="20">
        <f>IF('Journal'!G283="","",'Journal'!G283)</f>
        <v/>
      </c>
      <c r="H564" s="5">
        <f>IF('Journal'!I283="","",'Journal'!I283)</f>
        <v/>
      </c>
    </row>
    <row r="565">
      <c r="A565" s="18">
        <f>IF('Journal'!A284="","",'Journal'!A284)</f>
        <v/>
      </c>
      <c r="B565" s="21">
        <f>IF('Journal'!B284="","",'Journal'!B284)</f>
        <v/>
      </c>
      <c r="C565" s="5">
        <f>IF('Journal'!C284="","",'Journal'!C284)</f>
        <v/>
      </c>
      <c r="D565" s="5">
        <f>IF('Journal'!D284="","",IFERROR(LEFT('Journal'!D284,FIND(" ",'Journal'!D284)-1),'Journal'!D284))</f>
        <v/>
      </c>
      <c r="E565" s="5">
        <f>IF('Journal'!D284="","",IFERROR(INDEX('Kontoplan'!$B$3:$B$302,MATCH('Journal'!D284,'Kontoplan'!$H$3:$H$302,0)),""))</f>
        <v/>
      </c>
      <c r="F565" s="20">
        <f>IF('Journal'!G284="","",'Journal'!G284)</f>
        <v/>
      </c>
      <c r="G565" s="20">
        <f>IF('Journal'!F284="","",'Journal'!F284)</f>
        <v/>
      </c>
      <c r="H565" s="5">
        <f>IF('Journal'!I284="","",'Journal'!I284)</f>
        <v/>
      </c>
    </row>
    <row r="566">
      <c r="A566" s="18">
        <f>IF('Journal'!A284="","",'Journal'!A284)</f>
        <v/>
      </c>
      <c r="B566" s="21">
        <f>IF('Journal'!B284="","",'Journal'!B284)</f>
        <v/>
      </c>
      <c r="C566" s="5">
        <f>IF('Journal'!C284="","",'Journal'!C284)</f>
        <v/>
      </c>
      <c r="D566" s="5">
        <f>IF('Journal'!E284="","",IFERROR(LEFT('Journal'!E284,FIND(" ",'Journal'!E284)-1),'Journal'!E284))</f>
        <v/>
      </c>
      <c r="E566" s="5">
        <f>IF('Journal'!E284="","",IFERROR(INDEX('Kontoplan'!$B$3:$B$302,MATCH('Journal'!E284,'Kontoplan'!$H$3:$H$302,0)),""))</f>
        <v/>
      </c>
      <c r="F566" s="20">
        <f>IF('Journal'!F284="","",'Journal'!F284)</f>
        <v/>
      </c>
      <c r="G566" s="20">
        <f>IF('Journal'!G284="","",'Journal'!G284)</f>
        <v/>
      </c>
      <c r="H566" s="5">
        <f>IF('Journal'!I284="","",'Journal'!I284)</f>
        <v/>
      </c>
    </row>
    <row r="567">
      <c r="A567" s="18">
        <f>IF('Journal'!A285="","",'Journal'!A285)</f>
        <v/>
      </c>
      <c r="B567" s="21">
        <f>IF('Journal'!B285="","",'Journal'!B285)</f>
        <v/>
      </c>
      <c r="C567" s="5">
        <f>IF('Journal'!C285="","",'Journal'!C285)</f>
        <v/>
      </c>
      <c r="D567" s="5">
        <f>IF('Journal'!D285="","",IFERROR(LEFT('Journal'!D285,FIND(" ",'Journal'!D285)-1),'Journal'!D285))</f>
        <v/>
      </c>
      <c r="E567" s="5">
        <f>IF('Journal'!D285="","",IFERROR(INDEX('Kontoplan'!$B$3:$B$302,MATCH('Journal'!D285,'Kontoplan'!$H$3:$H$302,0)),""))</f>
        <v/>
      </c>
      <c r="F567" s="20">
        <f>IF('Journal'!G285="","",'Journal'!G285)</f>
        <v/>
      </c>
      <c r="G567" s="20">
        <f>IF('Journal'!F285="","",'Journal'!F285)</f>
        <v/>
      </c>
      <c r="H567" s="5">
        <f>IF('Journal'!I285="","",'Journal'!I285)</f>
        <v/>
      </c>
    </row>
    <row r="568">
      <c r="A568" s="18">
        <f>IF('Journal'!A285="","",'Journal'!A285)</f>
        <v/>
      </c>
      <c r="B568" s="21">
        <f>IF('Journal'!B285="","",'Journal'!B285)</f>
        <v/>
      </c>
      <c r="C568" s="5">
        <f>IF('Journal'!C285="","",'Journal'!C285)</f>
        <v/>
      </c>
      <c r="D568" s="5">
        <f>IF('Journal'!E285="","",IFERROR(LEFT('Journal'!E285,FIND(" ",'Journal'!E285)-1),'Journal'!E285))</f>
        <v/>
      </c>
      <c r="E568" s="5">
        <f>IF('Journal'!E285="","",IFERROR(INDEX('Kontoplan'!$B$3:$B$302,MATCH('Journal'!E285,'Kontoplan'!$H$3:$H$302,0)),""))</f>
        <v/>
      </c>
      <c r="F568" s="20">
        <f>IF('Journal'!F285="","",'Journal'!F285)</f>
        <v/>
      </c>
      <c r="G568" s="20">
        <f>IF('Journal'!G285="","",'Journal'!G285)</f>
        <v/>
      </c>
      <c r="H568" s="5">
        <f>IF('Journal'!I285="","",'Journal'!I285)</f>
        <v/>
      </c>
    </row>
    <row r="569">
      <c r="A569" s="18">
        <f>IF('Journal'!A286="","",'Journal'!A286)</f>
        <v/>
      </c>
      <c r="B569" s="21">
        <f>IF('Journal'!B286="","",'Journal'!B286)</f>
        <v/>
      </c>
      <c r="C569" s="5">
        <f>IF('Journal'!C286="","",'Journal'!C286)</f>
        <v/>
      </c>
      <c r="D569" s="5">
        <f>IF('Journal'!D286="","",IFERROR(LEFT('Journal'!D286,FIND(" ",'Journal'!D286)-1),'Journal'!D286))</f>
        <v/>
      </c>
      <c r="E569" s="5">
        <f>IF('Journal'!D286="","",IFERROR(INDEX('Kontoplan'!$B$3:$B$302,MATCH('Journal'!D286,'Kontoplan'!$H$3:$H$302,0)),""))</f>
        <v/>
      </c>
      <c r="F569" s="20">
        <f>IF('Journal'!G286="","",'Journal'!G286)</f>
        <v/>
      </c>
      <c r="G569" s="20">
        <f>IF('Journal'!F286="","",'Journal'!F286)</f>
        <v/>
      </c>
      <c r="H569" s="5">
        <f>IF('Journal'!I286="","",'Journal'!I286)</f>
        <v/>
      </c>
    </row>
    <row r="570">
      <c r="A570" s="18">
        <f>IF('Journal'!A286="","",'Journal'!A286)</f>
        <v/>
      </c>
      <c r="B570" s="21">
        <f>IF('Journal'!B286="","",'Journal'!B286)</f>
        <v/>
      </c>
      <c r="C570" s="5">
        <f>IF('Journal'!C286="","",'Journal'!C286)</f>
        <v/>
      </c>
      <c r="D570" s="5">
        <f>IF('Journal'!E286="","",IFERROR(LEFT('Journal'!E286,FIND(" ",'Journal'!E286)-1),'Journal'!E286))</f>
        <v/>
      </c>
      <c r="E570" s="5">
        <f>IF('Journal'!E286="","",IFERROR(INDEX('Kontoplan'!$B$3:$B$302,MATCH('Journal'!E286,'Kontoplan'!$H$3:$H$302,0)),""))</f>
        <v/>
      </c>
      <c r="F570" s="20">
        <f>IF('Journal'!F286="","",'Journal'!F286)</f>
        <v/>
      </c>
      <c r="G570" s="20">
        <f>IF('Journal'!G286="","",'Journal'!G286)</f>
        <v/>
      </c>
      <c r="H570" s="5">
        <f>IF('Journal'!I286="","",'Journal'!I286)</f>
        <v/>
      </c>
    </row>
    <row r="571">
      <c r="A571" s="18">
        <f>IF('Journal'!A287="","",'Journal'!A287)</f>
        <v/>
      </c>
      <c r="B571" s="21">
        <f>IF('Journal'!B287="","",'Journal'!B287)</f>
        <v/>
      </c>
      <c r="C571" s="5">
        <f>IF('Journal'!C287="","",'Journal'!C287)</f>
        <v/>
      </c>
      <c r="D571" s="5">
        <f>IF('Journal'!D287="","",IFERROR(LEFT('Journal'!D287,FIND(" ",'Journal'!D287)-1),'Journal'!D287))</f>
        <v/>
      </c>
      <c r="E571" s="5">
        <f>IF('Journal'!D287="","",IFERROR(INDEX('Kontoplan'!$B$3:$B$302,MATCH('Journal'!D287,'Kontoplan'!$H$3:$H$302,0)),""))</f>
        <v/>
      </c>
      <c r="F571" s="20">
        <f>IF('Journal'!G287="","",'Journal'!G287)</f>
        <v/>
      </c>
      <c r="G571" s="20">
        <f>IF('Journal'!F287="","",'Journal'!F287)</f>
        <v/>
      </c>
      <c r="H571" s="5">
        <f>IF('Journal'!I287="","",'Journal'!I287)</f>
        <v/>
      </c>
    </row>
    <row r="572">
      <c r="A572" s="18">
        <f>IF('Journal'!A287="","",'Journal'!A287)</f>
        <v/>
      </c>
      <c r="B572" s="21">
        <f>IF('Journal'!B287="","",'Journal'!B287)</f>
        <v/>
      </c>
      <c r="C572" s="5">
        <f>IF('Journal'!C287="","",'Journal'!C287)</f>
        <v/>
      </c>
      <c r="D572" s="5">
        <f>IF('Journal'!E287="","",IFERROR(LEFT('Journal'!E287,FIND(" ",'Journal'!E287)-1),'Journal'!E287))</f>
        <v/>
      </c>
      <c r="E572" s="5">
        <f>IF('Journal'!E287="","",IFERROR(INDEX('Kontoplan'!$B$3:$B$302,MATCH('Journal'!E287,'Kontoplan'!$H$3:$H$302,0)),""))</f>
        <v/>
      </c>
      <c r="F572" s="20">
        <f>IF('Journal'!F287="","",'Journal'!F287)</f>
        <v/>
      </c>
      <c r="G572" s="20">
        <f>IF('Journal'!G287="","",'Journal'!G287)</f>
        <v/>
      </c>
      <c r="H572" s="5">
        <f>IF('Journal'!I287="","",'Journal'!I287)</f>
        <v/>
      </c>
    </row>
    <row r="573">
      <c r="A573" s="18">
        <f>IF('Journal'!A288="","",'Journal'!A288)</f>
        <v/>
      </c>
      <c r="B573" s="21">
        <f>IF('Journal'!B288="","",'Journal'!B288)</f>
        <v/>
      </c>
      <c r="C573" s="5">
        <f>IF('Journal'!C288="","",'Journal'!C288)</f>
        <v/>
      </c>
      <c r="D573" s="5">
        <f>IF('Journal'!D288="","",IFERROR(LEFT('Journal'!D288,FIND(" ",'Journal'!D288)-1),'Journal'!D288))</f>
        <v/>
      </c>
      <c r="E573" s="5">
        <f>IF('Journal'!D288="","",IFERROR(INDEX('Kontoplan'!$B$3:$B$302,MATCH('Journal'!D288,'Kontoplan'!$H$3:$H$302,0)),""))</f>
        <v/>
      </c>
      <c r="F573" s="20">
        <f>IF('Journal'!G288="","",'Journal'!G288)</f>
        <v/>
      </c>
      <c r="G573" s="20">
        <f>IF('Journal'!F288="","",'Journal'!F288)</f>
        <v/>
      </c>
      <c r="H573" s="5">
        <f>IF('Journal'!I288="","",'Journal'!I288)</f>
        <v/>
      </c>
    </row>
    <row r="574">
      <c r="A574" s="18">
        <f>IF('Journal'!A288="","",'Journal'!A288)</f>
        <v/>
      </c>
      <c r="B574" s="21">
        <f>IF('Journal'!B288="","",'Journal'!B288)</f>
        <v/>
      </c>
      <c r="C574" s="5">
        <f>IF('Journal'!C288="","",'Journal'!C288)</f>
        <v/>
      </c>
      <c r="D574" s="5">
        <f>IF('Journal'!E288="","",IFERROR(LEFT('Journal'!E288,FIND(" ",'Journal'!E288)-1),'Journal'!E288))</f>
        <v/>
      </c>
      <c r="E574" s="5">
        <f>IF('Journal'!E288="","",IFERROR(INDEX('Kontoplan'!$B$3:$B$302,MATCH('Journal'!E288,'Kontoplan'!$H$3:$H$302,0)),""))</f>
        <v/>
      </c>
      <c r="F574" s="20">
        <f>IF('Journal'!F288="","",'Journal'!F288)</f>
        <v/>
      </c>
      <c r="G574" s="20">
        <f>IF('Journal'!G288="","",'Journal'!G288)</f>
        <v/>
      </c>
      <c r="H574" s="5">
        <f>IF('Journal'!I288="","",'Journal'!I288)</f>
        <v/>
      </c>
    </row>
    <row r="575">
      <c r="A575" s="18">
        <f>IF('Journal'!A289="","",'Journal'!A289)</f>
        <v/>
      </c>
      <c r="B575" s="21">
        <f>IF('Journal'!B289="","",'Journal'!B289)</f>
        <v/>
      </c>
      <c r="C575" s="5">
        <f>IF('Journal'!C289="","",'Journal'!C289)</f>
        <v/>
      </c>
      <c r="D575" s="5">
        <f>IF('Journal'!D289="","",IFERROR(LEFT('Journal'!D289,FIND(" ",'Journal'!D289)-1),'Journal'!D289))</f>
        <v/>
      </c>
      <c r="E575" s="5">
        <f>IF('Journal'!D289="","",IFERROR(INDEX('Kontoplan'!$B$3:$B$302,MATCH('Journal'!D289,'Kontoplan'!$H$3:$H$302,0)),""))</f>
        <v/>
      </c>
      <c r="F575" s="20">
        <f>IF('Journal'!G289="","",'Journal'!G289)</f>
        <v/>
      </c>
      <c r="G575" s="20">
        <f>IF('Journal'!F289="","",'Journal'!F289)</f>
        <v/>
      </c>
      <c r="H575" s="5">
        <f>IF('Journal'!I289="","",'Journal'!I289)</f>
        <v/>
      </c>
    </row>
    <row r="576">
      <c r="A576" s="18">
        <f>IF('Journal'!A289="","",'Journal'!A289)</f>
        <v/>
      </c>
      <c r="B576" s="21">
        <f>IF('Journal'!B289="","",'Journal'!B289)</f>
        <v/>
      </c>
      <c r="C576" s="5">
        <f>IF('Journal'!C289="","",'Journal'!C289)</f>
        <v/>
      </c>
      <c r="D576" s="5">
        <f>IF('Journal'!E289="","",IFERROR(LEFT('Journal'!E289,FIND(" ",'Journal'!E289)-1),'Journal'!E289))</f>
        <v/>
      </c>
      <c r="E576" s="5">
        <f>IF('Journal'!E289="","",IFERROR(INDEX('Kontoplan'!$B$3:$B$302,MATCH('Journal'!E289,'Kontoplan'!$H$3:$H$302,0)),""))</f>
        <v/>
      </c>
      <c r="F576" s="20">
        <f>IF('Journal'!F289="","",'Journal'!F289)</f>
        <v/>
      </c>
      <c r="G576" s="20">
        <f>IF('Journal'!G289="","",'Journal'!G289)</f>
        <v/>
      </c>
      <c r="H576" s="5">
        <f>IF('Journal'!I289="","",'Journal'!I289)</f>
        <v/>
      </c>
    </row>
    <row r="577">
      <c r="A577" s="18">
        <f>IF('Journal'!A290="","",'Journal'!A290)</f>
        <v/>
      </c>
      <c r="B577" s="21">
        <f>IF('Journal'!B290="","",'Journal'!B290)</f>
        <v/>
      </c>
      <c r="C577" s="5">
        <f>IF('Journal'!C290="","",'Journal'!C290)</f>
        <v/>
      </c>
      <c r="D577" s="5">
        <f>IF('Journal'!D290="","",IFERROR(LEFT('Journal'!D290,FIND(" ",'Journal'!D290)-1),'Journal'!D290))</f>
        <v/>
      </c>
      <c r="E577" s="5">
        <f>IF('Journal'!D290="","",IFERROR(INDEX('Kontoplan'!$B$3:$B$302,MATCH('Journal'!D290,'Kontoplan'!$H$3:$H$302,0)),""))</f>
        <v/>
      </c>
      <c r="F577" s="20">
        <f>IF('Journal'!G290="","",'Journal'!G290)</f>
        <v/>
      </c>
      <c r="G577" s="20">
        <f>IF('Journal'!F290="","",'Journal'!F290)</f>
        <v/>
      </c>
      <c r="H577" s="5">
        <f>IF('Journal'!I290="","",'Journal'!I290)</f>
        <v/>
      </c>
    </row>
    <row r="578">
      <c r="A578" s="18">
        <f>IF('Journal'!A290="","",'Journal'!A290)</f>
        <v/>
      </c>
      <c r="B578" s="21">
        <f>IF('Journal'!B290="","",'Journal'!B290)</f>
        <v/>
      </c>
      <c r="C578" s="5">
        <f>IF('Journal'!C290="","",'Journal'!C290)</f>
        <v/>
      </c>
      <c r="D578" s="5">
        <f>IF('Journal'!E290="","",IFERROR(LEFT('Journal'!E290,FIND(" ",'Journal'!E290)-1),'Journal'!E290))</f>
        <v/>
      </c>
      <c r="E578" s="5">
        <f>IF('Journal'!E290="","",IFERROR(INDEX('Kontoplan'!$B$3:$B$302,MATCH('Journal'!E290,'Kontoplan'!$H$3:$H$302,0)),""))</f>
        <v/>
      </c>
      <c r="F578" s="20">
        <f>IF('Journal'!F290="","",'Journal'!F290)</f>
        <v/>
      </c>
      <c r="G578" s="20">
        <f>IF('Journal'!G290="","",'Journal'!G290)</f>
        <v/>
      </c>
      <c r="H578" s="5">
        <f>IF('Journal'!I290="","",'Journal'!I290)</f>
        <v/>
      </c>
    </row>
    <row r="579">
      <c r="A579" s="18">
        <f>IF('Journal'!A291="","",'Journal'!A291)</f>
        <v/>
      </c>
      <c r="B579" s="21">
        <f>IF('Journal'!B291="","",'Journal'!B291)</f>
        <v/>
      </c>
      <c r="C579" s="5">
        <f>IF('Journal'!C291="","",'Journal'!C291)</f>
        <v/>
      </c>
      <c r="D579" s="5">
        <f>IF('Journal'!D291="","",IFERROR(LEFT('Journal'!D291,FIND(" ",'Journal'!D291)-1),'Journal'!D291))</f>
        <v/>
      </c>
      <c r="E579" s="5">
        <f>IF('Journal'!D291="","",IFERROR(INDEX('Kontoplan'!$B$3:$B$302,MATCH('Journal'!D291,'Kontoplan'!$H$3:$H$302,0)),""))</f>
        <v/>
      </c>
      <c r="F579" s="20">
        <f>IF('Journal'!G291="","",'Journal'!G291)</f>
        <v/>
      </c>
      <c r="G579" s="20">
        <f>IF('Journal'!F291="","",'Journal'!F291)</f>
        <v/>
      </c>
      <c r="H579" s="5">
        <f>IF('Journal'!I291="","",'Journal'!I291)</f>
        <v/>
      </c>
    </row>
    <row r="580">
      <c r="A580" s="18">
        <f>IF('Journal'!A291="","",'Journal'!A291)</f>
        <v/>
      </c>
      <c r="B580" s="21">
        <f>IF('Journal'!B291="","",'Journal'!B291)</f>
        <v/>
      </c>
      <c r="C580" s="5">
        <f>IF('Journal'!C291="","",'Journal'!C291)</f>
        <v/>
      </c>
      <c r="D580" s="5">
        <f>IF('Journal'!E291="","",IFERROR(LEFT('Journal'!E291,FIND(" ",'Journal'!E291)-1),'Journal'!E291))</f>
        <v/>
      </c>
      <c r="E580" s="5">
        <f>IF('Journal'!E291="","",IFERROR(INDEX('Kontoplan'!$B$3:$B$302,MATCH('Journal'!E291,'Kontoplan'!$H$3:$H$302,0)),""))</f>
        <v/>
      </c>
      <c r="F580" s="20">
        <f>IF('Journal'!F291="","",'Journal'!F291)</f>
        <v/>
      </c>
      <c r="G580" s="20">
        <f>IF('Journal'!G291="","",'Journal'!G291)</f>
        <v/>
      </c>
      <c r="H580" s="5">
        <f>IF('Journal'!I291="","",'Journal'!I291)</f>
        <v/>
      </c>
    </row>
    <row r="581">
      <c r="A581" s="18">
        <f>IF('Journal'!A292="","",'Journal'!A292)</f>
        <v/>
      </c>
      <c r="B581" s="21">
        <f>IF('Journal'!B292="","",'Journal'!B292)</f>
        <v/>
      </c>
      <c r="C581" s="5">
        <f>IF('Journal'!C292="","",'Journal'!C292)</f>
        <v/>
      </c>
      <c r="D581" s="5">
        <f>IF('Journal'!D292="","",IFERROR(LEFT('Journal'!D292,FIND(" ",'Journal'!D292)-1),'Journal'!D292))</f>
        <v/>
      </c>
      <c r="E581" s="5">
        <f>IF('Journal'!D292="","",IFERROR(INDEX('Kontoplan'!$B$3:$B$302,MATCH('Journal'!D292,'Kontoplan'!$H$3:$H$302,0)),""))</f>
        <v/>
      </c>
      <c r="F581" s="20">
        <f>IF('Journal'!G292="","",'Journal'!G292)</f>
        <v/>
      </c>
      <c r="G581" s="20">
        <f>IF('Journal'!F292="","",'Journal'!F292)</f>
        <v/>
      </c>
      <c r="H581" s="5">
        <f>IF('Journal'!I292="","",'Journal'!I292)</f>
        <v/>
      </c>
    </row>
    <row r="582">
      <c r="A582" s="18">
        <f>IF('Journal'!A292="","",'Journal'!A292)</f>
        <v/>
      </c>
      <c r="B582" s="21">
        <f>IF('Journal'!B292="","",'Journal'!B292)</f>
        <v/>
      </c>
      <c r="C582" s="5">
        <f>IF('Journal'!C292="","",'Journal'!C292)</f>
        <v/>
      </c>
      <c r="D582" s="5">
        <f>IF('Journal'!E292="","",IFERROR(LEFT('Journal'!E292,FIND(" ",'Journal'!E292)-1),'Journal'!E292))</f>
        <v/>
      </c>
      <c r="E582" s="5">
        <f>IF('Journal'!E292="","",IFERROR(INDEX('Kontoplan'!$B$3:$B$302,MATCH('Journal'!E292,'Kontoplan'!$H$3:$H$302,0)),""))</f>
        <v/>
      </c>
      <c r="F582" s="20">
        <f>IF('Journal'!F292="","",'Journal'!F292)</f>
        <v/>
      </c>
      <c r="G582" s="20">
        <f>IF('Journal'!G292="","",'Journal'!G292)</f>
        <v/>
      </c>
      <c r="H582" s="5">
        <f>IF('Journal'!I292="","",'Journal'!I292)</f>
        <v/>
      </c>
    </row>
    <row r="583">
      <c r="A583" s="18">
        <f>IF('Journal'!A293="","",'Journal'!A293)</f>
        <v/>
      </c>
      <c r="B583" s="21">
        <f>IF('Journal'!B293="","",'Journal'!B293)</f>
        <v/>
      </c>
      <c r="C583" s="5">
        <f>IF('Journal'!C293="","",'Journal'!C293)</f>
        <v/>
      </c>
      <c r="D583" s="5">
        <f>IF('Journal'!D293="","",IFERROR(LEFT('Journal'!D293,FIND(" ",'Journal'!D293)-1),'Journal'!D293))</f>
        <v/>
      </c>
      <c r="E583" s="5">
        <f>IF('Journal'!D293="","",IFERROR(INDEX('Kontoplan'!$B$3:$B$302,MATCH('Journal'!D293,'Kontoplan'!$H$3:$H$302,0)),""))</f>
        <v/>
      </c>
      <c r="F583" s="20">
        <f>IF('Journal'!G293="","",'Journal'!G293)</f>
        <v/>
      </c>
      <c r="G583" s="20">
        <f>IF('Journal'!F293="","",'Journal'!F293)</f>
        <v/>
      </c>
      <c r="H583" s="5">
        <f>IF('Journal'!I293="","",'Journal'!I293)</f>
        <v/>
      </c>
    </row>
    <row r="584">
      <c r="A584" s="18">
        <f>IF('Journal'!A293="","",'Journal'!A293)</f>
        <v/>
      </c>
      <c r="B584" s="21">
        <f>IF('Journal'!B293="","",'Journal'!B293)</f>
        <v/>
      </c>
      <c r="C584" s="5">
        <f>IF('Journal'!C293="","",'Journal'!C293)</f>
        <v/>
      </c>
      <c r="D584" s="5">
        <f>IF('Journal'!E293="","",IFERROR(LEFT('Journal'!E293,FIND(" ",'Journal'!E293)-1),'Journal'!E293))</f>
        <v/>
      </c>
      <c r="E584" s="5">
        <f>IF('Journal'!E293="","",IFERROR(INDEX('Kontoplan'!$B$3:$B$302,MATCH('Journal'!E293,'Kontoplan'!$H$3:$H$302,0)),""))</f>
        <v/>
      </c>
      <c r="F584" s="20">
        <f>IF('Journal'!F293="","",'Journal'!F293)</f>
        <v/>
      </c>
      <c r="G584" s="20">
        <f>IF('Journal'!G293="","",'Journal'!G293)</f>
        <v/>
      </c>
      <c r="H584" s="5">
        <f>IF('Journal'!I293="","",'Journal'!I293)</f>
        <v/>
      </c>
    </row>
    <row r="585">
      <c r="A585" s="18">
        <f>IF('Journal'!A294="","",'Journal'!A294)</f>
        <v/>
      </c>
      <c r="B585" s="21">
        <f>IF('Journal'!B294="","",'Journal'!B294)</f>
        <v/>
      </c>
      <c r="C585" s="5">
        <f>IF('Journal'!C294="","",'Journal'!C294)</f>
        <v/>
      </c>
      <c r="D585" s="5">
        <f>IF('Journal'!D294="","",IFERROR(LEFT('Journal'!D294,FIND(" ",'Journal'!D294)-1),'Journal'!D294))</f>
        <v/>
      </c>
      <c r="E585" s="5">
        <f>IF('Journal'!D294="","",IFERROR(INDEX('Kontoplan'!$B$3:$B$302,MATCH('Journal'!D294,'Kontoplan'!$H$3:$H$302,0)),""))</f>
        <v/>
      </c>
      <c r="F585" s="20">
        <f>IF('Journal'!G294="","",'Journal'!G294)</f>
        <v/>
      </c>
      <c r="G585" s="20">
        <f>IF('Journal'!F294="","",'Journal'!F294)</f>
        <v/>
      </c>
      <c r="H585" s="5">
        <f>IF('Journal'!I294="","",'Journal'!I294)</f>
        <v/>
      </c>
    </row>
    <row r="586">
      <c r="A586" s="18">
        <f>IF('Journal'!A294="","",'Journal'!A294)</f>
        <v/>
      </c>
      <c r="B586" s="21">
        <f>IF('Journal'!B294="","",'Journal'!B294)</f>
        <v/>
      </c>
      <c r="C586" s="5">
        <f>IF('Journal'!C294="","",'Journal'!C294)</f>
        <v/>
      </c>
      <c r="D586" s="5">
        <f>IF('Journal'!E294="","",IFERROR(LEFT('Journal'!E294,FIND(" ",'Journal'!E294)-1),'Journal'!E294))</f>
        <v/>
      </c>
      <c r="E586" s="5">
        <f>IF('Journal'!E294="","",IFERROR(INDEX('Kontoplan'!$B$3:$B$302,MATCH('Journal'!E294,'Kontoplan'!$H$3:$H$302,0)),""))</f>
        <v/>
      </c>
      <c r="F586" s="20">
        <f>IF('Journal'!F294="","",'Journal'!F294)</f>
        <v/>
      </c>
      <c r="G586" s="20">
        <f>IF('Journal'!G294="","",'Journal'!G294)</f>
        <v/>
      </c>
      <c r="H586" s="5">
        <f>IF('Journal'!I294="","",'Journal'!I294)</f>
        <v/>
      </c>
    </row>
    <row r="587">
      <c r="A587" s="18">
        <f>IF('Journal'!A295="","",'Journal'!A295)</f>
        <v/>
      </c>
      <c r="B587" s="21">
        <f>IF('Journal'!B295="","",'Journal'!B295)</f>
        <v/>
      </c>
      <c r="C587" s="5">
        <f>IF('Journal'!C295="","",'Journal'!C295)</f>
        <v/>
      </c>
      <c r="D587" s="5">
        <f>IF('Journal'!D295="","",IFERROR(LEFT('Journal'!D295,FIND(" ",'Journal'!D295)-1),'Journal'!D295))</f>
        <v/>
      </c>
      <c r="E587" s="5">
        <f>IF('Journal'!D295="","",IFERROR(INDEX('Kontoplan'!$B$3:$B$302,MATCH('Journal'!D295,'Kontoplan'!$H$3:$H$302,0)),""))</f>
        <v/>
      </c>
      <c r="F587" s="20">
        <f>IF('Journal'!G295="","",'Journal'!G295)</f>
        <v/>
      </c>
      <c r="G587" s="20">
        <f>IF('Journal'!F295="","",'Journal'!F295)</f>
        <v/>
      </c>
      <c r="H587" s="5">
        <f>IF('Journal'!I295="","",'Journal'!I295)</f>
        <v/>
      </c>
    </row>
    <row r="588">
      <c r="A588" s="18">
        <f>IF('Journal'!A295="","",'Journal'!A295)</f>
        <v/>
      </c>
      <c r="B588" s="21">
        <f>IF('Journal'!B295="","",'Journal'!B295)</f>
        <v/>
      </c>
      <c r="C588" s="5">
        <f>IF('Journal'!C295="","",'Journal'!C295)</f>
        <v/>
      </c>
      <c r="D588" s="5">
        <f>IF('Journal'!E295="","",IFERROR(LEFT('Journal'!E295,FIND(" ",'Journal'!E295)-1),'Journal'!E295))</f>
        <v/>
      </c>
      <c r="E588" s="5">
        <f>IF('Journal'!E295="","",IFERROR(INDEX('Kontoplan'!$B$3:$B$302,MATCH('Journal'!E295,'Kontoplan'!$H$3:$H$302,0)),""))</f>
        <v/>
      </c>
      <c r="F588" s="20">
        <f>IF('Journal'!F295="","",'Journal'!F295)</f>
        <v/>
      </c>
      <c r="G588" s="20">
        <f>IF('Journal'!G295="","",'Journal'!G295)</f>
        <v/>
      </c>
      <c r="H588" s="5">
        <f>IF('Journal'!I295="","",'Journal'!I295)</f>
        <v/>
      </c>
    </row>
    <row r="589">
      <c r="A589" s="18">
        <f>IF('Journal'!A296="","",'Journal'!A296)</f>
        <v/>
      </c>
      <c r="B589" s="21">
        <f>IF('Journal'!B296="","",'Journal'!B296)</f>
        <v/>
      </c>
      <c r="C589" s="5">
        <f>IF('Journal'!C296="","",'Journal'!C296)</f>
        <v/>
      </c>
      <c r="D589" s="5">
        <f>IF('Journal'!D296="","",IFERROR(LEFT('Journal'!D296,FIND(" ",'Journal'!D296)-1),'Journal'!D296))</f>
        <v/>
      </c>
      <c r="E589" s="5">
        <f>IF('Journal'!D296="","",IFERROR(INDEX('Kontoplan'!$B$3:$B$302,MATCH('Journal'!D296,'Kontoplan'!$H$3:$H$302,0)),""))</f>
        <v/>
      </c>
      <c r="F589" s="20">
        <f>IF('Journal'!G296="","",'Journal'!G296)</f>
        <v/>
      </c>
      <c r="G589" s="20">
        <f>IF('Journal'!F296="","",'Journal'!F296)</f>
        <v/>
      </c>
      <c r="H589" s="5">
        <f>IF('Journal'!I296="","",'Journal'!I296)</f>
        <v/>
      </c>
    </row>
    <row r="590">
      <c r="A590" s="18">
        <f>IF('Journal'!A296="","",'Journal'!A296)</f>
        <v/>
      </c>
      <c r="B590" s="21">
        <f>IF('Journal'!B296="","",'Journal'!B296)</f>
        <v/>
      </c>
      <c r="C590" s="5">
        <f>IF('Journal'!C296="","",'Journal'!C296)</f>
        <v/>
      </c>
      <c r="D590" s="5">
        <f>IF('Journal'!E296="","",IFERROR(LEFT('Journal'!E296,FIND(" ",'Journal'!E296)-1),'Journal'!E296))</f>
        <v/>
      </c>
      <c r="E590" s="5">
        <f>IF('Journal'!E296="","",IFERROR(INDEX('Kontoplan'!$B$3:$B$302,MATCH('Journal'!E296,'Kontoplan'!$H$3:$H$302,0)),""))</f>
        <v/>
      </c>
      <c r="F590" s="20">
        <f>IF('Journal'!F296="","",'Journal'!F296)</f>
        <v/>
      </c>
      <c r="G590" s="20">
        <f>IF('Journal'!G296="","",'Journal'!G296)</f>
        <v/>
      </c>
      <c r="H590" s="5">
        <f>IF('Journal'!I296="","",'Journal'!I296)</f>
        <v/>
      </c>
    </row>
    <row r="591">
      <c r="A591" s="18">
        <f>IF('Journal'!A297="","",'Journal'!A297)</f>
        <v/>
      </c>
      <c r="B591" s="21">
        <f>IF('Journal'!B297="","",'Journal'!B297)</f>
        <v/>
      </c>
      <c r="C591" s="5">
        <f>IF('Journal'!C297="","",'Journal'!C297)</f>
        <v/>
      </c>
      <c r="D591" s="5">
        <f>IF('Journal'!D297="","",IFERROR(LEFT('Journal'!D297,FIND(" ",'Journal'!D297)-1),'Journal'!D297))</f>
        <v/>
      </c>
      <c r="E591" s="5">
        <f>IF('Journal'!D297="","",IFERROR(INDEX('Kontoplan'!$B$3:$B$302,MATCH('Journal'!D297,'Kontoplan'!$H$3:$H$302,0)),""))</f>
        <v/>
      </c>
      <c r="F591" s="20">
        <f>IF('Journal'!G297="","",'Journal'!G297)</f>
        <v/>
      </c>
      <c r="G591" s="20">
        <f>IF('Journal'!F297="","",'Journal'!F297)</f>
        <v/>
      </c>
      <c r="H591" s="5">
        <f>IF('Journal'!I297="","",'Journal'!I297)</f>
        <v/>
      </c>
    </row>
    <row r="592">
      <c r="A592" s="18">
        <f>IF('Journal'!A297="","",'Journal'!A297)</f>
        <v/>
      </c>
      <c r="B592" s="21">
        <f>IF('Journal'!B297="","",'Journal'!B297)</f>
        <v/>
      </c>
      <c r="C592" s="5">
        <f>IF('Journal'!C297="","",'Journal'!C297)</f>
        <v/>
      </c>
      <c r="D592" s="5">
        <f>IF('Journal'!E297="","",IFERROR(LEFT('Journal'!E297,FIND(" ",'Journal'!E297)-1),'Journal'!E297))</f>
        <v/>
      </c>
      <c r="E592" s="5">
        <f>IF('Journal'!E297="","",IFERROR(INDEX('Kontoplan'!$B$3:$B$302,MATCH('Journal'!E297,'Kontoplan'!$H$3:$H$302,0)),""))</f>
        <v/>
      </c>
      <c r="F592" s="20">
        <f>IF('Journal'!F297="","",'Journal'!F297)</f>
        <v/>
      </c>
      <c r="G592" s="20">
        <f>IF('Journal'!G297="","",'Journal'!G297)</f>
        <v/>
      </c>
      <c r="H592" s="5">
        <f>IF('Journal'!I297="","",'Journal'!I297)</f>
        <v/>
      </c>
    </row>
    <row r="593">
      <c r="A593" s="18">
        <f>IF('Journal'!A298="","",'Journal'!A298)</f>
        <v/>
      </c>
      <c r="B593" s="21">
        <f>IF('Journal'!B298="","",'Journal'!B298)</f>
        <v/>
      </c>
      <c r="C593" s="5">
        <f>IF('Journal'!C298="","",'Journal'!C298)</f>
        <v/>
      </c>
      <c r="D593" s="5">
        <f>IF('Journal'!D298="","",IFERROR(LEFT('Journal'!D298,FIND(" ",'Journal'!D298)-1),'Journal'!D298))</f>
        <v/>
      </c>
      <c r="E593" s="5">
        <f>IF('Journal'!D298="","",IFERROR(INDEX('Kontoplan'!$B$3:$B$302,MATCH('Journal'!D298,'Kontoplan'!$H$3:$H$302,0)),""))</f>
        <v/>
      </c>
      <c r="F593" s="20">
        <f>IF('Journal'!G298="","",'Journal'!G298)</f>
        <v/>
      </c>
      <c r="G593" s="20">
        <f>IF('Journal'!F298="","",'Journal'!F298)</f>
        <v/>
      </c>
      <c r="H593" s="5">
        <f>IF('Journal'!I298="","",'Journal'!I298)</f>
        <v/>
      </c>
    </row>
    <row r="594">
      <c r="A594" s="18">
        <f>IF('Journal'!A298="","",'Journal'!A298)</f>
        <v/>
      </c>
      <c r="B594" s="21">
        <f>IF('Journal'!B298="","",'Journal'!B298)</f>
        <v/>
      </c>
      <c r="C594" s="5">
        <f>IF('Journal'!C298="","",'Journal'!C298)</f>
        <v/>
      </c>
      <c r="D594" s="5">
        <f>IF('Journal'!E298="","",IFERROR(LEFT('Journal'!E298,FIND(" ",'Journal'!E298)-1),'Journal'!E298))</f>
        <v/>
      </c>
      <c r="E594" s="5">
        <f>IF('Journal'!E298="","",IFERROR(INDEX('Kontoplan'!$B$3:$B$302,MATCH('Journal'!E298,'Kontoplan'!$H$3:$H$302,0)),""))</f>
        <v/>
      </c>
      <c r="F594" s="20">
        <f>IF('Journal'!F298="","",'Journal'!F298)</f>
        <v/>
      </c>
      <c r="G594" s="20">
        <f>IF('Journal'!G298="","",'Journal'!G298)</f>
        <v/>
      </c>
      <c r="H594" s="5">
        <f>IF('Journal'!I298="","",'Journal'!I298)</f>
        <v/>
      </c>
    </row>
    <row r="595">
      <c r="A595" s="18">
        <f>IF('Journal'!A299="","",'Journal'!A299)</f>
        <v/>
      </c>
      <c r="B595" s="21">
        <f>IF('Journal'!B299="","",'Journal'!B299)</f>
        <v/>
      </c>
      <c r="C595" s="5">
        <f>IF('Journal'!C299="","",'Journal'!C299)</f>
        <v/>
      </c>
      <c r="D595" s="5">
        <f>IF('Journal'!D299="","",IFERROR(LEFT('Journal'!D299,FIND(" ",'Journal'!D299)-1),'Journal'!D299))</f>
        <v/>
      </c>
      <c r="E595" s="5">
        <f>IF('Journal'!D299="","",IFERROR(INDEX('Kontoplan'!$B$3:$B$302,MATCH('Journal'!D299,'Kontoplan'!$H$3:$H$302,0)),""))</f>
        <v/>
      </c>
      <c r="F595" s="20">
        <f>IF('Journal'!G299="","",'Journal'!G299)</f>
        <v/>
      </c>
      <c r="G595" s="20">
        <f>IF('Journal'!F299="","",'Journal'!F299)</f>
        <v/>
      </c>
      <c r="H595" s="5">
        <f>IF('Journal'!I299="","",'Journal'!I299)</f>
        <v/>
      </c>
    </row>
    <row r="596">
      <c r="A596" s="18">
        <f>IF('Journal'!A299="","",'Journal'!A299)</f>
        <v/>
      </c>
      <c r="B596" s="21">
        <f>IF('Journal'!B299="","",'Journal'!B299)</f>
        <v/>
      </c>
      <c r="C596" s="5">
        <f>IF('Journal'!C299="","",'Journal'!C299)</f>
        <v/>
      </c>
      <c r="D596" s="5">
        <f>IF('Journal'!E299="","",IFERROR(LEFT('Journal'!E299,FIND(" ",'Journal'!E299)-1),'Journal'!E299))</f>
        <v/>
      </c>
      <c r="E596" s="5">
        <f>IF('Journal'!E299="","",IFERROR(INDEX('Kontoplan'!$B$3:$B$302,MATCH('Journal'!E299,'Kontoplan'!$H$3:$H$302,0)),""))</f>
        <v/>
      </c>
      <c r="F596" s="20">
        <f>IF('Journal'!F299="","",'Journal'!F299)</f>
        <v/>
      </c>
      <c r="G596" s="20">
        <f>IF('Journal'!G299="","",'Journal'!G299)</f>
        <v/>
      </c>
      <c r="H596" s="5">
        <f>IF('Journal'!I299="","",'Journal'!I299)</f>
        <v/>
      </c>
    </row>
    <row r="597">
      <c r="A597" s="18">
        <f>IF('Journal'!A300="","",'Journal'!A300)</f>
        <v/>
      </c>
      <c r="B597" s="21">
        <f>IF('Journal'!B300="","",'Journal'!B300)</f>
        <v/>
      </c>
      <c r="C597" s="5">
        <f>IF('Journal'!C300="","",'Journal'!C300)</f>
        <v/>
      </c>
      <c r="D597" s="5">
        <f>IF('Journal'!D300="","",IFERROR(LEFT('Journal'!D300,FIND(" ",'Journal'!D300)-1),'Journal'!D300))</f>
        <v/>
      </c>
      <c r="E597" s="5">
        <f>IF('Journal'!D300="","",IFERROR(INDEX('Kontoplan'!$B$3:$B$302,MATCH('Journal'!D300,'Kontoplan'!$H$3:$H$302,0)),""))</f>
        <v/>
      </c>
      <c r="F597" s="20">
        <f>IF('Journal'!G300="","",'Journal'!G300)</f>
        <v/>
      </c>
      <c r="G597" s="20">
        <f>IF('Journal'!F300="","",'Journal'!F300)</f>
        <v/>
      </c>
      <c r="H597" s="5">
        <f>IF('Journal'!I300="","",'Journal'!I300)</f>
        <v/>
      </c>
    </row>
    <row r="598">
      <c r="A598" s="18">
        <f>IF('Journal'!A300="","",'Journal'!A300)</f>
        <v/>
      </c>
      <c r="B598" s="21">
        <f>IF('Journal'!B300="","",'Journal'!B300)</f>
        <v/>
      </c>
      <c r="C598" s="5">
        <f>IF('Journal'!C300="","",'Journal'!C300)</f>
        <v/>
      </c>
      <c r="D598" s="5">
        <f>IF('Journal'!E300="","",IFERROR(LEFT('Journal'!E300,FIND(" ",'Journal'!E300)-1),'Journal'!E300))</f>
        <v/>
      </c>
      <c r="E598" s="5">
        <f>IF('Journal'!E300="","",IFERROR(INDEX('Kontoplan'!$B$3:$B$302,MATCH('Journal'!E300,'Kontoplan'!$H$3:$H$302,0)),""))</f>
        <v/>
      </c>
      <c r="F598" s="20">
        <f>IF('Journal'!F300="","",'Journal'!F300)</f>
        <v/>
      </c>
      <c r="G598" s="20">
        <f>IF('Journal'!G300="","",'Journal'!G300)</f>
        <v/>
      </c>
      <c r="H598" s="5">
        <f>IF('Journal'!I300="","",'Journal'!I300)</f>
        <v/>
      </c>
    </row>
    <row r="599">
      <c r="A599" s="18">
        <f>IF('Journal'!A301="","",'Journal'!A301)</f>
        <v/>
      </c>
      <c r="B599" s="21">
        <f>IF('Journal'!B301="","",'Journal'!B301)</f>
        <v/>
      </c>
      <c r="C599" s="5">
        <f>IF('Journal'!C301="","",'Journal'!C301)</f>
        <v/>
      </c>
      <c r="D599" s="5">
        <f>IF('Journal'!D301="","",IFERROR(LEFT('Journal'!D301,FIND(" ",'Journal'!D301)-1),'Journal'!D301))</f>
        <v/>
      </c>
      <c r="E599" s="5">
        <f>IF('Journal'!D301="","",IFERROR(INDEX('Kontoplan'!$B$3:$B$302,MATCH('Journal'!D301,'Kontoplan'!$H$3:$H$302,0)),""))</f>
        <v/>
      </c>
      <c r="F599" s="20">
        <f>IF('Journal'!G301="","",'Journal'!G301)</f>
        <v/>
      </c>
      <c r="G599" s="20">
        <f>IF('Journal'!F301="","",'Journal'!F301)</f>
        <v/>
      </c>
      <c r="H599" s="5">
        <f>IF('Journal'!I301="","",'Journal'!I301)</f>
        <v/>
      </c>
    </row>
    <row r="600">
      <c r="A600" s="18">
        <f>IF('Journal'!A301="","",'Journal'!A301)</f>
        <v/>
      </c>
      <c r="B600" s="21">
        <f>IF('Journal'!B301="","",'Journal'!B301)</f>
        <v/>
      </c>
      <c r="C600" s="5">
        <f>IF('Journal'!C301="","",'Journal'!C301)</f>
        <v/>
      </c>
      <c r="D600" s="5">
        <f>IF('Journal'!E301="","",IFERROR(LEFT('Journal'!E301,FIND(" ",'Journal'!E301)-1),'Journal'!E301))</f>
        <v/>
      </c>
      <c r="E600" s="5">
        <f>IF('Journal'!E301="","",IFERROR(INDEX('Kontoplan'!$B$3:$B$302,MATCH('Journal'!E301,'Kontoplan'!$H$3:$H$302,0)),""))</f>
        <v/>
      </c>
      <c r="F600" s="20">
        <f>IF('Journal'!F301="","",'Journal'!F301)</f>
        <v/>
      </c>
      <c r="G600" s="20">
        <f>IF('Journal'!G301="","",'Journal'!G301)</f>
        <v/>
      </c>
      <c r="H600" s="5">
        <f>IF('Journal'!I301="","",'Journal'!I301)</f>
        <v/>
      </c>
    </row>
    <row r="601">
      <c r="A601" s="18">
        <f>IF('Journal'!A302="","",'Journal'!A302)</f>
        <v/>
      </c>
      <c r="B601" s="21">
        <f>IF('Journal'!B302="","",'Journal'!B302)</f>
        <v/>
      </c>
      <c r="C601" s="5">
        <f>IF('Journal'!C302="","",'Journal'!C302)</f>
        <v/>
      </c>
      <c r="D601" s="5">
        <f>IF('Journal'!D302="","",IFERROR(LEFT('Journal'!D302,FIND(" ",'Journal'!D302)-1),'Journal'!D302))</f>
        <v/>
      </c>
      <c r="E601" s="5">
        <f>IF('Journal'!D302="","",IFERROR(INDEX('Kontoplan'!$B$3:$B$302,MATCH('Journal'!D302,'Kontoplan'!$H$3:$H$302,0)),""))</f>
        <v/>
      </c>
      <c r="F601" s="20">
        <f>IF('Journal'!G302="","",'Journal'!G302)</f>
        <v/>
      </c>
      <c r="G601" s="20">
        <f>IF('Journal'!F302="","",'Journal'!F302)</f>
        <v/>
      </c>
      <c r="H601" s="5">
        <f>IF('Journal'!I302="","",'Journal'!I302)</f>
        <v/>
      </c>
    </row>
    <row r="602">
      <c r="A602" s="18">
        <f>IF('Journal'!A302="","",'Journal'!A302)</f>
        <v/>
      </c>
      <c r="B602" s="21">
        <f>IF('Journal'!B302="","",'Journal'!B302)</f>
        <v/>
      </c>
      <c r="C602" s="5">
        <f>IF('Journal'!C302="","",'Journal'!C302)</f>
        <v/>
      </c>
      <c r="D602" s="5">
        <f>IF('Journal'!E302="","",IFERROR(LEFT('Journal'!E302,FIND(" ",'Journal'!E302)-1),'Journal'!E302))</f>
        <v/>
      </c>
      <c r="E602" s="5">
        <f>IF('Journal'!E302="","",IFERROR(INDEX('Kontoplan'!$B$3:$B$302,MATCH('Journal'!E302,'Kontoplan'!$H$3:$H$302,0)),""))</f>
        <v/>
      </c>
      <c r="F602" s="20">
        <f>IF('Journal'!F302="","",'Journal'!F302)</f>
        <v/>
      </c>
      <c r="G602" s="20">
        <f>IF('Journal'!G302="","",'Journal'!G302)</f>
        <v/>
      </c>
      <c r="H602" s="5">
        <f>IF('Journal'!I302="","",'Journal'!I302)</f>
        <v/>
      </c>
    </row>
    <row r="603">
      <c r="A603" s="18">
        <f>IF('Journal'!A303="","",'Journal'!A303)</f>
        <v/>
      </c>
      <c r="B603" s="21">
        <f>IF('Journal'!B303="","",'Journal'!B303)</f>
        <v/>
      </c>
      <c r="C603" s="5">
        <f>IF('Journal'!C303="","",'Journal'!C303)</f>
        <v/>
      </c>
      <c r="D603" s="5">
        <f>IF('Journal'!D303="","",IFERROR(LEFT('Journal'!D303,FIND(" ",'Journal'!D303)-1),'Journal'!D303))</f>
        <v/>
      </c>
      <c r="E603" s="5">
        <f>IF('Journal'!D303="","",IFERROR(INDEX('Kontoplan'!$B$3:$B$302,MATCH('Journal'!D303,'Kontoplan'!$H$3:$H$302,0)),""))</f>
        <v/>
      </c>
      <c r="F603" s="20">
        <f>IF('Journal'!G303="","",'Journal'!G303)</f>
        <v/>
      </c>
      <c r="G603" s="20">
        <f>IF('Journal'!F303="","",'Journal'!F303)</f>
        <v/>
      </c>
      <c r="H603" s="5">
        <f>IF('Journal'!I303="","",'Journal'!I303)</f>
        <v/>
      </c>
    </row>
    <row r="604">
      <c r="A604" s="18">
        <f>IF('Journal'!A303="","",'Journal'!A303)</f>
        <v/>
      </c>
      <c r="B604" s="21">
        <f>IF('Journal'!B303="","",'Journal'!B303)</f>
        <v/>
      </c>
      <c r="C604" s="5">
        <f>IF('Journal'!C303="","",'Journal'!C303)</f>
        <v/>
      </c>
      <c r="D604" s="5">
        <f>IF('Journal'!E303="","",IFERROR(LEFT('Journal'!E303,FIND(" ",'Journal'!E303)-1),'Journal'!E303))</f>
        <v/>
      </c>
      <c r="E604" s="5">
        <f>IF('Journal'!E303="","",IFERROR(INDEX('Kontoplan'!$B$3:$B$302,MATCH('Journal'!E303,'Kontoplan'!$H$3:$H$302,0)),""))</f>
        <v/>
      </c>
      <c r="F604" s="20">
        <f>IF('Journal'!F303="","",'Journal'!F303)</f>
        <v/>
      </c>
      <c r="G604" s="20">
        <f>IF('Journal'!G303="","",'Journal'!G303)</f>
        <v/>
      </c>
      <c r="H604" s="5">
        <f>IF('Journal'!I303="","",'Journal'!I303)</f>
        <v/>
      </c>
    </row>
    <row r="605">
      <c r="A605" s="18">
        <f>IF('Journal'!A304="","",'Journal'!A304)</f>
        <v/>
      </c>
      <c r="B605" s="21">
        <f>IF('Journal'!B304="","",'Journal'!B304)</f>
        <v/>
      </c>
      <c r="C605" s="5">
        <f>IF('Journal'!C304="","",'Journal'!C304)</f>
        <v/>
      </c>
      <c r="D605" s="5">
        <f>IF('Journal'!D304="","",IFERROR(LEFT('Journal'!D304,FIND(" ",'Journal'!D304)-1),'Journal'!D304))</f>
        <v/>
      </c>
      <c r="E605" s="5">
        <f>IF('Journal'!D304="","",IFERROR(INDEX('Kontoplan'!$B$3:$B$302,MATCH('Journal'!D304,'Kontoplan'!$H$3:$H$302,0)),""))</f>
        <v/>
      </c>
      <c r="F605" s="20">
        <f>IF('Journal'!G304="","",'Journal'!G304)</f>
        <v/>
      </c>
      <c r="G605" s="20">
        <f>IF('Journal'!F304="","",'Journal'!F304)</f>
        <v/>
      </c>
      <c r="H605" s="5">
        <f>IF('Journal'!I304="","",'Journal'!I304)</f>
        <v/>
      </c>
    </row>
    <row r="606">
      <c r="A606" s="18">
        <f>IF('Journal'!A304="","",'Journal'!A304)</f>
        <v/>
      </c>
      <c r="B606" s="21">
        <f>IF('Journal'!B304="","",'Journal'!B304)</f>
        <v/>
      </c>
      <c r="C606" s="5">
        <f>IF('Journal'!C304="","",'Journal'!C304)</f>
        <v/>
      </c>
      <c r="D606" s="5">
        <f>IF('Journal'!E304="","",IFERROR(LEFT('Journal'!E304,FIND(" ",'Journal'!E304)-1),'Journal'!E304))</f>
        <v/>
      </c>
      <c r="E606" s="5">
        <f>IF('Journal'!E304="","",IFERROR(INDEX('Kontoplan'!$B$3:$B$302,MATCH('Journal'!E304,'Kontoplan'!$H$3:$H$302,0)),""))</f>
        <v/>
      </c>
      <c r="F606" s="20">
        <f>IF('Journal'!F304="","",'Journal'!F304)</f>
        <v/>
      </c>
      <c r="G606" s="20">
        <f>IF('Journal'!G304="","",'Journal'!G304)</f>
        <v/>
      </c>
      <c r="H606" s="5">
        <f>IF('Journal'!I304="","",'Journal'!I304)</f>
        <v/>
      </c>
    </row>
    <row r="607">
      <c r="A607" s="18">
        <f>IF('Journal'!A305="","",'Journal'!A305)</f>
        <v/>
      </c>
      <c r="B607" s="21">
        <f>IF('Journal'!B305="","",'Journal'!B305)</f>
        <v/>
      </c>
      <c r="C607" s="5">
        <f>IF('Journal'!C305="","",'Journal'!C305)</f>
        <v/>
      </c>
      <c r="D607" s="5">
        <f>IF('Journal'!D305="","",IFERROR(LEFT('Journal'!D305,FIND(" ",'Journal'!D305)-1),'Journal'!D305))</f>
        <v/>
      </c>
      <c r="E607" s="5">
        <f>IF('Journal'!D305="","",IFERROR(INDEX('Kontoplan'!$B$3:$B$302,MATCH('Journal'!D305,'Kontoplan'!$H$3:$H$302,0)),""))</f>
        <v/>
      </c>
      <c r="F607" s="20">
        <f>IF('Journal'!G305="","",'Journal'!G305)</f>
        <v/>
      </c>
      <c r="G607" s="20">
        <f>IF('Journal'!F305="","",'Journal'!F305)</f>
        <v/>
      </c>
      <c r="H607" s="5">
        <f>IF('Journal'!I305="","",'Journal'!I305)</f>
        <v/>
      </c>
    </row>
    <row r="608">
      <c r="A608" s="18">
        <f>IF('Journal'!A305="","",'Journal'!A305)</f>
        <v/>
      </c>
      <c r="B608" s="21">
        <f>IF('Journal'!B305="","",'Journal'!B305)</f>
        <v/>
      </c>
      <c r="C608" s="5">
        <f>IF('Journal'!C305="","",'Journal'!C305)</f>
        <v/>
      </c>
      <c r="D608" s="5">
        <f>IF('Journal'!E305="","",IFERROR(LEFT('Journal'!E305,FIND(" ",'Journal'!E305)-1),'Journal'!E305))</f>
        <v/>
      </c>
      <c r="E608" s="5">
        <f>IF('Journal'!E305="","",IFERROR(INDEX('Kontoplan'!$B$3:$B$302,MATCH('Journal'!E305,'Kontoplan'!$H$3:$H$302,0)),""))</f>
        <v/>
      </c>
      <c r="F608" s="20">
        <f>IF('Journal'!F305="","",'Journal'!F305)</f>
        <v/>
      </c>
      <c r="G608" s="20">
        <f>IF('Journal'!G305="","",'Journal'!G305)</f>
        <v/>
      </c>
      <c r="H608" s="5">
        <f>IF('Journal'!I305="","",'Journal'!I305)</f>
        <v/>
      </c>
    </row>
    <row r="609">
      <c r="A609" s="18">
        <f>IF('Journal'!A306="","",'Journal'!A306)</f>
        <v/>
      </c>
      <c r="B609" s="21">
        <f>IF('Journal'!B306="","",'Journal'!B306)</f>
        <v/>
      </c>
      <c r="C609" s="5">
        <f>IF('Journal'!C306="","",'Journal'!C306)</f>
        <v/>
      </c>
      <c r="D609" s="5">
        <f>IF('Journal'!D306="","",IFERROR(LEFT('Journal'!D306,FIND(" ",'Journal'!D306)-1),'Journal'!D306))</f>
        <v/>
      </c>
      <c r="E609" s="5">
        <f>IF('Journal'!D306="","",IFERROR(INDEX('Kontoplan'!$B$3:$B$302,MATCH('Journal'!D306,'Kontoplan'!$H$3:$H$302,0)),""))</f>
        <v/>
      </c>
      <c r="F609" s="20">
        <f>IF('Journal'!G306="","",'Journal'!G306)</f>
        <v/>
      </c>
      <c r="G609" s="20">
        <f>IF('Journal'!F306="","",'Journal'!F306)</f>
        <v/>
      </c>
      <c r="H609" s="5">
        <f>IF('Journal'!I306="","",'Journal'!I306)</f>
        <v/>
      </c>
    </row>
    <row r="610">
      <c r="A610" s="18">
        <f>IF('Journal'!A306="","",'Journal'!A306)</f>
        <v/>
      </c>
      <c r="B610" s="21">
        <f>IF('Journal'!B306="","",'Journal'!B306)</f>
        <v/>
      </c>
      <c r="C610" s="5">
        <f>IF('Journal'!C306="","",'Journal'!C306)</f>
        <v/>
      </c>
      <c r="D610" s="5">
        <f>IF('Journal'!E306="","",IFERROR(LEFT('Journal'!E306,FIND(" ",'Journal'!E306)-1),'Journal'!E306))</f>
        <v/>
      </c>
      <c r="E610" s="5">
        <f>IF('Journal'!E306="","",IFERROR(INDEX('Kontoplan'!$B$3:$B$302,MATCH('Journal'!E306,'Kontoplan'!$H$3:$H$302,0)),""))</f>
        <v/>
      </c>
      <c r="F610" s="20">
        <f>IF('Journal'!F306="","",'Journal'!F306)</f>
        <v/>
      </c>
      <c r="G610" s="20">
        <f>IF('Journal'!G306="","",'Journal'!G306)</f>
        <v/>
      </c>
      <c r="H610" s="5">
        <f>IF('Journal'!I306="","",'Journal'!I306)</f>
        <v/>
      </c>
    </row>
    <row r="611">
      <c r="A611" s="18">
        <f>IF('Journal'!A307="","",'Journal'!A307)</f>
        <v/>
      </c>
      <c r="B611" s="21">
        <f>IF('Journal'!B307="","",'Journal'!B307)</f>
        <v/>
      </c>
      <c r="C611" s="5">
        <f>IF('Journal'!C307="","",'Journal'!C307)</f>
        <v/>
      </c>
      <c r="D611" s="5">
        <f>IF('Journal'!D307="","",IFERROR(LEFT('Journal'!D307,FIND(" ",'Journal'!D307)-1),'Journal'!D307))</f>
        <v/>
      </c>
      <c r="E611" s="5">
        <f>IF('Journal'!D307="","",IFERROR(INDEX('Kontoplan'!$B$3:$B$302,MATCH('Journal'!D307,'Kontoplan'!$H$3:$H$302,0)),""))</f>
        <v/>
      </c>
      <c r="F611" s="20">
        <f>IF('Journal'!G307="","",'Journal'!G307)</f>
        <v/>
      </c>
      <c r="G611" s="20">
        <f>IF('Journal'!F307="","",'Journal'!F307)</f>
        <v/>
      </c>
      <c r="H611" s="5">
        <f>IF('Journal'!I307="","",'Journal'!I307)</f>
        <v/>
      </c>
    </row>
    <row r="612">
      <c r="A612" s="18">
        <f>IF('Journal'!A307="","",'Journal'!A307)</f>
        <v/>
      </c>
      <c r="B612" s="21">
        <f>IF('Journal'!B307="","",'Journal'!B307)</f>
        <v/>
      </c>
      <c r="C612" s="5">
        <f>IF('Journal'!C307="","",'Journal'!C307)</f>
        <v/>
      </c>
      <c r="D612" s="5">
        <f>IF('Journal'!E307="","",IFERROR(LEFT('Journal'!E307,FIND(" ",'Journal'!E307)-1),'Journal'!E307))</f>
        <v/>
      </c>
      <c r="E612" s="5">
        <f>IF('Journal'!E307="","",IFERROR(INDEX('Kontoplan'!$B$3:$B$302,MATCH('Journal'!E307,'Kontoplan'!$H$3:$H$302,0)),""))</f>
        <v/>
      </c>
      <c r="F612" s="20">
        <f>IF('Journal'!F307="","",'Journal'!F307)</f>
        <v/>
      </c>
      <c r="G612" s="20">
        <f>IF('Journal'!G307="","",'Journal'!G307)</f>
        <v/>
      </c>
      <c r="H612" s="5">
        <f>IF('Journal'!I307="","",'Journal'!I307)</f>
        <v/>
      </c>
    </row>
    <row r="613">
      <c r="A613" s="18">
        <f>IF('Journal'!A308="","",'Journal'!A308)</f>
        <v/>
      </c>
      <c r="B613" s="21">
        <f>IF('Journal'!B308="","",'Journal'!B308)</f>
        <v/>
      </c>
      <c r="C613" s="5">
        <f>IF('Journal'!C308="","",'Journal'!C308)</f>
        <v/>
      </c>
      <c r="D613" s="5">
        <f>IF('Journal'!D308="","",IFERROR(LEFT('Journal'!D308,FIND(" ",'Journal'!D308)-1),'Journal'!D308))</f>
        <v/>
      </c>
      <c r="E613" s="5">
        <f>IF('Journal'!D308="","",IFERROR(INDEX('Kontoplan'!$B$3:$B$302,MATCH('Journal'!D308,'Kontoplan'!$H$3:$H$302,0)),""))</f>
        <v/>
      </c>
      <c r="F613" s="20">
        <f>IF('Journal'!G308="","",'Journal'!G308)</f>
        <v/>
      </c>
      <c r="G613" s="20">
        <f>IF('Journal'!F308="","",'Journal'!F308)</f>
        <v/>
      </c>
      <c r="H613" s="5">
        <f>IF('Journal'!I308="","",'Journal'!I308)</f>
        <v/>
      </c>
    </row>
    <row r="614">
      <c r="A614" s="18">
        <f>IF('Journal'!A308="","",'Journal'!A308)</f>
        <v/>
      </c>
      <c r="B614" s="21">
        <f>IF('Journal'!B308="","",'Journal'!B308)</f>
        <v/>
      </c>
      <c r="C614" s="5">
        <f>IF('Journal'!C308="","",'Journal'!C308)</f>
        <v/>
      </c>
      <c r="D614" s="5">
        <f>IF('Journal'!E308="","",IFERROR(LEFT('Journal'!E308,FIND(" ",'Journal'!E308)-1),'Journal'!E308))</f>
        <v/>
      </c>
      <c r="E614" s="5">
        <f>IF('Journal'!E308="","",IFERROR(INDEX('Kontoplan'!$B$3:$B$302,MATCH('Journal'!E308,'Kontoplan'!$H$3:$H$302,0)),""))</f>
        <v/>
      </c>
      <c r="F614" s="20">
        <f>IF('Journal'!F308="","",'Journal'!F308)</f>
        <v/>
      </c>
      <c r="G614" s="20">
        <f>IF('Journal'!G308="","",'Journal'!G308)</f>
        <v/>
      </c>
      <c r="H614" s="5">
        <f>IF('Journal'!I308="","",'Journal'!I308)</f>
        <v/>
      </c>
    </row>
    <row r="615">
      <c r="A615" s="18">
        <f>IF('Journal'!A309="","",'Journal'!A309)</f>
        <v/>
      </c>
      <c r="B615" s="21">
        <f>IF('Journal'!B309="","",'Journal'!B309)</f>
        <v/>
      </c>
      <c r="C615" s="5">
        <f>IF('Journal'!C309="","",'Journal'!C309)</f>
        <v/>
      </c>
      <c r="D615" s="5">
        <f>IF('Journal'!D309="","",IFERROR(LEFT('Journal'!D309,FIND(" ",'Journal'!D309)-1),'Journal'!D309))</f>
        <v/>
      </c>
      <c r="E615" s="5">
        <f>IF('Journal'!D309="","",IFERROR(INDEX('Kontoplan'!$B$3:$B$302,MATCH('Journal'!D309,'Kontoplan'!$H$3:$H$302,0)),""))</f>
        <v/>
      </c>
      <c r="F615" s="20">
        <f>IF('Journal'!G309="","",'Journal'!G309)</f>
        <v/>
      </c>
      <c r="G615" s="20">
        <f>IF('Journal'!F309="","",'Journal'!F309)</f>
        <v/>
      </c>
      <c r="H615" s="5">
        <f>IF('Journal'!I309="","",'Journal'!I309)</f>
        <v/>
      </c>
    </row>
    <row r="616">
      <c r="A616" s="18">
        <f>IF('Journal'!A309="","",'Journal'!A309)</f>
        <v/>
      </c>
      <c r="B616" s="21">
        <f>IF('Journal'!B309="","",'Journal'!B309)</f>
        <v/>
      </c>
      <c r="C616" s="5">
        <f>IF('Journal'!C309="","",'Journal'!C309)</f>
        <v/>
      </c>
      <c r="D616" s="5">
        <f>IF('Journal'!E309="","",IFERROR(LEFT('Journal'!E309,FIND(" ",'Journal'!E309)-1),'Journal'!E309))</f>
        <v/>
      </c>
      <c r="E616" s="5">
        <f>IF('Journal'!E309="","",IFERROR(INDEX('Kontoplan'!$B$3:$B$302,MATCH('Journal'!E309,'Kontoplan'!$H$3:$H$302,0)),""))</f>
        <v/>
      </c>
      <c r="F616" s="20">
        <f>IF('Journal'!F309="","",'Journal'!F309)</f>
        <v/>
      </c>
      <c r="G616" s="20">
        <f>IF('Journal'!G309="","",'Journal'!G309)</f>
        <v/>
      </c>
      <c r="H616" s="5">
        <f>IF('Journal'!I309="","",'Journal'!I309)</f>
        <v/>
      </c>
    </row>
    <row r="617">
      <c r="A617" s="18">
        <f>IF('Journal'!A310="","",'Journal'!A310)</f>
        <v/>
      </c>
      <c r="B617" s="21">
        <f>IF('Journal'!B310="","",'Journal'!B310)</f>
        <v/>
      </c>
      <c r="C617" s="5">
        <f>IF('Journal'!C310="","",'Journal'!C310)</f>
        <v/>
      </c>
      <c r="D617" s="5">
        <f>IF('Journal'!D310="","",IFERROR(LEFT('Journal'!D310,FIND(" ",'Journal'!D310)-1),'Journal'!D310))</f>
        <v/>
      </c>
      <c r="E617" s="5">
        <f>IF('Journal'!D310="","",IFERROR(INDEX('Kontoplan'!$B$3:$B$302,MATCH('Journal'!D310,'Kontoplan'!$H$3:$H$302,0)),""))</f>
        <v/>
      </c>
      <c r="F617" s="20">
        <f>IF('Journal'!G310="","",'Journal'!G310)</f>
        <v/>
      </c>
      <c r="G617" s="20">
        <f>IF('Journal'!F310="","",'Journal'!F310)</f>
        <v/>
      </c>
      <c r="H617" s="5">
        <f>IF('Journal'!I310="","",'Journal'!I310)</f>
        <v/>
      </c>
    </row>
    <row r="618">
      <c r="A618" s="18">
        <f>IF('Journal'!A310="","",'Journal'!A310)</f>
        <v/>
      </c>
      <c r="B618" s="21">
        <f>IF('Journal'!B310="","",'Journal'!B310)</f>
        <v/>
      </c>
      <c r="C618" s="5">
        <f>IF('Journal'!C310="","",'Journal'!C310)</f>
        <v/>
      </c>
      <c r="D618" s="5">
        <f>IF('Journal'!E310="","",IFERROR(LEFT('Journal'!E310,FIND(" ",'Journal'!E310)-1),'Journal'!E310))</f>
        <v/>
      </c>
      <c r="E618" s="5">
        <f>IF('Journal'!E310="","",IFERROR(INDEX('Kontoplan'!$B$3:$B$302,MATCH('Journal'!E310,'Kontoplan'!$H$3:$H$302,0)),""))</f>
        <v/>
      </c>
      <c r="F618" s="20">
        <f>IF('Journal'!F310="","",'Journal'!F310)</f>
        <v/>
      </c>
      <c r="G618" s="20">
        <f>IF('Journal'!G310="","",'Journal'!G310)</f>
        <v/>
      </c>
      <c r="H618" s="5">
        <f>IF('Journal'!I310="","",'Journal'!I310)</f>
        <v/>
      </c>
    </row>
    <row r="619">
      <c r="A619" s="18">
        <f>IF('Journal'!A311="","",'Journal'!A311)</f>
        <v/>
      </c>
      <c r="B619" s="21">
        <f>IF('Journal'!B311="","",'Journal'!B311)</f>
        <v/>
      </c>
      <c r="C619" s="5">
        <f>IF('Journal'!C311="","",'Journal'!C311)</f>
        <v/>
      </c>
      <c r="D619" s="5">
        <f>IF('Journal'!D311="","",IFERROR(LEFT('Journal'!D311,FIND(" ",'Journal'!D311)-1),'Journal'!D311))</f>
        <v/>
      </c>
      <c r="E619" s="5">
        <f>IF('Journal'!D311="","",IFERROR(INDEX('Kontoplan'!$B$3:$B$302,MATCH('Journal'!D311,'Kontoplan'!$H$3:$H$302,0)),""))</f>
        <v/>
      </c>
      <c r="F619" s="20">
        <f>IF('Journal'!G311="","",'Journal'!G311)</f>
        <v/>
      </c>
      <c r="G619" s="20">
        <f>IF('Journal'!F311="","",'Journal'!F311)</f>
        <v/>
      </c>
      <c r="H619" s="5">
        <f>IF('Journal'!I311="","",'Journal'!I311)</f>
        <v/>
      </c>
    </row>
    <row r="620">
      <c r="A620" s="18">
        <f>IF('Journal'!A311="","",'Journal'!A311)</f>
        <v/>
      </c>
      <c r="B620" s="21">
        <f>IF('Journal'!B311="","",'Journal'!B311)</f>
        <v/>
      </c>
      <c r="C620" s="5">
        <f>IF('Journal'!C311="","",'Journal'!C311)</f>
        <v/>
      </c>
      <c r="D620" s="5">
        <f>IF('Journal'!E311="","",IFERROR(LEFT('Journal'!E311,FIND(" ",'Journal'!E311)-1),'Journal'!E311))</f>
        <v/>
      </c>
      <c r="E620" s="5">
        <f>IF('Journal'!E311="","",IFERROR(INDEX('Kontoplan'!$B$3:$B$302,MATCH('Journal'!E311,'Kontoplan'!$H$3:$H$302,0)),""))</f>
        <v/>
      </c>
      <c r="F620" s="20">
        <f>IF('Journal'!F311="","",'Journal'!F311)</f>
        <v/>
      </c>
      <c r="G620" s="20">
        <f>IF('Journal'!G311="","",'Journal'!G311)</f>
        <v/>
      </c>
      <c r="H620" s="5">
        <f>IF('Journal'!I311="","",'Journal'!I311)</f>
        <v/>
      </c>
    </row>
    <row r="621">
      <c r="A621" s="18">
        <f>IF('Journal'!A312="","",'Journal'!A312)</f>
        <v/>
      </c>
      <c r="B621" s="21">
        <f>IF('Journal'!B312="","",'Journal'!B312)</f>
        <v/>
      </c>
      <c r="C621" s="5">
        <f>IF('Journal'!C312="","",'Journal'!C312)</f>
        <v/>
      </c>
      <c r="D621" s="5">
        <f>IF('Journal'!D312="","",IFERROR(LEFT('Journal'!D312,FIND(" ",'Journal'!D312)-1),'Journal'!D312))</f>
        <v/>
      </c>
      <c r="E621" s="5">
        <f>IF('Journal'!D312="","",IFERROR(INDEX('Kontoplan'!$B$3:$B$302,MATCH('Journal'!D312,'Kontoplan'!$H$3:$H$302,0)),""))</f>
        <v/>
      </c>
      <c r="F621" s="20">
        <f>IF('Journal'!G312="","",'Journal'!G312)</f>
        <v/>
      </c>
      <c r="G621" s="20">
        <f>IF('Journal'!F312="","",'Journal'!F312)</f>
        <v/>
      </c>
      <c r="H621" s="5">
        <f>IF('Journal'!I312="","",'Journal'!I312)</f>
        <v/>
      </c>
    </row>
    <row r="622">
      <c r="A622" s="18">
        <f>IF('Journal'!A312="","",'Journal'!A312)</f>
        <v/>
      </c>
      <c r="B622" s="21">
        <f>IF('Journal'!B312="","",'Journal'!B312)</f>
        <v/>
      </c>
      <c r="C622" s="5">
        <f>IF('Journal'!C312="","",'Journal'!C312)</f>
        <v/>
      </c>
      <c r="D622" s="5">
        <f>IF('Journal'!E312="","",IFERROR(LEFT('Journal'!E312,FIND(" ",'Journal'!E312)-1),'Journal'!E312))</f>
        <v/>
      </c>
      <c r="E622" s="5">
        <f>IF('Journal'!E312="","",IFERROR(INDEX('Kontoplan'!$B$3:$B$302,MATCH('Journal'!E312,'Kontoplan'!$H$3:$H$302,0)),""))</f>
        <v/>
      </c>
      <c r="F622" s="20">
        <f>IF('Journal'!F312="","",'Journal'!F312)</f>
        <v/>
      </c>
      <c r="G622" s="20">
        <f>IF('Journal'!G312="","",'Journal'!G312)</f>
        <v/>
      </c>
      <c r="H622" s="5">
        <f>IF('Journal'!I312="","",'Journal'!I312)</f>
        <v/>
      </c>
    </row>
    <row r="623">
      <c r="A623" s="18">
        <f>IF('Journal'!A313="","",'Journal'!A313)</f>
        <v/>
      </c>
      <c r="B623" s="21">
        <f>IF('Journal'!B313="","",'Journal'!B313)</f>
        <v/>
      </c>
      <c r="C623" s="5">
        <f>IF('Journal'!C313="","",'Journal'!C313)</f>
        <v/>
      </c>
      <c r="D623" s="5">
        <f>IF('Journal'!D313="","",IFERROR(LEFT('Journal'!D313,FIND(" ",'Journal'!D313)-1),'Journal'!D313))</f>
        <v/>
      </c>
      <c r="E623" s="5">
        <f>IF('Journal'!D313="","",IFERROR(INDEX('Kontoplan'!$B$3:$B$302,MATCH('Journal'!D313,'Kontoplan'!$H$3:$H$302,0)),""))</f>
        <v/>
      </c>
      <c r="F623" s="20">
        <f>IF('Journal'!G313="","",'Journal'!G313)</f>
        <v/>
      </c>
      <c r="G623" s="20">
        <f>IF('Journal'!F313="","",'Journal'!F313)</f>
        <v/>
      </c>
      <c r="H623" s="5">
        <f>IF('Journal'!I313="","",'Journal'!I313)</f>
        <v/>
      </c>
    </row>
    <row r="624">
      <c r="A624" s="18">
        <f>IF('Journal'!A313="","",'Journal'!A313)</f>
        <v/>
      </c>
      <c r="B624" s="21">
        <f>IF('Journal'!B313="","",'Journal'!B313)</f>
        <v/>
      </c>
      <c r="C624" s="5">
        <f>IF('Journal'!C313="","",'Journal'!C313)</f>
        <v/>
      </c>
      <c r="D624" s="5">
        <f>IF('Journal'!E313="","",IFERROR(LEFT('Journal'!E313,FIND(" ",'Journal'!E313)-1),'Journal'!E313))</f>
        <v/>
      </c>
      <c r="E624" s="5">
        <f>IF('Journal'!E313="","",IFERROR(INDEX('Kontoplan'!$B$3:$B$302,MATCH('Journal'!E313,'Kontoplan'!$H$3:$H$302,0)),""))</f>
        <v/>
      </c>
      <c r="F624" s="20">
        <f>IF('Journal'!F313="","",'Journal'!F313)</f>
        <v/>
      </c>
      <c r="G624" s="20">
        <f>IF('Journal'!G313="","",'Journal'!G313)</f>
        <v/>
      </c>
      <c r="H624" s="5">
        <f>IF('Journal'!I313="","",'Journal'!I313)</f>
        <v/>
      </c>
    </row>
    <row r="625">
      <c r="A625" s="18">
        <f>IF('Journal'!A314="","",'Journal'!A314)</f>
        <v/>
      </c>
      <c r="B625" s="21">
        <f>IF('Journal'!B314="","",'Journal'!B314)</f>
        <v/>
      </c>
      <c r="C625" s="5">
        <f>IF('Journal'!C314="","",'Journal'!C314)</f>
        <v/>
      </c>
      <c r="D625" s="5">
        <f>IF('Journal'!D314="","",IFERROR(LEFT('Journal'!D314,FIND(" ",'Journal'!D314)-1),'Journal'!D314))</f>
        <v/>
      </c>
      <c r="E625" s="5">
        <f>IF('Journal'!D314="","",IFERROR(INDEX('Kontoplan'!$B$3:$B$302,MATCH('Journal'!D314,'Kontoplan'!$H$3:$H$302,0)),""))</f>
        <v/>
      </c>
      <c r="F625" s="20">
        <f>IF('Journal'!G314="","",'Journal'!G314)</f>
        <v/>
      </c>
      <c r="G625" s="20">
        <f>IF('Journal'!F314="","",'Journal'!F314)</f>
        <v/>
      </c>
      <c r="H625" s="5">
        <f>IF('Journal'!I314="","",'Journal'!I314)</f>
        <v/>
      </c>
    </row>
    <row r="626">
      <c r="A626" s="18">
        <f>IF('Journal'!A314="","",'Journal'!A314)</f>
        <v/>
      </c>
      <c r="B626" s="21">
        <f>IF('Journal'!B314="","",'Journal'!B314)</f>
        <v/>
      </c>
      <c r="C626" s="5">
        <f>IF('Journal'!C314="","",'Journal'!C314)</f>
        <v/>
      </c>
      <c r="D626" s="5">
        <f>IF('Journal'!E314="","",IFERROR(LEFT('Journal'!E314,FIND(" ",'Journal'!E314)-1),'Journal'!E314))</f>
        <v/>
      </c>
      <c r="E626" s="5">
        <f>IF('Journal'!E314="","",IFERROR(INDEX('Kontoplan'!$B$3:$B$302,MATCH('Journal'!E314,'Kontoplan'!$H$3:$H$302,0)),""))</f>
        <v/>
      </c>
      <c r="F626" s="20">
        <f>IF('Journal'!F314="","",'Journal'!F314)</f>
        <v/>
      </c>
      <c r="G626" s="20">
        <f>IF('Journal'!G314="","",'Journal'!G314)</f>
        <v/>
      </c>
      <c r="H626" s="5">
        <f>IF('Journal'!I314="","",'Journal'!I314)</f>
        <v/>
      </c>
    </row>
    <row r="627">
      <c r="A627" s="18">
        <f>IF('Journal'!A315="","",'Journal'!A315)</f>
        <v/>
      </c>
      <c r="B627" s="21">
        <f>IF('Journal'!B315="","",'Journal'!B315)</f>
        <v/>
      </c>
      <c r="C627" s="5">
        <f>IF('Journal'!C315="","",'Journal'!C315)</f>
        <v/>
      </c>
      <c r="D627" s="5">
        <f>IF('Journal'!D315="","",IFERROR(LEFT('Journal'!D315,FIND(" ",'Journal'!D315)-1),'Journal'!D315))</f>
        <v/>
      </c>
      <c r="E627" s="5">
        <f>IF('Journal'!D315="","",IFERROR(INDEX('Kontoplan'!$B$3:$B$302,MATCH('Journal'!D315,'Kontoplan'!$H$3:$H$302,0)),""))</f>
        <v/>
      </c>
      <c r="F627" s="20">
        <f>IF('Journal'!G315="","",'Journal'!G315)</f>
        <v/>
      </c>
      <c r="G627" s="20">
        <f>IF('Journal'!F315="","",'Journal'!F315)</f>
        <v/>
      </c>
      <c r="H627" s="5">
        <f>IF('Journal'!I315="","",'Journal'!I315)</f>
        <v/>
      </c>
    </row>
    <row r="628">
      <c r="A628" s="18">
        <f>IF('Journal'!A315="","",'Journal'!A315)</f>
        <v/>
      </c>
      <c r="B628" s="21">
        <f>IF('Journal'!B315="","",'Journal'!B315)</f>
        <v/>
      </c>
      <c r="C628" s="5">
        <f>IF('Journal'!C315="","",'Journal'!C315)</f>
        <v/>
      </c>
      <c r="D628" s="5">
        <f>IF('Journal'!E315="","",IFERROR(LEFT('Journal'!E315,FIND(" ",'Journal'!E315)-1),'Journal'!E315))</f>
        <v/>
      </c>
      <c r="E628" s="5">
        <f>IF('Journal'!E315="","",IFERROR(INDEX('Kontoplan'!$B$3:$B$302,MATCH('Journal'!E315,'Kontoplan'!$H$3:$H$302,0)),""))</f>
        <v/>
      </c>
      <c r="F628" s="20">
        <f>IF('Journal'!F315="","",'Journal'!F315)</f>
        <v/>
      </c>
      <c r="G628" s="20">
        <f>IF('Journal'!G315="","",'Journal'!G315)</f>
        <v/>
      </c>
      <c r="H628" s="5">
        <f>IF('Journal'!I315="","",'Journal'!I315)</f>
        <v/>
      </c>
    </row>
    <row r="629">
      <c r="A629" s="18">
        <f>IF('Journal'!A316="","",'Journal'!A316)</f>
        <v/>
      </c>
      <c r="B629" s="21">
        <f>IF('Journal'!B316="","",'Journal'!B316)</f>
        <v/>
      </c>
      <c r="C629" s="5">
        <f>IF('Journal'!C316="","",'Journal'!C316)</f>
        <v/>
      </c>
      <c r="D629" s="5">
        <f>IF('Journal'!D316="","",IFERROR(LEFT('Journal'!D316,FIND(" ",'Journal'!D316)-1),'Journal'!D316))</f>
        <v/>
      </c>
      <c r="E629" s="5">
        <f>IF('Journal'!D316="","",IFERROR(INDEX('Kontoplan'!$B$3:$B$302,MATCH('Journal'!D316,'Kontoplan'!$H$3:$H$302,0)),""))</f>
        <v/>
      </c>
      <c r="F629" s="20">
        <f>IF('Journal'!G316="","",'Journal'!G316)</f>
        <v/>
      </c>
      <c r="G629" s="20">
        <f>IF('Journal'!F316="","",'Journal'!F316)</f>
        <v/>
      </c>
      <c r="H629" s="5">
        <f>IF('Journal'!I316="","",'Journal'!I316)</f>
        <v/>
      </c>
    </row>
    <row r="630">
      <c r="A630" s="18">
        <f>IF('Journal'!A316="","",'Journal'!A316)</f>
        <v/>
      </c>
      <c r="B630" s="21">
        <f>IF('Journal'!B316="","",'Journal'!B316)</f>
        <v/>
      </c>
      <c r="C630" s="5">
        <f>IF('Journal'!C316="","",'Journal'!C316)</f>
        <v/>
      </c>
      <c r="D630" s="5">
        <f>IF('Journal'!E316="","",IFERROR(LEFT('Journal'!E316,FIND(" ",'Journal'!E316)-1),'Journal'!E316))</f>
        <v/>
      </c>
      <c r="E630" s="5">
        <f>IF('Journal'!E316="","",IFERROR(INDEX('Kontoplan'!$B$3:$B$302,MATCH('Journal'!E316,'Kontoplan'!$H$3:$H$302,0)),""))</f>
        <v/>
      </c>
      <c r="F630" s="20">
        <f>IF('Journal'!F316="","",'Journal'!F316)</f>
        <v/>
      </c>
      <c r="G630" s="20">
        <f>IF('Journal'!G316="","",'Journal'!G316)</f>
        <v/>
      </c>
      <c r="H630" s="5">
        <f>IF('Journal'!I316="","",'Journal'!I316)</f>
        <v/>
      </c>
    </row>
    <row r="631">
      <c r="A631" s="18">
        <f>IF('Journal'!A317="","",'Journal'!A317)</f>
        <v/>
      </c>
      <c r="B631" s="21">
        <f>IF('Journal'!B317="","",'Journal'!B317)</f>
        <v/>
      </c>
      <c r="C631" s="5">
        <f>IF('Journal'!C317="","",'Journal'!C317)</f>
        <v/>
      </c>
      <c r="D631" s="5">
        <f>IF('Journal'!D317="","",IFERROR(LEFT('Journal'!D317,FIND(" ",'Journal'!D317)-1),'Journal'!D317))</f>
        <v/>
      </c>
      <c r="E631" s="5">
        <f>IF('Journal'!D317="","",IFERROR(INDEX('Kontoplan'!$B$3:$B$302,MATCH('Journal'!D317,'Kontoplan'!$H$3:$H$302,0)),""))</f>
        <v/>
      </c>
      <c r="F631" s="20">
        <f>IF('Journal'!G317="","",'Journal'!G317)</f>
        <v/>
      </c>
      <c r="G631" s="20">
        <f>IF('Journal'!F317="","",'Journal'!F317)</f>
        <v/>
      </c>
      <c r="H631" s="5">
        <f>IF('Journal'!I317="","",'Journal'!I317)</f>
        <v/>
      </c>
    </row>
    <row r="632">
      <c r="A632" s="18">
        <f>IF('Journal'!A317="","",'Journal'!A317)</f>
        <v/>
      </c>
      <c r="B632" s="21">
        <f>IF('Journal'!B317="","",'Journal'!B317)</f>
        <v/>
      </c>
      <c r="C632" s="5">
        <f>IF('Journal'!C317="","",'Journal'!C317)</f>
        <v/>
      </c>
      <c r="D632" s="5">
        <f>IF('Journal'!E317="","",IFERROR(LEFT('Journal'!E317,FIND(" ",'Journal'!E317)-1),'Journal'!E317))</f>
        <v/>
      </c>
      <c r="E632" s="5">
        <f>IF('Journal'!E317="","",IFERROR(INDEX('Kontoplan'!$B$3:$B$302,MATCH('Journal'!E317,'Kontoplan'!$H$3:$H$302,0)),""))</f>
        <v/>
      </c>
      <c r="F632" s="20">
        <f>IF('Journal'!F317="","",'Journal'!F317)</f>
        <v/>
      </c>
      <c r="G632" s="20">
        <f>IF('Journal'!G317="","",'Journal'!G317)</f>
        <v/>
      </c>
      <c r="H632" s="5">
        <f>IF('Journal'!I317="","",'Journal'!I317)</f>
        <v/>
      </c>
    </row>
    <row r="633">
      <c r="A633" s="18">
        <f>IF('Journal'!A318="","",'Journal'!A318)</f>
        <v/>
      </c>
      <c r="B633" s="21">
        <f>IF('Journal'!B318="","",'Journal'!B318)</f>
        <v/>
      </c>
      <c r="C633" s="5">
        <f>IF('Journal'!C318="","",'Journal'!C318)</f>
        <v/>
      </c>
      <c r="D633" s="5">
        <f>IF('Journal'!D318="","",IFERROR(LEFT('Journal'!D318,FIND(" ",'Journal'!D318)-1),'Journal'!D318))</f>
        <v/>
      </c>
      <c r="E633" s="5">
        <f>IF('Journal'!D318="","",IFERROR(INDEX('Kontoplan'!$B$3:$B$302,MATCH('Journal'!D318,'Kontoplan'!$H$3:$H$302,0)),""))</f>
        <v/>
      </c>
      <c r="F633" s="20">
        <f>IF('Journal'!G318="","",'Journal'!G318)</f>
        <v/>
      </c>
      <c r="G633" s="20">
        <f>IF('Journal'!F318="","",'Journal'!F318)</f>
        <v/>
      </c>
      <c r="H633" s="5">
        <f>IF('Journal'!I318="","",'Journal'!I318)</f>
        <v/>
      </c>
    </row>
    <row r="634">
      <c r="A634" s="18">
        <f>IF('Journal'!A318="","",'Journal'!A318)</f>
        <v/>
      </c>
      <c r="B634" s="21">
        <f>IF('Journal'!B318="","",'Journal'!B318)</f>
        <v/>
      </c>
      <c r="C634" s="5">
        <f>IF('Journal'!C318="","",'Journal'!C318)</f>
        <v/>
      </c>
      <c r="D634" s="5">
        <f>IF('Journal'!E318="","",IFERROR(LEFT('Journal'!E318,FIND(" ",'Journal'!E318)-1),'Journal'!E318))</f>
        <v/>
      </c>
      <c r="E634" s="5">
        <f>IF('Journal'!E318="","",IFERROR(INDEX('Kontoplan'!$B$3:$B$302,MATCH('Journal'!E318,'Kontoplan'!$H$3:$H$302,0)),""))</f>
        <v/>
      </c>
      <c r="F634" s="20">
        <f>IF('Journal'!F318="","",'Journal'!F318)</f>
        <v/>
      </c>
      <c r="G634" s="20">
        <f>IF('Journal'!G318="","",'Journal'!G318)</f>
        <v/>
      </c>
      <c r="H634" s="5">
        <f>IF('Journal'!I318="","",'Journal'!I318)</f>
        <v/>
      </c>
    </row>
    <row r="635">
      <c r="A635" s="18">
        <f>IF('Journal'!A319="","",'Journal'!A319)</f>
        <v/>
      </c>
      <c r="B635" s="21">
        <f>IF('Journal'!B319="","",'Journal'!B319)</f>
        <v/>
      </c>
      <c r="C635" s="5">
        <f>IF('Journal'!C319="","",'Journal'!C319)</f>
        <v/>
      </c>
      <c r="D635" s="5">
        <f>IF('Journal'!D319="","",IFERROR(LEFT('Journal'!D319,FIND(" ",'Journal'!D319)-1),'Journal'!D319))</f>
        <v/>
      </c>
      <c r="E635" s="5">
        <f>IF('Journal'!D319="","",IFERROR(INDEX('Kontoplan'!$B$3:$B$302,MATCH('Journal'!D319,'Kontoplan'!$H$3:$H$302,0)),""))</f>
        <v/>
      </c>
      <c r="F635" s="20">
        <f>IF('Journal'!G319="","",'Journal'!G319)</f>
        <v/>
      </c>
      <c r="G635" s="20">
        <f>IF('Journal'!F319="","",'Journal'!F319)</f>
        <v/>
      </c>
      <c r="H635" s="5">
        <f>IF('Journal'!I319="","",'Journal'!I319)</f>
        <v/>
      </c>
    </row>
    <row r="636">
      <c r="A636" s="18">
        <f>IF('Journal'!A319="","",'Journal'!A319)</f>
        <v/>
      </c>
      <c r="B636" s="21">
        <f>IF('Journal'!B319="","",'Journal'!B319)</f>
        <v/>
      </c>
      <c r="C636" s="5">
        <f>IF('Journal'!C319="","",'Journal'!C319)</f>
        <v/>
      </c>
      <c r="D636" s="5">
        <f>IF('Journal'!E319="","",IFERROR(LEFT('Journal'!E319,FIND(" ",'Journal'!E319)-1),'Journal'!E319))</f>
        <v/>
      </c>
      <c r="E636" s="5">
        <f>IF('Journal'!E319="","",IFERROR(INDEX('Kontoplan'!$B$3:$B$302,MATCH('Journal'!E319,'Kontoplan'!$H$3:$H$302,0)),""))</f>
        <v/>
      </c>
      <c r="F636" s="20">
        <f>IF('Journal'!F319="","",'Journal'!F319)</f>
        <v/>
      </c>
      <c r="G636" s="20">
        <f>IF('Journal'!G319="","",'Journal'!G319)</f>
        <v/>
      </c>
      <c r="H636" s="5">
        <f>IF('Journal'!I319="","",'Journal'!I319)</f>
        <v/>
      </c>
    </row>
    <row r="637">
      <c r="A637" s="18">
        <f>IF('Journal'!A320="","",'Journal'!A320)</f>
        <v/>
      </c>
      <c r="B637" s="21">
        <f>IF('Journal'!B320="","",'Journal'!B320)</f>
        <v/>
      </c>
      <c r="C637" s="5">
        <f>IF('Journal'!C320="","",'Journal'!C320)</f>
        <v/>
      </c>
      <c r="D637" s="5">
        <f>IF('Journal'!D320="","",IFERROR(LEFT('Journal'!D320,FIND(" ",'Journal'!D320)-1),'Journal'!D320))</f>
        <v/>
      </c>
      <c r="E637" s="5">
        <f>IF('Journal'!D320="","",IFERROR(INDEX('Kontoplan'!$B$3:$B$302,MATCH('Journal'!D320,'Kontoplan'!$H$3:$H$302,0)),""))</f>
        <v/>
      </c>
      <c r="F637" s="20">
        <f>IF('Journal'!G320="","",'Journal'!G320)</f>
        <v/>
      </c>
      <c r="G637" s="20">
        <f>IF('Journal'!F320="","",'Journal'!F320)</f>
        <v/>
      </c>
      <c r="H637" s="5">
        <f>IF('Journal'!I320="","",'Journal'!I320)</f>
        <v/>
      </c>
    </row>
    <row r="638">
      <c r="A638" s="18">
        <f>IF('Journal'!A320="","",'Journal'!A320)</f>
        <v/>
      </c>
      <c r="B638" s="21">
        <f>IF('Journal'!B320="","",'Journal'!B320)</f>
        <v/>
      </c>
      <c r="C638" s="5">
        <f>IF('Journal'!C320="","",'Journal'!C320)</f>
        <v/>
      </c>
      <c r="D638" s="5">
        <f>IF('Journal'!E320="","",IFERROR(LEFT('Journal'!E320,FIND(" ",'Journal'!E320)-1),'Journal'!E320))</f>
        <v/>
      </c>
      <c r="E638" s="5">
        <f>IF('Journal'!E320="","",IFERROR(INDEX('Kontoplan'!$B$3:$B$302,MATCH('Journal'!E320,'Kontoplan'!$H$3:$H$302,0)),""))</f>
        <v/>
      </c>
      <c r="F638" s="20">
        <f>IF('Journal'!F320="","",'Journal'!F320)</f>
        <v/>
      </c>
      <c r="G638" s="20">
        <f>IF('Journal'!G320="","",'Journal'!G320)</f>
        <v/>
      </c>
      <c r="H638" s="5">
        <f>IF('Journal'!I320="","",'Journal'!I320)</f>
        <v/>
      </c>
    </row>
    <row r="639">
      <c r="A639" s="18">
        <f>IF('Journal'!A321="","",'Journal'!A321)</f>
        <v/>
      </c>
      <c r="B639" s="21">
        <f>IF('Journal'!B321="","",'Journal'!B321)</f>
        <v/>
      </c>
      <c r="C639" s="5">
        <f>IF('Journal'!C321="","",'Journal'!C321)</f>
        <v/>
      </c>
      <c r="D639" s="5">
        <f>IF('Journal'!D321="","",IFERROR(LEFT('Journal'!D321,FIND(" ",'Journal'!D321)-1),'Journal'!D321))</f>
        <v/>
      </c>
      <c r="E639" s="5">
        <f>IF('Journal'!D321="","",IFERROR(INDEX('Kontoplan'!$B$3:$B$302,MATCH('Journal'!D321,'Kontoplan'!$H$3:$H$302,0)),""))</f>
        <v/>
      </c>
      <c r="F639" s="20">
        <f>IF('Journal'!G321="","",'Journal'!G321)</f>
        <v/>
      </c>
      <c r="G639" s="20">
        <f>IF('Journal'!F321="","",'Journal'!F321)</f>
        <v/>
      </c>
      <c r="H639" s="5">
        <f>IF('Journal'!I321="","",'Journal'!I321)</f>
        <v/>
      </c>
    </row>
    <row r="640">
      <c r="A640" s="18">
        <f>IF('Journal'!A321="","",'Journal'!A321)</f>
        <v/>
      </c>
      <c r="B640" s="21">
        <f>IF('Journal'!B321="","",'Journal'!B321)</f>
        <v/>
      </c>
      <c r="C640" s="5">
        <f>IF('Journal'!C321="","",'Journal'!C321)</f>
        <v/>
      </c>
      <c r="D640" s="5">
        <f>IF('Journal'!E321="","",IFERROR(LEFT('Journal'!E321,FIND(" ",'Journal'!E321)-1),'Journal'!E321))</f>
        <v/>
      </c>
      <c r="E640" s="5">
        <f>IF('Journal'!E321="","",IFERROR(INDEX('Kontoplan'!$B$3:$B$302,MATCH('Journal'!E321,'Kontoplan'!$H$3:$H$302,0)),""))</f>
        <v/>
      </c>
      <c r="F640" s="20">
        <f>IF('Journal'!F321="","",'Journal'!F321)</f>
        <v/>
      </c>
      <c r="G640" s="20">
        <f>IF('Journal'!G321="","",'Journal'!G321)</f>
        <v/>
      </c>
      <c r="H640" s="5">
        <f>IF('Journal'!I321="","",'Journal'!I321)</f>
        <v/>
      </c>
    </row>
    <row r="641">
      <c r="A641" s="18">
        <f>IF('Journal'!A322="","",'Journal'!A322)</f>
        <v/>
      </c>
      <c r="B641" s="21">
        <f>IF('Journal'!B322="","",'Journal'!B322)</f>
        <v/>
      </c>
      <c r="C641" s="5">
        <f>IF('Journal'!C322="","",'Journal'!C322)</f>
        <v/>
      </c>
      <c r="D641" s="5">
        <f>IF('Journal'!D322="","",IFERROR(LEFT('Journal'!D322,FIND(" ",'Journal'!D322)-1),'Journal'!D322))</f>
        <v/>
      </c>
      <c r="E641" s="5">
        <f>IF('Journal'!D322="","",IFERROR(INDEX('Kontoplan'!$B$3:$B$302,MATCH('Journal'!D322,'Kontoplan'!$H$3:$H$302,0)),""))</f>
        <v/>
      </c>
      <c r="F641" s="20">
        <f>IF('Journal'!G322="","",'Journal'!G322)</f>
        <v/>
      </c>
      <c r="G641" s="20">
        <f>IF('Journal'!F322="","",'Journal'!F322)</f>
        <v/>
      </c>
      <c r="H641" s="5">
        <f>IF('Journal'!I322="","",'Journal'!I322)</f>
        <v/>
      </c>
    </row>
    <row r="642">
      <c r="A642" s="18">
        <f>IF('Journal'!A322="","",'Journal'!A322)</f>
        <v/>
      </c>
      <c r="B642" s="21">
        <f>IF('Journal'!B322="","",'Journal'!B322)</f>
        <v/>
      </c>
      <c r="C642" s="5">
        <f>IF('Journal'!C322="","",'Journal'!C322)</f>
        <v/>
      </c>
      <c r="D642" s="5">
        <f>IF('Journal'!E322="","",IFERROR(LEFT('Journal'!E322,FIND(" ",'Journal'!E322)-1),'Journal'!E322))</f>
        <v/>
      </c>
      <c r="E642" s="5">
        <f>IF('Journal'!E322="","",IFERROR(INDEX('Kontoplan'!$B$3:$B$302,MATCH('Journal'!E322,'Kontoplan'!$H$3:$H$302,0)),""))</f>
        <v/>
      </c>
      <c r="F642" s="20">
        <f>IF('Journal'!F322="","",'Journal'!F322)</f>
        <v/>
      </c>
      <c r="G642" s="20">
        <f>IF('Journal'!G322="","",'Journal'!G322)</f>
        <v/>
      </c>
      <c r="H642" s="5">
        <f>IF('Journal'!I322="","",'Journal'!I322)</f>
        <v/>
      </c>
    </row>
    <row r="643">
      <c r="A643" s="18">
        <f>IF('Journal'!A323="","",'Journal'!A323)</f>
        <v/>
      </c>
      <c r="B643" s="21">
        <f>IF('Journal'!B323="","",'Journal'!B323)</f>
        <v/>
      </c>
      <c r="C643" s="5">
        <f>IF('Journal'!C323="","",'Journal'!C323)</f>
        <v/>
      </c>
      <c r="D643" s="5">
        <f>IF('Journal'!D323="","",IFERROR(LEFT('Journal'!D323,FIND(" ",'Journal'!D323)-1),'Journal'!D323))</f>
        <v/>
      </c>
      <c r="E643" s="5">
        <f>IF('Journal'!D323="","",IFERROR(INDEX('Kontoplan'!$B$3:$B$302,MATCH('Journal'!D323,'Kontoplan'!$H$3:$H$302,0)),""))</f>
        <v/>
      </c>
      <c r="F643" s="20">
        <f>IF('Journal'!G323="","",'Journal'!G323)</f>
        <v/>
      </c>
      <c r="G643" s="20">
        <f>IF('Journal'!F323="","",'Journal'!F323)</f>
        <v/>
      </c>
      <c r="H643" s="5">
        <f>IF('Journal'!I323="","",'Journal'!I323)</f>
        <v/>
      </c>
    </row>
    <row r="644">
      <c r="A644" s="18">
        <f>IF('Journal'!A323="","",'Journal'!A323)</f>
        <v/>
      </c>
      <c r="B644" s="21">
        <f>IF('Journal'!B323="","",'Journal'!B323)</f>
        <v/>
      </c>
      <c r="C644" s="5">
        <f>IF('Journal'!C323="","",'Journal'!C323)</f>
        <v/>
      </c>
      <c r="D644" s="5">
        <f>IF('Journal'!E323="","",IFERROR(LEFT('Journal'!E323,FIND(" ",'Journal'!E323)-1),'Journal'!E323))</f>
        <v/>
      </c>
      <c r="E644" s="5">
        <f>IF('Journal'!E323="","",IFERROR(INDEX('Kontoplan'!$B$3:$B$302,MATCH('Journal'!E323,'Kontoplan'!$H$3:$H$302,0)),""))</f>
        <v/>
      </c>
      <c r="F644" s="20">
        <f>IF('Journal'!F323="","",'Journal'!F323)</f>
        <v/>
      </c>
      <c r="G644" s="20">
        <f>IF('Journal'!G323="","",'Journal'!G323)</f>
        <v/>
      </c>
      <c r="H644" s="5">
        <f>IF('Journal'!I323="","",'Journal'!I323)</f>
        <v/>
      </c>
    </row>
    <row r="645">
      <c r="A645" s="18">
        <f>IF('Journal'!A324="","",'Journal'!A324)</f>
        <v/>
      </c>
      <c r="B645" s="21">
        <f>IF('Journal'!B324="","",'Journal'!B324)</f>
        <v/>
      </c>
      <c r="C645" s="5">
        <f>IF('Journal'!C324="","",'Journal'!C324)</f>
        <v/>
      </c>
      <c r="D645" s="5">
        <f>IF('Journal'!D324="","",IFERROR(LEFT('Journal'!D324,FIND(" ",'Journal'!D324)-1),'Journal'!D324))</f>
        <v/>
      </c>
      <c r="E645" s="5">
        <f>IF('Journal'!D324="","",IFERROR(INDEX('Kontoplan'!$B$3:$B$302,MATCH('Journal'!D324,'Kontoplan'!$H$3:$H$302,0)),""))</f>
        <v/>
      </c>
      <c r="F645" s="20">
        <f>IF('Journal'!G324="","",'Journal'!G324)</f>
        <v/>
      </c>
      <c r="G645" s="20">
        <f>IF('Journal'!F324="","",'Journal'!F324)</f>
        <v/>
      </c>
      <c r="H645" s="5">
        <f>IF('Journal'!I324="","",'Journal'!I324)</f>
        <v/>
      </c>
    </row>
    <row r="646">
      <c r="A646" s="18">
        <f>IF('Journal'!A324="","",'Journal'!A324)</f>
        <v/>
      </c>
      <c r="B646" s="21">
        <f>IF('Journal'!B324="","",'Journal'!B324)</f>
        <v/>
      </c>
      <c r="C646" s="5">
        <f>IF('Journal'!C324="","",'Journal'!C324)</f>
        <v/>
      </c>
      <c r="D646" s="5">
        <f>IF('Journal'!E324="","",IFERROR(LEFT('Journal'!E324,FIND(" ",'Journal'!E324)-1),'Journal'!E324))</f>
        <v/>
      </c>
      <c r="E646" s="5">
        <f>IF('Journal'!E324="","",IFERROR(INDEX('Kontoplan'!$B$3:$B$302,MATCH('Journal'!E324,'Kontoplan'!$H$3:$H$302,0)),""))</f>
        <v/>
      </c>
      <c r="F646" s="20">
        <f>IF('Journal'!F324="","",'Journal'!F324)</f>
        <v/>
      </c>
      <c r="G646" s="20">
        <f>IF('Journal'!G324="","",'Journal'!G324)</f>
        <v/>
      </c>
      <c r="H646" s="5">
        <f>IF('Journal'!I324="","",'Journal'!I324)</f>
        <v/>
      </c>
    </row>
    <row r="647">
      <c r="A647" s="18">
        <f>IF('Journal'!A325="","",'Journal'!A325)</f>
        <v/>
      </c>
      <c r="B647" s="21">
        <f>IF('Journal'!B325="","",'Journal'!B325)</f>
        <v/>
      </c>
      <c r="C647" s="5">
        <f>IF('Journal'!C325="","",'Journal'!C325)</f>
        <v/>
      </c>
      <c r="D647" s="5">
        <f>IF('Journal'!D325="","",IFERROR(LEFT('Journal'!D325,FIND(" ",'Journal'!D325)-1),'Journal'!D325))</f>
        <v/>
      </c>
      <c r="E647" s="5">
        <f>IF('Journal'!D325="","",IFERROR(INDEX('Kontoplan'!$B$3:$B$302,MATCH('Journal'!D325,'Kontoplan'!$H$3:$H$302,0)),""))</f>
        <v/>
      </c>
      <c r="F647" s="20">
        <f>IF('Journal'!G325="","",'Journal'!G325)</f>
        <v/>
      </c>
      <c r="G647" s="20">
        <f>IF('Journal'!F325="","",'Journal'!F325)</f>
        <v/>
      </c>
      <c r="H647" s="5">
        <f>IF('Journal'!I325="","",'Journal'!I325)</f>
        <v/>
      </c>
    </row>
    <row r="648">
      <c r="A648" s="18">
        <f>IF('Journal'!A325="","",'Journal'!A325)</f>
        <v/>
      </c>
      <c r="B648" s="21">
        <f>IF('Journal'!B325="","",'Journal'!B325)</f>
        <v/>
      </c>
      <c r="C648" s="5">
        <f>IF('Journal'!C325="","",'Journal'!C325)</f>
        <v/>
      </c>
      <c r="D648" s="5">
        <f>IF('Journal'!E325="","",IFERROR(LEFT('Journal'!E325,FIND(" ",'Journal'!E325)-1),'Journal'!E325))</f>
        <v/>
      </c>
      <c r="E648" s="5">
        <f>IF('Journal'!E325="","",IFERROR(INDEX('Kontoplan'!$B$3:$B$302,MATCH('Journal'!E325,'Kontoplan'!$H$3:$H$302,0)),""))</f>
        <v/>
      </c>
      <c r="F648" s="20">
        <f>IF('Journal'!F325="","",'Journal'!F325)</f>
        <v/>
      </c>
      <c r="G648" s="20">
        <f>IF('Journal'!G325="","",'Journal'!G325)</f>
        <v/>
      </c>
      <c r="H648" s="5">
        <f>IF('Journal'!I325="","",'Journal'!I325)</f>
        <v/>
      </c>
    </row>
    <row r="649">
      <c r="A649" s="18">
        <f>IF('Journal'!A326="","",'Journal'!A326)</f>
        <v/>
      </c>
      <c r="B649" s="21">
        <f>IF('Journal'!B326="","",'Journal'!B326)</f>
        <v/>
      </c>
      <c r="C649" s="5">
        <f>IF('Journal'!C326="","",'Journal'!C326)</f>
        <v/>
      </c>
      <c r="D649" s="5">
        <f>IF('Journal'!D326="","",IFERROR(LEFT('Journal'!D326,FIND(" ",'Journal'!D326)-1),'Journal'!D326))</f>
        <v/>
      </c>
      <c r="E649" s="5">
        <f>IF('Journal'!D326="","",IFERROR(INDEX('Kontoplan'!$B$3:$B$302,MATCH('Journal'!D326,'Kontoplan'!$H$3:$H$302,0)),""))</f>
        <v/>
      </c>
      <c r="F649" s="20">
        <f>IF('Journal'!G326="","",'Journal'!G326)</f>
        <v/>
      </c>
      <c r="G649" s="20">
        <f>IF('Journal'!F326="","",'Journal'!F326)</f>
        <v/>
      </c>
      <c r="H649" s="5">
        <f>IF('Journal'!I326="","",'Journal'!I326)</f>
        <v/>
      </c>
    </row>
    <row r="650">
      <c r="A650" s="18">
        <f>IF('Journal'!A326="","",'Journal'!A326)</f>
        <v/>
      </c>
      <c r="B650" s="21">
        <f>IF('Journal'!B326="","",'Journal'!B326)</f>
        <v/>
      </c>
      <c r="C650" s="5">
        <f>IF('Journal'!C326="","",'Journal'!C326)</f>
        <v/>
      </c>
      <c r="D650" s="5">
        <f>IF('Journal'!E326="","",IFERROR(LEFT('Journal'!E326,FIND(" ",'Journal'!E326)-1),'Journal'!E326))</f>
        <v/>
      </c>
      <c r="E650" s="5">
        <f>IF('Journal'!E326="","",IFERROR(INDEX('Kontoplan'!$B$3:$B$302,MATCH('Journal'!E326,'Kontoplan'!$H$3:$H$302,0)),""))</f>
        <v/>
      </c>
      <c r="F650" s="20">
        <f>IF('Journal'!F326="","",'Journal'!F326)</f>
        <v/>
      </c>
      <c r="G650" s="20">
        <f>IF('Journal'!G326="","",'Journal'!G326)</f>
        <v/>
      </c>
      <c r="H650" s="5">
        <f>IF('Journal'!I326="","",'Journal'!I326)</f>
        <v/>
      </c>
    </row>
    <row r="651">
      <c r="A651" s="18">
        <f>IF('Journal'!A327="","",'Journal'!A327)</f>
        <v/>
      </c>
      <c r="B651" s="21">
        <f>IF('Journal'!B327="","",'Journal'!B327)</f>
        <v/>
      </c>
      <c r="C651" s="5">
        <f>IF('Journal'!C327="","",'Journal'!C327)</f>
        <v/>
      </c>
      <c r="D651" s="5">
        <f>IF('Journal'!D327="","",IFERROR(LEFT('Journal'!D327,FIND(" ",'Journal'!D327)-1),'Journal'!D327))</f>
        <v/>
      </c>
      <c r="E651" s="5">
        <f>IF('Journal'!D327="","",IFERROR(INDEX('Kontoplan'!$B$3:$B$302,MATCH('Journal'!D327,'Kontoplan'!$H$3:$H$302,0)),""))</f>
        <v/>
      </c>
      <c r="F651" s="20">
        <f>IF('Journal'!G327="","",'Journal'!G327)</f>
        <v/>
      </c>
      <c r="G651" s="20">
        <f>IF('Journal'!F327="","",'Journal'!F327)</f>
        <v/>
      </c>
      <c r="H651" s="5">
        <f>IF('Journal'!I327="","",'Journal'!I327)</f>
        <v/>
      </c>
    </row>
    <row r="652">
      <c r="A652" s="18">
        <f>IF('Journal'!A327="","",'Journal'!A327)</f>
        <v/>
      </c>
      <c r="B652" s="21">
        <f>IF('Journal'!B327="","",'Journal'!B327)</f>
        <v/>
      </c>
      <c r="C652" s="5">
        <f>IF('Journal'!C327="","",'Journal'!C327)</f>
        <v/>
      </c>
      <c r="D652" s="5">
        <f>IF('Journal'!E327="","",IFERROR(LEFT('Journal'!E327,FIND(" ",'Journal'!E327)-1),'Journal'!E327))</f>
        <v/>
      </c>
      <c r="E652" s="5">
        <f>IF('Journal'!E327="","",IFERROR(INDEX('Kontoplan'!$B$3:$B$302,MATCH('Journal'!E327,'Kontoplan'!$H$3:$H$302,0)),""))</f>
        <v/>
      </c>
      <c r="F652" s="20">
        <f>IF('Journal'!F327="","",'Journal'!F327)</f>
        <v/>
      </c>
      <c r="G652" s="20">
        <f>IF('Journal'!G327="","",'Journal'!G327)</f>
        <v/>
      </c>
      <c r="H652" s="5">
        <f>IF('Journal'!I327="","",'Journal'!I327)</f>
        <v/>
      </c>
    </row>
    <row r="653">
      <c r="A653" s="18">
        <f>IF('Journal'!A328="","",'Journal'!A328)</f>
        <v/>
      </c>
      <c r="B653" s="21">
        <f>IF('Journal'!B328="","",'Journal'!B328)</f>
        <v/>
      </c>
      <c r="C653" s="5">
        <f>IF('Journal'!C328="","",'Journal'!C328)</f>
        <v/>
      </c>
      <c r="D653" s="5">
        <f>IF('Journal'!D328="","",IFERROR(LEFT('Journal'!D328,FIND(" ",'Journal'!D328)-1),'Journal'!D328))</f>
        <v/>
      </c>
      <c r="E653" s="5">
        <f>IF('Journal'!D328="","",IFERROR(INDEX('Kontoplan'!$B$3:$B$302,MATCH('Journal'!D328,'Kontoplan'!$H$3:$H$302,0)),""))</f>
        <v/>
      </c>
      <c r="F653" s="20">
        <f>IF('Journal'!G328="","",'Journal'!G328)</f>
        <v/>
      </c>
      <c r="G653" s="20">
        <f>IF('Journal'!F328="","",'Journal'!F328)</f>
        <v/>
      </c>
      <c r="H653" s="5">
        <f>IF('Journal'!I328="","",'Journal'!I328)</f>
        <v/>
      </c>
    </row>
    <row r="654">
      <c r="A654" s="18">
        <f>IF('Journal'!A328="","",'Journal'!A328)</f>
        <v/>
      </c>
      <c r="B654" s="21">
        <f>IF('Journal'!B328="","",'Journal'!B328)</f>
        <v/>
      </c>
      <c r="C654" s="5">
        <f>IF('Journal'!C328="","",'Journal'!C328)</f>
        <v/>
      </c>
      <c r="D654" s="5">
        <f>IF('Journal'!E328="","",IFERROR(LEFT('Journal'!E328,FIND(" ",'Journal'!E328)-1),'Journal'!E328))</f>
        <v/>
      </c>
      <c r="E654" s="5">
        <f>IF('Journal'!E328="","",IFERROR(INDEX('Kontoplan'!$B$3:$B$302,MATCH('Journal'!E328,'Kontoplan'!$H$3:$H$302,0)),""))</f>
        <v/>
      </c>
      <c r="F654" s="20">
        <f>IF('Journal'!F328="","",'Journal'!F328)</f>
        <v/>
      </c>
      <c r="G654" s="20">
        <f>IF('Journal'!G328="","",'Journal'!G328)</f>
        <v/>
      </c>
      <c r="H654" s="5">
        <f>IF('Journal'!I328="","",'Journal'!I328)</f>
        <v/>
      </c>
    </row>
    <row r="655">
      <c r="A655" s="18">
        <f>IF('Journal'!A329="","",'Journal'!A329)</f>
        <v/>
      </c>
      <c r="B655" s="21">
        <f>IF('Journal'!B329="","",'Journal'!B329)</f>
        <v/>
      </c>
      <c r="C655" s="5">
        <f>IF('Journal'!C329="","",'Journal'!C329)</f>
        <v/>
      </c>
      <c r="D655" s="5">
        <f>IF('Journal'!D329="","",IFERROR(LEFT('Journal'!D329,FIND(" ",'Journal'!D329)-1),'Journal'!D329))</f>
        <v/>
      </c>
      <c r="E655" s="5">
        <f>IF('Journal'!D329="","",IFERROR(INDEX('Kontoplan'!$B$3:$B$302,MATCH('Journal'!D329,'Kontoplan'!$H$3:$H$302,0)),""))</f>
        <v/>
      </c>
      <c r="F655" s="20">
        <f>IF('Journal'!G329="","",'Journal'!G329)</f>
        <v/>
      </c>
      <c r="G655" s="20">
        <f>IF('Journal'!F329="","",'Journal'!F329)</f>
        <v/>
      </c>
      <c r="H655" s="5">
        <f>IF('Journal'!I329="","",'Journal'!I329)</f>
        <v/>
      </c>
    </row>
    <row r="656">
      <c r="A656" s="18">
        <f>IF('Journal'!A329="","",'Journal'!A329)</f>
        <v/>
      </c>
      <c r="B656" s="21">
        <f>IF('Journal'!B329="","",'Journal'!B329)</f>
        <v/>
      </c>
      <c r="C656" s="5">
        <f>IF('Journal'!C329="","",'Journal'!C329)</f>
        <v/>
      </c>
      <c r="D656" s="5">
        <f>IF('Journal'!E329="","",IFERROR(LEFT('Journal'!E329,FIND(" ",'Journal'!E329)-1),'Journal'!E329))</f>
        <v/>
      </c>
      <c r="E656" s="5">
        <f>IF('Journal'!E329="","",IFERROR(INDEX('Kontoplan'!$B$3:$B$302,MATCH('Journal'!E329,'Kontoplan'!$H$3:$H$302,0)),""))</f>
        <v/>
      </c>
      <c r="F656" s="20">
        <f>IF('Journal'!F329="","",'Journal'!F329)</f>
        <v/>
      </c>
      <c r="G656" s="20">
        <f>IF('Journal'!G329="","",'Journal'!G329)</f>
        <v/>
      </c>
      <c r="H656" s="5">
        <f>IF('Journal'!I329="","",'Journal'!I329)</f>
        <v/>
      </c>
    </row>
    <row r="657">
      <c r="A657" s="18">
        <f>IF('Journal'!A330="","",'Journal'!A330)</f>
        <v/>
      </c>
      <c r="B657" s="21">
        <f>IF('Journal'!B330="","",'Journal'!B330)</f>
        <v/>
      </c>
      <c r="C657" s="5">
        <f>IF('Journal'!C330="","",'Journal'!C330)</f>
        <v/>
      </c>
      <c r="D657" s="5">
        <f>IF('Journal'!D330="","",IFERROR(LEFT('Journal'!D330,FIND(" ",'Journal'!D330)-1),'Journal'!D330))</f>
        <v/>
      </c>
      <c r="E657" s="5">
        <f>IF('Journal'!D330="","",IFERROR(INDEX('Kontoplan'!$B$3:$B$302,MATCH('Journal'!D330,'Kontoplan'!$H$3:$H$302,0)),""))</f>
        <v/>
      </c>
      <c r="F657" s="20">
        <f>IF('Journal'!G330="","",'Journal'!G330)</f>
        <v/>
      </c>
      <c r="G657" s="20">
        <f>IF('Journal'!F330="","",'Journal'!F330)</f>
        <v/>
      </c>
      <c r="H657" s="5">
        <f>IF('Journal'!I330="","",'Journal'!I330)</f>
        <v/>
      </c>
    </row>
    <row r="658">
      <c r="A658" s="18">
        <f>IF('Journal'!A330="","",'Journal'!A330)</f>
        <v/>
      </c>
      <c r="B658" s="21">
        <f>IF('Journal'!B330="","",'Journal'!B330)</f>
        <v/>
      </c>
      <c r="C658" s="5">
        <f>IF('Journal'!C330="","",'Journal'!C330)</f>
        <v/>
      </c>
      <c r="D658" s="5">
        <f>IF('Journal'!E330="","",IFERROR(LEFT('Journal'!E330,FIND(" ",'Journal'!E330)-1),'Journal'!E330))</f>
        <v/>
      </c>
      <c r="E658" s="5">
        <f>IF('Journal'!E330="","",IFERROR(INDEX('Kontoplan'!$B$3:$B$302,MATCH('Journal'!E330,'Kontoplan'!$H$3:$H$302,0)),""))</f>
        <v/>
      </c>
      <c r="F658" s="20">
        <f>IF('Journal'!F330="","",'Journal'!F330)</f>
        <v/>
      </c>
      <c r="G658" s="20">
        <f>IF('Journal'!G330="","",'Journal'!G330)</f>
        <v/>
      </c>
      <c r="H658" s="5">
        <f>IF('Journal'!I330="","",'Journal'!I330)</f>
        <v/>
      </c>
    </row>
    <row r="659">
      <c r="A659" s="18">
        <f>IF('Journal'!A331="","",'Journal'!A331)</f>
        <v/>
      </c>
      <c r="B659" s="21">
        <f>IF('Journal'!B331="","",'Journal'!B331)</f>
        <v/>
      </c>
      <c r="C659" s="5">
        <f>IF('Journal'!C331="","",'Journal'!C331)</f>
        <v/>
      </c>
      <c r="D659" s="5">
        <f>IF('Journal'!D331="","",IFERROR(LEFT('Journal'!D331,FIND(" ",'Journal'!D331)-1),'Journal'!D331))</f>
        <v/>
      </c>
      <c r="E659" s="5">
        <f>IF('Journal'!D331="","",IFERROR(INDEX('Kontoplan'!$B$3:$B$302,MATCH('Journal'!D331,'Kontoplan'!$H$3:$H$302,0)),""))</f>
        <v/>
      </c>
      <c r="F659" s="20">
        <f>IF('Journal'!G331="","",'Journal'!G331)</f>
        <v/>
      </c>
      <c r="G659" s="20">
        <f>IF('Journal'!F331="","",'Journal'!F331)</f>
        <v/>
      </c>
      <c r="H659" s="5">
        <f>IF('Journal'!I331="","",'Journal'!I331)</f>
        <v/>
      </c>
    </row>
    <row r="660">
      <c r="A660" s="18">
        <f>IF('Journal'!A331="","",'Journal'!A331)</f>
        <v/>
      </c>
      <c r="B660" s="21">
        <f>IF('Journal'!B331="","",'Journal'!B331)</f>
        <v/>
      </c>
      <c r="C660" s="5">
        <f>IF('Journal'!C331="","",'Journal'!C331)</f>
        <v/>
      </c>
      <c r="D660" s="5">
        <f>IF('Journal'!E331="","",IFERROR(LEFT('Journal'!E331,FIND(" ",'Journal'!E331)-1),'Journal'!E331))</f>
        <v/>
      </c>
      <c r="E660" s="5">
        <f>IF('Journal'!E331="","",IFERROR(INDEX('Kontoplan'!$B$3:$B$302,MATCH('Journal'!E331,'Kontoplan'!$H$3:$H$302,0)),""))</f>
        <v/>
      </c>
      <c r="F660" s="20">
        <f>IF('Journal'!F331="","",'Journal'!F331)</f>
        <v/>
      </c>
      <c r="G660" s="20">
        <f>IF('Journal'!G331="","",'Journal'!G331)</f>
        <v/>
      </c>
      <c r="H660" s="5">
        <f>IF('Journal'!I331="","",'Journal'!I331)</f>
        <v/>
      </c>
    </row>
    <row r="661">
      <c r="A661" s="18">
        <f>IF('Journal'!A332="","",'Journal'!A332)</f>
        <v/>
      </c>
      <c r="B661" s="21">
        <f>IF('Journal'!B332="","",'Journal'!B332)</f>
        <v/>
      </c>
      <c r="C661" s="5">
        <f>IF('Journal'!C332="","",'Journal'!C332)</f>
        <v/>
      </c>
      <c r="D661" s="5">
        <f>IF('Journal'!D332="","",IFERROR(LEFT('Journal'!D332,FIND(" ",'Journal'!D332)-1),'Journal'!D332))</f>
        <v/>
      </c>
      <c r="E661" s="5">
        <f>IF('Journal'!D332="","",IFERROR(INDEX('Kontoplan'!$B$3:$B$302,MATCH('Journal'!D332,'Kontoplan'!$H$3:$H$302,0)),""))</f>
        <v/>
      </c>
      <c r="F661" s="20">
        <f>IF('Journal'!G332="","",'Journal'!G332)</f>
        <v/>
      </c>
      <c r="G661" s="20">
        <f>IF('Journal'!F332="","",'Journal'!F332)</f>
        <v/>
      </c>
      <c r="H661" s="5">
        <f>IF('Journal'!I332="","",'Journal'!I332)</f>
        <v/>
      </c>
    </row>
    <row r="662">
      <c r="A662" s="18">
        <f>IF('Journal'!A332="","",'Journal'!A332)</f>
        <v/>
      </c>
      <c r="B662" s="21">
        <f>IF('Journal'!B332="","",'Journal'!B332)</f>
        <v/>
      </c>
      <c r="C662" s="5">
        <f>IF('Journal'!C332="","",'Journal'!C332)</f>
        <v/>
      </c>
      <c r="D662" s="5">
        <f>IF('Journal'!E332="","",IFERROR(LEFT('Journal'!E332,FIND(" ",'Journal'!E332)-1),'Journal'!E332))</f>
        <v/>
      </c>
      <c r="E662" s="5">
        <f>IF('Journal'!E332="","",IFERROR(INDEX('Kontoplan'!$B$3:$B$302,MATCH('Journal'!E332,'Kontoplan'!$H$3:$H$302,0)),""))</f>
        <v/>
      </c>
      <c r="F662" s="20">
        <f>IF('Journal'!F332="","",'Journal'!F332)</f>
        <v/>
      </c>
      <c r="G662" s="20">
        <f>IF('Journal'!G332="","",'Journal'!G332)</f>
        <v/>
      </c>
      <c r="H662" s="5">
        <f>IF('Journal'!I332="","",'Journal'!I332)</f>
        <v/>
      </c>
    </row>
    <row r="663">
      <c r="A663" s="18">
        <f>IF('Journal'!A333="","",'Journal'!A333)</f>
        <v/>
      </c>
      <c r="B663" s="21">
        <f>IF('Journal'!B333="","",'Journal'!B333)</f>
        <v/>
      </c>
      <c r="C663" s="5">
        <f>IF('Journal'!C333="","",'Journal'!C333)</f>
        <v/>
      </c>
      <c r="D663" s="5">
        <f>IF('Journal'!D333="","",IFERROR(LEFT('Journal'!D333,FIND(" ",'Journal'!D333)-1),'Journal'!D333))</f>
        <v/>
      </c>
      <c r="E663" s="5">
        <f>IF('Journal'!D333="","",IFERROR(INDEX('Kontoplan'!$B$3:$B$302,MATCH('Journal'!D333,'Kontoplan'!$H$3:$H$302,0)),""))</f>
        <v/>
      </c>
      <c r="F663" s="20">
        <f>IF('Journal'!G333="","",'Journal'!G333)</f>
        <v/>
      </c>
      <c r="G663" s="20">
        <f>IF('Journal'!F333="","",'Journal'!F333)</f>
        <v/>
      </c>
      <c r="H663" s="5">
        <f>IF('Journal'!I333="","",'Journal'!I333)</f>
        <v/>
      </c>
    </row>
    <row r="664">
      <c r="A664" s="18">
        <f>IF('Journal'!A333="","",'Journal'!A333)</f>
        <v/>
      </c>
      <c r="B664" s="21">
        <f>IF('Journal'!B333="","",'Journal'!B333)</f>
        <v/>
      </c>
      <c r="C664" s="5">
        <f>IF('Journal'!C333="","",'Journal'!C333)</f>
        <v/>
      </c>
      <c r="D664" s="5">
        <f>IF('Journal'!E333="","",IFERROR(LEFT('Journal'!E333,FIND(" ",'Journal'!E333)-1),'Journal'!E333))</f>
        <v/>
      </c>
      <c r="E664" s="5">
        <f>IF('Journal'!E333="","",IFERROR(INDEX('Kontoplan'!$B$3:$B$302,MATCH('Journal'!E333,'Kontoplan'!$H$3:$H$302,0)),""))</f>
        <v/>
      </c>
      <c r="F664" s="20">
        <f>IF('Journal'!F333="","",'Journal'!F333)</f>
        <v/>
      </c>
      <c r="G664" s="20">
        <f>IF('Journal'!G333="","",'Journal'!G333)</f>
        <v/>
      </c>
      <c r="H664" s="5">
        <f>IF('Journal'!I333="","",'Journal'!I333)</f>
        <v/>
      </c>
    </row>
    <row r="665">
      <c r="A665" s="18">
        <f>IF('Journal'!A334="","",'Journal'!A334)</f>
        <v/>
      </c>
      <c r="B665" s="21">
        <f>IF('Journal'!B334="","",'Journal'!B334)</f>
        <v/>
      </c>
      <c r="C665" s="5">
        <f>IF('Journal'!C334="","",'Journal'!C334)</f>
        <v/>
      </c>
      <c r="D665" s="5">
        <f>IF('Journal'!D334="","",IFERROR(LEFT('Journal'!D334,FIND(" ",'Journal'!D334)-1),'Journal'!D334))</f>
        <v/>
      </c>
      <c r="E665" s="5">
        <f>IF('Journal'!D334="","",IFERROR(INDEX('Kontoplan'!$B$3:$B$302,MATCH('Journal'!D334,'Kontoplan'!$H$3:$H$302,0)),""))</f>
        <v/>
      </c>
      <c r="F665" s="20">
        <f>IF('Journal'!G334="","",'Journal'!G334)</f>
        <v/>
      </c>
      <c r="G665" s="20">
        <f>IF('Journal'!F334="","",'Journal'!F334)</f>
        <v/>
      </c>
      <c r="H665" s="5">
        <f>IF('Journal'!I334="","",'Journal'!I334)</f>
        <v/>
      </c>
    </row>
    <row r="666">
      <c r="A666" s="18">
        <f>IF('Journal'!A334="","",'Journal'!A334)</f>
        <v/>
      </c>
      <c r="B666" s="21">
        <f>IF('Journal'!B334="","",'Journal'!B334)</f>
        <v/>
      </c>
      <c r="C666" s="5">
        <f>IF('Journal'!C334="","",'Journal'!C334)</f>
        <v/>
      </c>
      <c r="D666" s="5">
        <f>IF('Journal'!E334="","",IFERROR(LEFT('Journal'!E334,FIND(" ",'Journal'!E334)-1),'Journal'!E334))</f>
        <v/>
      </c>
      <c r="E666" s="5">
        <f>IF('Journal'!E334="","",IFERROR(INDEX('Kontoplan'!$B$3:$B$302,MATCH('Journal'!E334,'Kontoplan'!$H$3:$H$302,0)),""))</f>
        <v/>
      </c>
      <c r="F666" s="20">
        <f>IF('Journal'!F334="","",'Journal'!F334)</f>
        <v/>
      </c>
      <c r="G666" s="20">
        <f>IF('Journal'!G334="","",'Journal'!G334)</f>
        <v/>
      </c>
      <c r="H666" s="5">
        <f>IF('Journal'!I334="","",'Journal'!I334)</f>
        <v/>
      </c>
    </row>
    <row r="667">
      <c r="A667" s="18">
        <f>IF('Journal'!A335="","",'Journal'!A335)</f>
        <v/>
      </c>
      <c r="B667" s="21">
        <f>IF('Journal'!B335="","",'Journal'!B335)</f>
        <v/>
      </c>
      <c r="C667" s="5">
        <f>IF('Journal'!C335="","",'Journal'!C335)</f>
        <v/>
      </c>
      <c r="D667" s="5">
        <f>IF('Journal'!D335="","",IFERROR(LEFT('Journal'!D335,FIND(" ",'Journal'!D335)-1),'Journal'!D335))</f>
        <v/>
      </c>
      <c r="E667" s="5">
        <f>IF('Journal'!D335="","",IFERROR(INDEX('Kontoplan'!$B$3:$B$302,MATCH('Journal'!D335,'Kontoplan'!$H$3:$H$302,0)),""))</f>
        <v/>
      </c>
      <c r="F667" s="20">
        <f>IF('Journal'!G335="","",'Journal'!G335)</f>
        <v/>
      </c>
      <c r="G667" s="20">
        <f>IF('Journal'!F335="","",'Journal'!F335)</f>
        <v/>
      </c>
      <c r="H667" s="5">
        <f>IF('Journal'!I335="","",'Journal'!I335)</f>
        <v/>
      </c>
    </row>
    <row r="668">
      <c r="A668" s="18">
        <f>IF('Journal'!A335="","",'Journal'!A335)</f>
        <v/>
      </c>
      <c r="B668" s="21">
        <f>IF('Journal'!B335="","",'Journal'!B335)</f>
        <v/>
      </c>
      <c r="C668" s="5">
        <f>IF('Journal'!C335="","",'Journal'!C335)</f>
        <v/>
      </c>
      <c r="D668" s="5">
        <f>IF('Journal'!E335="","",IFERROR(LEFT('Journal'!E335,FIND(" ",'Journal'!E335)-1),'Journal'!E335))</f>
        <v/>
      </c>
      <c r="E668" s="5">
        <f>IF('Journal'!E335="","",IFERROR(INDEX('Kontoplan'!$B$3:$B$302,MATCH('Journal'!E335,'Kontoplan'!$H$3:$H$302,0)),""))</f>
        <v/>
      </c>
      <c r="F668" s="20">
        <f>IF('Journal'!F335="","",'Journal'!F335)</f>
        <v/>
      </c>
      <c r="G668" s="20">
        <f>IF('Journal'!G335="","",'Journal'!G335)</f>
        <v/>
      </c>
      <c r="H668" s="5">
        <f>IF('Journal'!I335="","",'Journal'!I335)</f>
        <v/>
      </c>
    </row>
    <row r="669">
      <c r="A669" s="18">
        <f>IF('Journal'!A336="","",'Journal'!A336)</f>
        <v/>
      </c>
      <c r="B669" s="21">
        <f>IF('Journal'!B336="","",'Journal'!B336)</f>
        <v/>
      </c>
      <c r="C669" s="5">
        <f>IF('Journal'!C336="","",'Journal'!C336)</f>
        <v/>
      </c>
      <c r="D669" s="5">
        <f>IF('Journal'!D336="","",IFERROR(LEFT('Journal'!D336,FIND(" ",'Journal'!D336)-1),'Journal'!D336))</f>
        <v/>
      </c>
      <c r="E669" s="5">
        <f>IF('Journal'!D336="","",IFERROR(INDEX('Kontoplan'!$B$3:$B$302,MATCH('Journal'!D336,'Kontoplan'!$H$3:$H$302,0)),""))</f>
        <v/>
      </c>
      <c r="F669" s="20">
        <f>IF('Journal'!G336="","",'Journal'!G336)</f>
        <v/>
      </c>
      <c r="G669" s="20">
        <f>IF('Journal'!F336="","",'Journal'!F336)</f>
        <v/>
      </c>
      <c r="H669" s="5">
        <f>IF('Journal'!I336="","",'Journal'!I336)</f>
        <v/>
      </c>
    </row>
    <row r="670">
      <c r="A670" s="18">
        <f>IF('Journal'!A336="","",'Journal'!A336)</f>
        <v/>
      </c>
      <c r="B670" s="21">
        <f>IF('Journal'!B336="","",'Journal'!B336)</f>
        <v/>
      </c>
      <c r="C670" s="5">
        <f>IF('Journal'!C336="","",'Journal'!C336)</f>
        <v/>
      </c>
      <c r="D670" s="5">
        <f>IF('Journal'!E336="","",IFERROR(LEFT('Journal'!E336,FIND(" ",'Journal'!E336)-1),'Journal'!E336))</f>
        <v/>
      </c>
      <c r="E670" s="5">
        <f>IF('Journal'!E336="","",IFERROR(INDEX('Kontoplan'!$B$3:$B$302,MATCH('Journal'!E336,'Kontoplan'!$H$3:$H$302,0)),""))</f>
        <v/>
      </c>
      <c r="F670" s="20">
        <f>IF('Journal'!F336="","",'Journal'!F336)</f>
        <v/>
      </c>
      <c r="G670" s="20">
        <f>IF('Journal'!G336="","",'Journal'!G336)</f>
        <v/>
      </c>
      <c r="H670" s="5">
        <f>IF('Journal'!I336="","",'Journal'!I336)</f>
        <v/>
      </c>
    </row>
    <row r="671">
      <c r="A671" s="18">
        <f>IF('Journal'!A337="","",'Journal'!A337)</f>
        <v/>
      </c>
      <c r="B671" s="21">
        <f>IF('Journal'!B337="","",'Journal'!B337)</f>
        <v/>
      </c>
      <c r="C671" s="5">
        <f>IF('Journal'!C337="","",'Journal'!C337)</f>
        <v/>
      </c>
      <c r="D671" s="5">
        <f>IF('Journal'!D337="","",IFERROR(LEFT('Journal'!D337,FIND(" ",'Journal'!D337)-1),'Journal'!D337))</f>
        <v/>
      </c>
      <c r="E671" s="5">
        <f>IF('Journal'!D337="","",IFERROR(INDEX('Kontoplan'!$B$3:$B$302,MATCH('Journal'!D337,'Kontoplan'!$H$3:$H$302,0)),""))</f>
        <v/>
      </c>
      <c r="F671" s="20">
        <f>IF('Journal'!G337="","",'Journal'!G337)</f>
        <v/>
      </c>
      <c r="G671" s="20">
        <f>IF('Journal'!F337="","",'Journal'!F337)</f>
        <v/>
      </c>
      <c r="H671" s="5">
        <f>IF('Journal'!I337="","",'Journal'!I337)</f>
        <v/>
      </c>
    </row>
    <row r="672">
      <c r="A672" s="18">
        <f>IF('Journal'!A337="","",'Journal'!A337)</f>
        <v/>
      </c>
      <c r="B672" s="21">
        <f>IF('Journal'!B337="","",'Journal'!B337)</f>
        <v/>
      </c>
      <c r="C672" s="5">
        <f>IF('Journal'!C337="","",'Journal'!C337)</f>
        <v/>
      </c>
      <c r="D672" s="5">
        <f>IF('Journal'!E337="","",IFERROR(LEFT('Journal'!E337,FIND(" ",'Journal'!E337)-1),'Journal'!E337))</f>
        <v/>
      </c>
      <c r="E672" s="5">
        <f>IF('Journal'!E337="","",IFERROR(INDEX('Kontoplan'!$B$3:$B$302,MATCH('Journal'!E337,'Kontoplan'!$H$3:$H$302,0)),""))</f>
        <v/>
      </c>
      <c r="F672" s="20">
        <f>IF('Journal'!F337="","",'Journal'!F337)</f>
        <v/>
      </c>
      <c r="G672" s="20">
        <f>IF('Journal'!G337="","",'Journal'!G337)</f>
        <v/>
      </c>
      <c r="H672" s="5">
        <f>IF('Journal'!I337="","",'Journal'!I337)</f>
        <v/>
      </c>
    </row>
    <row r="673">
      <c r="A673" s="18">
        <f>IF('Journal'!A338="","",'Journal'!A338)</f>
        <v/>
      </c>
      <c r="B673" s="21">
        <f>IF('Journal'!B338="","",'Journal'!B338)</f>
        <v/>
      </c>
      <c r="C673" s="5">
        <f>IF('Journal'!C338="","",'Journal'!C338)</f>
        <v/>
      </c>
      <c r="D673" s="5">
        <f>IF('Journal'!D338="","",IFERROR(LEFT('Journal'!D338,FIND(" ",'Journal'!D338)-1),'Journal'!D338))</f>
        <v/>
      </c>
      <c r="E673" s="5">
        <f>IF('Journal'!D338="","",IFERROR(INDEX('Kontoplan'!$B$3:$B$302,MATCH('Journal'!D338,'Kontoplan'!$H$3:$H$302,0)),""))</f>
        <v/>
      </c>
      <c r="F673" s="20">
        <f>IF('Journal'!G338="","",'Journal'!G338)</f>
        <v/>
      </c>
      <c r="G673" s="20">
        <f>IF('Journal'!F338="","",'Journal'!F338)</f>
        <v/>
      </c>
      <c r="H673" s="5">
        <f>IF('Journal'!I338="","",'Journal'!I338)</f>
        <v/>
      </c>
    </row>
    <row r="674">
      <c r="A674" s="18">
        <f>IF('Journal'!A338="","",'Journal'!A338)</f>
        <v/>
      </c>
      <c r="B674" s="21">
        <f>IF('Journal'!B338="","",'Journal'!B338)</f>
        <v/>
      </c>
      <c r="C674" s="5">
        <f>IF('Journal'!C338="","",'Journal'!C338)</f>
        <v/>
      </c>
      <c r="D674" s="5">
        <f>IF('Journal'!E338="","",IFERROR(LEFT('Journal'!E338,FIND(" ",'Journal'!E338)-1),'Journal'!E338))</f>
        <v/>
      </c>
      <c r="E674" s="5">
        <f>IF('Journal'!E338="","",IFERROR(INDEX('Kontoplan'!$B$3:$B$302,MATCH('Journal'!E338,'Kontoplan'!$H$3:$H$302,0)),""))</f>
        <v/>
      </c>
      <c r="F674" s="20">
        <f>IF('Journal'!F338="","",'Journal'!F338)</f>
        <v/>
      </c>
      <c r="G674" s="20">
        <f>IF('Journal'!G338="","",'Journal'!G338)</f>
        <v/>
      </c>
      <c r="H674" s="5">
        <f>IF('Journal'!I338="","",'Journal'!I338)</f>
        <v/>
      </c>
    </row>
    <row r="675">
      <c r="A675" s="18">
        <f>IF('Journal'!A339="","",'Journal'!A339)</f>
        <v/>
      </c>
      <c r="B675" s="21">
        <f>IF('Journal'!B339="","",'Journal'!B339)</f>
        <v/>
      </c>
      <c r="C675" s="5">
        <f>IF('Journal'!C339="","",'Journal'!C339)</f>
        <v/>
      </c>
      <c r="D675" s="5">
        <f>IF('Journal'!D339="","",IFERROR(LEFT('Journal'!D339,FIND(" ",'Journal'!D339)-1),'Journal'!D339))</f>
        <v/>
      </c>
      <c r="E675" s="5">
        <f>IF('Journal'!D339="","",IFERROR(INDEX('Kontoplan'!$B$3:$B$302,MATCH('Journal'!D339,'Kontoplan'!$H$3:$H$302,0)),""))</f>
        <v/>
      </c>
      <c r="F675" s="20">
        <f>IF('Journal'!G339="","",'Journal'!G339)</f>
        <v/>
      </c>
      <c r="G675" s="20">
        <f>IF('Journal'!F339="","",'Journal'!F339)</f>
        <v/>
      </c>
      <c r="H675" s="5">
        <f>IF('Journal'!I339="","",'Journal'!I339)</f>
        <v/>
      </c>
    </row>
    <row r="676">
      <c r="A676" s="18">
        <f>IF('Journal'!A339="","",'Journal'!A339)</f>
        <v/>
      </c>
      <c r="B676" s="21">
        <f>IF('Journal'!B339="","",'Journal'!B339)</f>
        <v/>
      </c>
      <c r="C676" s="5">
        <f>IF('Journal'!C339="","",'Journal'!C339)</f>
        <v/>
      </c>
      <c r="D676" s="5">
        <f>IF('Journal'!E339="","",IFERROR(LEFT('Journal'!E339,FIND(" ",'Journal'!E339)-1),'Journal'!E339))</f>
        <v/>
      </c>
      <c r="E676" s="5">
        <f>IF('Journal'!E339="","",IFERROR(INDEX('Kontoplan'!$B$3:$B$302,MATCH('Journal'!E339,'Kontoplan'!$H$3:$H$302,0)),""))</f>
        <v/>
      </c>
      <c r="F676" s="20">
        <f>IF('Journal'!F339="","",'Journal'!F339)</f>
        <v/>
      </c>
      <c r="G676" s="20">
        <f>IF('Journal'!G339="","",'Journal'!G339)</f>
        <v/>
      </c>
      <c r="H676" s="5">
        <f>IF('Journal'!I339="","",'Journal'!I339)</f>
        <v/>
      </c>
    </row>
    <row r="677">
      <c r="A677" s="18">
        <f>IF('Journal'!A340="","",'Journal'!A340)</f>
        <v/>
      </c>
      <c r="B677" s="21">
        <f>IF('Journal'!B340="","",'Journal'!B340)</f>
        <v/>
      </c>
      <c r="C677" s="5">
        <f>IF('Journal'!C340="","",'Journal'!C340)</f>
        <v/>
      </c>
      <c r="D677" s="5">
        <f>IF('Journal'!D340="","",IFERROR(LEFT('Journal'!D340,FIND(" ",'Journal'!D340)-1),'Journal'!D340))</f>
        <v/>
      </c>
      <c r="E677" s="5">
        <f>IF('Journal'!D340="","",IFERROR(INDEX('Kontoplan'!$B$3:$B$302,MATCH('Journal'!D340,'Kontoplan'!$H$3:$H$302,0)),""))</f>
        <v/>
      </c>
      <c r="F677" s="20">
        <f>IF('Journal'!G340="","",'Journal'!G340)</f>
        <v/>
      </c>
      <c r="G677" s="20">
        <f>IF('Journal'!F340="","",'Journal'!F340)</f>
        <v/>
      </c>
      <c r="H677" s="5">
        <f>IF('Journal'!I340="","",'Journal'!I340)</f>
        <v/>
      </c>
    </row>
    <row r="678">
      <c r="A678" s="18">
        <f>IF('Journal'!A340="","",'Journal'!A340)</f>
        <v/>
      </c>
      <c r="B678" s="21">
        <f>IF('Journal'!B340="","",'Journal'!B340)</f>
        <v/>
      </c>
      <c r="C678" s="5">
        <f>IF('Journal'!C340="","",'Journal'!C340)</f>
        <v/>
      </c>
      <c r="D678" s="5">
        <f>IF('Journal'!E340="","",IFERROR(LEFT('Journal'!E340,FIND(" ",'Journal'!E340)-1),'Journal'!E340))</f>
        <v/>
      </c>
      <c r="E678" s="5">
        <f>IF('Journal'!E340="","",IFERROR(INDEX('Kontoplan'!$B$3:$B$302,MATCH('Journal'!E340,'Kontoplan'!$H$3:$H$302,0)),""))</f>
        <v/>
      </c>
      <c r="F678" s="20">
        <f>IF('Journal'!F340="","",'Journal'!F340)</f>
        <v/>
      </c>
      <c r="G678" s="20">
        <f>IF('Journal'!G340="","",'Journal'!G340)</f>
        <v/>
      </c>
      <c r="H678" s="5">
        <f>IF('Journal'!I340="","",'Journal'!I340)</f>
        <v/>
      </c>
    </row>
    <row r="679">
      <c r="A679" s="18">
        <f>IF('Journal'!A341="","",'Journal'!A341)</f>
        <v/>
      </c>
      <c r="B679" s="21">
        <f>IF('Journal'!B341="","",'Journal'!B341)</f>
        <v/>
      </c>
      <c r="C679" s="5">
        <f>IF('Journal'!C341="","",'Journal'!C341)</f>
        <v/>
      </c>
      <c r="D679" s="5">
        <f>IF('Journal'!D341="","",IFERROR(LEFT('Journal'!D341,FIND(" ",'Journal'!D341)-1),'Journal'!D341))</f>
        <v/>
      </c>
      <c r="E679" s="5">
        <f>IF('Journal'!D341="","",IFERROR(INDEX('Kontoplan'!$B$3:$B$302,MATCH('Journal'!D341,'Kontoplan'!$H$3:$H$302,0)),""))</f>
        <v/>
      </c>
      <c r="F679" s="20">
        <f>IF('Journal'!G341="","",'Journal'!G341)</f>
        <v/>
      </c>
      <c r="G679" s="20">
        <f>IF('Journal'!F341="","",'Journal'!F341)</f>
        <v/>
      </c>
      <c r="H679" s="5">
        <f>IF('Journal'!I341="","",'Journal'!I341)</f>
        <v/>
      </c>
    </row>
    <row r="680">
      <c r="A680" s="18">
        <f>IF('Journal'!A341="","",'Journal'!A341)</f>
        <v/>
      </c>
      <c r="B680" s="21">
        <f>IF('Journal'!B341="","",'Journal'!B341)</f>
        <v/>
      </c>
      <c r="C680" s="5">
        <f>IF('Journal'!C341="","",'Journal'!C341)</f>
        <v/>
      </c>
      <c r="D680" s="5">
        <f>IF('Journal'!E341="","",IFERROR(LEFT('Journal'!E341,FIND(" ",'Journal'!E341)-1),'Journal'!E341))</f>
        <v/>
      </c>
      <c r="E680" s="5">
        <f>IF('Journal'!E341="","",IFERROR(INDEX('Kontoplan'!$B$3:$B$302,MATCH('Journal'!E341,'Kontoplan'!$H$3:$H$302,0)),""))</f>
        <v/>
      </c>
      <c r="F680" s="20">
        <f>IF('Journal'!F341="","",'Journal'!F341)</f>
        <v/>
      </c>
      <c r="G680" s="20">
        <f>IF('Journal'!G341="","",'Journal'!G341)</f>
        <v/>
      </c>
      <c r="H680" s="5">
        <f>IF('Journal'!I341="","",'Journal'!I341)</f>
        <v/>
      </c>
    </row>
    <row r="681">
      <c r="A681" s="18">
        <f>IF('Journal'!A342="","",'Journal'!A342)</f>
        <v/>
      </c>
      <c r="B681" s="21">
        <f>IF('Journal'!B342="","",'Journal'!B342)</f>
        <v/>
      </c>
      <c r="C681" s="5">
        <f>IF('Journal'!C342="","",'Journal'!C342)</f>
        <v/>
      </c>
      <c r="D681" s="5">
        <f>IF('Journal'!D342="","",IFERROR(LEFT('Journal'!D342,FIND(" ",'Journal'!D342)-1),'Journal'!D342))</f>
        <v/>
      </c>
      <c r="E681" s="5">
        <f>IF('Journal'!D342="","",IFERROR(INDEX('Kontoplan'!$B$3:$B$302,MATCH('Journal'!D342,'Kontoplan'!$H$3:$H$302,0)),""))</f>
        <v/>
      </c>
      <c r="F681" s="20">
        <f>IF('Journal'!G342="","",'Journal'!G342)</f>
        <v/>
      </c>
      <c r="G681" s="20">
        <f>IF('Journal'!F342="","",'Journal'!F342)</f>
        <v/>
      </c>
      <c r="H681" s="5">
        <f>IF('Journal'!I342="","",'Journal'!I342)</f>
        <v/>
      </c>
    </row>
    <row r="682">
      <c r="A682" s="18">
        <f>IF('Journal'!A342="","",'Journal'!A342)</f>
        <v/>
      </c>
      <c r="B682" s="21">
        <f>IF('Journal'!B342="","",'Journal'!B342)</f>
        <v/>
      </c>
      <c r="C682" s="5">
        <f>IF('Journal'!C342="","",'Journal'!C342)</f>
        <v/>
      </c>
      <c r="D682" s="5">
        <f>IF('Journal'!E342="","",IFERROR(LEFT('Journal'!E342,FIND(" ",'Journal'!E342)-1),'Journal'!E342))</f>
        <v/>
      </c>
      <c r="E682" s="5">
        <f>IF('Journal'!E342="","",IFERROR(INDEX('Kontoplan'!$B$3:$B$302,MATCH('Journal'!E342,'Kontoplan'!$H$3:$H$302,0)),""))</f>
        <v/>
      </c>
      <c r="F682" s="20">
        <f>IF('Journal'!F342="","",'Journal'!F342)</f>
        <v/>
      </c>
      <c r="G682" s="20">
        <f>IF('Journal'!G342="","",'Journal'!G342)</f>
        <v/>
      </c>
      <c r="H682" s="5">
        <f>IF('Journal'!I342="","",'Journal'!I342)</f>
        <v/>
      </c>
    </row>
    <row r="683">
      <c r="A683" s="18">
        <f>IF('Journal'!A343="","",'Journal'!A343)</f>
        <v/>
      </c>
      <c r="B683" s="21">
        <f>IF('Journal'!B343="","",'Journal'!B343)</f>
        <v/>
      </c>
      <c r="C683" s="5">
        <f>IF('Journal'!C343="","",'Journal'!C343)</f>
        <v/>
      </c>
      <c r="D683" s="5">
        <f>IF('Journal'!D343="","",IFERROR(LEFT('Journal'!D343,FIND(" ",'Journal'!D343)-1),'Journal'!D343))</f>
        <v/>
      </c>
      <c r="E683" s="5">
        <f>IF('Journal'!D343="","",IFERROR(INDEX('Kontoplan'!$B$3:$B$302,MATCH('Journal'!D343,'Kontoplan'!$H$3:$H$302,0)),""))</f>
        <v/>
      </c>
      <c r="F683" s="20">
        <f>IF('Journal'!G343="","",'Journal'!G343)</f>
        <v/>
      </c>
      <c r="G683" s="20">
        <f>IF('Journal'!F343="","",'Journal'!F343)</f>
        <v/>
      </c>
      <c r="H683" s="5">
        <f>IF('Journal'!I343="","",'Journal'!I343)</f>
        <v/>
      </c>
    </row>
    <row r="684">
      <c r="A684" s="18">
        <f>IF('Journal'!A343="","",'Journal'!A343)</f>
        <v/>
      </c>
      <c r="B684" s="21">
        <f>IF('Journal'!B343="","",'Journal'!B343)</f>
        <v/>
      </c>
      <c r="C684" s="5">
        <f>IF('Journal'!C343="","",'Journal'!C343)</f>
        <v/>
      </c>
      <c r="D684" s="5">
        <f>IF('Journal'!E343="","",IFERROR(LEFT('Journal'!E343,FIND(" ",'Journal'!E343)-1),'Journal'!E343))</f>
        <v/>
      </c>
      <c r="E684" s="5">
        <f>IF('Journal'!E343="","",IFERROR(INDEX('Kontoplan'!$B$3:$B$302,MATCH('Journal'!E343,'Kontoplan'!$H$3:$H$302,0)),""))</f>
        <v/>
      </c>
      <c r="F684" s="20">
        <f>IF('Journal'!F343="","",'Journal'!F343)</f>
        <v/>
      </c>
      <c r="G684" s="20">
        <f>IF('Journal'!G343="","",'Journal'!G343)</f>
        <v/>
      </c>
      <c r="H684" s="5">
        <f>IF('Journal'!I343="","",'Journal'!I343)</f>
        <v/>
      </c>
    </row>
    <row r="685">
      <c r="A685" s="18">
        <f>IF('Journal'!A344="","",'Journal'!A344)</f>
        <v/>
      </c>
      <c r="B685" s="21">
        <f>IF('Journal'!B344="","",'Journal'!B344)</f>
        <v/>
      </c>
      <c r="C685" s="5">
        <f>IF('Journal'!C344="","",'Journal'!C344)</f>
        <v/>
      </c>
      <c r="D685" s="5">
        <f>IF('Journal'!D344="","",IFERROR(LEFT('Journal'!D344,FIND(" ",'Journal'!D344)-1),'Journal'!D344))</f>
        <v/>
      </c>
      <c r="E685" s="5">
        <f>IF('Journal'!D344="","",IFERROR(INDEX('Kontoplan'!$B$3:$B$302,MATCH('Journal'!D344,'Kontoplan'!$H$3:$H$302,0)),""))</f>
        <v/>
      </c>
      <c r="F685" s="20">
        <f>IF('Journal'!G344="","",'Journal'!G344)</f>
        <v/>
      </c>
      <c r="G685" s="20">
        <f>IF('Journal'!F344="","",'Journal'!F344)</f>
        <v/>
      </c>
      <c r="H685" s="5">
        <f>IF('Journal'!I344="","",'Journal'!I344)</f>
        <v/>
      </c>
    </row>
    <row r="686">
      <c r="A686" s="18">
        <f>IF('Journal'!A344="","",'Journal'!A344)</f>
        <v/>
      </c>
      <c r="B686" s="21">
        <f>IF('Journal'!B344="","",'Journal'!B344)</f>
        <v/>
      </c>
      <c r="C686" s="5">
        <f>IF('Journal'!C344="","",'Journal'!C344)</f>
        <v/>
      </c>
      <c r="D686" s="5">
        <f>IF('Journal'!E344="","",IFERROR(LEFT('Journal'!E344,FIND(" ",'Journal'!E344)-1),'Journal'!E344))</f>
        <v/>
      </c>
      <c r="E686" s="5">
        <f>IF('Journal'!E344="","",IFERROR(INDEX('Kontoplan'!$B$3:$B$302,MATCH('Journal'!E344,'Kontoplan'!$H$3:$H$302,0)),""))</f>
        <v/>
      </c>
      <c r="F686" s="20">
        <f>IF('Journal'!F344="","",'Journal'!F344)</f>
        <v/>
      </c>
      <c r="G686" s="20">
        <f>IF('Journal'!G344="","",'Journal'!G344)</f>
        <v/>
      </c>
      <c r="H686" s="5">
        <f>IF('Journal'!I344="","",'Journal'!I344)</f>
        <v/>
      </c>
    </row>
    <row r="687">
      <c r="A687" s="18">
        <f>IF('Journal'!A345="","",'Journal'!A345)</f>
        <v/>
      </c>
      <c r="B687" s="21">
        <f>IF('Journal'!B345="","",'Journal'!B345)</f>
        <v/>
      </c>
      <c r="C687" s="5">
        <f>IF('Journal'!C345="","",'Journal'!C345)</f>
        <v/>
      </c>
      <c r="D687" s="5">
        <f>IF('Journal'!D345="","",IFERROR(LEFT('Journal'!D345,FIND(" ",'Journal'!D345)-1),'Journal'!D345))</f>
        <v/>
      </c>
      <c r="E687" s="5">
        <f>IF('Journal'!D345="","",IFERROR(INDEX('Kontoplan'!$B$3:$B$302,MATCH('Journal'!D345,'Kontoplan'!$H$3:$H$302,0)),""))</f>
        <v/>
      </c>
      <c r="F687" s="20">
        <f>IF('Journal'!G345="","",'Journal'!G345)</f>
        <v/>
      </c>
      <c r="G687" s="20">
        <f>IF('Journal'!F345="","",'Journal'!F345)</f>
        <v/>
      </c>
      <c r="H687" s="5">
        <f>IF('Journal'!I345="","",'Journal'!I345)</f>
        <v/>
      </c>
    </row>
    <row r="688">
      <c r="A688" s="18">
        <f>IF('Journal'!A345="","",'Journal'!A345)</f>
        <v/>
      </c>
      <c r="B688" s="21">
        <f>IF('Journal'!B345="","",'Journal'!B345)</f>
        <v/>
      </c>
      <c r="C688" s="5">
        <f>IF('Journal'!C345="","",'Journal'!C345)</f>
        <v/>
      </c>
      <c r="D688" s="5">
        <f>IF('Journal'!E345="","",IFERROR(LEFT('Journal'!E345,FIND(" ",'Journal'!E345)-1),'Journal'!E345))</f>
        <v/>
      </c>
      <c r="E688" s="5">
        <f>IF('Journal'!E345="","",IFERROR(INDEX('Kontoplan'!$B$3:$B$302,MATCH('Journal'!E345,'Kontoplan'!$H$3:$H$302,0)),""))</f>
        <v/>
      </c>
      <c r="F688" s="20">
        <f>IF('Journal'!F345="","",'Journal'!F345)</f>
        <v/>
      </c>
      <c r="G688" s="20">
        <f>IF('Journal'!G345="","",'Journal'!G345)</f>
        <v/>
      </c>
      <c r="H688" s="5">
        <f>IF('Journal'!I345="","",'Journal'!I345)</f>
        <v/>
      </c>
    </row>
    <row r="689">
      <c r="A689" s="18">
        <f>IF('Journal'!A346="","",'Journal'!A346)</f>
        <v/>
      </c>
      <c r="B689" s="21">
        <f>IF('Journal'!B346="","",'Journal'!B346)</f>
        <v/>
      </c>
      <c r="C689" s="5">
        <f>IF('Journal'!C346="","",'Journal'!C346)</f>
        <v/>
      </c>
      <c r="D689" s="5">
        <f>IF('Journal'!D346="","",IFERROR(LEFT('Journal'!D346,FIND(" ",'Journal'!D346)-1),'Journal'!D346))</f>
        <v/>
      </c>
      <c r="E689" s="5">
        <f>IF('Journal'!D346="","",IFERROR(INDEX('Kontoplan'!$B$3:$B$302,MATCH('Journal'!D346,'Kontoplan'!$H$3:$H$302,0)),""))</f>
        <v/>
      </c>
      <c r="F689" s="20">
        <f>IF('Journal'!G346="","",'Journal'!G346)</f>
        <v/>
      </c>
      <c r="G689" s="20">
        <f>IF('Journal'!F346="","",'Journal'!F346)</f>
        <v/>
      </c>
      <c r="H689" s="5">
        <f>IF('Journal'!I346="","",'Journal'!I346)</f>
        <v/>
      </c>
    </row>
    <row r="690">
      <c r="A690" s="18">
        <f>IF('Journal'!A346="","",'Journal'!A346)</f>
        <v/>
      </c>
      <c r="B690" s="21">
        <f>IF('Journal'!B346="","",'Journal'!B346)</f>
        <v/>
      </c>
      <c r="C690" s="5">
        <f>IF('Journal'!C346="","",'Journal'!C346)</f>
        <v/>
      </c>
      <c r="D690" s="5">
        <f>IF('Journal'!E346="","",IFERROR(LEFT('Journal'!E346,FIND(" ",'Journal'!E346)-1),'Journal'!E346))</f>
        <v/>
      </c>
      <c r="E690" s="5">
        <f>IF('Journal'!E346="","",IFERROR(INDEX('Kontoplan'!$B$3:$B$302,MATCH('Journal'!E346,'Kontoplan'!$H$3:$H$302,0)),""))</f>
        <v/>
      </c>
      <c r="F690" s="20">
        <f>IF('Journal'!F346="","",'Journal'!F346)</f>
        <v/>
      </c>
      <c r="G690" s="20">
        <f>IF('Journal'!G346="","",'Journal'!G346)</f>
        <v/>
      </c>
      <c r="H690" s="5">
        <f>IF('Journal'!I346="","",'Journal'!I346)</f>
        <v/>
      </c>
    </row>
    <row r="691">
      <c r="A691" s="18">
        <f>IF('Journal'!A347="","",'Journal'!A347)</f>
        <v/>
      </c>
      <c r="B691" s="21">
        <f>IF('Journal'!B347="","",'Journal'!B347)</f>
        <v/>
      </c>
      <c r="C691" s="5">
        <f>IF('Journal'!C347="","",'Journal'!C347)</f>
        <v/>
      </c>
      <c r="D691" s="5">
        <f>IF('Journal'!D347="","",IFERROR(LEFT('Journal'!D347,FIND(" ",'Journal'!D347)-1),'Journal'!D347))</f>
        <v/>
      </c>
      <c r="E691" s="5">
        <f>IF('Journal'!D347="","",IFERROR(INDEX('Kontoplan'!$B$3:$B$302,MATCH('Journal'!D347,'Kontoplan'!$H$3:$H$302,0)),""))</f>
        <v/>
      </c>
      <c r="F691" s="20">
        <f>IF('Journal'!G347="","",'Journal'!G347)</f>
        <v/>
      </c>
      <c r="G691" s="20">
        <f>IF('Journal'!F347="","",'Journal'!F347)</f>
        <v/>
      </c>
      <c r="H691" s="5">
        <f>IF('Journal'!I347="","",'Journal'!I347)</f>
        <v/>
      </c>
    </row>
    <row r="692">
      <c r="A692" s="18">
        <f>IF('Journal'!A347="","",'Journal'!A347)</f>
        <v/>
      </c>
      <c r="B692" s="21">
        <f>IF('Journal'!B347="","",'Journal'!B347)</f>
        <v/>
      </c>
      <c r="C692" s="5">
        <f>IF('Journal'!C347="","",'Journal'!C347)</f>
        <v/>
      </c>
      <c r="D692" s="5">
        <f>IF('Journal'!E347="","",IFERROR(LEFT('Journal'!E347,FIND(" ",'Journal'!E347)-1),'Journal'!E347))</f>
        <v/>
      </c>
      <c r="E692" s="5">
        <f>IF('Journal'!E347="","",IFERROR(INDEX('Kontoplan'!$B$3:$B$302,MATCH('Journal'!E347,'Kontoplan'!$H$3:$H$302,0)),""))</f>
        <v/>
      </c>
      <c r="F692" s="20">
        <f>IF('Journal'!F347="","",'Journal'!F347)</f>
        <v/>
      </c>
      <c r="G692" s="20">
        <f>IF('Journal'!G347="","",'Journal'!G347)</f>
        <v/>
      </c>
      <c r="H692" s="5">
        <f>IF('Journal'!I347="","",'Journal'!I347)</f>
        <v/>
      </c>
    </row>
    <row r="693">
      <c r="A693" s="18">
        <f>IF('Journal'!A348="","",'Journal'!A348)</f>
        <v/>
      </c>
      <c r="B693" s="21">
        <f>IF('Journal'!B348="","",'Journal'!B348)</f>
        <v/>
      </c>
      <c r="C693" s="5">
        <f>IF('Journal'!C348="","",'Journal'!C348)</f>
        <v/>
      </c>
      <c r="D693" s="5">
        <f>IF('Journal'!D348="","",IFERROR(LEFT('Journal'!D348,FIND(" ",'Journal'!D348)-1),'Journal'!D348))</f>
        <v/>
      </c>
      <c r="E693" s="5">
        <f>IF('Journal'!D348="","",IFERROR(INDEX('Kontoplan'!$B$3:$B$302,MATCH('Journal'!D348,'Kontoplan'!$H$3:$H$302,0)),""))</f>
        <v/>
      </c>
      <c r="F693" s="20">
        <f>IF('Journal'!G348="","",'Journal'!G348)</f>
        <v/>
      </c>
      <c r="G693" s="20">
        <f>IF('Journal'!F348="","",'Journal'!F348)</f>
        <v/>
      </c>
      <c r="H693" s="5">
        <f>IF('Journal'!I348="","",'Journal'!I348)</f>
        <v/>
      </c>
    </row>
    <row r="694">
      <c r="A694" s="18">
        <f>IF('Journal'!A348="","",'Journal'!A348)</f>
        <v/>
      </c>
      <c r="B694" s="21">
        <f>IF('Journal'!B348="","",'Journal'!B348)</f>
        <v/>
      </c>
      <c r="C694" s="5">
        <f>IF('Journal'!C348="","",'Journal'!C348)</f>
        <v/>
      </c>
      <c r="D694" s="5">
        <f>IF('Journal'!E348="","",IFERROR(LEFT('Journal'!E348,FIND(" ",'Journal'!E348)-1),'Journal'!E348))</f>
        <v/>
      </c>
      <c r="E694" s="5">
        <f>IF('Journal'!E348="","",IFERROR(INDEX('Kontoplan'!$B$3:$B$302,MATCH('Journal'!E348,'Kontoplan'!$H$3:$H$302,0)),""))</f>
        <v/>
      </c>
      <c r="F694" s="20">
        <f>IF('Journal'!F348="","",'Journal'!F348)</f>
        <v/>
      </c>
      <c r="G694" s="20">
        <f>IF('Journal'!G348="","",'Journal'!G348)</f>
        <v/>
      </c>
      <c r="H694" s="5">
        <f>IF('Journal'!I348="","",'Journal'!I348)</f>
        <v/>
      </c>
    </row>
    <row r="695">
      <c r="A695" s="18">
        <f>IF('Journal'!A349="","",'Journal'!A349)</f>
        <v/>
      </c>
      <c r="B695" s="21">
        <f>IF('Journal'!B349="","",'Journal'!B349)</f>
        <v/>
      </c>
      <c r="C695" s="5">
        <f>IF('Journal'!C349="","",'Journal'!C349)</f>
        <v/>
      </c>
      <c r="D695" s="5">
        <f>IF('Journal'!D349="","",IFERROR(LEFT('Journal'!D349,FIND(" ",'Journal'!D349)-1),'Journal'!D349))</f>
        <v/>
      </c>
      <c r="E695" s="5">
        <f>IF('Journal'!D349="","",IFERROR(INDEX('Kontoplan'!$B$3:$B$302,MATCH('Journal'!D349,'Kontoplan'!$H$3:$H$302,0)),""))</f>
        <v/>
      </c>
      <c r="F695" s="20">
        <f>IF('Journal'!G349="","",'Journal'!G349)</f>
        <v/>
      </c>
      <c r="G695" s="20">
        <f>IF('Journal'!F349="","",'Journal'!F349)</f>
        <v/>
      </c>
      <c r="H695" s="5">
        <f>IF('Journal'!I349="","",'Journal'!I349)</f>
        <v/>
      </c>
    </row>
    <row r="696">
      <c r="A696" s="18">
        <f>IF('Journal'!A349="","",'Journal'!A349)</f>
        <v/>
      </c>
      <c r="B696" s="21">
        <f>IF('Journal'!B349="","",'Journal'!B349)</f>
        <v/>
      </c>
      <c r="C696" s="5">
        <f>IF('Journal'!C349="","",'Journal'!C349)</f>
        <v/>
      </c>
      <c r="D696" s="5">
        <f>IF('Journal'!E349="","",IFERROR(LEFT('Journal'!E349,FIND(" ",'Journal'!E349)-1),'Journal'!E349))</f>
        <v/>
      </c>
      <c r="E696" s="5">
        <f>IF('Journal'!E349="","",IFERROR(INDEX('Kontoplan'!$B$3:$B$302,MATCH('Journal'!E349,'Kontoplan'!$H$3:$H$302,0)),""))</f>
        <v/>
      </c>
      <c r="F696" s="20">
        <f>IF('Journal'!F349="","",'Journal'!F349)</f>
        <v/>
      </c>
      <c r="G696" s="20">
        <f>IF('Journal'!G349="","",'Journal'!G349)</f>
        <v/>
      </c>
      <c r="H696" s="5">
        <f>IF('Journal'!I349="","",'Journal'!I349)</f>
        <v/>
      </c>
    </row>
    <row r="697">
      <c r="A697" s="18">
        <f>IF('Journal'!A350="","",'Journal'!A350)</f>
        <v/>
      </c>
      <c r="B697" s="21">
        <f>IF('Journal'!B350="","",'Journal'!B350)</f>
        <v/>
      </c>
      <c r="C697" s="5">
        <f>IF('Journal'!C350="","",'Journal'!C350)</f>
        <v/>
      </c>
      <c r="D697" s="5">
        <f>IF('Journal'!D350="","",IFERROR(LEFT('Journal'!D350,FIND(" ",'Journal'!D350)-1),'Journal'!D350))</f>
        <v/>
      </c>
      <c r="E697" s="5">
        <f>IF('Journal'!D350="","",IFERROR(INDEX('Kontoplan'!$B$3:$B$302,MATCH('Journal'!D350,'Kontoplan'!$H$3:$H$302,0)),""))</f>
        <v/>
      </c>
      <c r="F697" s="20">
        <f>IF('Journal'!G350="","",'Journal'!G350)</f>
        <v/>
      </c>
      <c r="G697" s="20">
        <f>IF('Journal'!F350="","",'Journal'!F350)</f>
        <v/>
      </c>
      <c r="H697" s="5">
        <f>IF('Journal'!I350="","",'Journal'!I350)</f>
        <v/>
      </c>
    </row>
    <row r="698">
      <c r="A698" s="18">
        <f>IF('Journal'!A350="","",'Journal'!A350)</f>
        <v/>
      </c>
      <c r="B698" s="21">
        <f>IF('Journal'!B350="","",'Journal'!B350)</f>
        <v/>
      </c>
      <c r="C698" s="5">
        <f>IF('Journal'!C350="","",'Journal'!C350)</f>
        <v/>
      </c>
      <c r="D698" s="5">
        <f>IF('Journal'!E350="","",IFERROR(LEFT('Journal'!E350,FIND(" ",'Journal'!E350)-1),'Journal'!E350))</f>
        <v/>
      </c>
      <c r="E698" s="5">
        <f>IF('Journal'!E350="","",IFERROR(INDEX('Kontoplan'!$B$3:$B$302,MATCH('Journal'!E350,'Kontoplan'!$H$3:$H$302,0)),""))</f>
        <v/>
      </c>
      <c r="F698" s="20">
        <f>IF('Journal'!F350="","",'Journal'!F350)</f>
        <v/>
      </c>
      <c r="G698" s="20">
        <f>IF('Journal'!G350="","",'Journal'!G350)</f>
        <v/>
      </c>
      <c r="H698" s="5">
        <f>IF('Journal'!I350="","",'Journal'!I350)</f>
        <v/>
      </c>
    </row>
    <row r="699">
      <c r="A699" s="18">
        <f>IF('Journal'!A351="","",'Journal'!A351)</f>
        <v/>
      </c>
      <c r="B699" s="21">
        <f>IF('Journal'!B351="","",'Journal'!B351)</f>
        <v/>
      </c>
      <c r="C699" s="5">
        <f>IF('Journal'!C351="","",'Journal'!C351)</f>
        <v/>
      </c>
      <c r="D699" s="5">
        <f>IF('Journal'!D351="","",IFERROR(LEFT('Journal'!D351,FIND(" ",'Journal'!D351)-1),'Journal'!D351))</f>
        <v/>
      </c>
      <c r="E699" s="5">
        <f>IF('Journal'!D351="","",IFERROR(INDEX('Kontoplan'!$B$3:$B$302,MATCH('Journal'!D351,'Kontoplan'!$H$3:$H$302,0)),""))</f>
        <v/>
      </c>
      <c r="F699" s="20">
        <f>IF('Journal'!G351="","",'Journal'!G351)</f>
        <v/>
      </c>
      <c r="G699" s="20">
        <f>IF('Journal'!F351="","",'Journal'!F351)</f>
        <v/>
      </c>
      <c r="H699" s="5">
        <f>IF('Journal'!I351="","",'Journal'!I351)</f>
        <v/>
      </c>
    </row>
    <row r="700">
      <c r="A700" s="18">
        <f>IF('Journal'!A351="","",'Journal'!A351)</f>
        <v/>
      </c>
      <c r="B700" s="21">
        <f>IF('Journal'!B351="","",'Journal'!B351)</f>
        <v/>
      </c>
      <c r="C700" s="5">
        <f>IF('Journal'!C351="","",'Journal'!C351)</f>
        <v/>
      </c>
      <c r="D700" s="5">
        <f>IF('Journal'!E351="","",IFERROR(LEFT('Journal'!E351,FIND(" ",'Journal'!E351)-1),'Journal'!E351))</f>
        <v/>
      </c>
      <c r="E700" s="5">
        <f>IF('Journal'!E351="","",IFERROR(INDEX('Kontoplan'!$B$3:$B$302,MATCH('Journal'!E351,'Kontoplan'!$H$3:$H$302,0)),""))</f>
        <v/>
      </c>
      <c r="F700" s="20">
        <f>IF('Journal'!F351="","",'Journal'!F351)</f>
        <v/>
      </c>
      <c r="G700" s="20">
        <f>IF('Journal'!G351="","",'Journal'!G351)</f>
        <v/>
      </c>
      <c r="H700" s="5">
        <f>IF('Journal'!I351="","",'Journal'!I351)</f>
        <v/>
      </c>
    </row>
    <row r="701">
      <c r="A701" s="18">
        <f>IF('Journal'!A352="","",'Journal'!A352)</f>
        <v/>
      </c>
      <c r="B701" s="21">
        <f>IF('Journal'!B352="","",'Journal'!B352)</f>
        <v/>
      </c>
      <c r="C701" s="5">
        <f>IF('Journal'!C352="","",'Journal'!C352)</f>
        <v/>
      </c>
      <c r="D701" s="5">
        <f>IF('Journal'!D352="","",IFERROR(LEFT('Journal'!D352,FIND(" ",'Journal'!D352)-1),'Journal'!D352))</f>
        <v/>
      </c>
      <c r="E701" s="5">
        <f>IF('Journal'!D352="","",IFERROR(INDEX('Kontoplan'!$B$3:$B$302,MATCH('Journal'!D352,'Kontoplan'!$H$3:$H$302,0)),""))</f>
        <v/>
      </c>
      <c r="F701" s="20">
        <f>IF('Journal'!G352="","",'Journal'!G352)</f>
        <v/>
      </c>
      <c r="G701" s="20">
        <f>IF('Journal'!F352="","",'Journal'!F352)</f>
        <v/>
      </c>
      <c r="H701" s="5">
        <f>IF('Journal'!I352="","",'Journal'!I352)</f>
        <v/>
      </c>
    </row>
    <row r="702">
      <c r="A702" s="18">
        <f>IF('Journal'!A352="","",'Journal'!A352)</f>
        <v/>
      </c>
      <c r="B702" s="21">
        <f>IF('Journal'!B352="","",'Journal'!B352)</f>
        <v/>
      </c>
      <c r="C702" s="5">
        <f>IF('Journal'!C352="","",'Journal'!C352)</f>
        <v/>
      </c>
      <c r="D702" s="5">
        <f>IF('Journal'!E352="","",IFERROR(LEFT('Journal'!E352,FIND(" ",'Journal'!E352)-1),'Journal'!E352))</f>
        <v/>
      </c>
      <c r="E702" s="5">
        <f>IF('Journal'!E352="","",IFERROR(INDEX('Kontoplan'!$B$3:$B$302,MATCH('Journal'!E352,'Kontoplan'!$H$3:$H$302,0)),""))</f>
        <v/>
      </c>
      <c r="F702" s="20">
        <f>IF('Journal'!F352="","",'Journal'!F352)</f>
        <v/>
      </c>
      <c r="G702" s="20">
        <f>IF('Journal'!G352="","",'Journal'!G352)</f>
        <v/>
      </c>
      <c r="H702" s="5">
        <f>IF('Journal'!I352="","",'Journal'!I352)</f>
        <v/>
      </c>
    </row>
    <row r="703">
      <c r="A703" s="18">
        <f>IF('Journal'!A353="","",'Journal'!A353)</f>
        <v/>
      </c>
      <c r="B703" s="21">
        <f>IF('Journal'!B353="","",'Journal'!B353)</f>
        <v/>
      </c>
      <c r="C703" s="5">
        <f>IF('Journal'!C353="","",'Journal'!C353)</f>
        <v/>
      </c>
      <c r="D703" s="5">
        <f>IF('Journal'!D353="","",IFERROR(LEFT('Journal'!D353,FIND(" ",'Journal'!D353)-1),'Journal'!D353))</f>
        <v/>
      </c>
      <c r="E703" s="5">
        <f>IF('Journal'!D353="","",IFERROR(INDEX('Kontoplan'!$B$3:$B$302,MATCH('Journal'!D353,'Kontoplan'!$H$3:$H$302,0)),""))</f>
        <v/>
      </c>
      <c r="F703" s="20">
        <f>IF('Journal'!G353="","",'Journal'!G353)</f>
        <v/>
      </c>
      <c r="G703" s="20">
        <f>IF('Journal'!F353="","",'Journal'!F353)</f>
        <v/>
      </c>
      <c r="H703" s="5">
        <f>IF('Journal'!I353="","",'Journal'!I353)</f>
        <v/>
      </c>
    </row>
    <row r="704">
      <c r="A704" s="18">
        <f>IF('Journal'!A353="","",'Journal'!A353)</f>
        <v/>
      </c>
      <c r="B704" s="21">
        <f>IF('Journal'!B353="","",'Journal'!B353)</f>
        <v/>
      </c>
      <c r="C704" s="5">
        <f>IF('Journal'!C353="","",'Journal'!C353)</f>
        <v/>
      </c>
      <c r="D704" s="5">
        <f>IF('Journal'!E353="","",IFERROR(LEFT('Journal'!E353,FIND(" ",'Journal'!E353)-1),'Journal'!E353))</f>
        <v/>
      </c>
      <c r="E704" s="5">
        <f>IF('Journal'!E353="","",IFERROR(INDEX('Kontoplan'!$B$3:$B$302,MATCH('Journal'!E353,'Kontoplan'!$H$3:$H$302,0)),""))</f>
        <v/>
      </c>
      <c r="F704" s="20">
        <f>IF('Journal'!F353="","",'Journal'!F353)</f>
        <v/>
      </c>
      <c r="G704" s="20">
        <f>IF('Journal'!G353="","",'Journal'!G353)</f>
        <v/>
      </c>
      <c r="H704" s="5">
        <f>IF('Journal'!I353="","",'Journal'!I353)</f>
        <v/>
      </c>
    </row>
    <row r="705">
      <c r="A705" s="18">
        <f>IF('Journal'!A354="","",'Journal'!A354)</f>
        <v/>
      </c>
      <c r="B705" s="21">
        <f>IF('Journal'!B354="","",'Journal'!B354)</f>
        <v/>
      </c>
      <c r="C705" s="5">
        <f>IF('Journal'!C354="","",'Journal'!C354)</f>
        <v/>
      </c>
      <c r="D705" s="5">
        <f>IF('Journal'!D354="","",IFERROR(LEFT('Journal'!D354,FIND(" ",'Journal'!D354)-1),'Journal'!D354))</f>
        <v/>
      </c>
      <c r="E705" s="5">
        <f>IF('Journal'!D354="","",IFERROR(INDEX('Kontoplan'!$B$3:$B$302,MATCH('Journal'!D354,'Kontoplan'!$H$3:$H$302,0)),""))</f>
        <v/>
      </c>
      <c r="F705" s="20">
        <f>IF('Journal'!G354="","",'Journal'!G354)</f>
        <v/>
      </c>
      <c r="G705" s="20">
        <f>IF('Journal'!F354="","",'Journal'!F354)</f>
        <v/>
      </c>
      <c r="H705" s="5">
        <f>IF('Journal'!I354="","",'Journal'!I354)</f>
        <v/>
      </c>
    </row>
    <row r="706">
      <c r="A706" s="18">
        <f>IF('Journal'!A354="","",'Journal'!A354)</f>
        <v/>
      </c>
      <c r="B706" s="21">
        <f>IF('Journal'!B354="","",'Journal'!B354)</f>
        <v/>
      </c>
      <c r="C706" s="5">
        <f>IF('Journal'!C354="","",'Journal'!C354)</f>
        <v/>
      </c>
      <c r="D706" s="5">
        <f>IF('Journal'!E354="","",IFERROR(LEFT('Journal'!E354,FIND(" ",'Journal'!E354)-1),'Journal'!E354))</f>
        <v/>
      </c>
      <c r="E706" s="5">
        <f>IF('Journal'!E354="","",IFERROR(INDEX('Kontoplan'!$B$3:$B$302,MATCH('Journal'!E354,'Kontoplan'!$H$3:$H$302,0)),""))</f>
        <v/>
      </c>
      <c r="F706" s="20">
        <f>IF('Journal'!F354="","",'Journal'!F354)</f>
        <v/>
      </c>
      <c r="G706" s="20">
        <f>IF('Journal'!G354="","",'Journal'!G354)</f>
        <v/>
      </c>
      <c r="H706" s="5">
        <f>IF('Journal'!I354="","",'Journal'!I354)</f>
        <v/>
      </c>
    </row>
    <row r="707">
      <c r="A707" s="18">
        <f>IF('Journal'!A355="","",'Journal'!A355)</f>
        <v/>
      </c>
      <c r="B707" s="21">
        <f>IF('Journal'!B355="","",'Journal'!B355)</f>
        <v/>
      </c>
      <c r="C707" s="5">
        <f>IF('Journal'!C355="","",'Journal'!C355)</f>
        <v/>
      </c>
      <c r="D707" s="5">
        <f>IF('Journal'!D355="","",IFERROR(LEFT('Journal'!D355,FIND(" ",'Journal'!D355)-1),'Journal'!D355))</f>
        <v/>
      </c>
      <c r="E707" s="5">
        <f>IF('Journal'!D355="","",IFERROR(INDEX('Kontoplan'!$B$3:$B$302,MATCH('Journal'!D355,'Kontoplan'!$H$3:$H$302,0)),""))</f>
        <v/>
      </c>
      <c r="F707" s="20">
        <f>IF('Journal'!G355="","",'Journal'!G355)</f>
        <v/>
      </c>
      <c r="G707" s="20">
        <f>IF('Journal'!F355="","",'Journal'!F355)</f>
        <v/>
      </c>
      <c r="H707" s="5">
        <f>IF('Journal'!I355="","",'Journal'!I355)</f>
        <v/>
      </c>
    </row>
    <row r="708">
      <c r="A708" s="18">
        <f>IF('Journal'!A355="","",'Journal'!A355)</f>
        <v/>
      </c>
      <c r="B708" s="21">
        <f>IF('Journal'!B355="","",'Journal'!B355)</f>
        <v/>
      </c>
      <c r="C708" s="5">
        <f>IF('Journal'!C355="","",'Journal'!C355)</f>
        <v/>
      </c>
      <c r="D708" s="5">
        <f>IF('Journal'!E355="","",IFERROR(LEFT('Journal'!E355,FIND(" ",'Journal'!E355)-1),'Journal'!E355))</f>
        <v/>
      </c>
      <c r="E708" s="5">
        <f>IF('Journal'!E355="","",IFERROR(INDEX('Kontoplan'!$B$3:$B$302,MATCH('Journal'!E355,'Kontoplan'!$H$3:$H$302,0)),""))</f>
        <v/>
      </c>
      <c r="F708" s="20">
        <f>IF('Journal'!F355="","",'Journal'!F355)</f>
        <v/>
      </c>
      <c r="G708" s="20">
        <f>IF('Journal'!G355="","",'Journal'!G355)</f>
        <v/>
      </c>
      <c r="H708" s="5">
        <f>IF('Journal'!I355="","",'Journal'!I355)</f>
        <v/>
      </c>
    </row>
    <row r="709">
      <c r="A709" s="18">
        <f>IF('Journal'!A356="","",'Journal'!A356)</f>
        <v/>
      </c>
      <c r="B709" s="21">
        <f>IF('Journal'!B356="","",'Journal'!B356)</f>
        <v/>
      </c>
      <c r="C709" s="5">
        <f>IF('Journal'!C356="","",'Journal'!C356)</f>
        <v/>
      </c>
      <c r="D709" s="5">
        <f>IF('Journal'!D356="","",IFERROR(LEFT('Journal'!D356,FIND(" ",'Journal'!D356)-1),'Journal'!D356))</f>
        <v/>
      </c>
      <c r="E709" s="5">
        <f>IF('Journal'!D356="","",IFERROR(INDEX('Kontoplan'!$B$3:$B$302,MATCH('Journal'!D356,'Kontoplan'!$H$3:$H$302,0)),""))</f>
        <v/>
      </c>
      <c r="F709" s="20">
        <f>IF('Journal'!G356="","",'Journal'!G356)</f>
        <v/>
      </c>
      <c r="G709" s="20">
        <f>IF('Journal'!F356="","",'Journal'!F356)</f>
        <v/>
      </c>
      <c r="H709" s="5">
        <f>IF('Journal'!I356="","",'Journal'!I356)</f>
        <v/>
      </c>
    </row>
    <row r="710">
      <c r="A710" s="18">
        <f>IF('Journal'!A356="","",'Journal'!A356)</f>
        <v/>
      </c>
      <c r="B710" s="21">
        <f>IF('Journal'!B356="","",'Journal'!B356)</f>
        <v/>
      </c>
      <c r="C710" s="5">
        <f>IF('Journal'!C356="","",'Journal'!C356)</f>
        <v/>
      </c>
      <c r="D710" s="5">
        <f>IF('Journal'!E356="","",IFERROR(LEFT('Journal'!E356,FIND(" ",'Journal'!E356)-1),'Journal'!E356))</f>
        <v/>
      </c>
      <c r="E710" s="5">
        <f>IF('Journal'!E356="","",IFERROR(INDEX('Kontoplan'!$B$3:$B$302,MATCH('Journal'!E356,'Kontoplan'!$H$3:$H$302,0)),""))</f>
        <v/>
      </c>
      <c r="F710" s="20">
        <f>IF('Journal'!F356="","",'Journal'!F356)</f>
        <v/>
      </c>
      <c r="G710" s="20">
        <f>IF('Journal'!G356="","",'Journal'!G356)</f>
        <v/>
      </c>
      <c r="H710" s="5">
        <f>IF('Journal'!I356="","",'Journal'!I356)</f>
        <v/>
      </c>
    </row>
    <row r="711">
      <c r="A711" s="18">
        <f>IF('Journal'!A357="","",'Journal'!A357)</f>
        <v/>
      </c>
      <c r="B711" s="21">
        <f>IF('Journal'!B357="","",'Journal'!B357)</f>
        <v/>
      </c>
      <c r="C711" s="5">
        <f>IF('Journal'!C357="","",'Journal'!C357)</f>
        <v/>
      </c>
      <c r="D711" s="5">
        <f>IF('Journal'!D357="","",IFERROR(LEFT('Journal'!D357,FIND(" ",'Journal'!D357)-1),'Journal'!D357))</f>
        <v/>
      </c>
      <c r="E711" s="5">
        <f>IF('Journal'!D357="","",IFERROR(INDEX('Kontoplan'!$B$3:$B$302,MATCH('Journal'!D357,'Kontoplan'!$H$3:$H$302,0)),""))</f>
        <v/>
      </c>
      <c r="F711" s="20">
        <f>IF('Journal'!G357="","",'Journal'!G357)</f>
        <v/>
      </c>
      <c r="G711" s="20">
        <f>IF('Journal'!F357="","",'Journal'!F357)</f>
        <v/>
      </c>
      <c r="H711" s="5">
        <f>IF('Journal'!I357="","",'Journal'!I357)</f>
        <v/>
      </c>
    </row>
    <row r="712">
      <c r="A712" s="18">
        <f>IF('Journal'!A357="","",'Journal'!A357)</f>
        <v/>
      </c>
      <c r="B712" s="21">
        <f>IF('Journal'!B357="","",'Journal'!B357)</f>
        <v/>
      </c>
      <c r="C712" s="5">
        <f>IF('Journal'!C357="","",'Journal'!C357)</f>
        <v/>
      </c>
      <c r="D712" s="5">
        <f>IF('Journal'!E357="","",IFERROR(LEFT('Journal'!E357,FIND(" ",'Journal'!E357)-1),'Journal'!E357))</f>
        <v/>
      </c>
      <c r="E712" s="5">
        <f>IF('Journal'!E357="","",IFERROR(INDEX('Kontoplan'!$B$3:$B$302,MATCH('Journal'!E357,'Kontoplan'!$H$3:$H$302,0)),""))</f>
        <v/>
      </c>
      <c r="F712" s="20">
        <f>IF('Journal'!F357="","",'Journal'!F357)</f>
        <v/>
      </c>
      <c r="G712" s="20">
        <f>IF('Journal'!G357="","",'Journal'!G357)</f>
        <v/>
      </c>
      <c r="H712" s="5">
        <f>IF('Journal'!I357="","",'Journal'!I357)</f>
        <v/>
      </c>
    </row>
    <row r="713">
      <c r="A713" s="18">
        <f>IF('Journal'!A358="","",'Journal'!A358)</f>
        <v/>
      </c>
      <c r="B713" s="21">
        <f>IF('Journal'!B358="","",'Journal'!B358)</f>
        <v/>
      </c>
      <c r="C713" s="5">
        <f>IF('Journal'!C358="","",'Journal'!C358)</f>
        <v/>
      </c>
      <c r="D713" s="5">
        <f>IF('Journal'!D358="","",IFERROR(LEFT('Journal'!D358,FIND(" ",'Journal'!D358)-1),'Journal'!D358))</f>
        <v/>
      </c>
      <c r="E713" s="5">
        <f>IF('Journal'!D358="","",IFERROR(INDEX('Kontoplan'!$B$3:$B$302,MATCH('Journal'!D358,'Kontoplan'!$H$3:$H$302,0)),""))</f>
        <v/>
      </c>
      <c r="F713" s="20">
        <f>IF('Journal'!G358="","",'Journal'!G358)</f>
        <v/>
      </c>
      <c r="G713" s="20">
        <f>IF('Journal'!F358="","",'Journal'!F358)</f>
        <v/>
      </c>
      <c r="H713" s="5">
        <f>IF('Journal'!I358="","",'Journal'!I358)</f>
        <v/>
      </c>
    </row>
    <row r="714">
      <c r="A714" s="18">
        <f>IF('Journal'!A358="","",'Journal'!A358)</f>
        <v/>
      </c>
      <c r="B714" s="21">
        <f>IF('Journal'!B358="","",'Journal'!B358)</f>
        <v/>
      </c>
      <c r="C714" s="5">
        <f>IF('Journal'!C358="","",'Journal'!C358)</f>
        <v/>
      </c>
      <c r="D714" s="5">
        <f>IF('Journal'!E358="","",IFERROR(LEFT('Journal'!E358,FIND(" ",'Journal'!E358)-1),'Journal'!E358))</f>
        <v/>
      </c>
      <c r="E714" s="5">
        <f>IF('Journal'!E358="","",IFERROR(INDEX('Kontoplan'!$B$3:$B$302,MATCH('Journal'!E358,'Kontoplan'!$H$3:$H$302,0)),""))</f>
        <v/>
      </c>
      <c r="F714" s="20">
        <f>IF('Journal'!F358="","",'Journal'!F358)</f>
        <v/>
      </c>
      <c r="G714" s="20">
        <f>IF('Journal'!G358="","",'Journal'!G358)</f>
        <v/>
      </c>
      <c r="H714" s="5">
        <f>IF('Journal'!I358="","",'Journal'!I358)</f>
        <v/>
      </c>
    </row>
    <row r="715">
      <c r="A715" s="18">
        <f>IF('Journal'!A359="","",'Journal'!A359)</f>
        <v/>
      </c>
      <c r="B715" s="21">
        <f>IF('Journal'!B359="","",'Journal'!B359)</f>
        <v/>
      </c>
      <c r="C715" s="5">
        <f>IF('Journal'!C359="","",'Journal'!C359)</f>
        <v/>
      </c>
      <c r="D715" s="5">
        <f>IF('Journal'!D359="","",IFERROR(LEFT('Journal'!D359,FIND(" ",'Journal'!D359)-1),'Journal'!D359))</f>
        <v/>
      </c>
      <c r="E715" s="5">
        <f>IF('Journal'!D359="","",IFERROR(INDEX('Kontoplan'!$B$3:$B$302,MATCH('Journal'!D359,'Kontoplan'!$H$3:$H$302,0)),""))</f>
        <v/>
      </c>
      <c r="F715" s="20">
        <f>IF('Journal'!G359="","",'Journal'!G359)</f>
        <v/>
      </c>
      <c r="G715" s="20">
        <f>IF('Journal'!F359="","",'Journal'!F359)</f>
        <v/>
      </c>
      <c r="H715" s="5">
        <f>IF('Journal'!I359="","",'Journal'!I359)</f>
        <v/>
      </c>
    </row>
    <row r="716">
      <c r="A716" s="18">
        <f>IF('Journal'!A359="","",'Journal'!A359)</f>
        <v/>
      </c>
      <c r="B716" s="21">
        <f>IF('Journal'!B359="","",'Journal'!B359)</f>
        <v/>
      </c>
      <c r="C716" s="5">
        <f>IF('Journal'!C359="","",'Journal'!C359)</f>
        <v/>
      </c>
      <c r="D716" s="5">
        <f>IF('Journal'!E359="","",IFERROR(LEFT('Journal'!E359,FIND(" ",'Journal'!E359)-1),'Journal'!E359))</f>
        <v/>
      </c>
      <c r="E716" s="5">
        <f>IF('Journal'!E359="","",IFERROR(INDEX('Kontoplan'!$B$3:$B$302,MATCH('Journal'!E359,'Kontoplan'!$H$3:$H$302,0)),""))</f>
        <v/>
      </c>
      <c r="F716" s="20">
        <f>IF('Journal'!F359="","",'Journal'!F359)</f>
        <v/>
      </c>
      <c r="G716" s="20">
        <f>IF('Journal'!G359="","",'Journal'!G359)</f>
        <v/>
      </c>
      <c r="H716" s="5">
        <f>IF('Journal'!I359="","",'Journal'!I359)</f>
        <v/>
      </c>
    </row>
    <row r="717">
      <c r="A717" s="18">
        <f>IF('Journal'!A360="","",'Journal'!A360)</f>
        <v/>
      </c>
      <c r="B717" s="21">
        <f>IF('Journal'!B360="","",'Journal'!B360)</f>
        <v/>
      </c>
      <c r="C717" s="5">
        <f>IF('Journal'!C360="","",'Journal'!C360)</f>
        <v/>
      </c>
      <c r="D717" s="5">
        <f>IF('Journal'!D360="","",IFERROR(LEFT('Journal'!D360,FIND(" ",'Journal'!D360)-1),'Journal'!D360))</f>
        <v/>
      </c>
      <c r="E717" s="5">
        <f>IF('Journal'!D360="","",IFERROR(INDEX('Kontoplan'!$B$3:$B$302,MATCH('Journal'!D360,'Kontoplan'!$H$3:$H$302,0)),""))</f>
        <v/>
      </c>
      <c r="F717" s="20">
        <f>IF('Journal'!G360="","",'Journal'!G360)</f>
        <v/>
      </c>
      <c r="G717" s="20">
        <f>IF('Journal'!F360="","",'Journal'!F360)</f>
        <v/>
      </c>
      <c r="H717" s="5">
        <f>IF('Journal'!I360="","",'Journal'!I360)</f>
        <v/>
      </c>
    </row>
    <row r="718">
      <c r="A718" s="18">
        <f>IF('Journal'!A360="","",'Journal'!A360)</f>
        <v/>
      </c>
      <c r="B718" s="21">
        <f>IF('Journal'!B360="","",'Journal'!B360)</f>
        <v/>
      </c>
      <c r="C718" s="5">
        <f>IF('Journal'!C360="","",'Journal'!C360)</f>
        <v/>
      </c>
      <c r="D718" s="5">
        <f>IF('Journal'!E360="","",IFERROR(LEFT('Journal'!E360,FIND(" ",'Journal'!E360)-1),'Journal'!E360))</f>
        <v/>
      </c>
      <c r="E718" s="5">
        <f>IF('Journal'!E360="","",IFERROR(INDEX('Kontoplan'!$B$3:$B$302,MATCH('Journal'!E360,'Kontoplan'!$H$3:$H$302,0)),""))</f>
        <v/>
      </c>
      <c r="F718" s="20">
        <f>IF('Journal'!F360="","",'Journal'!F360)</f>
        <v/>
      </c>
      <c r="G718" s="20">
        <f>IF('Journal'!G360="","",'Journal'!G360)</f>
        <v/>
      </c>
      <c r="H718" s="5">
        <f>IF('Journal'!I360="","",'Journal'!I360)</f>
        <v/>
      </c>
    </row>
    <row r="719">
      <c r="A719" s="18">
        <f>IF('Journal'!A361="","",'Journal'!A361)</f>
        <v/>
      </c>
      <c r="B719" s="21">
        <f>IF('Journal'!B361="","",'Journal'!B361)</f>
        <v/>
      </c>
      <c r="C719" s="5">
        <f>IF('Journal'!C361="","",'Journal'!C361)</f>
        <v/>
      </c>
      <c r="D719" s="5">
        <f>IF('Journal'!D361="","",IFERROR(LEFT('Journal'!D361,FIND(" ",'Journal'!D361)-1),'Journal'!D361))</f>
        <v/>
      </c>
      <c r="E719" s="5">
        <f>IF('Journal'!D361="","",IFERROR(INDEX('Kontoplan'!$B$3:$B$302,MATCH('Journal'!D361,'Kontoplan'!$H$3:$H$302,0)),""))</f>
        <v/>
      </c>
      <c r="F719" s="20">
        <f>IF('Journal'!G361="","",'Journal'!G361)</f>
        <v/>
      </c>
      <c r="G719" s="20">
        <f>IF('Journal'!F361="","",'Journal'!F361)</f>
        <v/>
      </c>
      <c r="H719" s="5">
        <f>IF('Journal'!I361="","",'Journal'!I361)</f>
        <v/>
      </c>
    </row>
    <row r="720">
      <c r="A720" s="18">
        <f>IF('Journal'!A361="","",'Journal'!A361)</f>
        <v/>
      </c>
      <c r="B720" s="21">
        <f>IF('Journal'!B361="","",'Journal'!B361)</f>
        <v/>
      </c>
      <c r="C720" s="5">
        <f>IF('Journal'!C361="","",'Journal'!C361)</f>
        <v/>
      </c>
      <c r="D720" s="5">
        <f>IF('Journal'!E361="","",IFERROR(LEFT('Journal'!E361,FIND(" ",'Journal'!E361)-1),'Journal'!E361))</f>
        <v/>
      </c>
      <c r="E720" s="5">
        <f>IF('Journal'!E361="","",IFERROR(INDEX('Kontoplan'!$B$3:$B$302,MATCH('Journal'!E361,'Kontoplan'!$H$3:$H$302,0)),""))</f>
        <v/>
      </c>
      <c r="F720" s="20">
        <f>IF('Journal'!F361="","",'Journal'!F361)</f>
        <v/>
      </c>
      <c r="G720" s="20">
        <f>IF('Journal'!G361="","",'Journal'!G361)</f>
        <v/>
      </c>
      <c r="H720" s="5">
        <f>IF('Journal'!I361="","",'Journal'!I361)</f>
        <v/>
      </c>
    </row>
    <row r="721">
      <c r="A721" s="18">
        <f>IF('Journal'!A362="","",'Journal'!A362)</f>
        <v/>
      </c>
      <c r="B721" s="21">
        <f>IF('Journal'!B362="","",'Journal'!B362)</f>
        <v/>
      </c>
      <c r="C721" s="5">
        <f>IF('Journal'!C362="","",'Journal'!C362)</f>
        <v/>
      </c>
      <c r="D721" s="5">
        <f>IF('Journal'!D362="","",IFERROR(LEFT('Journal'!D362,FIND(" ",'Journal'!D362)-1),'Journal'!D362))</f>
        <v/>
      </c>
      <c r="E721" s="5">
        <f>IF('Journal'!D362="","",IFERROR(INDEX('Kontoplan'!$B$3:$B$302,MATCH('Journal'!D362,'Kontoplan'!$H$3:$H$302,0)),""))</f>
        <v/>
      </c>
      <c r="F721" s="20">
        <f>IF('Journal'!G362="","",'Journal'!G362)</f>
        <v/>
      </c>
      <c r="G721" s="20">
        <f>IF('Journal'!F362="","",'Journal'!F362)</f>
        <v/>
      </c>
      <c r="H721" s="5">
        <f>IF('Journal'!I362="","",'Journal'!I362)</f>
        <v/>
      </c>
    </row>
    <row r="722">
      <c r="A722" s="18">
        <f>IF('Journal'!A362="","",'Journal'!A362)</f>
        <v/>
      </c>
      <c r="B722" s="21">
        <f>IF('Journal'!B362="","",'Journal'!B362)</f>
        <v/>
      </c>
      <c r="C722" s="5">
        <f>IF('Journal'!C362="","",'Journal'!C362)</f>
        <v/>
      </c>
      <c r="D722" s="5">
        <f>IF('Journal'!E362="","",IFERROR(LEFT('Journal'!E362,FIND(" ",'Journal'!E362)-1),'Journal'!E362))</f>
        <v/>
      </c>
      <c r="E722" s="5">
        <f>IF('Journal'!E362="","",IFERROR(INDEX('Kontoplan'!$B$3:$B$302,MATCH('Journal'!E362,'Kontoplan'!$H$3:$H$302,0)),""))</f>
        <v/>
      </c>
      <c r="F722" s="20">
        <f>IF('Journal'!F362="","",'Journal'!F362)</f>
        <v/>
      </c>
      <c r="G722" s="20">
        <f>IF('Journal'!G362="","",'Journal'!G362)</f>
        <v/>
      </c>
      <c r="H722" s="5">
        <f>IF('Journal'!I362="","",'Journal'!I362)</f>
        <v/>
      </c>
    </row>
    <row r="723">
      <c r="A723" s="18">
        <f>IF('Journal'!A363="","",'Journal'!A363)</f>
        <v/>
      </c>
      <c r="B723" s="21">
        <f>IF('Journal'!B363="","",'Journal'!B363)</f>
        <v/>
      </c>
      <c r="C723" s="5">
        <f>IF('Journal'!C363="","",'Journal'!C363)</f>
        <v/>
      </c>
      <c r="D723" s="5">
        <f>IF('Journal'!D363="","",IFERROR(LEFT('Journal'!D363,FIND(" ",'Journal'!D363)-1),'Journal'!D363))</f>
        <v/>
      </c>
      <c r="E723" s="5">
        <f>IF('Journal'!D363="","",IFERROR(INDEX('Kontoplan'!$B$3:$B$302,MATCH('Journal'!D363,'Kontoplan'!$H$3:$H$302,0)),""))</f>
        <v/>
      </c>
      <c r="F723" s="20">
        <f>IF('Journal'!G363="","",'Journal'!G363)</f>
        <v/>
      </c>
      <c r="G723" s="20">
        <f>IF('Journal'!F363="","",'Journal'!F363)</f>
        <v/>
      </c>
      <c r="H723" s="5">
        <f>IF('Journal'!I363="","",'Journal'!I363)</f>
        <v/>
      </c>
    </row>
    <row r="724">
      <c r="A724" s="18">
        <f>IF('Journal'!A363="","",'Journal'!A363)</f>
        <v/>
      </c>
      <c r="B724" s="21">
        <f>IF('Journal'!B363="","",'Journal'!B363)</f>
        <v/>
      </c>
      <c r="C724" s="5">
        <f>IF('Journal'!C363="","",'Journal'!C363)</f>
        <v/>
      </c>
      <c r="D724" s="5">
        <f>IF('Journal'!E363="","",IFERROR(LEFT('Journal'!E363,FIND(" ",'Journal'!E363)-1),'Journal'!E363))</f>
        <v/>
      </c>
      <c r="E724" s="5">
        <f>IF('Journal'!E363="","",IFERROR(INDEX('Kontoplan'!$B$3:$B$302,MATCH('Journal'!E363,'Kontoplan'!$H$3:$H$302,0)),""))</f>
        <v/>
      </c>
      <c r="F724" s="20">
        <f>IF('Journal'!F363="","",'Journal'!F363)</f>
        <v/>
      </c>
      <c r="G724" s="20">
        <f>IF('Journal'!G363="","",'Journal'!G363)</f>
        <v/>
      </c>
      <c r="H724" s="5">
        <f>IF('Journal'!I363="","",'Journal'!I363)</f>
        <v/>
      </c>
    </row>
    <row r="725">
      <c r="A725" s="18">
        <f>IF('Journal'!A364="","",'Journal'!A364)</f>
        <v/>
      </c>
      <c r="B725" s="21">
        <f>IF('Journal'!B364="","",'Journal'!B364)</f>
        <v/>
      </c>
      <c r="C725" s="5">
        <f>IF('Journal'!C364="","",'Journal'!C364)</f>
        <v/>
      </c>
      <c r="D725" s="5">
        <f>IF('Journal'!D364="","",IFERROR(LEFT('Journal'!D364,FIND(" ",'Journal'!D364)-1),'Journal'!D364))</f>
        <v/>
      </c>
      <c r="E725" s="5">
        <f>IF('Journal'!D364="","",IFERROR(INDEX('Kontoplan'!$B$3:$B$302,MATCH('Journal'!D364,'Kontoplan'!$H$3:$H$302,0)),""))</f>
        <v/>
      </c>
      <c r="F725" s="20">
        <f>IF('Journal'!G364="","",'Journal'!G364)</f>
        <v/>
      </c>
      <c r="G725" s="20">
        <f>IF('Journal'!F364="","",'Journal'!F364)</f>
        <v/>
      </c>
      <c r="H725" s="5">
        <f>IF('Journal'!I364="","",'Journal'!I364)</f>
        <v/>
      </c>
    </row>
    <row r="726">
      <c r="A726" s="18">
        <f>IF('Journal'!A364="","",'Journal'!A364)</f>
        <v/>
      </c>
      <c r="B726" s="21">
        <f>IF('Journal'!B364="","",'Journal'!B364)</f>
        <v/>
      </c>
      <c r="C726" s="5">
        <f>IF('Journal'!C364="","",'Journal'!C364)</f>
        <v/>
      </c>
      <c r="D726" s="5">
        <f>IF('Journal'!E364="","",IFERROR(LEFT('Journal'!E364,FIND(" ",'Journal'!E364)-1),'Journal'!E364))</f>
        <v/>
      </c>
      <c r="E726" s="5">
        <f>IF('Journal'!E364="","",IFERROR(INDEX('Kontoplan'!$B$3:$B$302,MATCH('Journal'!E364,'Kontoplan'!$H$3:$H$302,0)),""))</f>
        <v/>
      </c>
      <c r="F726" s="20">
        <f>IF('Journal'!F364="","",'Journal'!F364)</f>
        <v/>
      </c>
      <c r="G726" s="20">
        <f>IF('Journal'!G364="","",'Journal'!G364)</f>
        <v/>
      </c>
      <c r="H726" s="5">
        <f>IF('Journal'!I364="","",'Journal'!I364)</f>
        <v/>
      </c>
    </row>
    <row r="727">
      <c r="A727" s="18">
        <f>IF('Journal'!A365="","",'Journal'!A365)</f>
        <v/>
      </c>
      <c r="B727" s="21">
        <f>IF('Journal'!B365="","",'Journal'!B365)</f>
        <v/>
      </c>
      <c r="C727" s="5">
        <f>IF('Journal'!C365="","",'Journal'!C365)</f>
        <v/>
      </c>
      <c r="D727" s="5">
        <f>IF('Journal'!D365="","",IFERROR(LEFT('Journal'!D365,FIND(" ",'Journal'!D365)-1),'Journal'!D365))</f>
        <v/>
      </c>
      <c r="E727" s="5">
        <f>IF('Journal'!D365="","",IFERROR(INDEX('Kontoplan'!$B$3:$B$302,MATCH('Journal'!D365,'Kontoplan'!$H$3:$H$302,0)),""))</f>
        <v/>
      </c>
      <c r="F727" s="20">
        <f>IF('Journal'!G365="","",'Journal'!G365)</f>
        <v/>
      </c>
      <c r="G727" s="20">
        <f>IF('Journal'!F365="","",'Journal'!F365)</f>
        <v/>
      </c>
      <c r="H727" s="5">
        <f>IF('Journal'!I365="","",'Journal'!I365)</f>
        <v/>
      </c>
    </row>
    <row r="728">
      <c r="A728" s="18">
        <f>IF('Journal'!A365="","",'Journal'!A365)</f>
        <v/>
      </c>
      <c r="B728" s="21">
        <f>IF('Journal'!B365="","",'Journal'!B365)</f>
        <v/>
      </c>
      <c r="C728" s="5">
        <f>IF('Journal'!C365="","",'Journal'!C365)</f>
        <v/>
      </c>
      <c r="D728" s="5">
        <f>IF('Journal'!E365="","",IFERROR(LEFT('Journal'!E365,FIND(" ",'Journal'!E365)-1),'Journal'!E365))</f>
        <v/>
      </c>
      <c r="E728" s="5">
        <f>IF('Journal'!E365="","",IFERROR(INDEX('Kontoplan'!$B$3:$B$302,MATCH('Journal'!E365,'Kontoplan'!$H$3:$H$302,0)),""))</f>
        <v/>
      </c>
      <c r="F728" s="20">
        <f>IF('Journal'!F365="","",'Journal'!F365)</f>
        <v/>
      </c>
      <c r="G728" s="20">
        <f>IF('Journal'!G365="","",'Journal'!G365)</f>
        <v/>
      </c>
      <c r="H728" s="5">
        <f>IF('Journal'!I365="","",'Journal'!I365)</f>
        <v/>
      </c>
    </row>
    <row r="729">
      <c r="A729" s="18">
        <f>IF('Journal'!A366="","",'Journal'!A366)</f>
        <v/>
      </c>
      <c r="B729" s="21">
        <f>IF('Journal'!B366="","",'Journal'!B366)</f>
        <v/>
      </c>
      <c r="C729" s="5">
        <f>IF('Journal'!C366="","",'Journal'!C366)</f>
        <v/>
      </c>
      <c r="D729" s="5">
        <f>IF('Journal'!D366="","",IFERROR(LEFT('Journal'!D366,FIND(" ",'Journal'!D366)-1),'Journal'!D366))</f>
        <v/>
      </c>
      <c r="E729" s="5">
        <f>IF('Journal'!D366="","",IFERROR(INDEX('Kontoplan'!$B$3:$B$302,MATCH('Journal'!D366,'Kontoplan'!$H$3:$H$302,0)),""))</f>
        <v/>
      </c>
      <c r="F729" s="20">
        <f>IF('Journal'!G366="","",'Journal'!G366)</f>
        <v/>
      </c>
      <c r="G729" s="20">
        <f>IF('Journal'!F366="","",'Journal'!F366)</f>
        <v/>
      </c>
      <c r="H729" s="5">
        <f>IF('Journal'!I366="","",'Journal'!I366)</f>
        <v/>
      </c>
    </row>
    <row r="730">
      <c r="A730" s="18">
        <f>IF('Journal'!A366="","",'Journal'!A366)</f>
        <v/>
      </c>
      <c r="B730" s="21">
        <f>IF('Journal'!B366="","",'Journal'!B366)</f>
        <v/>
      </c>
      <c r="C730" s="5">
        <f>IF('Journal'!C366="","",'Journal'!C366)</f>
        <v/>
      </c>
      <c r="D730" s="5">
        <f>IF('Journal'!E366="","",IFERROR(LEFT('Journal'!E366,FIND(" ",'Journal'!E366)-1),'Journal'!E366))</f>
        <v/>
      </c>
      <c r="E730" s="5">
        <f>IF('Journal'!E366="","",IFERROR(INDEX('Kontoplan'!$B$3:$B$302,MATCH('Journal'!E366,'Kontoplan'!$H$3:$H$302,0)),""))</f>
        <v/>
      </c>
      <c r="F730" s="20">
        <f>IF('Journal'!F366="","",'Journal'!F366)</f>
        <v/>
      </c>
      <c r="G730" s="20">
        <f>IF('Journal'!G366="","",'Journal'!G366)</f>
        <v/>
      </c>
      <c r="H730" s="5">
        <f>IF('Journal'!I366="","",'Journal'!I366)</f>
        <v/>
      </c>
    </row>
    <row r="731">
      <c r="A731" s="18">
        <f>IF('Journal'!A367="","",'Journal'!A367)</f>
        <v/>
      </c>
      <c r="B731" s="21">
        <f>IF('Journal'!B367="","",'Journal'!B367)</f>
        <v/>
      </c>
      <c r="C731" s="5">
        <f>IF('Journal'!C367="","",'Journal'!C367)</f>
        <v/>
      </c>
      <c r="D731" s="5">
        <f>IF('Journal'!D367="","",IFERROR(LEFT('Journal'!D367,FIND(" ",'Journal'!D367)-1),'Journal'!D367))</f>
        <v/>
      </c>
      <c r="E731" s="5">
        <f>IF('Journal'!D367="","",IFERROR(INDEX('Kontoplan'!$B$3:$B$302,MATCH('Journal'!D367,'Kontoplan'!$H$3:$H$302,0)),""))</f>
        <v/>
      </c>
      <c r="F731" s="20">
        <f>IF('Journal'!G367="","",'Journal'!G367)</f>
        <v/>
      </c>
      <c r="G731" s="20">
        <f>IF('Journal'!F367="","",'Journal'!F367)</f>
        <v/>
      </c>
      <c r="H731" s="5">
        <f>IF('Journal'!I367="","",'Journal'!I367)</f>
        <v/>
      </c>
    </row>
    <row r="732">
      <c r="A732" s="18">
        <f>IF('Journal'!A367="","",'Journal'!A367)</f>
        <v/>
      </c>
      <c r="B732" s="21">
        <f>IF('Journal'!B367="","",'Journal'!B367)</f>
        <v/>
      </c>
      <c r="C732" s="5">
        <f>IF('Journal'!C367="","",'Journal'!C367)</f>
        <v/>
      </c>
      <c r="D732" s="5">
        <f>IF('Journal'!E367="","",IFERROR(LEFT('Journal'!E367,FIND(" ",'Journal'!E367)-1),'Journal'!E367))</f>
        <v/>
      </c>
      <c r="E732" s="5">
        <f>IF('Journal'!E367="","",IFERROR(INDEX('Kontoplan'!$B$3:$B$302,MATCH('Journal'!E367,'Kontoplan'!$H$3:$H$302,0)),""))</f>
        <v/>
      </c>
      <c r="F732" s="20">
        <f>IF('Journal'!F367="","",'Journal'!F367)</f>
        <v/>
      </c>
      <c r="G732" s="20">
        <f>IF('Journal'!G367="","",'Journal'!G367)</f>
        <v/>
      </c>
      <c r="H732" s="5">
        <f>IF('Journal'!I367="","",'Journal'!I367)</f>
        <v/>
      </c>
    </row>
    <row r="733">
      <c r="A733" s="18">
        <f>IF('Journal'!A368="","",'Journal'!A368)</f>
        <v/>
      </c>
      <c r="B733" s="21">
        <f>IF('Journal'!B368="","",'Journal'!B368)</f>
        <v/>
      </c>
      <c r="C733" s="5">
        <f>IF('Journal'!C368="","",'Journal'!C368)</f>
        <v/>
      </c>
      <c r="D733" s="5">
        <f>IF('Journal'!D368="","",IFERROR(LEFT('Journal'!D368,FIND(" ",'Journal'!D368)-1),'Journal'!D368))</f>
        <v/>
      </c>
      <c r="E733" s="5">
        <f>IF('Journal'!D368="","",IFERROR(INDEX('Kontoplan'!$B$3:$B$302,MATCH('Journal'!D368,'Kontoplan'!$H$3:$H$302,0)),""))</f>
        <v/>
      </c>
      <c r="F733" s="20">
        <f>IF('Journal'!G368="","",'Journal'!G368)</f>
        <v/>
      </c>
      <c r="G733" s="20">
        <f>IF('Journal'!F368="","",'Journal'!F368)</f>
        <v/>
      </c>
      <c r="H733" s="5">
        <f>IF('Journal'!I368="","",'Journal'!I368)</f>
        <v/>
      </c>
    </row>
    <row r="734">
      <c r="A734" s="18">
        <f>IF('Journal'!A368="","",'Journal'!A368)</f>
        <v/>
      </c>
      <c r="B734" s="21">
        <f>IF('Journal'!B368="","",'Journal'!B368)</f>
        <v/>
      </c>
      <c r="C734" s="5">
        <f>IF('Journal'!C368="","",'Journal'!C368)</f>
        <v/>
      </c>
      <c r="D734" s="5">
        <f>IF('Journal'!E368="","",IFERROR(LEFT('Journal'!E368,FIND(" ",'Journal'!E368)-1),'Journal'!E368))</f>
        <v/>
      </c>
      <c r="E734" s="5">
        <f>IF('Journal'!E368="","",IFERROR(INDEX('Kontoplan'!$B$3:$B$302,MATCH('Journal'!E368,'Kontoplan'!$H$3:$H$302,0)),""))</f>
        <v/>
      </c>
      <c r="F734" s="20">
        <f>IF('Journal'!F368="","",'Journal'!F368)</f>
        <v/>
      </c>
      <c r="G734" s="20">
        <f>IF('Journal'!G368="","",'Journal'!G368)</f>
        <v/>
      </c>
      <c r="H734" s="5">
        <f>IF('Journal'!I368="","",'Journal'!I368)</f>
        <v/>
      </c>
    </row>
    <row r="735">
      <c r="A735" s="18">
        <f>IF('Journal'!A369="","",'Journal'!A369)</f>
        <v/>
      </c>
      <c r="B735" s="21">
        <f>IF('Journal'!B369="","",'Journal'!B369)</f>
        <v/>
      </c>
      <c r="C735" s="5">
        <f>IF('Journal'!C369="","",'Journal'!C369)</f>
        <v/>
      </c>
      <c r="D735" s="5">
        <f>IF('Journal'!D369="","",IFERROR(LEFT('Journal'!D369,FIND(" ",'Journal'!D369)-1),'Journal'!D369))</f>
        <v/>
      </c>
      <c r="E735" s="5">
        <f>IF('Journal'!D369="","",IFERROR(INDEX('Kontoplan'!$B$3:$B$302,MATCH('Journal'!D369,'Kontoplan'!$H$3:$H$302,0)),""))</f>
        <v/>
      </c>
      <c r="F735" s="20">
        <f>IF('Journal'!G369="","",'Journal'!G369)</f>
        <v/>
      </c>
      <c r="G735" s="20">
        <f>IF('Journal'!F369="","",'Journal'!F369)</f>
        <v/>
      </c>
      <c r="H735" s="5">
        <f>IF('Journal'!I369="","",'Journal'!I369)</f>
        <v/>
      </c>
    </row>
    <row r="736">
      <c r="A736" s="18">
        <f>IF('Journal'!A369="","",'Journal'!A369)</f>
        <v/>
      </c>
      <c r="B736" s="21">
        <f>IF('Journal'!B369="","",'Journal'!B369)</f>
        <v/>
      </c>
      <c r="C736" s="5">
        <f>IF('Journal'!C369="","",'Journal'!C369)</f>
        <v/>
      </c>
      <c r="D736" s="5">
        <f>IF('Journal'!E369="","",IFERROR(LEFT('Journal'!E369,FIND(" ",'Journal'!E369)-1),'Journal'!E369))</f>
        <v/>
      </c>
      <c r="E736" s="5">
        <f>IF('Journal'!E369="","",IFERROR(INDEX('Kontoplan'!$B$3:$B$302,MATCH('Journal'!E369,'Kontoplan'!$H$3:$H$302,0)),""))</f>
        <v/>
      </c>
      <c r="F736" s="20">
        <f>IF('Journal'!F369="","",'Journal'!F369)</f>
        <v/>
      </c>
      <c r="G736" s="20">
        <f>IF('Journal'!G369="","",'Journal'!G369)</f>
        <v/>
      </c>
      <c r="H736" s="5">
        <f>IF('Journal'!I369="","",'Journal'!I369)</f>
        <v/>
      </c>
    </row>
    <row r="737">
      <c r="A737" s="18">
        <f>IF('Journal'!A370="","",'Journal'!A370)</f>
        <v/>
      </c>
      <c r="B737" s="21">
        <f>IF('Journal'!B370="","",'Journal'!B370)</f>
        <v/>
      </c>
      <c r="C737" s="5">
        <f>IF('Journal'!C370="","",'Journal'!C370)</f>
        <v/>
      </c>
      <c r="D737" s="5">
        <f>IF('Journal'!D370="","",IFERROR(LEFT('Journal'!D370,FIND(" ",'Journal'!D370)-1),'Journal'!D370))</f>
        <v/>
      </c>
      <c r="E737" s="5">
        <f>IF('Journal'!D370="","",IFERROR(INDEX('Kontoplan'!$B$3:$B$302,MATCH('Journal'!D370,'Kontoplan'!$H$3:$H$302,0)),""))</f>
        <v/>
      </c>
      <c r="F737" s="20">
        <f>IF('Journal'!G370="","",'Journal'!G370)</f>
        <v/>
      </c>
      <c r="G737" s="20">
        <f>IF('Journal'!F370="","",'Journal'!F370)</f>
        <v/>
      </c>
      <c r="H737" s="5">
        <f>IF('Journal'!I370="","",'Journal'!I370)</f>
        <v/>
      </c>
    </row>
    <row r="738">
      <c r="A738" s="18">
        <f>IF('Journal'!A370="","",'Journal'!A370)</f>
        <v/>
      </c>
      <c r="B738" s="21">
        <f>IF('Journal'!B370="","",'Journal'!B370)</f>
        <v/>
      </c>
      <c r="C738" s="5">
        <f>IF('Journal'!C370="","",'Journal'!C370)</f>
        <v/>
      </c>
      <c r="D738" s="5">
        <f>IF('Journal'!E370="","",IFERROR(LEFT('Journal'!E370,FIND(" ",'Journal'!E370)-1),'Journal'!E370))</f>
        <v/>
      </c>
      <c r="E738" s="5">
        <f>IF('Journal'!E370="","",IFERROR(INDEX('Kontoplan'!$B$3:$B$302,MATCH('Journal'!E370,'Kontoplan'!$H$3:$H$302,0)),""))</f>
        <v/>
      </c>
      <c r="F738" s="20">
        <f>IF('Journal'!F370="","",'Journal'!F370)</f>
        <v/>
      </c>
      <c r="G738" s="20">
        <f>IF('Journal'!G370="","",'Journal'!G370)</f>
        <v/>
      </c>
      <c r="H738" s="5">
        <f>IF('Journal'!I370="","",'Journal'!I370)</f>
        <v/>
      </c>
    </row>
    <row r="739">
      <c r="A739" s="18">
        <f>IF('Journal'!A371="","",'Journal'!A371)</f>
        <v/>
      </c>
      <c r="B739" s="21">
        <f>IF('Journal'!B371="","",'Journal'!B371)</f>
        <v/>
      </c>
      <c r="C739" s="5">
        <f>IF('Journal'!C371="","",'Journal'!C371)</f>
        <v/>
      </c>
      <c r="D739" s="5">
        <f>IF('Journal'!D371="","",IFERROR(LEFT('Journal'!D371,FIND(" ",'Journal'!D371)-1),'Journal'!D371))</f>
        <v/>
      </c>
      <c r="E739" s="5">
        <f>IF('Journal'!D371="","",IFERROR(INDEX('Kontoplan'!$B$3:$B$302,MATCH('Journal'!D371,'Kontoplan'!$H$3:$H$302,0)),""))</f>
        <v/>
      </c>
      <c r="F739" s="20">
        <f>IF('Journal'!G371="","",'Journal'!G371)</f>
        <v/>
      </c>
      <c r="G739" s="20">
        <f>IF('Journal'!F371="","",'Journal'!F371)</f>
        <v/>
      </c>
      <c r="H739" s="5">
        <f>IF('Journal'!I371="","",'Journal'!I371)</f>
        <v/>
      </c>
    </row>
    <row r="740">
      <c r="A740" s="18">
        <f>IF('Journal'!A371="","",'Journal'!A371)</f>
        <v/>
      </c>
      <c r="B740" s="21">
        <f>IF('Journal'!B371="","",'Journal'!B371)</f>
        <v/>
      </c>
      <c r="C740" s="5">
        <f>IF('Journal'!C371="","",'Journal'!C371)</f>
        <v/>
      </c>
      <c r="D740" s="5">
        <f>IF('Journal'!E371="","",IFERROR(LEFT('Journal'!E371,FIND(" ",'Journal'!E371)-1),'Journal'!E371))</f>
        <v/>
      </c>
      <c r="E740" s="5">
        <f>IF('Journal'!E371="","",IFERROR(INDEX('Kontoplan'!$B$3:$B$302,MATCH('Journal'!E371,'Kontoplan'!$H$3:$H$302,0)),""))</f>
        <v/>
      </c>
      <c r="F740" s="20">
        <f>IF('Journal'!F371="","",'Journal'!F371)</f>
        <v/>
      </c>
      <c r="G740" s="20">
        <f>IF('Journal'!G371="","",'Journal'!G371)</f>
        <v/>
      </c>
      <c r="H740" s="5">
        <f>IF('Journal'!I371="","",'Journal'!I371)</f>
        <v/>
      </c>
    </row>
    <row r="741">
      <c r="A741" s="18">
        <f>IF('Journal'!A372="","",'Journal'!A372)</f>
        <v/>
      </c>
      <c r="B741" s="21">
        <f>IF('Journal'!B372="","",'Journal'!B372)</f>
        <v/>
      </c>
      <c r="C741" s="5">
        <f>IF('Journal'!C372="","",'Journal'!C372)</f>
        <v/>
      </c>
      <c r="D741" s="5">
        <f>IF('Journal'!D372="","",IFERROR(LEFT('Journal'!D372,FIND(" ",'Journal'!D372)-1),'Journal'!D372))</f>
        <v/>
      </c>
      <c r="E741" s="5">
        <f>IF('Journal'!D372="","",IFERROR(INDEX('Kontoplan'!$B$3:$B$302,MATCH('Journal'!D372,'Kontoplan'!$H$3:$H$302,0)),""))</f>
        <v/>
      </c>
      <c r="F741" s="20">
        <f>IF('Journal'!G372="","",'Journal'!G372)</f>
        <v/>
      </c>
      <c r="G741" s="20">
        <f>IF('Journal'!F372="","",'Journal'!F372)</f>
        <v/>
      </c>
      <c r="H741" s="5">
        <f>IF('Journal'!I372="","",'Journal'!I372)</f>
        <v/>
      </c>
    </row>
    <row r="742">
      <c r="A742" s="18">
        <f>IF('Journal'!A372="","",'Journal'!A372)</f>
        <v/>
      </c>
      <c r="B742" s="21">
        <f>IF('Journal'!B372="","",'Journal'!B372)</f>
        <v/>
      </c>
      <c r="C742" s="5">
        <f>IF('Journal'!C372="","",'Journal'!C372)</f>
        <v/>
      </c>
      <c r="D742" s="5">
        <f>IF('Journal'!E372="","",IFERROR(LEFT('Journal'!E372,FIND(" ",'Journal'!E372)-1),'Journal'!E372))</f>
        <v/>
      </c>
      <c r="E742" s="5">
        <f>IF('Journal'!E372="","",IFERROR(INDEX('Kontoplan'!$B$3:$B$302,MATCH('Journal'!E372,'Kontoplan'!$H$3:$H$302,0)),""))</f>
        <v/>
      </c>
      <c r="F742" s="20">
        <f>IF('Journal'!F372="","",'Journal'!F372)</f>
        <v/>
      </c>
      <c r="G742" s="20">
        <f>IF('Journal'!G372="","",'Journal'!G372)</f>
        <v/>
      </c>
      <c r="H742" s="5">
        <f>IF('Journal'!I372="","",'Journal'!I372)</f>
        <v/>
      </c>
    </row>
    <row r="743">
      <c r="A743" s="18">
        <f>IF('Journal'!A373="","",'Journal'!A373)</f>
        <v/>
      </c>
      <c r="B743" s="21">
        <f>IF('Journal'!B373="","",'Journal'!B373)</f>
        <v/>
      </c>
      <c r="C743" s="5">
        <f>IF('Journal'!C373="","",'Journal'!C373)</f>
        <v/>
      </c>
      <c r="D743" s="5">
        <f>IF('Journal'!D373="","",IFERROR(LEFT('Journal'!D373,FIND(" ",'Journal'!D373)-1),'Journal'!D373))</f>
        <v/>
      </c>
      <c r="E743" s="5">
        <f>IF('Journal'!D373="","",IFERROR(INDEX('Kontoplan'!$B$3:$B$302,MATCH('Journal'!D373,'Kontoplan'!$H$3:$H$302,0)),""))</f>
        <v/>
      </c>
      <c r="F743" s="20">
        <f>IF('Journal'!G373="","",'Journal'!G373)</f>
        <v/>
      </c>
      <c r="G743" s="20">
        <f>IF('Journal'!F373="","",'Journal'!F373)</f>
        <v/>
      </c>
      <c r="H743" s="5">
        <f>IF('Journal'!I373="","",'Journal'!I373)</f>
        <v/>
      </c>
    </row>
    <row r="744">
      <c r="A744" s="18">
        <f>IF('Journal'!A373="","",'Journal'!A373)</f>
        <v/>
      </c>
      <c r="B744" s="21">
        <f>IF('Journal'!B373="","",'Journal'!B373)</f>
        <v/>
      </c>
      <c r="C744" s="5">
        <f>IF('Journal'!C373="","",'Journal'!C373)</f>
        <v/>
      </c>
      <c r="D744" s="5">
        <f>IF('Journal'!E373="","",IFERROR(LEFT('Journal'!E373,FIND(" ",'Journal'!E373)-1),'Journal'!E373))</f>
        <v/>
      </c>
      <c r="E744" s="5">
        <f>IF('Journal'!E373="","",IFERROR(INDEX('Kontoplan'!$B$3:$B$302,MATCH('Journal'!E373,'Kontoplan'!$H$3:$H$302,0)),""))</f>
        <v/>
      </c>
      <c r="F744" s="20">
        <f>IF('Journal'!F373="","",'Journal'!F373)</f>
        <v/>
      </c>
      <c r="G744" s="20">
        <f>IF('Journal'!G373="","",'Journal'!G373)</f>
        <v/>
      </c>
      <c r="H744" s="5">
        <f>IF('Journal'!I373="","",'Journal'!I373)</f>
        <v/>
      </c>
    </row>
    <row r="745">
      <c r="A745" s="18">
        <f>IF('Journal'!A374="","",'Journal'!A374)</f>
        <v/>
      </c>
      <c r="B745" s="21">
        <f>IF('Journal'!B374="","",'Journal'!B374)</f>
        <v/>
      </c>
      <c r="C745" s="5">
        <f>IF('Journal'!C374="","",'Journal'!C374)</f>
        <v/>
      </c>
      <c r="D745" s="5">
        <f>IF('Journal'!D374="","",IFERROR(LEFT('Journal'!D374,FIND(" ",'Journal'!D374)-1),'Journal'!D374))</f>
        <v/>
      </c>
      <c r="E745" s="5">
        <f>IF('Journal'!D374="","",IFERROR(INDEX('Kontoplan'!$B$3:$B$302,MATCH('Journal'!D374,'Kontoplan'!$H$3:$H$302,0)),""))</f>
        <v/>
      </c>
      <c r="F745" s="20">
        <f>IF('Journal'!G374="","",'Journal'!G374)</f>
        <v/>
      </c>
      <c r="G745" s="20">
        <f>IF('Journal'!F374="","",'Journal'!F374)</f>
        <v/>
      </c>
      <c r="H745" s="5">
        <f>IF('Journal'!I374="","",'Journal'!I374)</f>
        <v/>
      </c>
    </row>
    <row r="746">
      <c r="A746" s="18">
        <f>IF('Journal'!A374="","",'Journal'!A374)</f>
        <v/>
      </c>
      <c r="B746" s="21">
        <f>IF('Journal'!B374="","",'Journal'!B374)</f>
        <v/>
      </c>
      <c r="C746" s="5">
        <f>IF('Journal'!C374="","",'Journal'!C374)</f>
        <v/>
      </c>
      <c r="D746" s="5">
        <f>IF('Journal'!E374="","",IFERROR(LEFT('Journal'!E374,FIND(" ",'Journal'!E374)-1),'Journal'!E374))</f>
        <v/>
      </c>
      <c r="E746" s="5">
        <f>IF('Journal'!E374="","",IFERROR(INDEX('Kontoplan'!$B$3:$B$302,MATCH('Journal'!E374,'Kontoplan'!$H$3:$H$302,0)),""))</f>
        <v/>
      </c>
      <c r="F746" s="20">
        <f>IF('Journal'!F374="","",'Journal'!F374)</f>
        <v/>
      </c>
      <c r="G746" s="20">
        <f>IF('Journal'!G374="","",'Journal'!G374)</f>
        <v/>
      </c>
      <c r="H746" s="5">
        <f>IF('Journal'!I374="","",'Journal'!I374)</f>
        <v/>
      </c>
    </row>
    <row r="747">
      <c r="A747" s="18">
        <f>IF('Journal'!A375="","",'Journal'!A375)</f>
        <v/>
      </c>
      <c r="B747" s="21">
        <f>IF('Journal'!B375="","",'Journal'!B375)</f>
        <v/>
      </c>
      <c r="C747" s="5">
        <f>IF('Journal'!C375="","",'Journal'!C375)</f>
        <v/>
      </c>
      <c r="D747" s="5">
        <f>IF('Journal'!D375="","",IFERROR(LEFT('Journal'!D375,FIND(" ",'Journal'!D375)-1),'Journal'!D375))</f>
        <v/>
      </c>
      <c r="E747" s="5">
        <f>IF('Journal'!D375="","",IFERROR(INDEX('Kontoplan'!$B$3:$B$302,MATCH('Journal'!D375,'Kontoplan'!$H$3:$H$302,0)),""))</f>
        <v/>
      </c>
      <c r="F747" s="20">
        <f>IF('Journal'!G375="","",'Journal'!G375)</f>
        <v/>
      </c>
      <c r="G747" s="20">
        <f>IF('Journal'!F375="","",'Journal'!F375)</f>
        <v/>
      </c>
      <c r="H747" s="5">
        <f>IF('Journal'!I375="","",'Journal'!I375)</f>
        <v/>
      </c>
    </row>
    <row r="748">
      <c r="A748" s="18">
        <f>IF('Journal'!A375="","",'Journal'!A375)</f>
        <v/>
      </c>
      <c r="B748" s="21">
        <f>IF('Journal'!B375="","",'Journal'!B375)</f>
        <v/>
      </c>
      <c r="C748" s="5">
        <f>IF('Journal'!C375="","",'Journal'!C375)</f>
        <v/>
      </c>
      <c r="D748" s="5">
        <f>IF('Journal'!E375="","",IFERROR(LEFT('Journal'!E375,FIND(" ",'Journal'!E375)-1),'Journal'!E375))</f>
        <v/>
      </c>
      <c r="E748" s="5">
        <f>IF('Journal'!E375="","",IFERROR(INDEX('Kontoplan'!$B$3:$B$302,MATCH('Journal'!E375,'Kontoplan'!$H$3:$H$302,0)),""))</f>
        <v/>
      </c>
      <c r="F748" s="20">
        <f>IF('Journal'!F375="","",'Journal'!F375)</f>
        <v/>
      </c>
      <c r="G748" s="20">
        <f>IF('Journal'!G375="","",'Journal'!G375)</f>
        <v/>
      </c>
      <c r="H748" s="5">
        <f>IF('Journal'!I375="","",'Journal'!I375)</f>
        <v/>
      </c>
    </row>
    <row r="749">
      <c r="A749" s="18">
        <f>IF('Journal'!A376="","",'Journal'!A376)</f>
        <v/>
      </c>
      <c r="B749" s="21">
        <f>IF('Journal'!B376="","",'Journal'!B376)</f>
        <v/>
      </c>
      <c r="C749" s="5">
        <f>IF('Journal'!C376="","",'Journal'!C376)</f>
        <v/>
      </c>
      <c r="D749" s="5">
        <f>IF('Journal'!D376="","",IFERROR(LEFT('Journal'!D376,FIND(" ",'Journal'!D376)-1),'Journal'!D376))</f>
        <v/>
      </c>
      <c r="E749" s="5">
        <f>IF('Journal'!D376="","",IFERROR(INDEX('Kontoplan'!$B$3:$B$302,MATCH('Journal'!D376,'Kontoplan'!$H$3:$H$302,0)),""))</f>
        <v/>
      </c>
      <c r="F749" s="20">
        <f>IF('Journal'!G376="","",'Journal'!G376)</f>
        <v/>
      </c>
      <c r="G749" s="20">
        <f>IF('Journal'!F376="","",'Journal'!F376)</f>
        <v/>
      </c>
      <c r="H749" s="5">
        <f>IF('Journal'!I376="","",'Journal'!I376)</f>
        <v/>
      </c>
    </row>
    <row r="750">
      <c r="A750" s="18">
        <f>IF('Journal'!A376="","",'Journal'!A376)</f>
        <v/>
      </c>
      <c r="B750" s="21">
        <f>IF('Journal'!B376="","",'Journal'!B376)</f>
        <v/>
      </c>
      <c r="C750" s="5">
        <f>IF('Journal'!C376="","",'Journal'!C376)</f>
        <v/>
      </c>
      <c r="D750" s="5">
        <f>IF('Journal'!E376="","",IFERROR(LEFT('Journal'!E376,FIND(" ",'Journal'!E376)-1),'Journal'!E376))</f>
        <v/>
      </c>
      <c r="E750" s="5">
        <f>IF('Journal'!E376="","",IFERROR(INDEX('Kontoplan'!$B$3:$B$302,MATCH('Journal'!E376,'Kontoplan'!$H$3:$H$302,0)),""))</f>
        <v/>
      </c>
      <c r="F750" s="20">
        <f>IF('Journal'!F376="","",'Journal'!F376)</f>
        <v/>
      </c>
      <c r="G750" s="20">
        <f>IF('Journal'!G376="","",'Journal'!G376)</f>
        <v/>
      </c>
      <c r="H750" s="5">
        <f>IF('Journal'!I376="","",'Journal'!I376)</f>
        <v/>
      </c>
    </row>
    <row r="751">
      <c r="A751" s="18">
        <f>IF('Journal'!A377="","",'Journal'!A377)</f>
        <v/>
      </c>
      <c r="B751" s="21">
        <f>IF('Journal'!B377="","",'Journal'!B377)</f>
        <v/>
      </c>
      <c r="C751" s="5">
        <f>IF('Journal'!C377="","",'Journal'!C377)</f>
        <v/>
      </c>
      <c r="D751" s="5">
        <f>IF('Journal'!D377="","",IFERROR(LEFT('Journal'!D377,FIND(" ",'Journal'!D377)-1),'Journal'!D377))</f>
        <v/>
      </c>
      <c r="E751" s="5">
        <f>IF('Journal'!D377="","",IFERROR(INDEX('Kontoplan'!$B$3:$B$302,MATCH('Journal'!D377,'Kontoplan'!$H$3:$H$302,0)),""))</f>
        <v/>
      </c>
      <c r="F751" s="20">
        <f>IF('Journal'!G377="","",'Journal'!G377)</f>
        <v/>
      </c>
      <c r="G751" s="20">
        <f>IF('Journal'!F377="","",'Journal'!F377)</f>
        <v/>
      </c>
      <c r="H751" s="5">
        <f>IF('Journal'!I377="","",'Journal'!I377)</f>
        <v/>
      </c>
    </row>
    <row r="752">
      <c r="A752" s="18">
        <f>IF('Journal'!A377="","",'Journal'!A377)</f>
        <v/>
      </c>
      <c r="B752" s="21">
        <f>IF('Journal'!B377="","",'Journal'!B377)</f>
        <v/>
      </c>
      <c r="C752" s="5">
        <f>IF('Journal'!C377="","",'Journal'!C377)</f>
        <v/>
      </c>
      <c r="D752" s="5">
        <f>IF('Journal'!E377="","",IFERROR(LEFT('Journal'!E377,FIND(" ",'Journal'!E377)-1),'Journal'!E377))</f>
        <v/>
      </c>
      <c r="E752" s="5">
        <f>IF('Journal'!E377="","",IFERROR(INDEX('Kontoplan'!$B$3:$B$302,MATCH('Journal'!E377,'Kontoplan'!$H$3:$H$302,0)),""))</f>
        <v/>
      </c>
      <c r="F752" s="20">
        <f>IF('Journal'!F377="","",'Journal'!F377)</f>
        <v/>
      </c>
      <c r="G752" s="20">
        <f>IF('Journal'!G377="","",'Journal'!G377)</f>
        <v/>
      </c>
      <c r="H752" s="5">
        <f>IF('Journal'!I377="","",'Journal'!I377)</f>
        <v/>
      </c>
    </row>
    <row r="753">
      <c r="A753" s="18">
        <f>IF('Journal'!A378="","",'Journal'!A378)</f>
        <v/>
      </c>
      <c r="B753" s="21">
        <f>IF('Journal'!B378="","",'Journal'!B378)</f>
        <v/>
      </c>
      <c r="C753" s="5">
        <f>IF('Journal'!C378="","",'Journal'!C378)</f>
        <v/>
      </c>
      <c r="D753" s="5">
        <f>IF('Journal'!D378="","",IFERROR(LEFT('Journal'!D378,FIND(" ",'Journal'!D378)-1),'Journal'!D378))</f>
        <v/>
      </c>
      <c r="E753" s="5">
        <f>IF('Journal'!D378="","",IFERROR(INDEX('Kontoplan'!$B$3:$B$302,MATCH('Journal'!D378,'Kontoplan'!$H$3:$H$302,0)),""))</f>
        <v/>
      </c>
      <c r="F753" s="20">
        <f>IF('Journal'!G378="","",'Journal'!G378)</f>
        <v/>
      </c>
      <c r="G753" s="20">
        <f>IF('Journal'!F378="","",'Journal'!F378)</f>
        <v/>
      </c>
      <c r="H753" s="5">
        <f>IF('Journal'!I378="","",'Journal'!I378)</f>
        <v/>
      </c>
    </row>
    <row r="754">
      <c r="A754" s="18">
        <f>IF('Journal'!A378="","",'Journal'!A378)</f>
        <v/>
      </c>
      <c r="B754" s="21">
        <f>IF('Journal'!B378="","",'Journal'!B378)</f>
        <v/>
      </c>
      <c r="C754" s="5">
        <f>IF('Journal'!C378="","",'Journal'!C378)</f>
        <v/>
      </c>
      <c r="D754" s="5">
        <f>IF('Journal'!E378="","",IFERROR(LEFT('Journal'!E378,FIND(" ",'Journal'!E378)-1),'Journal'!E378))</f>
        <v/>
      </c>
      <c r="E754" s="5">
        <f>IF('Journal'!E378="","",IFERROR(INDEX('Kontoplan'!$B$3:$B$302,MATCH('Journal'!E378,'Kontoplan'!$H$3:$H$302,0)),""))</f>
        <v/>
      </c>
      <c r="F754" s="20">
        <f>IF('Journal'!F378="","",'Journal'!F378)</f>
        <v/>
      </c>
      <c r="G754" s="20">
        <f>IF('Journal'!G378="","",'Journal'!G378)</f>
        <v/>
      </c>
      <c r="H754" s="5">
        <f>IF('Journal'!I378="","",'Journal'!I378)</f>
        <v/>
      </c>
    </row>
    <row r="755">
      <c r="A755" s="18">
        <f>IF('Journal'!A379="","",'Journal'!A379)</f>
        <v/>
      </c>
      <c r="B755" s="21">
        <f>IF('Journal'!B379="","",'Journal'!B379)</f>
        <v/>
      </c>
      <c r="C755" s="5">
        <f>IF('Journal'!C379="","",'Journal'!C379)</f>
        <v/>
      </c>
      <c r="D755" s="5">
        <f>IF('Journal'!D379="","",IFERROR(LEFT('Journal'!D379,FIND(" ",'Journal'!D379)-1),'Journal'!D379))</f>
        <v/>
      </c>
      <c r="E755" s="5">
        <f>IF('Journal'!D379="","",IFERROR(INDEX('Kontoplan'!$B$3:$B$302,MATCH('Journal'!D379,'Kontoplan'!$H$3:$H$302,0)),""))</f>
        <v/>
      </c>
      <c r="F755" s="20">
        <f>IF('Journal'!G379="","",'Journal'!G379)</f>
        <v/>
      </c>
      <c r="G755" s="20">
        <f>IF('Journal'!F379="","",'Journal'!F379)</f>
        <v/>
      </c>
      <c r="H755" s="5">
        <f>IF('Journal'!I379="","",'Journal'!I379)</f>
        <v/>
      </c>
    </row>
    <row r="756">
      <c r="A756" s="18">
        <f>IF('Journal'!A379="","",'Journal'!A379)</f>
        <v/>
      </c>
      <c r="B756" s="21">
        <f>IF('Journal'!B379="","",'Journal'!B379)</f>
        <v/>
      </c>
      <c r="C756" s="5">
        <f>IF('Journal'!C379="","",'Journal'!C379)</f>
        <v/>
      </c>
      <c r="D756" s="5">
        <f>IF('Journal'!E379="","",IFERROR(LEFT('Journal'!E379,FIND(" ",'Journal'!E379)-1),'Journal'!E379))</f>
        <v/>
      </c>
      <c r="E756" s="5">
        <f>IF('Journal'!E379="","",IFERROR(INDEX('Kontoplan'!$B$3:$B$302,MATCH('Journal'!E379,'Kontoplan'!$H$3:$H$302,0)),""))</f>
        <v/>
      </c>
      <c r="F756" s="20">
        <f>IF('Journal'!F379="","",'Journal'!F379)</f>
        <v/>
      </c>
      <c r="G756" s="20">
        <f>IF('Journal'!G379="","",'Journal'!G379)</f>
        <v/>
      </c>
      <c r="H756" s="5">
        <f>IF('Journal'!I379="","",'Journal'!I379)</f>
        <v/>
      </c>
    </row>
    <row r="757">
      <c r="A757" s="18">
        <f>IF('Journal'!A380="","",'Journal'!A380)</f>
        <v/>
      </c>
      <c r="B757" s="21">
        <f>IF('Journal'!B380="","",'Journal'!B380)</f>
        <v/>
      </c>
      <c r="C757" s="5">
        <f>IF('Journal'!C380="","",'Journal'!C380)</f>
        <v/>
      </c>
      <c r="D757" s="5">
        <f>IF('Journal'!D380="","",IFERROR(LEFT('Journal'!D380,FIND(" ",'Journal'!D380)-1),'Journal'!D380))</f>
        <v/>
      </c>
      <c r="E757" s="5">
        <f>IF('Journal'!D380="","",IFERROR(INDEX('Kontoplan'!$B$3:$B$302,MATCH('Journal'!D380,'Kontoplan'!$H$3:$H$302,0)),""))</f>
        <v/>
      </c>
      <c r="F757" s="20">
        <f>IF('Journal'!G380="","",'Journal'!G380)</f>
        <v/>
      </c>
      <c r="G757" s="20">
        <f>IF('Journal'!F380="","",'Journal'!F380)</f>
        <v/>
      </c>
      <c r="H757" s="5">
        <f>IF('Journal'!I380="","",'Journal'!I380)</f>
        <v/>
      </c>
    </row>
    <row r="758">
      <c r="A758" s="18">
        <f>IF('Journal'!A380="","",'Journal'!A380)</f>
        <v/>
      </c>
      <c r="B758" s="21">
        <f>IF('Journal'!B380="","",'Journal'!B380)</f>
        <v/>
      </c>
      <c r="C758" s="5">
        <f>IF('Journal'!C380="","",'Journal'!C380)</f>
        <v/>
      </c>
      <c r="D758" s="5">
        <f>IF('Journal'!E380="","",IFERROR(LEFT('Journal'!E380,FIND(" ",'Journal'!E380)-1),'Journal'!E380))</f>
        <v/>
      </c>
      <c r="E758" s="5">
        <f>IF('Journal'!E380="","",IFERROR(INDEX('Kontoplan'!$B$3:$B$302,MATCH('Journal'!E380,'Kontoplan'!$H$3:$H$302,0)),""))</f>
        <v/>
      </c>
      <c r="F758" s="20">
        <f>IF('Journal'!F380="","",'Journal'!F380)</f>
        <v/>
      </c>
      <c r="G758" s="20">
        <f>IF('Journal'!G380="","",'Journal'!G380)</f>
        <v/>
      </c>
      <c r="H758" s="5">
        <f>IF('Journal'!I380="","",'Journal'!I380)</f>
        <v/>
      </c>
    </row>
    <row r="759">
      <c r="A759" s="18">
        <f>IF('Journal'!A381="","",'Journal'!A381)</f>
        <v/>
      </c>
      <c r="B759" s="21">
        <f>IF('Journal'!B381="","",'Journal'!B381)</f>
        <v/>
      </c>
      <c r="C759" s="5">
        <f>IF('Journal'!C381="","",'Journal'!C381)</f>
        <v/>
      </c>
      <c r="D759" s="5">
        <f>IF('Journal'!D381="","",IFERROR(LEFT('Journal'!D381,FIND(" ",'Journal'!D381)-1),'Journal'!D381))</f>
        <v/>
      </c>
      <c r="E759" s="5">
        <f>IF('Journal'!D381="","",IFERROR(INDEX('Kontoplan'!$B$3:$B$302,MATCH('Journal'!D381,'Kontoplan'!$H$3:$H$302,0)),""))</f>
        <v/>
      </c>
      <c r="F759" s="20">
        <f>IF('Journal'!G381="","",'Journal'!G381)</f>
        <v/>
      </c>
      <c r="G759" s="20">
        <f>IF('Journal'!F381="","",'Journal'!F381)</f>
        <v/>
      </c>
      <c r="H759" s="5">
        <f>IF('Journal'!I381="","",'Journal'!I381)</f>
        <v/>
      </c>
    </row>
    <row r="760">
      <c r="A760" s="18">
        <f>IF('Journal'!A381="","",'Journal'!A381)</f>
        <v/>
      </c>
      <c r="B760" s="21">
        <f>IF('Journal'!B381="","",'Journal'!B381)</f>
        <v/>
      </c>
      <c r="C760" s="5">
        <f>IF('Journal'!C381="","",'Journal'!C381)</f>
        <v/>
      </c>
      <c r="D760" s="5">
        <f>IF('Journal'!E381="","",IFERROR(LEFT('Journal'!E381,FIND(" ",'Journal'!E381)-1),'Journal'!E381))</f>
        <v/>
      </c>
      <c r="E760" s="5">
        <f>IF('Journal'!E381="","",IFERROR(INDEX('Kontoplan'!$B$3:$B$302,MATCH('Journal'!E381,'Kontoplan'!$H$3:$H$302,0)),""))</f>
        <v/>
      </c>
      <c r="F760" s="20">
        <f>IF('Journal'!F381="","",'Journal'!F381)</f>
        <v/>
      </c>
      <c r="G760" s="20">
        <f>IF('Journal'!G381="","",'Journal'!G381)</f>
        <v/>
      </c>
      <c r="H760" s="5">
        <f>IF('Journal'!I381="","",'Journal'!I381)</f>
        <v/>
      </c>
    </row>
    <row r="761">
      <c r="A761" s="18">
        <f>IF('Journal'!A382="","",'Journal'!A382)</f>
        <v/>
      </c>
      <c r="B761" s="21">
        <f>IF('Journal'!B382="","",'Journal'!B382)</f>
        <v/>
      </c>
      <c r="C761" s="5">
        <f>IF('Journal'!C382="","",'Journal'!C382)</f>
        <v/>
      </c>
      <c r="D761" s="5">
        <f>IF('Journal'!D382="","",IFERROR(LEFT('Journal'!D382,FIND(" ",'Journal'!D382)-1),'Journal'!D382))</f>
        <v/>
      </c>
      <c r="E761" s="5">
        <f>IF('Journal'!D382="","",IFERROR(INDEX('Kontoplan'!$B$3:$B$302,MATCH('Journal'!D382,'Kontoplan'!$H$3:$H$302,0)),""))</f>
        <v/>
      </c>
      <c r="F761" s="20">
        <f>IF('Journal'!G382="","",'Journal'!G382)</f>
        <v/>
      </c>
      <c r="G761" s="20">
        <f>IF('Journal'!F382="","",'Journal'!F382)</f>
        <v/>
      </c>
      <c r="H761" s="5">
        <f>IF('Journal'!I382="","",'Journal'!I382)</f>
        <v/>
      </c>
    </row>
    <row r="762">
      <c r="A762" s="18">
        <f>IF('Journal'!A382="","",'Journal'!A382)</f>
        <v/>
      </c>
      <c r="B762" s="21">
        <f>IF('Journal'!B382="","",'Journal'!B382)</f>
        <v/>
      </c>
      <c r="C762" s="5">
        <f>IF('Journal'!C382="","",'Journal'!C382)</f>
        <v/>
      </c>
      <c r="D762" s="5">
        <f>IF('Journal'!E382="","",IFERROR(LEFT('Journal'!E382,FIND(" ",'Journal'!E382)-1),'Journal'!E382))</f>
        <v/>
      </c>
      <c r="E762" s="5">
        <f>IF('Journal'!E382="","",IFERROR(INDEX('Kontoplan'!$B$3:$B$302,MATCH('Journal'!E382,'Kontoplan'!$H$3:$H$302,0)),""))</f>
        <v/>
      </c>
      <c r="F762" s="20">
        <f>IF('Journal'!F382="","",'Journal'!F382)</f>
        <v/>
      </c>
      <c r="G762" s="20">
        <f>IF('Journal'!G382="","",'Journal'!G382)</f>
        <v/>
      </c>
      <c r="H762" s="5">
        <f>IF('Journal'!I382="","",'Journal'!I382)</f>
        <v/>
      </c>
    </row>
    <row r="763">
      <c r="A763" s="18">
        <f>IF('Journal'!A383="","",'Journal'!A383)</f>
        <v/>
      </c>
      <c r="B763" s="21">
        <f>IF('Journal'!B383="","",'Journal'!B383)</f>
        <v/>
      </c>
      <c r="C763" s="5">
        <f>IF('Journal'!C383="","",'Journal'!C383)</f>
        <v/>
      </c>
      <c r="D763" s="5">
        <f>IF('Journal'!D383="","",IFERROR(LEFT('Journal'!D383,FIND(" ",'Journal'!D383)-1),'Journal'!D383))</f>
        <v/>
      </c>
      <c r="E763" s="5">
        <f>IF('Journal'!D383="","",IFERROR(INDEX('Kontoplan'!$B$3:$B$302,MATCH('Journal'!D383,'Kontoplan'!$H$3:$H$302,0)),""))</f>
        <v/>
      </c>
      <c r="F763" s="20">
        <f>IF('Journal'!G383="","",'Journal'!G383)</f>
        <v/>
      </c>
      <c r="G763" s="20">
        <f>IF('Journal'!F383="","",'Journal'!F383)</f>
        <v/>
      </c>
      <c r="H763" s="5">
        <f>IF('Journal'!I383="","",'Journal'!I383)</f>
        <v/>
      </c>
    </row>
    <row r="764">
      <c r="A764" s="18">
        <f>IF('Journal'!A383="","",'Journal'!A383)</f>
        <v/>
      </c>
      <c r="B764" s="21">
        <f>IF('Journal'!B383="","",'Journal'!B383)</f>
        <v/>
      </c>
      <c r="C764" s="5">
        <f>IF('Journal'!C383="","",'Journal'!C383)</f>
        <v/>
      </c>
      <c r="D764" s="5">
        <f>IF('Journal'!E383="","",IFERROR(LEFT('Journal'!E383,FIND(" ",'Journal'!E383)-1),'Journal'!E383))</f>
        <v/>
      </c>
      <c r="E764" s="5">
        <f>IF('Journal'!E383="","",IFERROR(INDEX('Kontoplan'!$B$3:$B$302,MATCH('Journal'!E383,'Kontoplan'!$H$3:$H$302,0)),""))</f>
        <v/>
      </c>
      <c r="F764" s="20">
        <f>IF('Journal'!F383="","",'Journal'!F383)</f>
        <v/>
      </c>
      <c r="G764" s="20">
        <f>IF('Journal'!G383="","",'Journal'!G383)</f>
        <v/>
      </c>
      <c r="H764" s="5">
        <f>IF('Journal'!I383="","",'Journal'!I383)</f>
        <v/>
      </c>
    </row>
    <row r="765">
      <c r="A765" s="18">
        <f>IF('Journal'!A384="","",'Journal'!A384)</f>
        <v/>
      </c>
      <c r="B765" s="21">
        <f>IF('Journal'!B384="","",'Journal'!B384)</f>
        <v/>
      </c>
      <c r="C765" s="5">
        <f>IF('Journal'!C384="","",'Journal'!C384)</f>
        <v/>
      </c>
      <c r="D765" s="5">
        <f>IF('Journal'!D384="","",IFERROR(LEFT('Journal'!D384,FIND(" ",'Journal'!D384)-1),'Journal'!D384))</f>
        <v/>
      </c>
      <c r="E765" s="5">
        <f>IF('Journal'!D384="","",IFERROR(INDEX('Kontoplan'!$B$3:$B$302,MATCH('Journal'!D384,'Kontoplan'!$H$3:$H$302,0)),""))</f>
        <v/>
      </c>
      <c r="F765" s="20">
        <f>IF('Journal'!G384="","",'Journal'!G384)</f>
        <v/>
      </c>
      <c r="G765" s="20">
        <f>IF('Journal'!F384="","",'Journal'!F384)</f>
        <v/>
      </c>
      <c r="H765" s="5">
        <f>IF('Journal'!I384="","",'Journal'!I384)</f>
        <v/>
      </c>
    </row>
    <row r="766">
      <c r="A766" s="18">
        <f>IF('Journal'!A384="","",'Journal'!A384)</f>
        <v/>
      </c>
      <c r="B766" s="21">
        <f>IF('Journal'!B384="","",'Journal'!B384)</f>
        <v/>
      </c>
      <c r="C766" s="5">
        <f>IF('Journal'!C384="","",'Journal'!C384)</f>
        <v/>
      </c>
      <c r="D766" s="5">
        <f>IF('Journal'!E384="","",IFERROR(LEFT('Journal'!E384,FIND(" ",'Journal'!E384)-1),'Journal'!E384))</f>
        <v/>
      </c>
      <c r="E766" s="5">
        <f>IF('Journal'!E384="","",IFERROR(INDEX('Kontoplan'!$B$3:$B$302,MATCH('Journal'!E384,'Kontoplan'!$H$3:$H$302,0)),""))</f>
        <v/>
      </c>
      <c r="F766" s="20">
        <f>IF('Journal'!F384="","",'Journal'!F384)</f>
        <v/>
      </c>
      <c r="G766" s="20">
        <f>IF('Journal'!G384="","",'Journal'!G384)</f>
        <v/>
      </c>
      <c r="H766" s="5">
        <f>IF('Journal'!I384="","",'Journal'!I384)</f>
        <v/>
      </c>
    </row>
    <row r="767">
      <c r="A767" s="18">
        <f>IF('Journal'!A385="","",'Journal'!A385)</f>
        <v/>
      </c>
      <c r="B767" s="21">
        <f>IF('Journal'!B385="","",'Journal'!B385)</f>
        <v/>
      </c>
      <c r="C767" s="5">
        <f>IF('Journal'!C385="","",'Journal'!C385)</f>
        <v/>
      </c>
      <c r="D767" s="5">
        <f>IF('Journal'!D385="","",IFERROR(LEFT('Journal'!D385,FIND(" ",'Journal'!D385)-1),'Journal'!D385))</f>
        <v/>
      </c>
      <c r="E767" s="5">
        <f>IF('Journal'!D385="","",IFERROR(INDEX('Kontoplan'!$B$3:$B$302,MATCH('Journal'!D385,'Kontoplan'!$H$3:$H$302,0)),""))</f>
        <v/>
      </c>
      <c r="F767" s="20">
        <f>IF('Journal'!G385="","",'Journal'!G385)</f>
        <v/>
      </c>
      <c r="G767" s="20">
        <f>IF('Journal'!F385="","",'Journal'!F385)</f>
        <v/>
      </c>
      <c r="H767" s="5">
        <f>IF('Journal'!I385="","",'Journal'!I385)</f>
        <v/>
      </c>
    </row>
    <row r="768">
      <c r="A768" s="18">
        <f>IF('Journal'!A385="","",'Journal'!A385)</f>
        <v/>
      </c>
      <c r="B768" s="21">
        <f>IF('Journal'!B385="","",'Journal'!B385)</f>
        <v/>
      </c>
      <c r="C768" s="5">
        <f>IF('Journal'!C385="","",'Journal'!C385)</f>
        <v/>
      </c>
      <c r="D768" s="5">
        <f>IF('Journal'!E385="","",IFERROR(LEFT('Journal'!E385,FIND(" ",'Journal'!E385)-1),'Journal'!E385))</f>
        <v/>
      </c>
      <c r="E768" s="5">
        <f>IF('Journal'!E385="","",IFERROR(INDEX('Kontoplan'!$B$3:$B$302,MATCH('Journal'!E385,'Kontoplan'!$H$3:$H$302,0)),""))</f>
        <v/>
      </c>
      <c r="F768" s="20">
        <f>IF('Journal'!F385="","",'Journal'!F385)</f>
        <v/>
      </c>
      <c r="G768" s="20">
        <f>IF('Journal'!G385="","",'Journal'!G385)</f>
        <v/>
      </c>
      <c r="H768" s="5">
        <f>IF('Journal'!I385="","",'Journal'!I385)</f>
        <v/>
      </c>
    </row>
    <row r="769">
      <c r="A769" s="18">
        <f>IF('Journal'!A386="","",'Journal'!A386)</f>
        <v/>
      </c>
      <c r="B769" s="21">
        <f>IF('Journal'!B386="","",'Journal'!B386)</f>
        <v/>
      </c>
      <c r="C769" s="5">
        <f>IF('Journal'!C386="","",'Journal'!C386)</f>
        <v/>
      </c>
      <c r="D769" s="5">
        <f>IF('Journal'!D386="","",IFERROR(LEFT('Journal'!D386,FIND(" ",'Journal'!D386)-1),'Journal'!D386))</f>
        <v/>
      </c>
      <c r="E769" s="5">
        <f>IF('Journal'!D386="","",IFERROR(INDEX('Kontoplan'!$B$3:$B$302,MATCH('Journal'!D386,'Kontoplan'!$H$3:$H$302,0)),""))</f>
        <v/>
      </c>
      <c r="F769" s="20">
        <f>IF('Journal'!G386="","",'Journal'!G386)</f>
        <v/>
      </c>
      <c r="G769" s="20">
        <f>IF('Journal'!F386="","",'Journal'!F386)</f>
        <v/>
      </c>
      <c r="H769" s="5">
        <f>IF('Journal'!I386="","",'Journal'!I386)</f>
        <v/>
      </c>
    </row>
    <row r="770">
      <c r="A770" s="18">
        <f>IF('Journal'!A386="","",'Journal'!A386)</f>
        <v/>
      </c>
      <c r="B770" s="21">
        <f>IF('Journal'!B386="","",'Journal'!B386)</f>
        <v/>
      </c>
      <c r="C770" s="5">
        <f>IF('Journal'!C386="","",'Journal'!C386)</f>
        <v/>
      </c>
      <c r="D770" s="5">
        <f>IF('Journal'!E386="","",IFERROR(LEFT('Journal'!E386,FIND(" ",'Journal'!E386)-1),'Journal'!E386))</f>
        <v/>
      </c>
      <c r="E770" s="5">
        <f>IF('Journal'!E386="","",IFERROR(INDEX('Kontoplan'!$B$3:$B$302,MATCH('Journal'!E386,'Kontoplan'!$H$3:$H$302,0)),""))</f>
        <v/>
      </c>
      <c r="F770" s="20">
        <f>IF('Journal'!F386="","",'Journal'!F386)</f>
        <v/>
      </c>
      <c r="G770" s="20">
        <f>IF('Journal'!G386="","",'Journal'!G386)</f>
        <v/>
      </c>
      <c r="H770" s="5">
        <f>IF('Journal'!I386="","",'Journal'!I386)</f>
        <v/>
      </c>
    </row>
    <row r="771">
      <c r="A771" s="18">
        <f>IF('Journal'!A387="","",'Journal'!A387)</f>
        <v/>
      </c>
      <c r="B771" s="21">
        <f>IF('Journal'!B387="","",'Journal'!B387)</f>
        <v/>
      </c>
      <c r="C771" s="5">
        <f>IF('Journal'!C387="","",'Journal'!C387)</f>
        <v/>
      </c>
      <c r="D771" s="5">
        <f>IF('Journal'!D387="","",IFERROR(LEFT('Journal'!D387,FIND(" ",'Journal'!D387)-1),'Journal'!D387))</f>
        <v/>
      </c>
      <c r="E771" s="5">
        <f>IF('Journal'!D387="","",IFERROR(INDEX('Kontoplan'!$B$3:$B$302,MATCH('Journal'!D387,'Kontoplan'!$H$3:$H$302,0)),""))</f>
        <v/>
      </c>
      <c r="F771" s="20">
        <f>IF('Journal'!G387="","",'Journal'!G387)</f>
        <v/>
      </c>
      <c r="G771" s="20">
        <f>IF('Journal'!F387="","",'Journal'!F387)</f>
        <v/>
      </c>
      <c r="H771" s="5">
        <f>IF('Journal'!I387="","",'Journal'!I387)</f>
        <v/>
      </c>
    </row>
    <row r="772">
      <c r="A772" s="18">
        <f>IF('Journal'!A387="","",'Journal'!A387)</f>
        <v/>
      </c>
      <c r="B772" s="21">
        <f>IF('Journal'!B387="","",'Journal'!B387)</f>
        <v/>
      </c>
      <c r="C772" s="5">
        <f>IF('Journal'!C387="","",'Journal'!C387)</f>
        <v/>
      </c>
      <c r="D772" s="5">
        <f>IF('Journal'!E387="","",IFERROR(LEFT('Journal'!E387,FIND(" ",'Journal'!E387)-1),'Journal'!E387))</f>
        <v/>
      </c>
      <c r="E772" s="5">
        <f>IF('Journal'!E387="","",IFERROR(INDEX('Kontoplan'!$B$3:$B$302,MATCH('Journal'!E387,'Kontoplan'!$H$3:$H$302,0)),""))</f>
        <v/>
      </c>
      <c r="F772" s="20">
        <f>IF('Journal'!F387="","",'Journal'!F387)</f>
        <v/>
      </c>
      <c r="G772" s="20">
        <f>IF('Journal'!G387="","",'Journal'!G387)</f>
        <v/>
      </c>
      <c r="H772" s="5">
        <f>IF('Journal'!I387="","",'Journal'!I387)</f>
        <v/>
      </c>
    </row>
    <row r="773">
      <c r="A773" s="18">
        <f>IF('Journal'!A388="","",'Journal'!A388)</f>
        <v/>
      </c>
      <c r="B773" s="21">
        <f>IF('Journal'!B388="","",'Journal'!B388)</f>
        <v/>
      </c>
      <c r="C773" s="5">
        <f>IF('Journal'!C388="","",'Journal'!C388)</f>
        <v/>
      </c>
      <c r="D773" s="5">
        <f>IF('Journal'!D388="","",IFERROR(LEFT('Journal'!D388,FIND(" ",'Journal'!D388)-1),'Journal'!D388))</f>
        <v/>
      </c>
      <c r="E773" s="5">
        <f>IF('Journal'!D388="","",IFERROR(INDEX('Kontoplan'!$B$3:$B$302,MATCH('Journal'!D388,'Kontoplan'!$H$3:$H$302,0)),""))</f>
        <v/>
      </c>
      <c r="F773" s="20">
        <f>IF('Journal'!G388="","",'Journal'!G388)</f>
        <v/>
      </c>
      <c r="G773" s="20">
        <f>IF('Journal'!F388="","",'Journal'!F388)</f>
        <v/>
      </c>
      <c r="H773" s="5">
        <f>IF('Journal'!I388="","",'Journal'!I388)</f>
        <v/>
      </c>
    </row>
    <row r="774">
      <c r="A774" s="18">
        <f>IF('Journal'!A388="","",'Journal'!A388)</f>
        <v/>
      </c>
      <c r="B774" s="21">
        <f>IF('Journal'!B388="","",'Journal'!B388)</f>
        <v/>
      </c>
      <c r="C774" s="5">
        <f>IF('Journal'!C388="","",'Journal'!C388)</f>
        <v/>
      </c>
      <c r="D774" s="5">
        <f>IF('Journal'!E388="","",IFERROR(LEFT('Journal'!E388,FIND(" ",'Journal'!E388)-1),'Journal'!E388))</f>
        <v/>
      </c>
      <c r="E774" s="5">
        <f>IF('Journal'!E388="","",IFERROR(INDEX('Kontoplan'!$B$3:$B$302,MATCH('Journal'!E388,'Kontoplan'!$H$3:$H$302,0)),""))</f>
        <v/>
      </c>
      <c r="F774" s="20">
        <f>IF('Journal'!F388="","",'Journal'!F388)</f>
        <v/>
      </c>
      <c r="G774" s="20">
        <f>IF('Journal'!G388="","",'Journal'!G388)</f>
        <v/>
      </c>
      <c r="H774" s="5">
        <f>IF('Journal'!I388="","",'Journal'!I388)</f>
        <v/>
      </c>
    </row>
    <row r="775">
      <c r="A775" s="18">
        <f>IF('Journal'!A389="","",'Journal'!A389)</f>
        <v/>
      </c>
      <c r="B775" s="21">
        <f>IF('Journal'!B389="","",'Journal'!B389)</f>
        <v/>
      </c>
      <c r="C775" s="5">
        <f>IF('Journal'!C389="","",'Journal'!C389)</f>
        <v/>
      </c>
      <c r="D775" s="5">
        <f>IF('Journal'!D389="","",IFERROR(LEFT('Journal'!D389,FIND(" ",'Journal'!D389)-1),'Journal'!D389))</f>
        <v/>
      </c>
      <c r="E775" s="5">
        <f>IF('Journal'!D389="","",IFERROR(INDEX('Kontoplan'!$B$3:$B$302,MATCH('Journal'!D389,'Kontoplan'!$H$3:$H$302,0)),""))</f>
        <v/>
      </c>
      <c r="F775" s="20">
        <f>IF('Journal'!G389="","",'Journal'!G389)</f>
        <v/>
      </c>
      <c r="G775" s="20">
        <f>IF('Journal'!F389="","",'Journal'!F389)</f>
        <v/>
      </c>
      <c r="H775" s="5">
        <f>IF('Journal'!I389="","",'Journal'!I389)</f>
        <v/>
      </c>
    </row>
    <row r="776">
      <c r="A776" s="18">
        <f>IF('Journal'!A389="","",'Journal'!A389)</f>
        <v/>
      </c>
      <c r="B776" s="21">
        <f>IF('Journal'!B389="","",'Journal'!B389)</f>
        <v/>
      </c>
      <c r="C776" s="5">
        <f>IF('Journal'!C389="","",'Journal'!C389)</f>
        <v/>
      </c>
      <c r="D776" s="5">
        <f>IF('Journal'!E389="","",IFERROR(LEFT('Journal'!E389,FIND(" ",'Journal'!E389)-1),'Journal'!E389))</f>
        <v/>
      </c>
      <c r="E776" s="5">
        <f>IF('Journal'!E389="","",IFERROR(INDEX('Kontoplan'!$B$3:$B$302,MATCH('Journal'!E389,'Kontoplan'!$H$3:$H$302,0)),""))</f>
        <v/>
      </c>
      <c r="F776" s="20">
        <f>IF('Journal'!F389="","",'Journal'!F389)</f>
        <v/>
      </c>
      <c r="G776" s="20">
        <f>IF('Journal'!G389="","",'Journal'!G389)</f>
        <v/>
      </c>
      <c r="H776" s="5">
        <f>IF('Journal'!I389="","",'Journal'!I389)</f>
        <v/>
      </c>
    </row>
    <row r="777">
      <c r="A777" s="18">
        <f>IF('Journal'!A390="","",'Journal'!A390)</f>
        <v/>
      </c>
      <c r="B777" s="21">
        <f>IF('Journal'!B390="","",'Journal'!B390)</f>
        <v/>
      </c>
      <c r="C777" s="5">
        <f>IF('Journal'!C390="","",'Journal'!C390)</f>
        <v/>
      </c>
      <c r="D777" s="5">
        <f>IF('Journal'!D390="","",IFERROR(LEFT('Journal'!D390,FIND(" ",'Journal'!D390)-1),'Journal'!D390))</f>
        <v/>
      </c>
      <c r="E777" s="5">
        <f>IF('Journal'!D390="","",IFERROR(INDEX('Kontoplan'!$B$3:$B$302,MATCH('Journal'!D390,'Kontoplan'!$H$3:$H$302,0)),""))</f>
        <v/>
      </c>
      <c r="F777" s="20">
        <f>IF('Journal'!G390="","",'Journal'!G390)</f>
        <v/>
      </c>
      <c r="G777" s="20">
        <f>IF('Journal'!F390="","",'Journal'!F390)</f>
        <v/>
      </c>
      <c r="H777" s="5">
        <f>IF('Journal'!I390="","",'Journal'!I390)</f>
        <v/>
      </c>
    </row>
    <row r="778">
      <c r="A778" s="18">
        <f>IF('Journal'!A390="","",'Journal'!A390)</f>
        <v/>
      </c>
      <c r="B778" s="21">
        <f>IF('Journal'!B390="","",'Journal'!B390)</f>
        <v/>
      </c>
      <c r="C778" s="5">
        <f>IF('Journal'!C390="","",'Journal'!C390)</f>
        <v/>
      </c>
      <c r="D778" s="5">
        <f>IF('Journal'!E390="","",IFERROR(LEFT('Journal'!E390,FIND(" ",'Journal'!E390)-1),'Journal'!E390))</f>
        <v/>
      </c>
      <c r="E778" s="5">
        <f>IF('Journal'!E390="","",IFERROR(INDEX('Kontoplan'!$B$3:$B$302,MATCH('Journal'!E390,'Kontoplan'!$H$3:$H$302,0)),""))</f>
        <v/>
      </c>
      <c r="F778" s="20">
        <f>IF('Journal'!F390="","",'Journal'!F390)</f>
        <v/>
      </c>
      <c r="G778" s="20">
        <f>IF('Journal'!G390="","",'Journal'!G390)</f>
        <v/>
      </c>
      <c r="H778" s="5">
        <f>IF('Journal'!I390="","",'Journal'!I390)</f>
        <v/>
      </c>
    </row>
    <row r="779">
      <c r="A779" s="18">
        <f>IF('Journal'!A391="","",'Journal'!A391)</f>
        <v/>
      </c>
      <c r="B779" s="21">
        <f>IF('Journal'!B391="","",'Journal'!B391)</f>
        <v/>
      </c>
      <c r="C779" s="5">
        <f>IF('Journal'!C391="","",'Journal'!C391)</f>
        <v/>
      </c>
      <c r="D779" s="5">
        <f>IF('Journal'!D391="","",IFERROR(LEFT('Journal'!D391,FIND(" ",'Journal'!D391)-1),'Journal'!D391))</f>
        <v/>
      </c>
      <c r="E779" s="5">
        <f>IF('Journal'!D391="","",IFERROR(INDEX('Kontoplan'!$B$3:$B$302,MATCH('Journal'!D391,'Kontoplan'!$H$3:$H$302,0)),""))</f>
        <v/>
      </c>
      <c r="F779" s="20">
        <f>IF('Journal'!G391="","",'Journal'!G391)</f>
        <v/>
      </c>
      <c r="G779" s="20">
        <f>IF('Journal'!F391="","",'Journal'!F391)</f>
        <v/>
      </c>
      <c r="H779" s="5">
        <f>IF('Journal'!I391="","",'Journal'!I391)</f>
        <v/>
      </c>
    </row>
    <row r="780">
      <c r="A780" s="18">
        <f>IF('Journal'!A391="","",'Journal'!A391)</f>
        <v/>
      </c>
      <c r="B780" s="21">
        <f>IF('Journal'!B391="","",'Journal'!B391)</f>
        <v/>
      </c>
      <c r="C780" s="5">
        <f>IF('Journal'!C391="","",'Journal'!C391)</f>
        <v/>
      </c>
      <c r="D780" s="5">
        <f>IF('Journal'!E391="","",IFERROR(LEFT('Journal'!E391,FIND(" ",'Journal'!E391)-1),'Journal'!E391))</f>
        <v/>
      </c>
      <c r="E780" s="5">
        <f>IF('Journal'!E391="","",IFERROR(INDEX('Kontoplan'!$B$3:$B$302,MATCH('Journal'!E391,'Kontoplan'!$H$3:$H$302,0)),""))</f>
        <v/>
      </c>
      <c r="F780" s="20">
        <f>IF('Journal'!F391="","",'Journal'!F391)</f>
        <v/>
      </c>
      <c r="G780" s="20">
        <f>IF('Journal'!G391="","",'Journal'!G391)</f>
        <v/>
      </c>
      <c r="H780" s="5">
        <f>IF('Journal'!I391="","",'Journal'!I391)</f>
        <v/>
      </c>
    </row>
    <row r="781">
      <c r="A781" s="18">
        <f>IF('Journal'!A392="","",'Journal'!A392)</f>
        <v/>
      </c>
      <c r="B781" s="21">
        <f>IF('Journal'!B392="","",'Journal'!B392)</f>
        <v/>
      </c>
      <c r="C781" s="5">
        <f>IF('Journal'!C392="","",'Journal'!C392)</f>
        <v/>
      </c>
      <c r="D781" s="5">
        <f>IF('Journal'!D392="","",IFERROR(LEFT('Journal'!D392,FIND(" ",'Journal'!D392)-1),'Journal'!D392))</f>
        <v/>
      </c>
      <c r="E781" s="5">
        <f>IF('Journal'!D392="","",IFERROR(INDEX('Kontoplan'!$B$3:$B$302,MATCH('Journal'!D392,'Kontoplan'!$H$3:$H$302,0)),""))</f>
        <v/>
      </c>
      <c r="F781" s="20">
        <f>IF('Journal'!G392="","",'Journal'!G392)</f>
        <v/>
      </c>
      <c r="G781" s="20">
        <f>IF('Journal'!F392="","",'Journal'!F392)</f>
        <v/>
      </c>
      <c r="H781" s="5">
        <f>IF('Journal'!I392="","",'Journal'!I392)</f>
        <v/>
      </c>
    </row>
    <row r="782">
      <c r="A782" s="18">
        <f>IF('Journal'!A392="","",'Journal'!A392)</f>
        <v/>
      </c>
      <c r="B782" s="21">
        <f>IF('Journal'!B392="","",'Journal'!B392)</f>
        <v/>
      </c>
      <c r="C782" s="5">
        <f>IF('Journal'!C392="","",'Journal'!C392)</f>
        <v/>
      </c>
      <c r="D782" s="5">
        <f>IF('Journal'!E392="","",IFERROR(LEFT('Journal'!E392,FIND(" ",'Journal'!E392)-1),'Journal'!E392))</f>
        <v/>
      </c>
      <c r="E782" s="5">
        <f>IF('Journal'!E392="","",IFERROR(INDEX('Kontoplan'!$B$3:$B$302,MATCH('Journal'!E392,'Kontoplan'!$H$3:$H$302,0)),""))</f>
        <v/>
      </c>
      <c r="F782" s="20">
        <f>IF('Journal'!F392="","",'Journal'!F392)</f>
        <v/>
      </c>
      <c r="G782" s="20">
        <f>IF('Journal'!G392="","",'Journal'!G392)</f>
        <v/>
      </c>
      <c r="H782" s="5">
        <f>IF('Journal'!I392="","",'Journal'!I392)</f>
        <v/>
      </c>
    </row>
    <row r="783">
      <c r="A783" s="18">
        <f>IF('Journal'!A393="","",'Journal'!A393)</f>
        <v/>
      </c>
      <c r="B783" s="21">
        <f>IF('Journal'!B393="","",'Journal'!B393)</f>
        <v/>
      </c>
      <c r="C783" s="5">
        <f>IF('Journal'!C393="","",'Journal'!C393)</f>
        <v/>
      </c>
      <c r="D783" s="5">
        <f>IF('Journal'!D393="","",IFERROR(LEFT('Journal'!D393,FIND(" ",'Journal'!D393)-1),'Journal'!D393))</f>
        <v/>
      </c>
      <c r="E783" s="5">
        <f>IF('Journal'!D393="","",IFERROR(INDEX('Kontoplan'!$B$3:$B$302,MATCH('Journal'!D393,'Kontoplan'!$H$3:$H$302,0)),""))</f>
        <v/>
      </c>
      <c r="F783" s="20">
        <f>IF('Journal'!G393="","",'Journal'!G393)</f>
        <v/>
      </c>
      <c r="G783" s="20">
        <f>IF('Journal'!F393="","",'Journal'!F393)</f>
        <v/>
      </c>
      <c r="H783" s="5">
        <f>IF('Journal'!I393="","",'Journal'!I393)</f>
        <v/>
      </c>
    </row>
    <row r="784">
      <c r="A784" s="18">
        <f>IF('Journal'!A393="","",'Journal'!A393)</f>
        <v/>
      </c>
      <c r="B784" s="21">
        <f>IF('Journal'!B393="","",'Journal'!B393)</f>
        <v/>
      </c>
      <c r="C784" s="5">
        <f>IF('Journal'!C393="","",'Journal'!C393)</f>
        <v/>
      </c>
      <c r="D784" s="5">
        <f>IF('Journal'!E393="","",IFERROR(LEFT('Journal'!E393,FIND(" ",'Journal'!E393)-1),'Journal'!E393))</f>
        <v/>
      </c>
      <c r="E784" s="5">
        <f>IF('Journal'!E393="","",IFERROR(INDEX('Kontoplan'!$B$3:$B$302,MATCH('Journal'!E393,'Kontoplan'!$H$3:$H$302,0)),""))</f>
        <v/>
      </c>
      <c r="F784" s="20">
        <f>IF('Journal'!F393="","",'Journal'!F393)</f>
        <v/>
      </c>
      <c r="G784" s="20">
        <f>IF('Journal'!G393="","",'Journal'!G393)</f>
        <v/>
      </c>
      <c r="H784" s="5">
        <f>IF('Journal'!I393="","",'Journal'!I393)</f>
        <v/>
      </c>
    </row>
    <row r="785">
      <c r="A785" s="18">
        <f>IF('Journal'!A394="","",'Journal'!A394)</f>
        <v/>
      </c>
      <c r="B785" s="21">
        <f>IF('Journal'!B394="","",'Journal'!B394)</f>
        <v/>
      </c>
      <c r="C785" s="5">
        <f>IF('Journal'!C394="","",'Journal'!C394)</f>
        <v/>
      </c>
      <c r="D785" s="5">
        <f>IF('Journal'!D394="","",IFERROR(LEFT('Journal'!D394,FIND(" ",'Journal'!D394)-1),'Journal'!D394))</f>
        <v/>
      </c>
      <c r="E785" s="5">
        <f>IF('Journal'!D394="","",IFERROR(INDEX('Kontoplan'!$B$3:$B$302,MATCH('Journal'!D394,'Kontoplan'!$H$3:$H$302,0)),""))</f>
        <v/>
      </c>
      <c r="F785" s="20">
        <f>IF('Journal'!G394="","",'Journal'!G394)</f>
        <v/>
      </c>
      <c r="G785" s="20">
        <f>IF('Journal'!F394="","",'Journal'!F394)</f>
        <v/>
      </c>
      <c r="H785" s="5">
        <f>IF('Journal'!I394="","",'Journal'!I394)</f>
        <v/>
      </c>
    </row>
    <row r="786">
      <c r="A786" s="18">
        <f>IF('Journal'!A394="","",'Journal'!A394)</f>
        <v/>
      </c>
      <c r="B786" s="21">
        <f>IF('Journal'!B394="","",'Journal'!B394)</f>
        <v/>
      </c>
      <c r="C786" s="5">
        <f>IF('Journal'!C394="","",'Journal'!C394)</f>
        <v/>
      </c>
      <c r="D786" s="5">
        <f>IF('Journal'!E394="","",IFERROR(LEFT('Journal'!E394,FIND(" ",'Journal'!E394)-1),'Journal'!E394))</f>
        <v/>
      </c>
      <c r="E786" s="5">
        <f>IF('Journal'!E394="","",IFERROR(INDEX('Kontoplan'!$B$3:$B$302,MATCH('Journal'!E394,'Kontoplan'!$H$3:$H$302,0)),""))</f>
        <v/>
      </c>
      <c r="F786" s="20">
        <f>IF('Journal'!F394="","",'Journal'!F394)</f>
        <v/>
      </c>
      <c r="G786" s="20">
        <f>IF('Journal'!G394="","",'Journal'!G394)</f>
        <v/>
      </c>
      <c r="H786" s="5">
        <f>IF('Journal'!I394="","",'Journal'!I394)</f>
        <v/>
      </c>
    </row>
    <row r="787">
      <c r="A787" s="18">
        <f>IF('Journal'!A395="","",'Journal'!A395)</f>
        <v/>
      </c>
      <c r="B787" s="21">
        <f>IF('Journal'!B395="","",'Journal'!B395)</f>
        <v/>
      </c>
      <c r="C787" s="5">
        <f>IF('Journal'!C395="","",'Journal'!C395)</f>
        <v/>
      </c>
      <c r="D787" s="5">
        <f>IF('Journal'!D395="","",IFERROR(LEFT('Journal'!D395,FIND(" ",'Journal'!D395)-1),'Journal'!D395))</f>
        <v/>
      </c>
      <c r="E787" s="5">
        <f>IF('Journal'!D395="","",IFERROR(INDEX('Kontoplan'!$B$3:$B$302,MATCH('Journal'!D395,'Kontoplan'!$H$3:$H$302,0)),""))</f>
        <v/>
      </c>
      <c r="F787" s="20">
        <f>IF('Journal'!G395="","",'Journal'!G395)</f>
        <v/>
      </c>
      <c r="G787" s="20">
        <f>IF('Journal'!F395="","",'Journal'!F395)</f>
        <v/>
      </c>
      <c r="H787" s="5">
        <f>IF('Journal'!I395="","",'Journal'!I395)</f>
        <v/>
      </c>
    </row>
    <row r="788">
      <c r="A788" s="18">
        <f>IF('Journal'!A395="","",'Journal'!A395)</f>
        <v/>
      </c>
      <c r="B788" s="21">
        <f>IF('Journal'!B395="","",'Journal'!B395)</f>
        <v/>
      </c>
      <c r="C788" s="5">
        <f>IF('Journal'!C395="","",'Journal'!C395)</f>
        <v/>
      </c>
      <c r="D788" s="5">
        <f>IF('Journal'!E395="","",IFERROR(LEFT('Journal'!E395,FIND(" ",'Journal'!E395)-1),'Journal'!E395))</f>
        <v/>
      </c>
      <c r="E788" s="5">
        <f>IF('Journal'!E395="","",IFERROR(INDEX('Kontoplan'!$B$3:$B$302,MATCH('Journal'!E395,'Kontoplan'!$H$3:$H$302,0)),""))</f>
        <v/>
      </c>
      <c r="F788" s="20">
        <f>IF('Journal'!F395="","",'Journal'!F395)</f>
        <v/>
      </c>
      <c r="G788" s="20">
        <f>IF('Journal'!G395="","",'Journal'!G395)</f>
        <v/>
      </c>
      <c r="H788" s="5">
        <f>IF('Journal'!I395="","",'Journal'!I395)</f>
        <v/>
      </c>
    </row>
    <row r="789">
      <c r="A789" s="18">
        <f>IF('Journal'!A396="","",'Journal'!A396)</f>
        <v/>
      </c>
      <c r="B789" s="21">
        <f>IF('Journal'!B396="","",'Journal'!B396)</f>
        <v/>
      </c>
      <c r="C789" s="5">
        <f>IF('Journal'!C396="","",'Journal'!C396)</f>
        <v/>
      </c>
      <c r="D789" s="5">
        <f>IF('Journal'!D396="","",IFERROR(LEFT('Journal'!D396,FIND(" ",'Journal'!D396)-1),'Journal'!D396))</f>
        <v/>
      </c>
      <c r="E789" s="5">
        <f>IF('Journal'!D396="","",IFERROR(INDEX('Kontoplan'!$B$3:$B$302,MATCH('Journal'!D396,'Kontoplan'!$H$3:$H$302,0)),""))</f>
        <v/>
      </c>
      <c r="F789" s="20">
        <f>IF('Journal'!G396="","",'Journal'!G396)</f>
        <v/>
      </c>
      <c r="G789" s="20">
        <f>IF('Journal'!F396="","",'Journal'!F396)</f>
        <v/>
      </c>
      <c r="H789" s="5">
        <f>IF('Journal'!I396="","",'Journal'!I396)</f>
        <v/>
      </c>
    </row>
    <row r="790">
      <c r="A790" s="18">
        <f>IF('Journal'!A396="","",'Journal'!A396)</f>
        <v/>
      </c>
      <c r="B790" s="21">
        <f>IF('Journal'!B396="","",'Journal'!B396)</f>
        <v/>
      </c>
      <c r="C790" s="5">
        <f>IF('Journal'!C396="","",'Journal'!C396)</f>
        <v/>
      </c>
      <c r="D790" s="5">
        <f>IF('Journal'!E396="","",IFERROR(LEFT('Journal'!E396,FIND(" ",'Journal'!E396)-1),'Journal'!E396))</f>
        <v/>
      </c>
      <c r="E790" s="5">
        <f>IF('Journal'!E396="","",IFERROR(INDEX('Kontoplan'!$B$3:$B$302,MATCH('Journal'!E396,'Kontoplan'!$H$3:$H$302,0)),""))</f>
        <v/>
      </c>
      <c r="F790" s="20">
        <f>IF('Journal'!F396="","",'Journal'!F396)</f>
        <v/>
      </c>
      <c r="G790" s="20">
        <f>IF('Journal'!G396="","",'Journal'!G396)</f>
        <v/>
      </c>
      <c r="H790" s="5">
        <f>IF('Journal'!I396="","",'Journal'!I396)</f>
        <v/>
      </c>
    </row>
    <row r="791">
      <c r="A791" s="18">
        <f>IF('Journal'!A397="","",'Journal'!A397)</f>
        <v/>
      </c>
      <c r="B791" s="21">
        <f>IF('Journal'!B397="","",'Journal'!B397)</f>
        <v/>
      </c>
      <c r="C791" s="5">
        <f>IF('Journal'!C397="","",'Journal'!C397)</f>
        <v/>
      </c>
      <c r="D791" s="5">
        <f>IF('Journal'!D397="","",IFERROR(LEFT('Journal'!D397,FIND(" ",'Journal'!D397)-1),'Journal'!D397))</f>
        <v/>
      </c>
      <c r="E791" s="5">
        <f>IF('Journal'!D397="","",IFERROR(INDEX('Kontoplan'!$B$3:$B$302,MATCH('Journal'!D397,'Kontoplan'!$H$3:$H$302,0)),""))</f>
        <v/>
      </c>
      <c r="F791" s="20">
        <f>IF('Journal'!G397="","",'Journal'!G397)</f>
        <v/>
      </c>
      <c r="G791" s="20">
        <f>IF('Journal'!F397="","",'Journal'!F397)</f>
        <v/>
      </c>
      <c r="H791" s="5">
        <f>IF('Journal'!I397="","",'Journal'!I397)</f>
        <v/>
      </c>
    </row>
    <row r="792">
      <c r="A792" s="18">
        <f>IF('Journal'!A397="","",'Journal'!A397)</f>
        <v/>
      </c>
      <c r="B792" s="21">
        <f>IF('Journal'!B397="","",'Journal'!B397)</f>
        <v/>
      </c>
      <c r="C792" s="5">
        <f>IF('Journal'!C397="","",'Journal'!C397)</f>
        <v/>
      </c>
      <c r="D792" s="5">
        <f>IF('Journal'!E397="","",IFERROR(LEFT('Journal'!E397,FIND(" ",'Journal'!E397)-1),'Journal'!E397))</f>
        <v/>
      </c>
      <c r="E792" s="5">
        <f>IF('Journal'!E397="","",IFERROR(INDEX('Kontoplan'!$B$3:$B$302,MATCH('Journal'!E397,'Kontoplan'!$H$3:$H$302,0)),""))</f>
        <v/>
      </c>
      <c r="F792" s="20">
        <f>IF('Journal'!F397="","",'Journal'!F397)</f>
        <v/>
      </c>
      <c r="G792" s="20">
        <f>IF('Journal'!G397="","",'Journal'!G397)</f>
        <v/>
      </c>
      <c r="H792" s="5">
        <f>IF('Journal'!I397="","",'Journal'!I397)</f>
        <v/>
      </c>
    </row>
    <row r="793">
      <c r="A793" s="18">
        <f>IF('Journal'!A398="","",'Journal'!A398)</f>
        <v/>
      </c>
      <c r="B793" s="21">
        <f>IF('Journal'!B398="","",'Journal'!B398)</f>
        <v/>
      </c>
      <c r="C793" s="5">
        <f>IF('Journal'!C398="","",'Journal'!C398)</f>
        <v/>
      </c>
      <c r="D793" s="5">
        <f>IF('Journal'!D398="","",IFERROR(LEFT('Journal'!D398,FIND(" ",'Journal'!D398)-1),'Journal'!D398))</f>
        <v/>
      </c>
      <c r="E793" s="5">
        <f>IF('Journal'!D398="","",IFERROR(INDEX('Kontoplan'!$B$3:$B$302,MATCH('Journal'!D398,'Kontoplan'!$H$3:$H$302,0)),""))</f>
        <v/>
      </c>
      <c r="F793" s="20">
        <f>IF('Journal'!G398="","",'Journal'!G398)</f>
        <v/>
      </c>
      <c r="G793" s="20">
        <f>IF('Journal'!F398="","",'Journal'!F398)</f>
        <v/>
      </c>
      <c r="H793" s="5">
        <f>IF('Journal'!I398="","",'Journal'!I398)</f>
        <v/>
      </c>
    </row>
    <row r="794">
      <c r="A794" s="18">
        <f>IF('Journal'!A398="","",'Journal'!A398)</f>
        <v/>
      </c>
      <c r="B794" s="21">
        <f>IF('Journal'!B398="","",'Journal'!B398)</f>
        <v/>
      </c>
      <c r="C794" s="5">
        <f>IF('Journal'!C398="","",'Journal'!C398)</f>
        <v/>
      </c>
      <c r="D794" s="5">
        <f>IF('Journal'!E398="","",IFERROR(LEFT('Journal'!E398,FIND(" ",'Journal'!E398)-1),'Journal'!E398))</f>
        <v/>
      </c>
      <c r="E794" s="5">
        <f>IF('Journal'!E398="","",IFERROR(INDEX('Kontoplan'!$B$3:$B$302,MATCH('Journal'!E398,'Kontoplan'!$H$3:$H$302,0)),""))</f>
        <v/>
      </c>
      <c r="F794" s="20">
        <f>IF('Journal'!F398="","",'Journal'!F398)</f>
        <v/>
      </c>
      <c r="G794" s="20">
        <f>IF('Journal'!G398="","",'Journal'!G398)</f>
        <v/>
      </c>
      <c r="H794" s="5">
        <f>IF('Journal'!I398="","",'Journal'!I398)</f>
        <v/>
      </c>
    </row>
    <row r="795">
      <c r="A795" s="18">
        <f>IF('Journal'!A399="","",'Journal'!A399)</f>
        <v/>
      </c>
      <c r="B795" s="21">
        <f>IF('Journal'!B399="","",'Journal'!B399)</f>
        <v/>
      </c>
      <c r="C795" s="5">
        <f>IF('Journal'!C399="","",'Journal'!C399)</f>
        <v/>
      </c>
      <c r="D795" s="5">
        <f>IF('Journal'!D399="","",IFERROR(LEFT('Journal'!D399,FIND(" ",'Journal'!D399)-1),'Journal'!D399))</f>
        <v/>
      </c>
      <c r="E795" s="5">
        <f>IF('Journal'!D399="","",IFERROR(INDEX('Kontoplan'!$B$3:$B$302,MATCH('Journal'!D399,'Kontoplan'!$H$3:$H$302,0)),""))</f>
        <v/>
      </c>
      <c r="F795" s="20">
        <f>IF('Journal'!G399="","",'Journal'!G399)</f>
        <v/>
      </c>
      <c r="G795" s="20">
        <f>IF('Journal'!F399="","",'Journal'!F399)</f>
        <v/>
      </c>
      <c r="H795" s="5">
        <f>IF('Journal'!I399="","",'Journal'!I399)</f>
        <v/>
      </c>
    </row>
    <row r="796">
      <c r="A796" s="18">
        <f>IF('Journal'!A399="","",'Journal'!A399)</f>
        <v/>
      </c>
      <c r="B796" s="21">
        <f>IF('Journal'!B399="","",'Journal'!B399)</f>
        <v/>
      </c>
      <c r="C796" s="5">
        <f>IF('Journal'!C399="","",'Journal'!C399)</f>
        <v/>
      </c>
      <c r="D796" s="5">
        <f>IF('Journal'!E399="","",IFERROR(LEFT('Journal'!E399,FIND(" ",'Journal'!E399)-1),'Journal'!E399))</f>
        <v/>
      </c>
      <c r="E796" s="5">
        <f>IF('Journal'!E399="","",IFERROR(INDEX('Kontoplan'!$B$3:$B$302,MATCH('Journal'!E399,'Kontoplan'!$H$3:$H$302,0)),""))</f>
        <v/>
      </c>
      <c r="F796" s="20">
        <f>IF('Journal'!F399="","",'Journal'!F399)</f>
        <v/>
      </c>
      <c r="G796" s="20">
        <f>IF('Journal'!G399="","",'Journal'!G399)</f>
        <v/>
      </c>
      <c r="H796" s="5">
        <f>IF('Journal'!I399="","",'Journal'!I399)</f>
        <v/>
      </c>
    </row>
    <row r="797">
      <c r="A797" s="18">
        <f>IF('Journal'!A400="","",'Journal'!A400)</f>
        <v/>
      </c>
      <c r="B797" s="21">
        <f>IF('Journal'!B400="","",'Journal'!B400)</f>
        <v/>
      </c>
      <c r="C797" s="5">
        <f>IF('Journal'!C400="","",'Journal'!C400)</f>
        <v/>
      </c>
      <c r="D797" s="5">
        <f>IF('Journal'!D400="","",IFERROR(LEFT('Journal'!D400,FIND(" ",'Journal'!D400)-1),'Journal'!D400))</f>
        <v/>
      </c>
      <c r="E797" s="5">
        <f>IF('Journal'!D400="","",IFERROR(INDEX('Kontoplan'!$B$3:$B$302,MATCH('Journal'!D400,'Kontoplan'!$H$3:$H$302,0)),""))</f>
        <v/>
      </c>
      <c r="F797" s="20">
        <f>IF('Journal'!G400="","",'Journal'!G400)</f>
        <v/>
      </c>
      <c r="G797" s="20">
        <f>IF('Journal'!F400="","",'Journal'!F400)</f>
        <v/>
      </c>
      <c r="H797" s="5">
        <f>IF('Journal'!I400="","",'Journal'!I400)</f>
        <v/>
      </c>
    </row>
    <row r="798">
      <c r="A798" s="18">
        <f>IF('Journal'!A400="","",'Journal'!A400)</f>
        <v/>
      </c>
      <c r="B798" s="21">
        <f>IF('Journal'!B400="","",'Journal'!B400)</f>
        <v/>
      </c>
      <c r="C798" s="5">
        <f>IF('Journal'!C400="","",'Journal'!C400)</f>
        <v/>
      </c>
      <c r="D798" s="5">
        <f>IF('Journal'!E400="","",IFERROR(LEFT('Journal'!E400,FIND(" ",'Journal'!E400)-1),'Journal'!E400))</f>
        <v/>
      </c>
      <c r="E798" s="5">
        <f>IF('Journal'!E400="","",IFERROR(INDEX('Kontoplan'!$B$3:$B$302,MATCH('Journal'!E400,'Kontoplan'!$H$3:$H$302,0)),""))</f>
        <v/>
      </c>
      <c r="F798" s="20">
        <f>IF('Journal'!F400="","",'Journal'!F400)</f>
        <v/>
      </c>
      <c r="G798" s="20">
        <f>IF('Journal'!G400="","",'Journal'!G400)</f>
        <v/>
      </c>
      <c r="H798" s="5">
        <f>IF('Journal'!I400="","",'Journal'!I400)</f>
        <v/>
      </c>
    </row>
    <row r="799">
      <c r="A799" s="18">
        <f>IF('Journal'!A401="","",'Journal'!A401)</f>
        <v/>
      </c>
      <c r="B799" s="21">
        <f>IF('Journal'!B401="","",'Journal'!B401)</f>
        <v/>
      </c>
      <c r="C799" s="5">
        <f>IF('Journal'!C401="","",'Journal'!C401)</f>
        <v/>
      </c>
      <c r="D799" s="5">
        <f>IF('Journal'!D401="","",IFERROR(LEFT('Journal'!D401,FIND(" ",'Journal'!D401)-1),'Journal'!D401))</f>
        <v/>
      </c>
      <c r="E799" s="5">
        <f>IF('Journal'!D401="","",IFERROR(INDEX('Kontoplan'!$B$3:$B$302,MATCH('Journal'!D401,'Kontoplan'!$H$3:$H$302,0)),""))</f>
        <v/>
      </c>
      <c r="F799" s="20">
        <f>IF('Journal'!G401="","",'Journal'!G401)</f>
        <v/>
      </c>
      <c r="G799" s="20">
        <f>IF('Journal'!F401="","",'Journal'!F401)</f>
        <v/>
      </c>
      <c r="H799" s="5">
        <f>IF('Journal'!I401="","",'Journal'!I401)</f>
        <v/>
      </c>
    </row>
    <row r="800">
      <c r="A800" s="18">
        <f>IF('Journal'!A401="","",'Journal'!A401)</f>
        <v/>
      </c>
      <c r="B800" s="21">
        <f>IF('Journal'!B401="","",'Journal'!B401)</f>
        <v/>
      </c>
      <c r="C800" s="5">
        <f>IF('Journal'!C401="","",'Journal'!C401)</f>
        <v/>
      </c>
      <c r="D800" s="5">
        <f>IF('Journal'!E401="","",IFERROR(LEFT('Journal'!E401,FIND(" ",'Journal'!E401)-1),'Journal'!E401))</f>
        <v/>
      </c>
      <c r="E800" s="5">
        <f>IF('Journal'!E401="","",IFERROR(INDEX('Kontoplan'!$B$3:$B$302,MATCH('Journal'!E401,'Kontoplan'!$H$3:$H$302,0)),""))</f>
        <v/>
      </c>
      <c r="F800" s="20">
        <f>IF('Journal'!F401="","",'Journal'!F401)</f>
        <v/>
      </c>
      <c r="G800" s="20">
        <f>IF('Journal'!G401="","",'Journal'!G401)</f>
        <v/>
      </c>
      <c r="H800" s="5">
        <f>IF('Journal'!I401="","",'Journal'!I401)</f>
        <v/>
      </c>
    </row>
    <row r="801">
      <c r="A801" s="18">
        <f>IF('Journal'!A402="","",'Journal'!A402)</f>
        <v/>
      </c>
      <c r="B801" s="21">
        <f>IF('Journal'!B402="","",'Journal'!B402)</f>
        <v/>
      </c>
      <c r="C801" s="5">
        <f>IF('Journal'!C402="","",'Journal'!C402)</f>
        <v/>
      </c>
      <c r="D801" s="5">
        <f>IF('Journal'!D402="","",IFERROR(LEFT('Journal'!D402,FIND(" ",'Journal'!D402)-1),'Journal'!D402))</f>
        <v/>
      </c>
      <c r="E801" s="5">
        <f>IF('Journal'!D402="","",IFERROR(INDEX('Kontoplan'!$B$3:$B$302,MATCH('Journal'!D402,'Kontoplan'!$H$3:$H$302,0)),""))</f>
        <v/>
      </c>
      <c r="F801" s="20">
        <f>IF('Journal'!G402="","",'Journal'!G402)</f>
        <v/>
      </c>
      <c r="G801" s="20">
        <f>IF('Journal'!F402="","",'Journal'!F402)</f>
        <v/>
      </c>
      <c r="H801" s="5">
        <f>IF('Journal'!I402="","",'Journal'!I402)</f>
        <v/>
      </c>
    </row>
    <row r="802">
      <c r="A802" s="18">
        <f>IF('Journal'!A402="","",'Journal'!A402)</f>
        <v/>
      </c>
      <c r="B802" s="21">
        <f>IF('Journal'!B402="","",'Journal'!B402)</f>
        <v/>
      </c>
      <c r="C802" s="5">
        <f>IF('Journal'!C402="","",'Journal'!C402)</f>
        <v/>
      </c>
      <c r="D802" s="5">
        <f>IF('Journal'!E402="","",IFERROR(LEFT('Journal'!E402,FIND(" ",'Journal'!E402)-1),'Journal'!E402))</f>
        <v/>
      </c>
      <c r="E802" s="5">
        <f>IF('Journal'!E402="","",IFERROR(INDEX('Kontoplan'!$B$3:$B$302,MATCH('Journal'!E402,'Kontoplan'!$H$3:$H$302,0)),""))</f>
        <v/>
      </c>
      <c r="F802" s="20">
        <f>IF('Journal'!F402="","",'Journal'!F402)</f>
        <v/>
      </c>
      <c r="G802" s="20">
        <f>IF('Journal'!G402="","",'Journal'!G402)</f>
        <v/>
      </c>
      <c r="H802" s="5">
        <f>IF('Journal'!I402="","",'Journal'!I402)</f>
        <v/>
      </c>
    </row>
    <row r="803">
      <c r="A803" s="18">
        <f>IF('Journal'!A403="","",'Journal'!A403)</f>
        <v/>
      </c>
      <c r="B803" s="21">
        <f>IF('Journal'!B403="","",'Journal'!B403)</f>
        <v/>
      </c>
      <c r="C803" s="5">
        <f>IF('Journal'!C403="","",'Journal'!C403)</f>
        <v/>
      </c>
      <c r="D803" s="5">
        <f>IF('Journal'!D403="","",IFERROR(LEFT('Journal'!D403,FIND(" ",'Journal'!D403)-1),'Journal'!D403))</f>
        <v/>
      </c>
      <c r="E803" s="5">
        <f>IF('Journal'!D403="","",IFERROR(INDEX('Kontoplan'!$B$3:$B$302,MATCH('Journal'!D403,'Kontoplan'!$H$3:$H$302,0)),""))</f>
        <v/>
      </c>
      <c r="F803" s="20">
        <f>IF('Journal'!G403="","",'Journal'!G403)</f>
        <v/>
      </c>
      <c r="G803" s="20">
        <f>IF('Journal'!F403="","",'Journal'!F403)</f>
        <v/>
      </c>
      <c r="H803" s="5">
        <f>IF('Journal'!I403="","",'Journal'!I403)</f>
        <v/>
      </c>
    </row>
    <row r="804">
      <c r="A804" s="18">
        <f>IF('Journal'!A403="","",'Journal'!A403)</f>
        <v/>
      </c>
      <c r="B804" s="21">
        <f>IF('Journal'!B403="","",'Journal'!B403)</f>
        <v/>
      </c>
      <c r="C804" s="5">
        <f>IF('Journal'!C403="","",'Journal'!C403)</f>
        <v/>
      </c>
      <c r="D804" s="5">
        <f>IF('Journal'!E403="","",IFERROR(LEFT('Journal'!E403,FIND(" ",'Journal'!E403)-1),'Journal'!E403))</f>
        <v/>
      </c>
      <c r="E804" s="5">
        <f>IF('Journal'!E403="","",IFERROR(INDEX('Kontoplan'!$B$3:$B$302,MATCH('Journal'!E403,'Kontoplan'!$H$3:$H$302,0)),""))</f>
        <v/>
      </c>
      <c r="F804" s="20">
        <f>IF('Journal'!F403="","",'Journal'!F403)</f>
        <v/>
      </c>
      <c r="G804" s="20">
        <f>IF('Journal'!G403="","",'Journal'!G403)</f>
        <v/>
      </c>
      <c r="H804" s="5">
        <f>IF('Journal'!I403="","",'Journal'!I403)</f>
        <v/>
      </c>
    </row>
    <row r="805">
      <c r="A805" s="18">
        <f>IF('Journal'!A404="","",'Journal'!A404)</f>
        <v/>
      </c>
      <c r="B805" s="21">
        <f>IF('Journal'!B404="","",'Journal'!B404)</f>
        <v/>
      </c>
      <c r="C805" s="5">
        <f>IF('Journal'!C404="","",'Journal'!C404)</f>
        <v/>
      </c>
      <c r="D805" s="5">
        <f>IF('Journal'!D404="","",IFERROR(LEFT('Journal'!D404,FIND(" ",'Journal'!D404)-1),'Journal'!D404))</f>
        <v/>
      </c>
      <c r="E805" s="5">
        <f>IF('Journal'!D404="","",IFERROR(INDEX('Kontoplan'!$B$3:$B$302,MATCH('Journal'!D404,'Kontoplan'!$H$3:$H$302,0)),""))</f>
        <v/>
      </c>
      <c r="F805" s="20">
        <f>IF('Journal'!G404="","",'Journal'!G404)</f>
        <v/>
      </c>
      <c r="G805" s="20">
        <f>IF('Journal'!F404="","",'Journal'!F404)</f>
        <v/>
      </c>
      <c r="H805" s="5">
        <f>IF('Journal'!I404="","",'Journal'!I404)</f>
        <v/>
      </c>
    </row>
    <row r="806">
      <c r="A806" s="18">
        <f>IF('Journal'!A404="","",'Journal'!A404)</f>
        <v/>
      </c>
      <c r="B806" s="21">
        <f>IF('Journal'!B404="","",'Journal'!B404)</f>
        <v/>
      </c>
      <c r="C806" s="5">
        <f>IF('Journal'!C404="","",'Journal'!C404)</f>
        <v/>
      </c>
      <c r="D806" s="5">
        <f>IF('Journal'!E404="","",IFERROR(LEFT('Journal'!E404,FIND(" ",'Journal'!E404)-1),'Journal'!E404))</f>
        <v/>
      </c>
      <c r="E806" s="5">
        <f>IF('Journal'!E404="","",IFERROR(INDEX('Kontoplan'!$B$3:$B$302,MATCH('Journal'!E404,'Kontoplan'!$H$3:$H$302,0)),""))</f>
        <v/>
      </c>
      <c r="F806" s="20">
        <f>IF('Journal'!F404="","",'Journal'!F404)</f>
        <v/>
      </c>
      <c r="G806" s="20">
        <f>IF('Journal'!G404="","",'Journal'!G404)</f>
        <v/>
      </c>
      <c r="H806" s="5">
        <f>IF('Journal'!I404="","",'Journal'!I404)</f>
        <v/>
      </c>
    </row>
    <row r="807">
      <c r="A807" s="18">
        <f>IF('Journal'!A405="","",'Journal'!A405)</f>
        <v/>
      </c>
      <c r="B807" s="21">
        <f>IF('Journal'!B405="","",'Journal'!B405)</f>
        <v/>
      </c>
      <c r="C807" s="5">
        <f>IF('Journal'!C405="","",'Journal'!C405)</f>
        <v/>
      </c>
      <c r="D807" s="5">
        <f>IF('Journal'!D405="","",IFERROR(LEFT('Journal'!D405,FIND(" ",'Journal'!D405)-1),'Journal'!D405))</f>
        <v/>
      </c>
      <c r="E807" s="5">
        <f>IF('Journal'!D405="","",IFERROR(INDEX('Kontoplan'!$B$3:$B$302,MATCH('Journal'!D405,'Kontoplan'!$H$3:$H$302,0)),""))</f>
        <v/>
      </c>
      <c r="F807" s="20">
        <f>IF('Journal'!G405="","",'Journal'!G405)</f>
        <v/>
      </c>
      <c r="G807" s="20">
        <f>IF('Journal'!F405="","",'Journal'!F405)</f>
        <v/>
      </c>
      <c r="H807" s="5">
        <f>IF('Journal'!I405="","",'Journal'!I405)</f>
        <v/>
      </c>
    </row>
    <row r="808">
      <c r="A808" s="18">
        <f>IF('Journal'!A405="","",'Journal'!A405)</f>
        <v/>
      </c>
      <c r="B808" s="21">
        <f>IF('Journal'!B405="","",'Journal'!B405)</f>
        <v/>
      </c>
      <c r="C808" s="5">
        <f>IF('Journal'!C405="","",'Journal'!C405)</f>
        <v/>
      </c>
      <c r="D808" s="5">
        <f>IF('Journal'!E405="","",IFERROR(LEFT('Journal'!E405,FIND(" ",'Journal'!E405)-1),'Journal'!E405))</f>
        <v/>
      </c>
      <c r="E808" s="5">
        <f>IF('Journal'!E405="","",IFERROR(INDEX('Kontoplan'!$B$3:$B$302,MATCH('Journal'!E405,'Kontoplan'!$H$3:$H$302,0)),""))</f>
        <v/>
      </c>
      <c r="F808" s="20">
        <f>IF('Journal'!F405="","",'Journal'!F405)</f>
        <v/>
      </c>
      <c r="G808" s="20">
        <f>IF('Journal'!G405="","",'Journal'!G405)</f>
        <v/>
      </c>
      <c r="H808" s="5">
        <f>IF('Journal'!I405="","",'Journal'!I405)</f>
        <v/>
      </c>
    </row>
    <row r="809">
      <c r="A809" s="18">
        <f>IF('Journal'!A406="","",'Journal'!A406)</f>
        <v/>
      </c>
      <c r="B809" s="21">
        <f>IF('Journal'!B406="","",'Journal'!B406)</f>
        <v/>
      </c>
      <c r="C809" s="5">
        <f>IF('Journal'!C406="","",'Journal'!C406)</f>
        <v/>
      </c>
      <c r="D809" s="5">
        <f>IF('Journal'!D406="","",IFERROR(LEFT('Journal'!D406,FIND(" ",'Journal'!D406)-1),'Journal'!D406))</f>
        <v/>
      </c>
      <c r="E809" s="5">
        <f>IF('Journal'!D406="","",IFERROR(INDEX('Kontoplan'!$B$3:$B$302,MATCH('Journal'!D406,'Kontoplan'!$H$3:$H$302,0)),""))</f>
        <v/>
      </c>
      <c r="F809" s="20">
        <f>IF('Journal'!G406="","",'Journal'!G406)</f>
        <v/>
      </c>
      <c r="G809" s="20">
        <f>IF('Journal'!F406="","",'Journal'!F406)</f>
        <v/>
      </c>
      <c r="H809" s="5">
        <f>IF('Journal'!I406="","",'Journal'!I406)</f>
        <v/>
      </c>
    </row>
    <row r="810">
      <c r="A810" s="18">
        <f>IF('Journal'!A406="","",'Journal'!A406)</f>
        <v/>
      </c>
      <c r="B810" s="21">
        <f>IF('Journal'!B406="","",'Journal'!B406)</f>
        <v/>
      </c>
      <c r="C810" s="5">
        <f>IF('Journal'!C406="","",'Journal'!C406)</f>
        <v/>
      </c>
      <c r="D810" s="5">
        <f>IF('Journal'!E406="","",IFERROR(LEFT('Journal'!E406,FIND(" ",'Journal'!E406)-1),'Journal'!E406))</f>
        <v/>
      </c>
      <c r="E810" s="5">
        <f>IF('Journal'!E406="","",IFERROR(INDEX('Kontoplan'!$B$3:$B$302,MATCH('Journal'!E406,'Kontoplan'!$H$3:$H$302,0)),""))</f>
        <v/>
      </c>
      <c r="F810" s="20">
        <f>IF('Journal'!F406="","",'Journal'!F406)</f>
        <v/>
      </c>
      <c r="G810" s="20">
        <f>IF('Journal'!G406="","",'Journal'!G406)</f>
        <v/>
      </c>
      <c r="H810" s="5">
        <f>IF('Journal'!I406="","",'Journal'!I406)</f>
        <v/>
      </c>
    </row>
    <row r="811">
      <c r="A811" s="18">
        <f>IF('Journal'!A407="","",'Journal'!A407)</f>
        <v/>
      </c>
      <c r="B811" s="21">
        <f>IF('Journal'!B407="","",'Journal'!B407)</f>
        <v/>
      </c>
      <c r="C811" s="5">
        <f>IF('Journal'!C407="","",'Journal'!C407)</f>
        <v/>
      </c>
      <c r="D811" s="5">
        <f>IF('Journal'!D407="","",IFERROR(LEFT('Journal'!D407,FIND(" ",'Journal'!D407)-1),'Journal'!D407))</f>
        <v/>
      </c>
      <c r="E811" s="5">
        <f>IF('Journal'!D407="","",IFERROR(INDEX('Kontoplan'!$B$3:$B$302,MATCH('Journal'!D407,'Kontoplan'!$H$3:$H$302,0)),""))</f>
        <v/>
      </c>
      <c r="F811" s="20">
        <f>IF('Journal'!G407="","",'Journal'!G407)</f>
        <v/>
      </c>
      <c r="G811" s="20">
        <f>IF('Journal'!F407="","",'Journal'!F407)</f>
        <v/>
      </c>
      <c r="H811" s="5">
        <f>IF('Journal'!I407="","",'Journal'!I407)</f>
        <v/>
      </c>
    </row>
    <row r="812">
      <c r="A812" s="18">
        <f>IF('Journal'!A407="","",'Journal'!A407)</f>
        <v/>
      </c>
      <c r="B812" s="21">
        <f>IF('Journal'!B407="","",'Journal'!B407)</f>
        <v/>
      </c>
      <c r="C812" s="5">
        <f>IF('Journal'!C407="","",'Journal'!C407)</f>
        <v/>
      </c>
      <c r="D812" s="5">
        <f>IF('Journal'!E407="","",IFERROR(LEFT('Journal'!E407,FIND(" ",'Journal'!E407)-1),'Journal'!E407))</f>
        <v/>
      </c>
      <c r="E812" s="5">
        <f>IF('Journal'!E407="","",IFERROR(INDEX('Kontoplan'!$B$3:$B$302,MATCH('Journal'!E407,'Kontoplan'!$H$3:$H$302,0)),""))</f>
        <v/>
      </c>
      <c r="F812" s="20">
        <f>IF('Journal'!F407="","",'Journal'!F407)</f>
        <v/>
      </c>
      <c r="G812" s="20">
        <f>IF('Journal'!G407="","",'Journal'!G407)</f>
        <v/>
      </c>
      <c r="H812" s="5">
        <f>IF('Journal'!I407="","",'Journal'!I407)</f>
        <v/>
      </c>
    </row>
    <row r="813">
      <c r="A813" s="18">
        <f>IF('Journal'!A408="","",'Journal'!A408)</f>
        <v/>
      </c>
      <c r="B813" s="21">
        <f>IF('Journal'!B408="","",'Journal'!B408)</f>
        <v/>
      </c>
      <c r="C813" s="5">
        <f>IF('Journal'!C408="","",'Journal'!C408)</f>
        <v/>
      </c>
      <c r="D813" s="5">
        <f>IF('Journal'!D408="","",IFERROR(LEFT('Journal'!D408,FIND(" ",'Journal'!D408)-1),'Journal'!D408))</f>
        <v/>
      </c>
      <c r="E813" s="5">
        <f>IF('Journal'!D408="","",IFERROR(INDEX('Kontoplan'!$B$3:$B$302,MATCH('Journal'!D408,'Kontoplan'!$H$3:$H$302,0)),""))</f>
        <v/>
      </c>
      <c r="F813" s="20">
        <f>IF('Journal'!G408="","",'Journal'!G408)</f>
        <v/>
      </c>
      <c r="G813" s="20">
        <f>IF('Journal'!F408="","",'Journal'!F408)</f>
        <v/>
      </c>
      <c r="H813" s="5">
        <f>IF('Journal'!I408="","",'Journal'!I408)</f>
        <v/>
      </c>
    </row>
    <row r="814">
      <c r="A814" s="18">
        <f>IF('Journal'!A408="","",'Journal'!A408)</f>
        <v/>
      </c>
      <c r="B814" s="21">
        <f>IF('Journal'!B408="","",'Journal'!B408)</f>
        <v/>
      </c>
      <c r="C814" s="5">
        <f>IF('Journal'!C408="","",'Journal'!C408)</f>
        <v/>
      </c>
      <c r="D814" s="5">
        <f>IF('Journal'!E408="","",IFERROR(LEFT('Journal'!E408,FIND(" ",'Journal'!E408)-1),'Journal'!E408))</f>
        <v/>
      </c>
      <c r="E814" s="5">
        <f>IF('Journal'!E408="","",IFERROR(INDEX('Kontoplan'!$B$3:$B$302,MATCH('Journal'!E408,'Kontoplan'!$H$3:$H$302,0)),""))</f>
        <v/>
      </c>
      <c r="F814" s="20">
        <f>IF('Journal'!F408="","",'Journal'!F408)</f>
        <v/>
      </c>
      <c r="G814" s="20">
        <f>IF('Journal'!G408="","",'Journal'!G408)</f>
        <v/>
      </c>
      <c r="H814" s="5">
        <f>IF('Journal'!I408="","",'Journal'!I408)</f>
        <v/>
      </c>
    </row>
    <row r="815">
      <c r="A815" s="18">
        <f>IF('Journal'!A409="","",'Journal'!A409)</f>
        <v/>
      </c>
      <c r="B815" s="21">
        <f>IF('Journal'!B409="","",'Journal'!B409)</f>
        <v/>
      </c>
      <c r="C815" s="5">
        <f>IF('Journal'!C409="","",'Journal'!C409)</f>
        <v/>
      </c>
      <c r="D815" s="5">
        <f>IF('Journal'!D409="","",IFERROR(LEFT('Journal'!D409,FIND(" ",'Journal'!D409)-1),'Journal'!D409))</f>
        <v/>
      </c>
      <c r="E815" s="5">
        <f>IF('Journal'!D409="","",IFERROR(INDEX('Kontoplan'!$B$3:$B$302,MATCH('Journal'!D409,'Kontoplan'!$H$3:$H$302,0)),""))</f>
        <v/>
      </c>
      <c r="F815" s="20">
        <f>IF('Journal'!G409="","",'Journal'!G409)</f>
        <v/>
      </c>
      <c r="G815" s="20">
        <f>IF('Journal'!F409="","",'Journal'!F409)</f>
        <v/>
      </c>
      <c r="H815" s="5">
        <f>IF('Journal'!I409="","",'Journal'!I409)</f>
        <v/>
      </c>
    </row>
    <row r="816">
      <c r="A816" s="18">
        <f>IF('Journal'!A409="","",'Journal'!A409)</f>
        <v/>
      </c>
      <c r="B816" s="21">
        <f>IF('Journal'!B409="","",'Journal'!B409)</f>
        <v/>
      </c>
      <c r="C816" s="5">
        <f>IF('Journal'!C409="","",'Journal'!C409)</f>
        <v/>
      </c>
      <c r="D816" s="5">
        <f>IF('Journal'!E409="","",IFERROR(LEFT('Journal'!E409,FIND(" ",'Journal'!E409)-1),'Journal'!E409))</f>
        <v/>
      </c>
      <c r="E816" s="5">
        <f>IF('Journal'!E409="","",IFERROR(INDEX('Kontoplan'!$B$3:$B$302,MATCH('Journal'!E409,'Kontoplan'!$H$3:$H$302,0)),""))</f>
        <v/>
      </c>
      <c r="F816" s="20">
        <f>IF('Journal'!F409="","",'Journal'!F409)</f>
        <v/>
      </c>
      <c r="G816" s="20">
        <f>IF('Journal'!G409="","",'Journal'!G409)</f>
        <v/>
      </c>
      <c r="H816" s="5">
        <f>IF('Journal'!I409="","",'Journal'!I409)</f>
        <v/>
      </c>
    </row>
    <row r="817">
      <c r="A817" s="18">
        <f>IF('Journal'!A410="","",'Journal'!A410)</f>
        <v/>
      </c>
      <c r="B817" s="21">
        <f>IF('Journal'!B410="","",'Journal'!B410)</f>
        <v/>
      </c>
      <c r="C817" s="5">
        <f>IF('Journal'!C410="","",'Journal'!C410)</f>
        <v/>
      </c>
      <c r="D817" s="5">
        <f>IF('Journal'!D410="","",IFERROR(LEFT('Journal'!D410,FIND(" ",'Journal'!D410)-1),'Journal'!D410))</f>
        <v/>
      </c>
      <c r="E817" s="5">
        <f>IF('Journal'!D410="","",IFERROR(INDEX('Kontoplan'!$B$3:$B$302,MATCH('Journal'!D410,'Kontoplan'!$H$3:$H$302,0)),""))</f>
        <v/>
      </c>
      <c r="F817" s="20">
        <f>IF('Journal'!G410="","",'Journal'!G410)</f>
        <v/>
      </c>
      <c r="G817" s="20">
        <f>IF('Journal'!F410="","",'Journal'!F410)</f>
        <v/>
      </c>
      <c r="H817" s="5">
        <f>IF('Journal'!I410="","",'Journal'!I410)</f>
        <v/>
      </c>
    </row>
    <row r="818">
      <c r="A818" s="18">
        <f>IF('Journal'!A410="","",'Journal'!A410)</f>
        <v/>
      </c>
      <c r="B818" s="21">
        <f>IF('Journal'!B410="","",'Journal'!B410)</f>
        <v/>
      </c>
      <c r="C818" s="5">
        <f>IF('Journal'!C410="","",'Journal'!C410)</f>
        <v/>
      </c>
      <c r="D818" s="5">
        <f>IF('Journal'!E410="","",IFERROR(LEFT('Journal'!E410,FIND(" ",'Journal'!E410)-1),'Journal'!E410))</f>
        <v/>
      </c>
      <c r="E818" s="5">
        <f>IF('Journal'!E410="","",IFERROR(INDEX('Kontoplan'!$B$3:$B$302,MATCH('Journal'!E410,'Kontoplan'!$H$3:$H$302,0)),""))</f>
        <v/>
      </c>
      <c r="F818" s="20">
        <f>IF('Journal'!F410="","",'Journal'!F410)</f>
        <v/>
      </c>
      <c r="G818" s="20">
        <f>IF('Journal'!G410="","",'Journal'!G410)</f>
        <v/>
      </c>
      <c r="H818" s="5">
        <f>IF('Journal'!I410="","",'Journal'!I410)</f>
        <v/>
      </c>
    </row>
    <row r="819">
      <c r="A819" s="18">
        <f>IF('Journal'!A411="","",'Journal'!A411)</f>
        <v/>
      </c>
      <c r="B819" s="21">
        <f>IF('Journal'!B411="","",'Journal'!B411)</f>
        <v/>
      </c>
      <c r="C819" s="5">
        <f>IF('Journal'!C411="","",'Journal'!C411)</f>
        <v/>
      </c>
      <c r="D819" s="5">
        <f>IF('Journal'!D411="","",IFERROR(LEFT('Journal'!D411,FIND(" ",'Journal'!D411)-1),'Journal'!D411))</f>
        <v/>
      </c>
      <c r="E819" s="5">
        <f>IF('Journal'!D411="","",IFERROR(INDEX('Kontoplan'!$B$3:$B$302,MATCH('Journal'!D411,'Kontoplan'!$H$3:$H$302,0)),""))</f>
        <v/>
      </c>
      <c r="F819" s="20">
        <f>IF('Journal'!G411="","",'Journal'!G411)</f>
        <v/>
      </c>
      <c r="G819" s="20">
        <f>IF('Journal'!F411="","",'Journal'!F411)</f>
        <v/>
      </c>
      <c r="H819" s="5">
        <f>IF('Journal'!I411="","",'Journal'!I411)</f>
        <v/>
      </c>
    </row>
    <row r="820">
      <c r="A820" s="18">
        <f>IF('Journal'!A411="","",'Journal'!A411)</f>
        <v/>
      </c>
      <c r="B820" s="21">
        <f>IF('Journal'!B411="","",'Journal'!B411)</f>
        <v/>
      </c>
      <c r="C820" s="5">
        <f>IF('Journal'!C411="","",'Journal'!C411)</f>
        <v/>
      </c>
      <c r="D820" s="5">
        <f>IF('Journal'!E411="","",IFERROR(LEFT('Journal'!E411,FIND(" ",'Journal'!E411)-1),'Journal'!E411))</f>
        <v/>
      </c>
      <c r="E820" s="5">
        <f>IF('Journal'!E411="","",IFERROR(INDEX('Kontoplan'!$B$3:$B$302,MATCH('Journal'!E411,'Kontoplan'!$H$3:$H$302,0)),""))</f>
        <v/>
      </c>
      <c r="F820" s="20">
        <f>IF('Journal'!F411="","",'Journal'!F411)</f>
        <v/>
      </c>
      <c r="G820" s="20">
        <f>IF('Journal'!G411="","",'Journal'!G411)</f>
        <v/>
      </c>
      <c r="H820" s="5">
        <f>IF('Journal'!I411="","",'Journal'!I411)</f>
        <v/>
      </c>
    </row>
    <row r="821">
      <c r="A821" s="18">
        <f>IF('Journal'!A412="","",'Journal'!A412)</f>
        <v/>
      </c>
      <c r="B821" s="21">
        <f>IF('Journal'!B412="","",'Journal'!B412)</f>
        <v/>
      </c>
      <c r="C821" s="5">
        <f>IF('Journal'!C412="","",'Journal'!C412)</f>
        <v/>
      </c>
      <c r="D821" s="5">
        <f>IF('Journal'!D412="","",IFERROR(LEFT('Journal'!D412,FIND(" ",'Journal'!D412)-1),'Journal'!D412))</f>
        <v/>
      </c>
      <c r="E821" s="5">
        <f>IF('Journal'!D412="","",IFERROR(INDEX('Kontoplan'!$B$3:$B$302,MATCH('Journal'!D412,'Kontoplan'!$H$3:$H$302,0)),""))</f>
        <v/>
      </c>
      <c r="F821" s="20">
        <f>IF('Journal'!G412="","",'Journal'!G412)</f>
        <v/>
      </c>
      <c r="G821" s="20">
        <f>IF('Journal'!F412="","",'Journal'!F412)</f>
        <v/>
      </c>
      <c r="H821" s="5">
        <f>IF('Journal'!I412="","",'Journal'!I412)</f>
        <v/>
      </c>
    </row>
    <row r="822">
      <c r="A822" s="18">
        <f>IF('Journal'!A412="","",'Journal'!A412)</f>
        <v/>
      </c>
      <c r="B822" s="21">
        <f>IF('Journal'!B412="","",'Journal'!B412)</f>
        <v/>
      </c>
      <c r="C822" s="5">
        <f>IF('Journal'!C412="","",'Journal'!C412)</f>
        <v/>
      </c>
      <c r="D822" s="5">
        <f>IF('Journal'!E412="","",IFERROR(LEFT('Journal'!E412,FIND(" ",'Journal'!E412)-1),'Journal'!E412))</f>
        <v/>
      </c>
      <c r="E822" s="5">
        <f>IF('Journal'!E412="","",IFERROR(INDEX('Kontoplan'!$B$3:$B$302,MATCH('Journal'!E412,'Kontoplan'!$H$3:$H$302,0)),""))</f>
        <v/>
      </c>
      <c r="F822" s="20">
        <f>IF('Journal'!F412="","",'Journal'!F412)</f>
        <v/>
      </c>
      <c r="G822" s="20">
        <f>IF('Journal'!G412="","",'Journal'!G412)</f>
        <v/>
      </c>
      <c r="H822" s="5">
        <f>IF('Journal'!I412="","",'Journal'!I412)</f>
        <v/>
      </c>
    </row>
    <row r="823">
      <c r="A823" s="18">
        <f>IF('Journal'!A413="","",'Journal'!A413)</f>
        <v/>
      </c>
      <c r="B823" s="21">
        <f>IF('Journal'!B413="","",'Journal'!B413)</f>
        <v/>
      </c>
      <c r="C823" s="5">
        <f>IF('Journal'!C413="","",'Journal'!C413)</f>
        <v/>
      </c>
      <c r="D823" s="5">
        <f>IF('Journal'!D413="","",IFERROR(LEFT('Journal'!D413,FIND(" ",'Journal'!D413)-1),'Journal'!D413))</f>
        <v/>
      </c>
      <c r="E823" s="5">
        <f>IF('Journal'!D413="","",IFERROR(INDEX('Kontoplan'!$B$3:$B$302,MATCH('Journal'!D413,'Kontoplan'!$H$3:$H$302,0)),""))</f>
        <v/>
      </c>
      <c r="F823" s="20">
        <f>IF('Journal'!G413="","",'Journal'!G413)</f>
        <v/>
      </c>
      <c r="G823" s="20">
        <f>IF('Journal'!F413="","",'Journal'!F413)</f>
        <v/>
      </c>
      <c r="H823" s="5">
        <f>IF('Journal'!I413="","",'Journal'!I413)</f>
        <v/>
      </c>
    </row>
    <row r="824">
      <c r="A824" s="18">
        <f>IF('Journal'!A413="","",'Journal'!A413)</f>
        <v/>
      </c>
      <c r="B824" s="21">
        <f>IF('Journal'!B413="","",'Journal'!B413)</f>
        <v/>
      </c>
      <c r="C824" s="5">
        <f>IF('Journal'!C413="","",'Journal'!C413)</f>
        <v/>
      </c>
      <c r="D824" s="5">
        <f>IF('Journal'!E413="","",IFERROR(LEFT('Journal'!E413,FIND(" ",'Journal'!E413)-1),'Journal'!E413))</f>
        <v/>
      </c>
      <c r="E824" s="5">
        <f>IF('Journal'!E413="","",IFERROR(INDEX('Kontoplan'!$B$3:$B$302,MATCH('Journal'!E413,'Kontoplan'!$H$3:$H$302,0)),""))</f>
        <v/>
      </c>
      <c r="F824" s="20">
        <f>IF('Journal'!F413="","",'Journal'!F413)</f>
        <v/>
      </c>
      <c r="G824" s="20">
        <f>IF('Journal'!G413="","",'Journal'!G413)</f>
        <v/>
      </c>
      <c r="H824" s="5">
        <f>IF('Journal'!I413="","",'Journal'!I413)</f>
        <v/>
      </c>
    </row>
    <row r="825">
      <c r="A825" s="18">
        <f>IF('Journal'!A414="","",'Journal'!A414)</f>
        <v/>
      </c>
      <c r="B825" s="21">
        <f>IF('Journal'!B414="","",'Journal'!B414)</f>
        <v/>
      </c>
      <c r="C825" s="5">
        <f>IF('Journal'!C414="","",'Journal'!C414)</f>
        <v/>
      </c>
      <c r="D825" s="5">
        <f>IF('Journal'!D414="","",IFERROR(LEFT('Journal'!D414,FIND(" ",'Journal'!D414)-1),'Journal'!D414))</f>
        <v/>
      </c>
      <c r="E825" s="5">
        <f>IF('Journal'!D414="","",IFERROR(INDEX('Kontoplan'!$B$3:$B$302,MATCH('Journal'!D414,'Kontoplan'!$H$3:$H$302,0)),""))</f>
        <v/>
      </c>
      <c r="F825" s="20">
        <f>IF('Journal'!G414="","",'Journal'!G414)</f>
        <v/>
      </c>
      <c r="G825" s="20">
        <f>IF('Journal'!F414="","",'Journal'!F414)</f>
        <v/>
      </c>
      <c r="H825" s="5">
        <f>IF('Journal'!I414="","",'Journal'!I414)</f>
        <v/>
      </c>
    </row>
    <row r="826">
      <c r="A826" s="18">
        <f>IF('Journal'!A414="","",'Journal'!A414)</f>
        <v/>
      </c>
      <c r="B826" s="21">
        <f>IF('Journal'!B414="","",'Journal'!B414)</f>
        <v/>
      </c>
      <c r="C826" s="5">
        <f>IF('Journal'!C414="","",'Journal'!C414)</f>
        <v/>
      </c>
      <c r="D826" s="5">
        <f>IF('Journal'!E414="","",IFERROR(LEFT('Journal'!E414,FIND(" ",'Journal'!E414)-1),'Journal'!E414))</f>
        <v/>
      </c>
      <c r="E826" s="5">
        <f>IF('Journal'!E414="","",IFERROR(INDEX('Kontoplan'!$B$3:$B$302,MATCH('Journal'!E414,'Kontoplan'!$H$3:$H$302,0)),""))</f>
        <v/>
      </c>
      <c r="F826" s="20">
        <f>IF('Journal'!F414="","",'Journal'!F414)</f>
        <v/>
      </c>
      <c r="G826" s="20">
        <f>IF('Journal'!G414="","",'Journal'!G414)</f>
        <v/>
      </c>
      <c r="H826" s="5">
        <f>IF('Journal'!I414="","",'Journal'!I414)</f>
        <v/>
      </c>
    </row>
    <row r="827">
      <c r="A827" s="18">
        <f>IF('Journal'!A415="","",'Journal'!A415)</f>
        <v/>
      </c>
      <c r="B827" s="21">
        <f>IF('Journal'!B415="","",'Journal'!B415)</f>
        <v/>
      </c>
      <c r="C827" s="5">
        <f>IF('Journal'!C415="","",'Journal'!C415)</f>
        <v/>
      </c>
      <c r="D827" s="5">
        <f>IF('Journal'!D415="","",IFERROR(LEFT('Journal'!D415,FIND(" ",'Journal'!D415)-1),'Journal'!D415))</f>
        <v/>
      </c>
      <c r="E827" s="5">
        <f>IF('Journal'!D415="","",IFERROR(INDEX('Kontoplan'!$B$3:$B$302,MATCH('Journal'!D415,'Kontoplan'!$H$3:$H$302,0)),""))</f>
        <v/>
      </c>
      <c r="F827" s="20">
        <f>IF('Journal'!G415="","",'Journal'!G415)</f>
        <v/>
      </c>
      <c r="G827" s="20">
        <f>IF('Journal'!F415="","",'Journal'!F415)</f>
        <v/>
      </c>
      <c r="H827" s="5">
        <f>IF('Journal'!I415="","",'Journal'!I415)</f>
        <v/>
      </c>
    </row>
    <row r="828">
      <c r="A828" s="18">
        <f>IF('Journal'!A415="","",'Journal'!A415)</f>
        <v/>
      </c>
      <c r="B828" s="21">
        <f>IF('Journal'!B415="","",'Journal'!B415)</f>
        <v/>
      </c>
      <c r="C828" s="5">
        <f>IF('Journal'!C415="","",'Journal'!C415)</f>
        <v/>
      </c>
      <c r="D828" s="5">
        <f>IF('Journal'!E415="","",IFERROR(LEFT('Journal'!E415,FIND(" ",'Journal'!E415)-1),'Journal'!E415))</f>
        <v/>
      </c>
      <c r="E828" s="5">
        <f>IF('Journal'!E415="","",IFERROR(INDEX('Kontoplan'!$B$3:$B$302,MATCH('Journal'!E415,'Kontoplan'!$H$3:$H$302,0)),""))</f>
        <v/>
      </c>
      <c r="F828" s="20">
        <f>IF('Journal'!F415="","",'Journal'!F415)</f>
        <v/>
      </c>
      <c r="G828" s="20">
        <f>IF('Journal'!G415="","",'Journal'!G415)</f>
        <v/>
      </c>
      <c r="H828" s="5">
        <f>IF('Journal'!I415="","",'Journal'!I415)</f>
        <v/>
      </c>
    </row>
    <row r="829">
      <c r="A829" s="18">
        <f>IF('Journal'!A416="","",'Journal'!A416)</f>
        <v/>
      </c>
      <c r="B829" s="21">
        <f>IF('Journal'!B416="","",'Journal'!B416)</f>
        <v/>
      </c>
      <c r="C829" s="5">
        <f>IF('Journal'!C416="","",'Journal'!C416)</f>
        <v/>
      </c>
      <c r="D829" s="5">
        <f>IF('Journal'!D416="","",IFERROR(LEFT('Journal'!D416,FIND(" ",'Journal'!D416)-1),'Journal'!D416))</f>
        <v/>
      </c>
      <c r="E829" s="5">
        <f>IF('Journal'!D416="","",IFERROR(INDEX('Kontoplan'!$B$3:$B$302,MATCH('Journal'!D416,'Kontoplan'!$H$3:$H$302,0)),""))</f>
        <v/>
      </c>
      <c r="F829" s="20">
        <f>IF('Journal'!G416="","",'Journal'!G416)</f>
        <v/>
      </c>
      <c r="G829" s="20">
        <f>IF('Journal'!F416="","",'Journal'!F416)</f>
        <v/>
      </c>
      <c r="H829" s="5">
        <f>IF('Journal'!I416="","",'Journal'!I416)</f>
        <v/>
      </c>
    </row>
    <row r="830">
      <c r="A830" s="18">
        <f>IF('Journal'!A416="","",'Journal'!A416)</f>
        <v/>
      </c>
      <c r="B830" s="21">
        <f>IF('Journal'!B416="","",'Journal'!B416)</f>
        <v/>
      </c>
      <c r="C830" s="5">
        <f>IF('Journal'!C416="","",'Journal'!C416)</f>
        <v/>
      </c>
      <c r="D830" s="5">
        <f>IF('Journal'!E416="","",IFERROR(LEFT('Journal'!E416,FIND(" ",'Journal'!E416)-1),'Journal'!E416))</f>
        <v/>
      </c>
      <c r="E830" s="5">
        <f>IF('Journal'!E416="","",IFERROR(INDEX('Kontoplan'!$B$3:$B$302,MATCH('Journal'!E416,'Kontoplan'!$H$3:$H$302,0)),""))</f>
        <v/>
      </c>
      <c r="F830" s="20">
        <f>IF('Journal'!F416="","",'Journal'!F416)</f>
        <v/>
      </c>
      <c r="G830" s="20">
        <f>IF('Journal'!G416="","",'Journal'!G416)</f>
        <v/>
      </c>
      <c r="H830" s="5">
        <f>IF('Journal'!I416="","",'Journal'!I416)</f>
        <v/>
      </c>
    </row>
    <row r="831">
      <c r="A831" s="18">
        <f>IF('Journal'!A417="","",'Journal'!A417)</f>
        <v/>
      </c>
      <c r="B831" s="21">
        <f>IF('Journal'!B417="","",'Journal'!B417)</f>
        <v/>
      </c>
      <c r="C831" s="5">
        <f>IF('Journal'!C417="","",'Journal'!C417)</f>
        <v/>
      </c>
      <c r="D831" s="5">
        <f>IF('Journal'!D417="","",IFERROR(LEFT('Journal'!D417,FIND(" ",'Journal'!D417)-1),'Journal'!D417))</f>
        <v/>
      </c>
      <c r="E831" s="5">
        <f>IF('Journal'!D417="","",IFERROR(INDEX('Kontoplan'!$B$3:$B$302,MATCH('Journal'!D417,'Kontoplan'!$H$3:$H$302,0)),""))</f>
        <v/>
      </c>
      <c r="F831" s="20">
        <f>IF('Journal'!G417="","",'Journal'!G417)</f>
        <v/>
      </c>
      <c r="G831" s="20">
        <f>IF('Journal'!F417="","",'Journal'!F417)</f>
        <v/>
      </c>
      <c r="H831" s="5">
        <f>IF('Journal'!I417="","",'Journal'!I417)</f>
        <v/>
      </c>
    </row>
    <row r="832">
      <c r="A832" s="18">
        <f>IF('Journal'!A417="","",'Journal'!A417)</f>
        <v/>
      </c>
      <c r="B832" s="21">
        <f>IF('Journal'!B417="","",'Journal'!B417)</f>
        <v/>
      </c>
      <c r="C832" s="5">
        <f>IF('Journal'!C417="","",'Journal'!C417)</f>
        <v/>
      </c>
      <c r="D832" s="5">
        <f>IF('Journal'!E417="","",IFERROR(LEFT('Journal'!E417,FIND(" ",'Journal'!E417)-1),'Journal'!E417))</f>
        <v/>
      </c>
      <c r="E832" s="5">
        <f>IF('Journal'!E417="","",IFERROR(INDEX('Kontoplan'!$B$3:$B$302,MATCH('Journal'!E417,'Kontoplan'!$H$3:$H$302,0)),""))</f>
        <v/>
      </c>
      <c r="F832" s="20">
        <f>IF('Journal'!F417="","",'Journal'!F417)</f>
        <v/>
      </c>
      <c r="G832" s="20">
        <f>IF('Journal'!G417="","",'Journal'!G417)</f>
        <v/>
      </c>
      <c r="H832" s="5">
        <f>IF('Journal'!I417="","",'Journal'!I417)</f>
        <v/>
      </c>
    </row>
    <row r="833">
      <c r="A833" s="18">
        <f>IF('Journal'!A418="","",'Journal'!A418)</f>
        <v/>
      </c>
      <c r="B833" s="21">
        <f>IF('Journal'!B418="","",'Journal'!B418)</f>
        <v/>
      </c>
      <c r="C833" s="5">
        <f>IF('Journal'!C418="","",'Journal'!C418)</f>
        <v/>
      </c>
      <c r="D833" s="5">
        <f>IF('Journal'!D418="","",IFERROR(LEFT('Journal'!D418,FIND(" ",'Journal'!D418)-1),'Journal'!D418))</f>
        <v/>
      </c>
      <c r="E833" s="5">
        <f>IF('Journal'!D418="","",IFERROR(INDEX('Kontoplan'!$B$3:$B$302,MATCH('Journal'!D418,'Kontoplan'!$H$3:$H$302,0)),""))</f>
        <v/>
      </c>
      <c r="F833" s="20">
        <f>IF('Journal'!G418="","",'Journal'!G418)</f>
        <v/>
      </c>
      <c r="G833" s="20">
        <f>IF('Journal'!F418="","",'Journal'!F418)</f>
        <v/>
      </c>
      <c r="H833" s="5">
        <f>IF('Journal'!I418="","",'Journal'!I418)</f>
        <v/>
      </c>
    </row>
    <row r="834">
      <c r="A834" s="18">
        <f>IF('Journal'!A418="","",'Journal'!A418)</f>
        <v/>
      </c>
      <c r="B834" s="21">
        <f>IF('Journal'!B418="","",'Journal'!B418)</f>
        <v/>
      </c>
      <c r="C834" s="5">
        <f>IF('Journal'!C418="","",'Journal'!C418)</f>
        <v/>
      </c>
      <c r="D834" s="5">
        <f>IF('Journal'!E418="","",IFERROR(LEFT('Journal'!E418,FIND(" ",'Journal'!E418)-1),'Journal'!E418))</f>
        <v/>
      </c>
      <c r="E834" s="5">
        <f>IF('Journal'!E418="","",IFERROR(INDEX('Kontoplan'!$B$3:$B$302,MATCH('Journal'!E418,'Kontoplan'!$H$3:$H$302,0)),""))</f>
        <v/>
      </c>
      <c r="F834" s="20">
        <f>IF('Journal'!F418="","",'Journal'!F418)</f>
        <v/>
      </c>
      <c r="G834" s="20">
        <f>IF('Journal'!G418="","",'Journal'!G418)</f>
        <v/>
      </c>
      <c r="H834" s="5">
        <f>IF('Journal'!I418="","",'Journal'!I418)</f>
        <v/>
      </c>
    </row>
    <row r="835">
      <c r="A835" s="18">
        <f>IF('Journal'!A419="","",'Journal'!A419)</f>
        <v/>
      </c>
      <c r="B835" s="21">
        <f>IF('Journal'!B419="","",'Journal'!B419)</f>
        <v/>
      </c>
      <c r="C835" s="5">
        <f>IF('Journal'!C419="","",'Journal'!C419)</f>
        <v/>
      </c>
      <c r="D835" s="5">
        <f>IF('Journal'!D419="","",IFERROR(LEFT('Journal'!D419,FIND(" ",'Journal'!D419)-1),'Journal'!D419))</f>
        <v/>
      </c>
      <c r="E835" s="5">
        <f>IF('Journal'!D419="","",IFERROR(INDEX('Kontoplan'!$B$3:$B$302,MATCH('Journal'!D419,'Kontoplan'!$H$3:$H$302,0)),""))</f>
        <v/>
      </c>
      <c r="F835" s="20">
        <f>IF('Journal'!G419="","",'Journal'!G419)</f>
        <v/>
      </c>
      <c r="G835" s="20">
        <f>IF('Journal'!F419="","",'Journal'!F419)</f>
        <v/>
      </c>
      <c r="H835" s="5">
        <f>IF('Journal'!I419="","",'Journal'!I419)</f>
        <v/>
      </c>
    </row>
    <row r="836">
      <c r="A836" s="18">
        <f>IF('Journal'!A419="","",'Journal'!A419)</f>
        <v/>
      </c>
      <c r="B836" s="21">
        <f>IF('Journal'!B419="","",'Journal'!B419)</f>
        <v/>
      </c>
      <c r="C836" s="5">
        <f>IF('Journal'!C419="","",'Journal'!C419)</f>
        <v/>
      </c>
      <c r="D836" s="5">
        <f>IF('Journal'!E419="","",IFERROR(LEFT('Journal'!E419,FIND(" ",'Journal'!E419)-1),'Journal'!E419))</f>
        <v/>
      </c>
      <c r="E836" s="5">
        <f>IF('Journal'!E419="","",IFERROR(INDEX('Kontoplan'!$B$3:$B$302,MATCH('Journal'!E419,'Kontoplan'!$H$3:$H$302,0)),""))</f>
        <v/>
      </c>
      <c r="F836" s="20">
        <f>IF('Journal'!F419="","",'Journal'!F419)</f>
        <v/>
      </c>
      <c r="G836" s="20">
        <f>IF('Journal'!G419="","",'Journal'!G419)</f>
        <v/>
      </c>
      <c r="H836" s="5">
        <f>IF('Journal'!I419="","",'Journal'!I419)</f>
        <v/>
      </c>
    </row>
    <row r="837">
      <c r="A837" s="18">
        <f>IF('Journal'!A420="","",'Journal'!A420)</f>
        <v/>
      </c>
      <c r="B837" s="21">
        <f>IF('Journal'!B420="","",'Journal'!B420)</f>
        <v/>
      </c>
      <c r="C837" s="5">
        <f>IF('Journal'!C420="","",'Journal'!C420)</f>
        <v/>
      </c>
      <c r="D837" s="5">
        <f>IF('Journal'!D420="","",IFERROR(LEFT('Journal'!D420,FIND(" ",'Journal'!D420)-1),'Journal'!D420))</f>
        <v/>
      </c>
      <c r="E837" s="5">
        <f>IF('Journal'!D420="","",IFERROR(INDEX('Kontoplan'!$B$3:$B$302,MATCH('Journal'!D420,'Kontoplan'!$H$3:$H$302,0)),""))</f>
        <v/>
      </c>
      <c r="F837" s="20">
        <f>IF('Journal'!G420="","",'Journal'!G420)</f>
        <v/>
      </c>
      <c r="G837" s="20">
        <f>IF('Journal'!F420="","",'Journal'!F420)</f>
        <v/>
      </c>
      <c r="H837" s="5">
        <f>IF('Journal'!I420="","",'Journal'!I420)</f>
        <v/>
      </c>
    </row>
    <row r="838">
      <c r="A838" s="18">
        <f>IF('Journal'!A420="","",'Journal'!A420)</f>
        <v/>
      </c>
      <c r="B838" s="21">
        <f>IF('Journal'!B420="","",'Journal'!B420)</f>
        <v/>
      </c>
      <c r="C838" s="5">
        <f>IF('Journal'!C420="","",'Journal'!C420)</f>
        <v/>
      </c>
      <c r="D838" s="5">
        <f>IF('Journal'!E420="","",IFERROR(LEFT('Journal'!E420,FIND(" ",'Journal'!E420)-1),'Journal'!E420))</f>
        <v/>
      </c>
      <c r="E838" s="5">
        <f>IF('Journal'!E420="","",IFERROR(INDEX('Kontoplan'!$B$3:$B$302,MATCH('Journal'!E420,'Kontoplan'!$H$3:$H$302,0)),""))</f>
        <v/>
      </c>
      <c r="F838" s="20">
        <f>IF('Journal'!F420="","",'Journal'!F420)</f>
        <v/>
      </c>
      <c r="G838" s="20">
        <f>IF('Journal'!G420="","",'Journal'!G420)</f>
        <v/>
      </c>
      <c r="H838" s="5">
        <f>IF('Journal'!I420="","",'Journal'!I420)</f>
        <v/>
      </c>
    </row>
    <row r="839">
      <c r="A839" s="18">
        <f>IF('Journal'!A421="","",'Journal'!A421)</f>
        <v/>
      </c>
      <c r="B839" s="21">
        <f>IF('Journal'!B421="","",'Journal'!B421)</f>
        <v/>
      </c>
      <c r="C839" s="5">
        <f>IF('Journal'!C421="","",'Journal'!C421)</f>
        <v/>
      </c>
      <c r="D839" s="5">
        <f>IF('Journal'!D421="","",IFERROR(LEFT('Journal'!D421,FIND(" ",'Journal'!D421)-1),'Journal'!D421))</f>
        <v/>
      </c>
      <c r="E839" s="5">
        <f>IF('Journal'!D421="","",IFERROR(INDEX('Kontoplan'!$B$3:$B$302,MATCH('Journal'!D421,'Kontoplan'!$H$3:$H$302,0)),""))</f>
        <v/>
      </c>
      <c r="F839" s="20">
        <f>IF('Journal'!G421="","",'Journal'!G421)</f>
        <v/>
      </c>
      <c r="G839" s="20">
        <f>IF('Journal'!F421="","",'Journal'!F421)</f>
        <v/>
      </c>
      <c r="H839" s="5">
        <f>IF('Journal'!I421="","",'Journal'!I421)</f>
        <v/>
      </c>
    </row>
    <row r="840">
      <c r="A840" s="18">
        <f>IF('Journal'!A421="","",'Journal'!A421)</f>
        <v/>
      </c>
      <c r="B840" s="21">
        <f>IF('Journal'!B421="","",'Journal'!B421)</f>
        <v/>
      </c>
      <c r="C840" s="5">
        <f>IF('Journal'!C421="","",'Journal'!C421)</f>
        <v/>
      </c>
      <c r="D840" s="5">
        <f>IF('Journal'!E421="","",IFERROR(LEFT('Journal'!E421,FIND(" ",'Journal'!E421)-1),'Journal'!E421))</f>
        <v/>
      </c>
      <c r="E840" s="5">
        <f>IF('Journal'!E421="","",IFERROR(INDEX('Kontoplan'!$B$3:$B$302,MATCH('Journal'!E421,'Kontoplan'!$H$3:$H$302,0)),""))</f>
        <v/>
      </c>
      <c r="F840" s="20">
        <f>IF('Journal'!F421="","",'Journal'!F421)</f>
        <v/>
      </c>
      <c r="G840" s="20">
        <f>IF('Journal'!G421="","",'Journal'!G421)</f>
        <v/>
      </c>
      <c r="H840" s="5">
        <f>IF('Journal'!I421="","",'Journal'!I421)</f>
        <v/>
      </c>
    </row>
    <row r="841">
      <c r="A841" s="18">
        <f>IF('Journal'!A422="","",'Journal'!A422)</f>
        <v/>
      </c>
      <c r="B841" s="21">
        <f>IF('Journal'!B422="","",'Journal'!B422)</f>
        <v/>
      </c>
      <c r="C841" s="5">
        <f>IF('Journal'!C422="","",'Journal'!C422)</f>
        <v/>
      </c>
      <c r="D841" s="5">
        <f>IF('Journal'!D422="","",IFERROR(LEFT('Journal'!D422,FIND(" ",'Journal'!D422)-1),'Journal'!D422))</f>
        <v/>
      </c>
      <c r="E841" s="5">
        <f>IF('Journal'!D422="","",IFERROR(INDEX('Kontoplan'!$B$3:$B$302,MATCH('Journal'!D422,'Kontoplan'!$H$3:$H$302,0)),""))</f>
        <v/>
      </c>
      <c r="F841" s="20">
        <f>IF('Journal'!G422="","",'Journal'!G422)</f>
        <v/>
      </c>
      <c r="G841" s="20">
        <f>IF('Journal'!F422="","",'Journal'!F422)</f>
        <v/>
      </c>
      <c r="H841" s="5">
        <f>IF('Journal'!I422="","",'Journal'!I422)</f>
        <v/>
      </c>
    </row>
    <row r="842">
      <c r="A842" s="18">
        <f>IF('Journal'!A422="","",'Journal'!A422)</f>
        <v/>
      </c>
      <c r="B842" s="21">
        <f>IF('Journal'!B422="","",'Journal'!B422)</f>
        <v/>
      </c>
      <c r="C842" s="5">
        <f>IF('Journal'!C422="","",'Journal'!C422)</f>
        <v/>
      </c>
      <c r="D842" s="5">
        <f>IF('Journal'!E422="","",IFERROR(LEFT('Journal'!E422,FIND(" ",'Journal'!E422)-1),'Journal'!E422))</f>
        <v/>
      </c>
      <c r="E842" s="5">
        <f>IF('Journal'!E422="","",IFERROR(INDEX('Kontoplan'!$B$3:$B$302,MATCH('Journal'!E422,'Kontoplan'!$H$3:$H$302,0)),""))</f>
        <v/>
      </c>
      <c r="F842" s="20">
        <f>IF('Journal'!F422="","",'Journal'!F422)</f>
        <v/>
      </c>
      <c r="G842" s="20">
        <f>IF('Journal'!G422="","",'Journal'!G422)</f>
        <v/>
      </c>
      <c r="H842" s="5">
        <f>IF('Journal'!I422="","",'Journal'!I422)</f>
        <v/>
      </c>
    </row>
    <row r="843">
      <c r="A843" s="18">
        <f>IF('Journal'!A423="","",'Journal'!A423)</f>
        <v/>
      </c>
      <c r="B843" s="21">
        <f>IF('Journal'!B423="","",'Journal'!B423)</f>
        <v/>
      </c>
      <c r="C843" s="5">
        <f>IF('Journal'!C423="","",'Journal'!C423)</f>
        <v/>
      </c>
      <c r="D843" s="5">
        <f>IF('Journal'!D423="","",IFERROR(LEFT('Journal'!D423,FIND(" ",'Journal'!D423)-1),'Journal'!D423))</f>
        <v/>
      </c>
      <c r="E843" s="5">
        <f>IF('Journal'!D423="","",IFERROR(INDEX('Kontoplan'!$B$3:$B$302,MATCH('Journal'!D423,'Kontoplan'!$H$3:$H$302,0)),""))</f>
        <v/>
      </c>
      <c r="F843" s="20">
        <f>IF('Journal'!G423="","",'Journal'!G423)</f>
        <v/>
      </c>
      <c r="G843" s="20">
        <f>IF('Journal'!F423="","",'Journal'!F423)</f>
        <v/>
      </c>
      <c r="H843" s="5">
        <f>IF('Journal'!I423="","",'Journal'!I423)</f>
        <v/>
      </c>
    </row>
    <row r="844">
      <c r="A844" s="18">
        <f>IF('Journal'!A423="","",'Journal'!A423)</f>
        <v/>
      </c>
      <c r="B844" s="21">
        <f>IF('Journal'!B423="","",'Journal'!B423)</f>
        <v/>
      </c>
      <c r="C844" s="5">
        <f>IF('Journal'!C423="","",'Journal'!C423)</f>
        <v/>
      </c>
      <c r="D844" s="5">
        <f>IF('Journal'!E423="","",IFERROR(LEFT('Journal'!E423,FIND(" ",'Journal'!E423)-1),'Journal'!E423))</f>
        <v/>
      </c>
      <c r="E844" s="5">
        <f>IF('Journal'!E423="","",IFERROR(INDEX('Kontoplan'!$B$3:$B$302,MATCH('Journal'!E423,'Kontoplan'!$H$3:$H$302,0)),""))</f>
        <v/>
      </c>
      <c r="F844" s="20">
        <f>IF('Journal'!F423="","",'Journal'!F423)</f>
        <v/>
      </c>
      <c r="G844" s="20">
        <f>IF('Journal'!G423="","",'Journal'!G423)</f>
        <v/>
      </c>
      <c r="H844" s="5">
        <f>IF('Journal'!I423="","",'Journal'!I423)</f>
        <v/>
      </c>
    </row>
    <row r="845">
      <c r="A845" s="18">
        <f>IF('Journal'!A424="","",'Journal'!A424)</f>
        <v/>
      </c>
      <c r="B845" s="21">
        <f>IF('Journal'!B424="","",'Journal'!B424)</f>
        <v/>
      </c>
      <c r="C845" s="5">
        <f>IF('Journal'!C424="","",'Journal'!C424)</f>
        <v/>
      </c>
      <c r="D845" s="5">
        <f>IF('Journal'!D424="","",IFERROR(LEFT('Journal'!D424,FIND(" ",'Journal'!D424)-1),'Journal'!D424))</f>
        <v/>
      </c>
      <c r="E845" s="5">
        <f>IF('Journal'!D424="","",IFERROR(INDEX('Kontoplan'!$B$3:$B$302,MATCH('Journal'!D424,'Kontoplan'!$H$3:$H$302,0)),""))</f>
        <v/>
      </c>
      <c r="F845" s="20">
        <f>IF('Journal'!G424="","",'Journal'!G424)</f>
        <v/>
      </c>
      <c r="G845" s="20">
        <f>IF('Journal'!F424="","",'Journal'!F424)</f>
        <v/>
      </c>
      <c r="H845" s="5">
        <f>IF('Journal'!I424="","",'Journal'!I424)</f>
        <v/>
      </c>
    </row>
    <row r="846">
      <c r="A846" s="18">
        <f>IF('Journal'!A424="","",'Journal'!A424)</f>
        <v/>
      </c>
      <c r="B846" s="21">
        <f>IF('Journal'!B424="","",'Journal'!B424)</f>
        <v/>
      </c>
      <c r="C846" s="5">
        <f>IF('Journal'!C424="","",'Journal'!C424)</f>
        <v/>
      </c>
      <c r="D846" s="5">
        <f>IF('Journal'!E424="","",IFERROR(LEFT('Journal'!E424,FIND(" ",'Journal'!E424)-1),'Journal'!E424))</f>
        <v/>
      </c>
      <c r="E846" s="5">
        <f>IF('Journal'!E424="","",IFERROR(INDEX('Kontoplan'!$B$3:$B$302,MATCH('Journal'!E424,'Kontoplan'!$H$3:$H$302,0)),""))</f>
        <v/>
      </c>
      <c r="F846" s="20">
        <f>IF('Journal'!F424="","",'Journal'!F424)</f>
        <v/>
      </c>
      <c r="G846" s="20">
        <f>IF('Journal'!G424="","",'Journal'!G424)</f>
        <v/>
      </c>
      <c r="H846" s="5">
        <f>IF('Journal'!I424="","",'Journal'!I424)</f>
        <v/>
      </c>
    </row>
    <row r="847">
      <c r="A847" s="18">
        <f>IF('Journal'!A425="","",'Journal'!A425)</f>
        <v/>
      </c>
      <c r="B847" s="21">
        <f>IF('Journal'!B425="","",'Journal'!B425)</f>
        <v/>
      </c>
      <c r="C847" s="5">
        <f>IF('Journal'!C425="","",'Journal'!C425)</f>
        <v/>
      </c>
      <c r="D847" s="5">
        <f>IF('Journal'!D425="","",IFERROR(LEFT('Journal'!D425,FIND(" ",'Journal'!D425)-1),'Journal'!D425))</f>
        <v/>
      </c>
      <c r="E847" s="5">
        <f>IF('Journal'!D425="","",IFERROR(INDEX('Kontoplan'!$B$3:$B$302,MATCH('Journal'!D425,'Kontoplan'!$H$3:$H$302,0)),""))</f>
        <v/>
      </c>
      <c r="F847" s="20">
        <f>IF('Journal'!G425="","",'Journal'!G425)</f>
        <v/>
      </c>
      <c r="G847" s="20">
        <f>IF('Journal'!F425="","",'Journal'!F425)</f>
        <v/>
      </c>
      <c r="H847" s="5">
        <f>IF('Journal'!I425="","",'Journal'!I425)</f>
        <v/>
      </c>
    </row>
    <row r="848">
      <c r="A848" s="18">
        <f>IF('Journal'!A425="","",'Journal'!A425)</f>
        <v/>
      </c>
      <c r="B848" s="21">
        <f>IF('Journal'!B425="","",'Journal'!B425)</f>
        <v/>
      </c>
      <c r="C848" s="5">
        <f>IF('Journal'!C425="","",'Journal'!C425)</f>
        <v/>
      </c>
      <c r="D848" s="5">
        <f>IF('Journal'!E425="","",IFERROR(LEFT('Journal'!E425,FIND(" ",'Journal'!E425)-1),'Journal'!E425))</f>
        <v/>
      </c>
      <c r="E848" s="5">
        <f>IF('Journal'!E425="","",IFERROR(INDEX('Kontoplan'!$B$3:$B$302,MATCH('Journal'!E425,'Kontoplan'!$H$3:$H$302,0)),""))</f>
        <v/>
      </c>
      <c r="F848" s="20">
        <f>IF('Journal'!F425="","",'Journal'!F425)</f>
        <v/>
      </c>
      <c r="G848" s="20">
        <f>IF('Journal'!G425="","",'Journal'!G425)</f>
        <v/>
      </c>
      <c r="H848" s="5">
        <f>IF('Journal'!I425="","",'Journal'!I425)</f>
        <v/>
      </c>
    </row>
    <row r="849">
      <c r="A849" s="18">
        <f>IF('Journal'!A426="","",'Journal'!A426)</f>
        <v/>
      </c>
      <c r="B849" s="21">
        <f>IF('Journal'!B426="","",'Journal'!B426)</f>
        <v/>
      </c>
      <c r="C849" s="5">
        <f>IF('Journal'!C426="","",'Journal'!C426)</f>
        <v/>
      </c>
      <c r="D849" s="5">
        <f>IF('Journal'!D426="","",IFERROR(LEFT('Journal'!D426,FIND(" ",'Journal'!D426)-1),'Journal'!D426))</f>
        <v/>
      </c>
      <c r="E849" s="5">
        <f>IF('Journal'!D426="","",IFERROR(INDEX('Kontoplan'!$B$3:$B$302,MATCH('Journal'!D426,'Kontoplan'!$H$3:$H$302,0)),""))</f>
        <v/>
      </c>
      <c r="F849" s="20">
        <f>IF('Journal'!G426="","",'Journal'!G426)</f>
        <v/>
      </c>
      <c r="G849" s="20">
        <f>IF('Journal'!F426="","",'Journal'!F426)</f>
        <v/>
      </c>
      <c r="H849" s="5">
        <f>IF('Journal'!I426="","",'Journal'!I426)</f>
        <v/>
      </c>
    </row>
    <row r="850">
      <c r="A850" s="18">
        <f>IF('Journal'!A426="","",'Journal'!A426)</f>
        <v/>
      </c>
      <c r="B850" s="21">
        <f>IF('Journal'!B426="","",'Journal'!B426)</f>
        <v/>
      </c>
      <c r="C850" s="5">
        <f>IF('Journal'!C426="","",'Journal'!C426)</f>
        <v/>
      </c>
      <c r="D850" s="5">
        <f>IF('Journal'!E426="","",IFERROR(LEFT('Journal'!E426,FIND(" ",'Journal'!E426)-1),'Journal'!E426))</f>
        <v/>
      </c>
      <c r="E850" s="5">
        <f>IF('Journal'!E426="","",IFERROR(INDEX('Kontoplan'!$B$3:$B$302,MATCH('Journal'!E426,'Kontoplan'!$H$3:$H$302,0)),""))</f>
        <v/>
      </c>
      <c r="F850" s="20">
        <f>IF('Journal'!F426="","",'Journal'!F426)</f>
        <v/>
      </c>
      <c r="G850" s="20">
        <f>IF('Journal'!G426="","",'Journal'!G426)</f>
        <v/>
      </c>
      <c r="H850" s="5">
        <f>IF('Journal'!I426="","",'Journal'!I426)</f>
        <v/>
      </c>
    </row>
    <row r="851">
      <c r="A851" s="18">
        <f>IF('Journal'!A427="","",'Journal'!A427)</f>
        <v/>
      </c>
      <c r="B851" s="21">
        <f>IF('Journal'!B427="","",'Journal'!B427)</f>
        <v/>
      </c>
      <c r="C851" s="5">
        <f>IF('Journal'!C427="","",'Journal'!C427)</f>
        <v/>
      </c>
      <c r="D851" s="5">
        <f>IF('Journal'!D427="","",IFERROR(LEFT('Journal'!D427,FIND(" ",'Journal'!D427)-1),'Journal'!D427))</f>
        <v/>
      </c>
      <c r="E851" s="5">
        <f>IF('Journal'!D427="","",IFERROR(INDEX('Kontoplan'!$B$3:$B$302,MATCH('Journal'!D427,'Kontoplan'!$H$3:$H$302,0)),""))</f>
        <v/>
      </c>
      <c r="F851" s="20">
        <f>IF('Journal'!G427="","",'Journal'!G427)</f>
        <v/>
      </c>
      <c r="G851" s="20">
        <f>IF('Journal'!F427="","",'Journal'!F427)</f>
        <v/>
      </c>
      <c r="H851" s="5">
        <f>IF('Journal'!I427="","",'Journal'!I427)</f>
        <v/>
      </c>
    </row>
    <row r="852">
      <c r="A852" s="18">
        <f>IF('Journal'!A427="","",'Journal'!A427)</f>
        <v/>
      </c>
      <c r="B852" s="21">
        <f>IF('Journal'!B427="","",'Journal'!B427)</f>
        <v/>
      </c>
      <c r="C852" s="5">
        <f>IF('Journal'!C427="","",'Journal'!C427)</f>
        <v/>
      </c>
      <c r="D852" s="5">
        <f>IF('Journal'!E427="","",IFERROR(LEFT('Journal'!E427,FIND(" ",'Journal'!E427)-1),'Journal'!E427))</f>
        <v/>
      </c>
      <c r="E852" s="5">
        <f>IF('Journal'!E427="","",IFERROR(INDEX('Kontoplan'!$B$3:$B$302,MATCH('Journal'!E427,'Kontoplan'!$H$3:$H$302,0)),""))</f>
        <v/>
      </c>
      <c r="F852" s="20">
        <f>IF('Journal'!F427="","",'Journal'!F427)</f>
        <v/>
      </c>
      <c r="G852" s="20">
        <f>IF('Journal'!G427="","",'Journal'!G427)</f>
        <v/>
      </c>
      <c r="H852" s="5">
        <f>IF('Journal'!I427="","",'Journal'!I427)</f>
        <v/>
      </c>
    </row>
    <row r="853">
      <c r="A853" s="18">
        <f>IF('Journal'!A428="","",'Journal'!A428)</f>
        <v/>
      </c>
      <c r="B853" s="21">
        <f>IF('Journal'!B428="","",'Journal'!B428)</f>
        <v/>
      </c>
      <c r="C853" s="5">
        <f>IF('Journal'!C428="","",'Journal'!C428)</f>
        <v/>
      </c>
      <c r="D853" s="5">
        <f>IF('Journal'!D428="","",IFERROR(LEFT('Journal'!D428,FIND(" ",'Journal'!D428)-1),'Journal'!D428))</f>
        <v/>
      </c>
      <c r="E853" s="5">
        <f>IF('Journal'!D428="","",IFERROR(INDEX('Kontoplan'!$B$3:$B$302,MATCH('Journal'!D428,'Kontoplan'!$H$3:$H$302,0)),""))</f>
        <v/>
      </c>
      <c r="F853" s="20">
        <f>IF('Journal'!G428="","",'Journal'!G428)</f>
        <v/>
      </c>
      <c r="G853" s="20">
        <f>IF('Journal'!F428="","",'Journal'!F428)</f>
        <v/>
      </c>
      <c r="H853" s="5">
        <f>IF('Journal'!I428="","",'Journal'!I428)</f>
        <v/>
      </c>
    </row>
    <row r="854">
      <c r="A854" s="18">
        <f>IF('Journal'!A428="","",'Journal'!A428)</f>
        <v/>
      </c>
      <c r="B854" s="21">
        <f>IF('Journal'!B428="","",'Journal'!B428)</f>
        <v/>
      </c>
      <c r="C854" s="5">
        <f>IF('Journal'!C428="","",'Journal'!C428)</f>
        <v/>
      </c>
      <c r="D854" s="5">
        <f>IF('Journal'!E428="","",IFERROR(LEFT('Journal'!E428,FIND(" ",'Journal'!E428)-1),'Journal'!E428))</f>
        <v/>
      </c>
      <c r="E854" s="5">
        <f>IF('Journal'!E428="","",IFERROR(INDEX('Kontoplan'!$B$3:$B$302,MATCH('Journal'!E428,'Kontoplan'!$H$3:$H$302,0)),""))</f>
        <v/>
      </c>
      <c r="F854" s="20">
        <f>IF('Journal'!F428="","",'Journal'!F428)</f>
        <v/>
      </c>
      <c r="G854" s="20">
        <f>IF('Journal'!G428="","",'Journal'!G428)</f>
        <v/>
      </c>
      <c r="H854" s="5">
        <f>IF('Journal'!I428="","",'Journal'!I428)</f>
        <v/>
      </c>
    </row>
    <row r="855">
      <c r="A855" s="18">
        <f>IF('Journal'!A429="","",'Journal'!A429)</f>
        <v/>
      </c>
      <c r="B855" s="21">
        <f>IF('Journal'!B429="","",'Journal'!B429)</f>
        <v/>
      </c>
      <c r="C855" s="5">
        <f>IF('Journal'!C429="","",'Journal'!C429)</f>
        <v/>
      </c>
      <c r="D855" s="5">
        <f>IF('Journal'!D429="","",IFERROR(LEFT('Journal'!D429,FIND(" ",'Journal'!D429)-1),'Journal'!D429))</f>
        <v/>
      </c>
      <c r="E855" s="5">
        <f>IF('Journal'!D429="","",IFERROR(INDEX('Kontoplan'!$B$3:$B$302,MATCH('Journal'!D429,'Kontoplan'!$H$3:$H$302,0)),""))</f>
        <v/>
      </c>
      <c r="F855" s="20">
        <f>IF('Journal'!G429="","",'Journal'!G429)</f>
        <v/>
      </c>
      <c r="G855" s="20">
        <f>IF('Journal'!F429="","",'Journal'!F429)</f>
        <v/>
      </c>
      <c r="H855" s="5">
        <f>IF('Journal'!I429="","",'Journal'!I429)</f>
        <v/>
      </c>
    </row>
    <row r="856">
      <c r="A856" s="18">
        <f>IF('Journal'!A429="","",'Journal'!A429)</f>
        <v/>
      </c>
      <c r="B856" s="21">
        <f>IF('Journal'!B429="","",'Journal'!B429)</f>
        <v/>
      </c>
      <c r="C856" s="5">
        <f>IF('Journal'!C429="","",'Journal'!C429)</f>
        <v/>
      </c>
      <c r="D856" s="5">
        <f>IF('Journal'!E429="","",IFERROR(LEFT('Journal'!E429,FIND(" ",'Journal'!E429)-1),'Journal'!E429))</f>
        <v/>
      </c>
      <c r="E856" s="5">
        <f>IF('Journal'!E429="","",IFERROR(INDEX('Kontoplan'!$B$3:$B$302,MATCH('Journal'!E429,'Kontoplan'!$H$3:$H$302,0)),""))</f>
        <v/>
      </c>
      <c r="F856" s="20">
        <f>IF('Journal'!F429="","",'Journal'!F429)</f>
        <v/>
      </c>
      <c r="G856" s="20">
        <f>IF('Journal'!G429="","",'Journal'!G429)</f>
        <v/>
      </c>
      <c r="H856" s="5">
        <f>IF('Journal'!I429="","",'Journal'!I429)</f>
        <v/>
      </c>
    </row>
    <row r="857">
      <c r="A857" s="18">
        <f>IF('Journal'!A430="","",'Journal'!A430)</f>
        <v/>
      </c>
      <c r="B857" s="21">
        <f>IF('Journal'!B430="","",'Journal'!B430)</f>
        <v/>
      </c>
      <c r="C857" s="5">
        <f>IF('Journal'!C430="","",'Journal'!C430)</f>
        <v/>
      </c>
      <c r="D857" s="5">
        <f>IF('Journal'!D430="","",IFERROR(LEFT('Journal'!D430,FIND(" ",'Journal'!D430)-1),'Journal'!D430))</f>
        <v/>
      </c>
      <c r="E857" s="5">
        <f>IF('Journal'!D430="","",IFERROR(INDEX('Kontoplan'!$B$3:$B$302,MATCH('Journal'!D430,'Kontoplan'!$H$3:$H$302,0)),""))</f>
        <v/>
      </c>
      <c r="F857" s="20">
        <f>IF('Journal'!G430="","",'Journal'!G430)</f>
        <v/>
      </c>
      <c r="G857" s="20">
        <f>IF('Journal'!F430="","",'Journal'!F430)</f>
        <v/>
      </c>
      <c r="H857" s="5">
        <f>IF('Journal'!I430="","",'Journal'!I430)</f>
        <v/>
      </c>
    </row>
    <row r="858">
      <c r="A858" s="18">
        <f>IF('Journal'!A430="","",'Journal'!A430)</f>
        <v/>
      </c>
      <c r="B858" s="21">
        <f>IF('Journal'!B430="","",'Journal'!B430)</f>
        <v/>
      </c>
      <c r="C858" s="5">
        <f>IF('Journal'!C430="","",'Journal'!C430)</f>
        <v/>
      </c>
      <c r="D858" s="5">
        <f>IF('Journal'!E430="","",IFERROR(LEFT('Journal'!E430,FIND(" ",'Journal'!E430)-1),'Journal'!E430))</f>
        <v/>
      </c>
      <c r="E858" s="5">
        <f>IF('Journal'!E430="","",IFERROR(INDEX('Kontoplan'!$B$3:$B$302,MATCH('Journal'!E430,'Kontoplan'!$H$3:$H$302,0)),""))</f>
        <v/>
      </c>
      <c r="F858" s="20">
        <f>IF('Journal'!F430="","",'Journal'!F430)</f>
        <v/>
      </c>
      <c r="G858" s="20">
        <f>IF('Journal'!G430="","",'Journal'!G430)</f>
        <v/>
      </c>
      <c r="H858" s="5">
        <f>IF('Journal'!I430="","",'Journal'!I430)</f>
        <v/>
      </c>
    </row>
    <row r="859">
      <c r="A859" s="18">
        <f>IF('Journal'!A431="","",'Journal'!A431)</f>
        <v/>
      </c>
      <c r="B859" s="21">
        <f>IF('Journal'!B431="","",'Journal'!B431)</f>
        <v/>
      </c>
      <c r="C859" s="5">
        <f>IF('Journal'!C431="","",'Journal'!C431)</f>
        <v/>
      </c>
      <c r="D859" s="5">
        <f>IF('Journal'!D431="","",IFERROR(LEFT('Journal'!D431,FIND(" ",'Journal'!D431)-1),'Journal'!D431))</f>
        <v/>
      </c>
      <c r="E859" s="5">
        <f>IF('Journal'!D431="","",IFERROR(INDEX('Kontoplan'!$B$3:$B$302,MATCH('Journal'!D431,'Kontoplan'!$H$3:$H$302,0)),""))</f>
        <v/>
      </c>
      <c r="F859" s="20">
        <f>IF('Journal'!G431="","",'Journal'!G431)</f>
        <v/>
      </c>
      <c r="G859" s="20">
        <f>IF('Journal'!F431="","",'Journal'!F431)</f>
        <v/>
      </c>
      <c r="H859" s="5">
        <f>IF('Journal'!I431="","",'Journal'!I431)</f>
        <v/>
      </c>
    </row>
    <row r="860">
      <c r="A860" s="18">
        <f>IF('Journal'!A431="","",'Journal'!A431)</f>
        <v/>
      </c>
      <c r="B860" s="21">
        <f>IF('Journal'!B431="","",'Journal'!B431)</f>
        <v/>
      </c>
      <c r="C860" s="5">
        <f>IF('Journal'!C431="","",'Journal'!C431)</f>
        <v/>
      </c>
      <c r="D860" s="5">
        <f>IF('Journal'!E431="","",IFERROR(LEFT('Journal'!E431,FIND(" ",'Journal'!E431)-1),'Journal'!E431))</f>
        <v/>
      </c>
      <c r="E860" s="5">
        <f>IF('Journal'!E431="","",IFERROR(INDEX('Kontoplan'!$B$3:$B$302,MATCH('Journal'!E431,'Kontoplan'!$H$3:$H$302,0)),""))</f>
        <v/>
      </c>
      <c r="F860" s="20">
        <f>IF('Journal'!F431="","",'Journal'!F431)</f>
        <v/>
      </c>
      <c r="G860" s="20">
        <f>IF('Journal'!G431="","",'Journal'!G431)</f>
        <v/>
      </c>
      <c r="H860" s="5">
        <f>IF('Journal'!I431="","",'Journal'!I431)</f>
        <v/>
      </c>
    </row>
    <row r="861">
      <c r="A861" s="18">
        <f>IF('Journal'!A432="","",'Journal'!A432)</f>
        <v/>
      </c>
      <c r="B861" s="21">
        <f>IF('Journal'!B432="","",'Journal'!B432)</f>
        <v/>
      </c>
      <c r="C861" s="5">
        <f>IF('Journal'!C432="","",'Journal'!C432)</f>
        <v/>
      </c>
      <c r="D861" s="5">
        <f>IF('Journal'!D432="","",IFERROR(LEFT('Journal'!D432,FIND(" ",'Journal'!D432)-1),'Journal'!D432))</f>
        <v/>
      </c>
      <c r="E861" s="5">
        <f>IF('Journal'!D432="","",IFERROR(INDEX('Kontoplan'!$B$3:$B$302,MATCH('Journal'!D432,'Kontoplan'!$H$3:$H$302,0)),""))</f>
        <v/>
      </c>
      <c r="F861" s="20">
        <f>IF('Journal'!G432="","",'Journal'!G432)</f>
        <v/>
      </c>
      <c r="G861" s="20">
        <f>IF('Journal'!F432="","",'Journal'!F432)</f>
        <v/>
      </c>
      <c r="H861" s="5">
        <f>IF('Journal'!I432="","",'Journal'!I432)</f>
        <v/>
      </c>
    </row>
    <row r="862">
      <c r="A862" s="18">
        <f>IF('Journal'!A432="","",'Journal'!A432)</f>
        <v/>
      </c>
      <c r="B862" s="21">
        <f>IF('Journal'!B432="","",'Journal'!B432)</f>
        <v/>
      </c>
      <c r="C862" s="5">
        <f>IF('Journal'!C432="","",'Journal'!C432)</f>
        <v/>
      </c>
      <c r="D862" s="5">
        <f>IF('Journal'!E432="","",IFERROR(LEFT('Journal'!E432,FIND(" ",'Journal'!E432)-1),'Journal'!E432))</f>
        <v/>
      </c>
      <c r="E862" s="5">
        <f>IF('Journal'!E432="","",IFERROR(INDEX('Kontoplan'!$B$3:$B$302,MATCH('Journal'!E432,'Kontoplan'!$H$3:$H$302,0)),""))</f>
        <v/>
      </c>
      <c r="F862" s="20">
        <f>IF('Journal'!F432="","",'Journal'!F432)</f>
        <v/>
      </c>
      <c r="G862" s="20">
        <f>IF('Journal'!G432="","",'Journal'!G432)</f>
        <v/>
      </c>
      <c r="H862" s="5">
        <f>IF('Journal'!I432="","",'Journal'!I432)</f>
        <v/>
      </c>
    </row>
    <row r="863">
      <c r="A863" s="18">
        <f>IF('Journal'!A433="","",'Journal'!A433)</f>
        <v/>
      </c>
      <c r="B863" s="21">
        <f>IF('Journal'!B433="","",'Journal'!B433)</f>
        <v/>
      </c>
      <c r="C863" s="5">
        <f>IF('Journal'!C433="","",'Journal'!C433)</f>
        <v/>
      </c>
      <c r="D863" s="5">
        <f>IF('Journal'!D433="","",IFERROR(LEFT('Journal'!D433,FIND(" ",'Journal'!D433)-1),'Journal'!D433))</f>
        <v/>
      </c>
      <c r="E863" s="5">
        <f>IF('Journal'!D433="","",IFERROR(INDEX('Kontoplan'!$B$3:$B$302,MATCH('Journal'!D433,'Kontoplan'!$H$3:$H$302,0)),""))</f>
        <v/>
      </c>
      <c r="F863" s="20">
        <f>IF('Journal'!G433="","",'Journal'!G433)</f>
        <v/>
      </c>
      <c r="G863" s="20">
        <f>IF('Journal'!F433="","",'Journal'!F433)</f>
        <v/>
      </c>
      <c r="H863" s="5">
        <f>IF('Journal'!I433="","",'Journal'!I433)</f>
        <v/>
      </c>
    </row>
    <row r="864">
      <c r="A864" s="18">
        <f>IF('Journal'!A433="","",'Journal'!A433)</f>
        <v/>
      </c>
      <c r="B864" s="21">
        <f>IF('Journal'!B433="","",'Journal'!B433)</f>
        <v/>
      </c>
      <c r="C864" s="5">
        <f>IF('Journal'!C433="","",'Journal'!C433)</f>
        <v/>
      </c>
      <c r="D864" s="5">
        <f>IF('Journal'!E433="","",IFERROR(LEFT('Journal'!E433,FIND(" ",'Journal'!E433)-1),'Journal'!E433))</f>
        <v/>
      </c>
      <c r="E864" s="5">
        <f>IF('Journal'!E433="","",IFERROR(INDEX('Kontoplan'!$B$3:$B$302,MATCH('Journal'!E433,'Kontoplan'!$H$3:$H$302,0)),""))</f>
        <v/>
      </c>
      <c r="F864" s="20">
        <f>IF('Journal'!F433="","",'Journal'!F433)</f>
        <v/>
      </c>
      <c r="G864" s="20">
        <f>IF('Journal'!G433="","",'Journal'!G433)</f>
        <v/>
      </c>
      <c r="H864" s="5">
        <f>IF('Journal'!I433="","",'Journal'!I433)</f>
        <v/>
      </c>
    </row>
    <row r="865">
      <c r="A865" s="18">
        <f>IF('Journal'!A434="","",'Journal'!A434)</f>
        <v/>
      </c>
      <c r="B865" s="21">
        <f>IF('Journal'!B434="","",'Journal'!B434)</f>
        <v/>
      </c>
      <c r="C865" s="5">
        <f>IF('Journal'!C434="","",'Journal'!C434)</f>
        <v/>
      </c>
      <c r="D865" s="5">
        <f>IF('Journal'!D434="","",IFERROR(LEFT('Journal'!D434,FIND(" ",'Journal'!D434)-1),'Journal'!D434))</f>
        <v/>
      </c>
      <c r="E865" s="5">
        <f>IF('Journal'!D434="","",IFERROR(INDEX('Kontoplan'!$B$3:$B$302,MATCH('Journal'!D434,'Kontoplan'!$H$3:$H$302,0)),""))</f>
        <v/>
      </c>
      <c r="F865" s="20">
        <f>IF('Journal'!G434="","",'Journal'!G434)</f>
        <v/>
      </c>
      <c r="G865" s="20">
        <f>IF('Journal'!F434="","",'Journal'!F434)</f>
        <v/>
      </c>
      <c r="H865" s="5">
        <f>IF('Journal'!I434="","",'Journal'!I434)</f>
        <v/>
      </c>
    </row>
    <row r="866">
      <c r="A866" s="18">
        <f>IF('Journal'!A434="","",'Journal'!A434)</f>
        <v/>
      </c>
      <c r="B866" s="21">
        <f>IF('Journal'!B434="","",'Journal'!B434)</f>
        <v/>
      </c>
      <c r="C866" s="5">
        <f>IF('Journal'!C434="","",'Journal'!C434)</f>
        <v/>
      </c>
      <c r="D866" s="5">
        <f>IF('Journal'!E434="","",IFERROR(LEFT('Journal'!E434,FIND(" ",'Journal'!E434)-1),'Journal'!E434))</f>
        <v/>
      </c>
      <c r="E866" s="5">
        <f>IF('Journal'!E434="","",IFERROR(INDEX('Kontoplan'!$B$3:$B$302,MATCH('Journal'!E434,'Kontoplan'!$H$3:$H$302,0)),""))</f>
        <v/>
      </c>
      <c r="F866" s="20">
        <f>IF('Journal'!F434="","",'Journal'!F434)</f>
        <v/>
      </c>
      <c r="G866" s="20">
        <f>IF('Journal'!G434="","",'Journal'!G434)</f>
        <v/>
      </c>
      <c r="H866" s="5">
        <f>IF('Journal'!I434="","",'Journal'!I434)</f>
        <v/>
      </c>
    </row>
    <row r="867">
      <c r="A867" s="18">
        <f>IF('Journal'!A435="","",'Journal'!A435)</f>
        <v/>
      </c>
      <c r="B867" s="21">
        <f>IF('Journal'!B435="","",'Journal'!B435)</f>
        <v/>
      </c>
      <c r="C867" s="5">
        <f>IF('Journal'!C435="","",'Journal'!C435)</f>
        <v/>
      </c>
      <c r="D867" s="5">
        <f>IF('Journal'!D435="","",IFERROR(LEFT('Journal'!D435,FIND(" ",'Journal'!D435)-1),'Journal'!D435))</f>
        <v/>
      </c>
      <c r="E867" s="5">
        <f>IF('Journal'!D435="","",IFERROR(INDEX('Kontoplan'!$B$3:$B$302,MATCH('Journal'!D435,'Kontoplan'!$H$3:$H$302,0)),""))</f>
        <v/>
      </c>
      <c r="F867" s="20">
        <f>IF('Journal'!G435="","",'Journal'!G435)</f>
        <v/>
      </c>
      <c r="G867" s="20">
        <f>IF('Journal'!F435="","",'Journal'!F435)</f>
        <v/>
      </c>
      <c r="H867" s="5">
        <f>IF('Journal'!I435="","",'Journal'!I435)</f>
        <v/>
      </c>
    </row>
    <row r="868">
      <c r="A868" s="18">
        <f>IF('Journal'!A435="","",'Journal'!A435)</f>
        <v/>
      </c>
      <c r="B868" s="21">
        <f>IF('Journal'!B435="","",'Journal'!B435)</f>
        <v/>
      </c>
      <c r="C868" s="5">
        <f>IF('Journal'!C435="","",'Journal'!C435)</f>
        <v/>
      </c>
      <c r="D868" s="5">
        <f>IF('Journal'!E435="","",IFERROR(LEFT('Journal'!E435,FIND(" ",'Journal'!E435)-1),'Journal'!E435))</f>
        <v/>
      </c>
      <c r="E868" s="5">
        <f>IF('Journal'!E435="","",IFERROR(INDEX('Kontoplan'!$B$3:$B$302,MATCH('Journal'!E435,'Kontoplan'!$H$3:$H$302,0)),""))</f>
        <v/>
      </c>
      <c r="F868" s="20">
        <f>IF('Journal'!F435="","",'Journal'!F435)</f>
        <v/>
      </c>
      <c r="G868" s="20">
        <f>IF('Journal'!G435="","",'Journal'!G435)</f>
        <v/>
      </c>
      <c r="H868" s="5">
        <f>IF('Journal'!I435="","",'Journal'!I435)</f>
        <v/>
      </c>
    </row>
    <row r="869">
      <c r="A869" s="18">
        <f>IF('Journal'!A436="","",'Journal'!A436)</f>
        <v/>
      </c>
      <c r="B869" s="21">
        <f>IF('Journal'!B436="","",'Journal'!B436)</f>
        <v/>
      </c>
      <c r="C869" s="5">
        <f>IF('Journal'!C436="","",'Journal'!C436)</f>
        <v/>
      </c>
      <c r="D869" s="5">
        <f>IF('Journal'!D436="","",IFERROR(LEFT('Journal'!D436,FIND(" ",'Journal'!D436)-1),'Journal'!D436))</f>
        <v/>
      </c>
      <c r="E869" s="5">
        <f>IF('Journal'!D436="","",IFERROR(INDEX('Kontoplan'!$B$3:$B$302,MATCH('Journal'!D436,'Kontoplan'!$H$3:$H$302,0)),""))</f>
        <v/>
      </c>
      <c r="F869" s="20">
        <f>IF('Journal'!G436="","",'Journal'!G436)</f>
        <v/>
      </c>
      <c r="G869" s="20">
        <f>IF('Journal'!F436="","",'Journal'!F436)</f>
        <v/>
      </c>
      <c r="H869" s="5">
        <f>IF('Journal'!I436="","",'Journal'!I436)</f>
        <v/>
      </c>
    </row>
    <row r="870">
      <c r="A870" s="18">
        <f>IF('Journal'!A436="","",'Journal'!A436)</f>
        <v/>
      </c>
      <c r="B870" s="21">
        <f>IF('Journal'!B436="","",'Journal'!B436)</f>
        <v/>
      </c>
      <c r="C870" s="5">
        <f>IF('Journal'!C436="","",'Journal'!C436)</f>
        <v/>
      </c>
      <c r="D870" s="5">
        <f>IF('Journal'!E436="","",IFERROR(LEFT('Journal'!E436,FIND(" ",'Journal'!E436)-1),'Journal'!E436))</f>
        <v/>
      </c>
      <c r="E870" s="5">
        <f>IF('Journal'!E436="","",IFERROR(INDEX('Kontoplan'!$B$3:$B$302,MATCH('Journal'!E436,'Kontoplan'!$H$3:$H$302,0)),""))</f>
        <v/>
      </c>
      <c r="F870" s="20">
        <f>IF('Journal'!F436="","",'Journal'!F436)</f>
        <v/>
      </c>
      <c r="G870" s="20">
        <f>IF('Journal'!G436="","",'Journal'!G436)</f>
        <v/>
      </c>
      <c r="H870" s="5">
        <f>IF('Journal'!I436="","",'Journal'!I436)</f>
        <v/>
      </c>
    </row>
    <row r="871">
      <c r="A871" s="18">
        <f>IF('Journal'!A437="","",'Journal'!A437)</f>
        <v/>
      </c>
      <c r="B871" s="21">
        <f>IF('Journal'!B437="","",'Journal'!B437)</f>
        <v/>
      </c>
      <c r="C871" s="5">
        <f>IF('Journal'!C437="","",'Journal'!C437)</f>
        <v/>
      </c>
      <c r="D871" s="5">
        <f>IF('Journal'!D437="","",IFERROR(LEFT('Journal'!D437,FIND(" ",'Journal'!D437)-1),'Journal'!D437))</f>
        <v/>
      </c>
      <c r="E871" s="5">
        <f>IF('Journal'!D437="","",IFERROR(INDEX('Kontoplan'!$B$3:$B$302,MATCH('Journal'!D437,'Kontoplan'!$H$3:$H$302,0)),""))</f>
        <v/>
      </c>
      <c r="F871" s="20">
        <f>IF('Journal'!G437="","",'Journal'!G437)</f>
        <v/>
      </c>
      <c r="G871" s="20">
        <f>IF('Journal'!F437="","",'Journal'!F437)</f>
        <v/>
      </c>
      <c r="H871" s="5">
        <f>IF('Journal'!I437="","",'Journal'!I437)</f>
        <v/>
      </c>
    </row>
    <row r="872">
      <c r="A872" s="18">
        <f>IF('Journal'!A437="","",'Journal'!A437)</f>
        <v/>
      </c>
      <c r="B872" s="21">
        <f>IF('Journal'!B437="","",'Journal'!B437)</f>
        <v/>
      </c>
      <c r="C872" s="5">
        <f>IF('Journal'!C437="","",'Journal'!C437)</f>
        <v/>
      </c>
      <c r="D872" s="5">
        <f>IF('Journal'!E437="","",IFERROR(LEFT('Journal'!E437,FIND(" ",'Journal'!E437)-1),'Journal'!E437))</f>
        <v/>
      </c>
      <c r="E872" s="5">
        <f>IF('Journal'!E437="","",IFERROR(INDEX('Kontoplan'!$B$3:$B$302,MATCH('Journal'!E437,'Kontoplan'!$H$3:$H$302,0)),""))</f>
        <v/>
      </c>
      <c r="F872" s="20">
        <f>IF('Journal'!F437="","",'Journal'!F437)</f>
        <v/>
      </c>
      <c r="G872" s="20">
        <f>IF('Journal'!G437="","",'Journal'!G437)</f>
        <v/>
      </c>
      <c r="H872" s="5">
        <f>IF('Journal'!I437="","",'Journal'!I437)</f>
        <v/>
      </c>
    </row>
    <row r="873">
      <c r="A873" s="18">
        <f>IF('Journal'!A438="","",'Journal'!A438)</f>
        <v/>
      </c>
      <c r="B873" s="21">
        <f>IF('Journal'!B438="","",'Journal'!B438)</f>
        <v/>
      </c>
      <c r="C873" s="5">
        <f>IF('Journal'!C438="","",'Journal'!C438)</f>
        <v/>
      </c>
      <c r="D873" s="5">
        <f>IF('Journal'!D438="","",IFERROR(LEFT('Journal'!D438,FIND(" ",'Journal'!D438)-1),'Journal'!D438))</f>
        <v/>
      </c>
      <c r="E873" s="5">
        <f>IF('Journal'!D438="","",IFERROR(INDEX('Kontoplan'!$B$3:$B$302,MATCH('Journal'!D438,'Kontoplan'!$H$3:$H$302,0)),""))</f>
        <v/>
      </c>
      <c r="F873" s="20">
        <f>IF('Journal'!G438="","",'Journal'!G438)</f>
        <v/>
      </c>
      <c r="G873" s="20">
        <f>IF('Journal'!F438="","",'Journal'!F438)</f>
        <v/>
      </c>
      <c r="H873" s="5">
        <f>IF('Journal'!I438="","",'Journal'!I438)</f>
        <v/>
      </c>
    </row>
    <row r="874">
      <c r="A874" s="18">
        <f>IF('Journal'!A438="","",'Journal'!A438)</f>
        <v/>
      </c>
      <c r="B874" s="21">
        <f>IF('Journal'!B438="","",'Journal'!B438)</f>
        <v/>
      </c>
      <c r="C874" s="5">
        <f>IF('Journal'!C438="","",'Journal'!C438)</f>
        <v/>
      </c>
      <c r="D874" s="5">
        <f>IF('Journal'!E438="","",IFERROR(LEFT('Journal'!E438,FIND(" ",'Journal'!E438)-1),'Journal'!E438))</f>
        <v/>
      </c>
      <c r="E874" s="5">
        <f>IF('Journal'!E438="","",IFERROR(INDEX('Kontoplan'!$B$3:$B$302,MATCH('Journal'!E438,'Kontoplan'!$H$3:$H$302,0)),""))</f>
        <v/>
      </c>
      <c r="F874" s="20">
        <f>IF('Journal'!F438="","",'Journal'!F438)</f>
        <v/>
      </c>
      <c r="G874" s="20">
        <f>IF('Journal'!G438="","",'Journal'!G438)</f>
        <v/>
      </c>
      <c r="H874" s="5">
        <f>IF('Journal'!I438="","",'Journal'!I438)</f>
        <v/>
      </c>
    </row>
    <row r="875">
      <c r="A875" s="18">
        <f>IF('Journal'!A439="","",'Journal'!A439)</f>
        <v/>
      </c>
      <c r="B875" s="21">
        <f>IF('Journal'!B439="","",'Journal'!B439)</f>
        <v/>
      </c>
      <c r="C875" s="5">
        <f>IF('Journal'!C439="","",'Journal'!C439)</f>
        <v/>
      </c>
      <c r="D875" s="5">
        <f>IF('Journal'!D439="","",IFERROR(LEFT('Journal'!D439,FIND(" ",'Journal'!D439)-1),'Journal'!D439))</f>
        <v/>
      </c>
      <c r="E875" s="5">
        <f>IF('Journal'!D439="","",IFERROR(INDEX('Kontoplan'!$B$3:$B$302,MATCH('Journal'!D439,'Kontoplan'!$H$3:$H$302,0)),""))</f>
        <v/>
      </c>
      <c r="F875" s="20">
        <f>IF('Journal'!G439="","",'Journal'!G439)</f>
        <v/>
      </c>
      <c r="G875" s="20">
        <f>IF('Journal'!F439="","",'Journal'!F439)</f>
        <v/>
      </c>
      <c r="H875" s="5">
        <f>IF('Journal'!I439="","",'Journal'!I439)</f>
        <v/>
      </c>
    </row>
    <row r="876">
      <c r="A876" s="18">
        <f>IF('Journal'!A439="","",'Journal'!A439)</f>
        <v/>
      </c>
      <c r="B876" s="21">
        <f>IF('Journal'!B439="","",'Journal'!B439)</f>
        <v/>
      </c>
      <c r="C876" s="5">
        <f>IF('Journal'!C439="","",'Journal'!C439)</f>
        <v/>
      </c>
      <c r="D876" s="5">
        <f>IF('Journal'!E439="","",IFERROR(LEFT('Journal'!E439,FIND(" ",'Journal'!E439)-1),'Journal'!E439))</f>
        <v/>
      </c>
      <c r="E876" s="5">
        <f>IF('Journal'!E439="","",IFERROR(INDEX('Kontoplan'!$B$3:$B$302,MATCH('Journal'!E439,'Kontoplan'!$H$3:$H$302,0)),""))</f>
        <v/>
      </c>
      <c r="F876" s="20">
        <f>IF('Journal'!F439="","",'Journal'!F439)</f>
        <v/>
      </c>
      <c r="G876" s="20">
        <f>IF('Journal'!G439="","",'Journal'!G439)</f>
        <v/>
      </c>
      <c r="H876" s="5">
        <f>IF('Journal'!I439="","",'Journal'!I439)</f>
        <v/>
      </c>
    </row>
    <row r="877">
      <c r="A877" s="18">
        <f>IF('Journal'!A440="","",'Journal'!A440)</f>
        <v/>
      </c>
      <c r="B877" s="21">
        <f>IF('Journal'!B440="","",'Journal'!B440)</f>
        <v/>
      </c>
      <c r="C877" s="5">
        <f>IF('Journal'!C440="","",'Journal'!C440)</f>
        <v/>
      </c>
      <c r="D877" s="5">
        <f>IF('Journal'!D440="","",IFERROR(LEFT('Journal'!D440,FIND(" ",'Journal'!D440)-1),'Journal'!D440))</f>
        <v/>
      </c>
      <c r="E877" s="5">
        <f>IF('Journal'!D440="","",IFERROR(INDEX('Kontoplan'!$B$3:$B$302,MATCH('Journal'!D440,'Kontoplan'!$H$3:$H$302,0)),""))</f>
        <v/>
      </c>
      <c r="F877" s="20">
        <f>IF('Journal'!G440="","",'Journal'!G440)</f>
        <v/>
      </c>
      <c r="G877" s="20">
        <f>IF('Journal'!F440="","",'Journal'!F440)</f>
        <v/>
      </c>
      <c r="H877" s="5">
        <f>IF('Journal'!I440="","",'Journal'!I440)</f>
        <v/>
      </c>
    </row>
    <row r="878">
      <c r="A878" s="18">
        <f>IF('Journal'!A440="","",'Journal'!A440)</f>
        <v/>
      </c>
      <c r="B878" s="21">
        <f>IF('Journal'!B440="","",'Journal'!B440)</f>
        <v/>
      </c>
      <c r="C878" s="5">
        <f>IF('Journal'!C440="","",'Journal'!C440)</f>
        <v/>
      </c>
      <c r="D878" s="5">
        <f>IF('Journal'!E440="","",IFERROR(LEFT('Journal'!E440,FIND(" ",'Journal'!E440)-1),'Journal'!E440))</f>
        <v/>
      </c>
      <c r="E878" s="5">
        <f>IF('Journal'!E440="","",IFERROR(INDEX('Kontoplan'!$B$3:$B$302,MATCH('Journal'!E440,'Kontoplan'!$H$3:$H$302,0)),""))</f>
        <v/>
      </c>
      <c r="F878" s="20">
        <f>IF('Journal'!F440="","",'Journal'!F440)</f>
        <v/>
      </c>
      <c r="G878" s="20">
        <f>IF('Journal'!G440="","",'Journal'!G440)</f>
        <v/>
      </c>
      <c r="H878" s="5">
        <f>IF('Journal'!I440="","",'Journal'!I440)</f>
        <v/>
      </c>
    </row>
    <row r="879">
      <c r="A879" s="18">
        <f>IF('Journal'!A441="","",'Journal'!A441)</f>
        <v/>
      </c>
      <c r="B879" s="21">
        <f>IF('Journal'!B441="","",'Journal'!B441)</f>
        <v/>
      </c>
      <c r="C879" s="5">
        <f>IF('Journal'!C441="","",'Journal'!C441)</f>
        <v/>
      </c>
      <c r="D879" s="5">
        <f>IF('Journal'!D441="","",IFERROR(LEFT('Journal'!D441,FIND(" ",'Journal'!D441)-1),'Journal'!D441))</f>
        <v/>
      </c>
      <c r="E879" s="5">
        <f>IF('Journal'!D441="","",IFERROR(INDEX('Kontoplan'!$B$3:$B$302,MATCH('Journal'!D441,'Kontoplan'!$H$3:$H$302,0)),""))</f>
        <v/>
      </c>
      <c r="F879" s="20">
        <f>IF('Journal'!G441="","",'Journal'!G441)</f>
        <v/>
      </c>
      <c r="G879" s="20">
        <f>IF('Journal'!F441="","",'Journal'!F441)</f>
        <v/>
      </c>
      <c r="H879" s="5">
        <f>IF('Journal'!I441="","",'Journal'!I441)</f>
        <v/>
      </c>
    </row>
    <row r="880">
      <c r="A880" s="18">
        <f>IF('Journal'!A441="","",'Journal'!A441)</f>
        <v/>
      </c>
      <c r="B880" s="21">
        <f>IF('Journal'!B441="","",'Journal'!B441)</f>
        <v/>
      </c>
      <c r="C880" s="5">
        <f>IF('Journal'!C441="","",'Journal'!C441)</f>
        <v/>
      </c>
      <c r="D880" s="5">
        <f>IF('Journal'!E441="","",IFERROR(LEFT('Journal'!E441,FIND(" ",'Journal'!E441)-1),'Journal'!E441))</f>
        <v/>
      </c>
      <c r="E880" s="5">
        <f>IF('Journal'!E441="","",IFERROR(INDEX('Kontoplan'!$B$3:$B$302,MATCH('Journal'!E441,'Kontoplan'!$H$3:$H$302,0)),""))</f>
        <v/>
      </c>
      <c r="F880" s="20">
        <f>IF('Journal'!F441="","",'Journal'!F441)</f>
        <v/>
      </c>
      <c r="G880" s="20">
        <f>IF('Journal'!G441="","",'Journal'!G441)</f>
        <v/>
      </c>
      <c r="H880" s="5">
        <f>IF('Journal'!I441="","",'Journal'!I441)</f>
        <v/>
      </c>
    </row>
    <row r="881">
      <c r="A881" s="18">
        <f>IF('Journal'!A442="","",'Journal'!A442)</f>
        <v/>
      </c>
      <c r="B881" s="21">
        <f>IF('Journal'!B442="","",'Journal'!B442)</f>
        <v/>
      </c>
      <c r="C881" s="5">
        <f>IF('Journal'!C442="","",'Journal'!C442)</f>
        <v/>
      </c>
      <c r="D881" s="5">
        <f>IF('Journal'!D442="","",IFERROR(LEFT('Journal'!D442,FIND(" ",'Journal'!D442)-1),'Journal'!D442))</f>
        <v/>
      </c>
      <c r="E881" s="5">
        <f>IF('Journal'!D442="","",IFERROR(INDEX('Kontoplan'!$B$3:$B$302,MATCH('Journal'!D442,'Kontoplan'!$H$3:$H$302,0)),""))</f>
        <v/>
      </c>
      <c r="F881" s="20">
        <f>IF('Journal'!G442="","",'Journal'!G442)</f>
        <v/>
      </c>
      <c r="G881" s="20">
        <f>IF('Journal'!F442="","",'Journal'!F442)</f>
        <v/>
      </c>
      <c r="H881" s="5">
        <f>IF('Journal'!I442="","",'Journal'!I442)</f>
        <v/>
      </c>
    </row>
    <row r="882">
      <c r="A882" s="18">
        <f>IF('Journal'!A442="","",'Journal'!A442)</f>
        <v/>
      </c>
      <c r="B882" s="21">
        <f>IF('Journal'!B442="","",'Journal'!B442)</f>
        <v/>
      </c>
      <c r="C882" s="5">
        <f>IF('Journal'!C442="","",'Journal'!C442)</f>
        <v/>
      </c>
      <c r="D882" s="5">
        <f>IF('Journal'!E442="","",IFERROR(LEFT('Journal'!E442,FIND(" ",'Journal'!E442)-1),'Journal'!E442))</f>
        <v/>
      </c>
      <c r="E882" s="5">
        <f>IF('Journal'!E442="","",IFERROR(INDEX('Kontoplan'!$B$3:$B$302,MATCH('Journal'!E442,'Kontoplan'!$H$3:$H$302,0)),""))</f>
        <v/>
      </c>
      <c r="F882" s="20">
        <f>IF('Journal'!F442="","",'Journal'!F442)</f>
        <v/>
      </c>
      <c r="G882" s="20">
        <f>IF('Journal'!G442="","",'Journal'!G442)</f>
        <v/>
      </c>
      <c r="H882" s="5">
        <f>IF('Journal'!I442="","",'Journal'!I442)</f>
        <v/>
      </c>
    </row>
    <row r="883">
      <c r="A883" s="18">
        <f>IF('Journal'!A443="","",'Journal'!A443)</f>
        <v/>
      </c>
      <c r="B883" s="21">
        <f>IF('Journal'!B443="","",'Journal'!B443)</f>
        <v/>
      </c>
      <c r="C883" s="5">
        <f>IF('Journal'!C443="","",'Journal'!C443)</f>
        <v/>
      </c>
      <c r="D883" s="5">
        <f>IF('Journal'!D443="","",IFERROR(LEFT('Journal'!D443,FIND(" ",'Journal'!D443)-1),'Journal'!D443))</f>
        <v/>
      </c>
      <c r="E883" s="5">
        <f>IF('Journal'!D443="","",IFERROR(INDEX('Kontoplan'!$B$3:$B$302,MATCH('Journal'!D443,'Kontoplan'!$H$3:$H$302,0)),""))</f>
        <v/>
      </c>
      <c r="F883" s="20">
        <f>IF('Journal'!G443="","",'Journal'!G443)</f>
        <v/>
      </c>
      <c r="G883" s="20">
        <f>IF('Journal'!F443="","",'Journal'!F443)</f>
        <v/>
      </c>
      <c r="H883" s="5">
        <f>IF('Journal'!I443="","",'Journal'!I443)</f>
        <v/>
      </c>
    </row>
    <row r="884">
      <c r="A884" s="18">
        <f>IF('Journal'!A443="","",'Journal'!A443)</f>
        <v/>
      </c>
      <c r="B884" s="21">
        <f>IF('Journal'!B443="","",'Journal'!B443)</f>
        <v/>
      </c>
      <c r="C884" s="5">
        <f>IF('Journal'!C443="","",'Journal'!C443)</f>
        <v/>
      </c>
      <c r="D884" s="5">
        <f>IF('Journal'!E443="","",IFERROR(LEFT('Journal'!E443,FIND(" ",'Journal'!E443)-1),'Journal'!E443))</f>
        <v/>
      </c>
      <c r="E884" s="5">
        <f>IF('Journal'!E443="","",IFERROR(INDEX('Kontoplan'!$B$3:$B$302,MATCH('Journal'!E443,'Kontoplan'!$H$3:$H$302,0)),""))</f>
        <v/>
      </c>
      <c r="F884" s="20">
        <f>IF('Journal'!F443="","",'Journal'!F443)</f>
        <v/>
      </c>
      <c r="G884" s="20">
        <f>IF('Journal'!G443="","",'Journal'!G443)</f>
        <v/>
      </c>
      <c r="H884" s="5">
        <f>IF('Journal'!I443="","",'Journal'!I443)</f>
        <v/>
      </c>
    </row>
    <row r="885">
      <c r="A885" s="18">
        <f>IF('Journal'!A444="","",'Journal'!A444)</f>
        <v/>
      </c>
      <c r="B885" s="21">
        <f>IF('Journal'!B444="","",'Journal'!B444)</f>
        <v/>
      </c>
      <c r="C885" s="5">
        <f>IF('Journal'!C444="","",'Journal'!C444)</f>
        <v/>
      </c>
      <c r="D885" s="5">
        <f>IF('Journal'!D444="","",IFERROR(LEFT('Journal'!D444,FIND(" ",'Journal'!D444)-1),'Journal'!D444))</f>
        <v/>
      </c>
      <c r="E885" s="5">
        <f>IF('Journal'!D444="","",IFERROR(INDEX('Kontoplan'!$B$3:$B$302,MATCH('Journal'!D444,'Kontoplan'!$H$3:$H$302,0)),""))</f>
        <v/>
      </c>
      <c r="F885" s="20">
        <f>IF('Journal'!G444="","",'Journal'!G444)</f>
        <v/>
      </c>
      <c r="G885" s="20">
        <f>IF('Journal'!F444="","",'Journal'!F444)</f>
        <v/>
      </c>
      <c r="H885" s="5">
        <f>IF('Journal'!I444="","",'Journal'!I444)</f>
        <v/>
      </c>
    </row>
    <row r="886">
      <c r="A886" s="18">
        <f>IF('Journal'!A444="","",'Journal'!A444)</f>
        <v/>
      </c>
      <c r="B886" s="21">
        <f>IF('Journal'!B444="","",'Journal'!B444)</f>
        <v/>
      </c>
      <c r="C886" s="5">
        <f>IF('Journal'!C444="","",'Journal'!C444)</f>
        <v/>
      </c>
      <c r="D886" s="5">
        <f>IF('Journal'!E444="","",IFERROR(LEFT('Journal'!E444,FIND(" ",'Journal'!E444)-1),'Journal'!E444))</f>
        <v/>
      </c>
      <c r="E886" s="5">
        <f>IF('Journal'!E444="","",IFERROR(INDEX('Kontoplan'!$B$3:$B$302,MATCH('Journal'!E444,'Kontoplan'!$H$3:$H$302,0)),""))</f>
        <v/>
      </c>
      <c r="F886" s="20">
        <f>IF('Journal'!F444="","",'Journal'!F444)</f>
        <v/>
      </c>
      <c r="G886" s="20">
        <f>IF('Journal'!G444="","",'Journal'!G444)</f>
        <v/>
      </c>
      <c r="H886" s="5">
        <f>IF('Journal'!I444="","",'Journal'!I444)</f>
        <v/>
      </c>
    </row>
    <row r="887">
      <c r="A887" s="18">
        <f>IF('Journal'!A445="","",'Journal'!A445)</f>
        <v/>
      </c>
      <c r="B887" s="21">
        <f>IF('Journal'!B445="","",'Journal'!B445)</f>
        <v/>
      </c>
      <c r="C887" s="5">
        <f>IF('Journal'!C445="","",'Journal'!C445)</f>
        <v/>
      </c>
      <c r="D887" s="5">
        <f>IF('Journal'!D445="","",IFERROR(LEFT('Journal'!D445,FIND(" ",'Journal'!D445)-1),'Journal'!D445))</f>
        <v/>
      </c>
      <c r="E887" s="5">
        <f>IF('Journal'!D445="","",IFERROR(INDEX('Kontoplan'!$B$3:$B$302,MATCH('Journal'!D445,'Kontoplan'!$H$3:$H$302,0)),""))</f>
        <v/>
      </c>
      <c r="F887" s="20">
        <f>IF('Journal'!G445="","",'Journal'!G445)</f>
        <v/>
      </c>
      <c r="G887" s="20">
        <f>IF('Journal'!F445="","",'Journal'!F445)</f>
        <v/>
      </c>
      <c r="H887" s="5">
        <f>IF('Journal'!I445="","",'Journal'!I445)</f>
        <v/>
      </c>
    </row>
    <row r="888">
      <c r="A888" s="18">
        <f>IF('Journal'!A445="","",'Journal'!A445)</f>
        <v/>
      </c>
      <c r="B888" s="21">
        <f>IF('Journal'!B445="","",'Journal'!B445)</f>
        <v/>
      </c>
      <c r="C888" s="5">
        <f>IF('Journal'!C445="","",'Journal'!C445)</f>
        <v/>
      </c>
      <c r="D888" s="5">
        <f>IF('Journal'!E445="","",IFERROR(LEFT('Journal'!E445,FIND(" ",'Journal'!E445)-1),'Journal'!E445))</f>
        <v/>
      </c>
      <c r="E888" s="5">
        <f>IF('Journal'!E445="","",IFERROR(INDEX('Kontoplan'!$B$3:$B$302,MATCH('Journal'!E445,'Kontoplan'!$H$3:$H$302,0)),""))</f>
        <v/>
      </c>
      <c r="F888" s="20">
        <f>IF('Journal'!F445="","",'Journal'!F445)</f>
        <v/>
      </c>
      <c r="G888" s="20">
        <f>IF('Journal'!G445="","",'Journal'!G445)</f>
        <v/>
      </c>
      <c r="H888" s="5">
        <f>IF('Journal'!I445="","",'Journal'!I445)</f>
        <v/>
      </c>
    </row>
    <row r="889">
      <c r="A889" s="18">
        <f>IF('Journal'!A446="","",'Journal'!A446)</f>
        <v/>
      </c>
      <c r="B889" s="21">
        <f>IF('Journal'!B446="","",'Journal'!B446)</f>
        <v/>
      </c>
      <c r="C889" s="5">
        <f>IF('Journal'!C446="","",'Journal'!C446)</f>
        <v/>
      </c>
      <c r="D889" s="5">
        <f>IF('Journal'!D446="","",IFERROR(LEFT('Journal'!D446,FIND(" ",'Journal'!D446)-1),'Journal'!D446))</f>
        <v/>
      </c>
      <c r="E889" s="5">
        <f>IF('Journal'!D446="","",IFERROR(INDEX('Kontoplan'!$B$3:$B$302,MATCH('Journal'!D446,'Kontoplan'!$H$3:$H$302,0)),""))</f>
        <v/>
      </c>
      <c r="F889" s="20">
        <f>IF('Journal'!G446="","",'Journal'!G446)</f>
        <v/>
      </c>
      <c r="G889" s="20">
        <f>IF('Journal'!F446="","",'Journal'!F446)</f>
        <v/>
      </c>
      <c r="H889" s="5">
        <f>IF('Journal'!I446="","",'Journal'!I446)</f>
        <v/>
      </c>
    </row>
    <row r="890">
      <c r="A890" s="18">
        <f>IF('Journal'!A446="","",'Journal'!A446)</f>
        <v/>
      </c>
      <c r="B890" s="21">
        <f>IF('Journal'!B446="","",'Journal'!B446)</f>
        <v/>
      </c>
      <c r="C890" s="5">
        <f>IF('Journal'!C446="","",'Journal'!C446)</f>
        <v/>
      </c>
      <c r="D890" s="5">
        <f>IF('Journal'!E446="","",IFERROR(LEFT('Journal'!E446,FIND(" ",'Journal'!E446)-1),'Journal'!E446))</f>
        <v/>
      </c>
      <c r="E890" s="5">
        <f>IF('Journal'!E446="","",IFERROR(INDEX('Kontoplan'!$B$3:$B$302,MATCH('Journal'!E446,'Kontoplan'!$H$3:$H$302,0)),""))</f>
        <v/>
      </c>
      <c r="F890" s="20">
        <f>IF('Journal'!F446="","",'Journal'!F446)</f>
        <v/>
      </c>
      <c r="G890" s="20">
        <f>IF('Journal'!G446="","",'Journal'!G446)</f>
        <v/>
      </c>
      <c r="H890" s="5">
        <f>IF('Journal'!I446="","",'Journal'!I446)</f>
        <v/>
      </c>
    </row>
    <row r="891">
      <c r="A891" s="18">
        <f>IF('Journal'!A447="","",'Journal'!A447)</f>
        <v/>
      </c>
      <c r="B891" s="21">
        <f>IF('Journal'!B447="","",'Journal'!B447)</f>
        <v/>
      </c>
      <c r="C891" s="5">
        <f>IF('Journal'!C447="","",'Journal'!C447)</f>
        <v/>
      </c>
      <c r="D891" s="5">
        <f>IF('Journal'!D447="","",IFERROR(LEFT('Journal'!D447,FIND(" ",'Journal'!D447)-1),'Journal'!D447))</f>
        <v/>
      </c>
      <c r="E891" s="5">
        <f>IF('Journal'!D447="","",IFERROR(INDEX('Kontoplan'!$B$3:$B$302,MATCH('Journal'!D447,'Kontoplan'!$H$3:$H$302,0)),""))</f>
        <v/>
      </c>
      <c r="F891" s="20">
        <f>IF('Journal'!G447="","",'Journal'!G447)</f>
        <v/>
      </c>
      <c r="G891" s="20">
        <f>IF('Journal'!F447="","",'Journal'!F447)</f>
        <v/>
      </c>
      <c r="H891" s="5">
        <f>IF('Journal'!I447="","",'Journal'!I447)</f>
        <v/>
      </c>
    </row>
    <row r="892">
      <c r="A892" s="18">
        <f>IF('Journal'!A447="","",'Journal'!A447)</f>
        <v/>
      </c>
      <c r="B892" s="21">
        <f>IF('Journal'!B447="","",'Journal'!B447)</f>
        <v/>
      </c>
      <c r="C892" s="5">
        <f>IF('Journal'!C447="","",'Journal'!C447)</f>
        <v/>
      </c>
      <c r="D892" s="5">
        <f>IF('Journal'!E447="","",IFERROR(LEFT('Journal'!E447,FIND(" ",'Journal'!E447)-1),'Journal'!E447))</f>
        <v/>
      </c>
      <c r="E892" s="5">
        <f>IF('Journal'!E447="","",IFERROR(INDEX('Kontoplan'!$B$3:$B$302,MATCH('Journal'!E447,'Kontoplan'!$H$3:$H$302,0)),""))</f>
        <v/>
      </c>
      <c r="F892" s="20">
        <f>IF('Journal'!F447="","",'Journal'!F447)</f>
        <v/>
      </c>
      <c r="G892" s="20">
        <f>IF('Journal'!G447="","",'Journal'!G447)</f>
        <v/>
      </c>
      <c r="H892" s="5">
        <f>IF('Journal'!I447="","",'Journal'!I447)</f>
        <v/>
      </c>
    </row>
    <row r="893">
      <c r="A893" s="18">
        <f>IF('Journal'!A448="","",'Journal'!A448)</f>
        <v/>
      </c>
      <c r="B893" s="21">
        <f>IF('Journal'!B448="","",'Journal'!B448)</f>
        <v/>
      </c>
      <c r="C893" s="5">
        <f>IF('Journal'!C448="","",'Journal'!C448)</f>
        <v/>
      </c>
      <c r="D893" s="5">
        <f>IF('Journal'!D448="","",IFERROR(LEFT('Journal'!D448,FIND(" ",'Journal'!D448)-1),'Journal'!D448))</f>
        <v/>
      </c>
      <c r="E893" s="5">
        <f>IF('Journal'!D448="","",IFERROR(INDEX('Kontoplan'!$B$3:$B$302,MATCH('Journal'!D448,'Kontoplan'!$H$3:$H$302,0)),""))</f>
        <v/>
      </c>
      <c r="F893" s="20">
        <f>IF('Journal'!G448="","",'Journal'!G448)</f>
        <v/>
      </c>
      <c r="G893" s="20">
        <f>IF('Journal'!F448="","",'Journal'!F448)</f>
        <v/>
      </c>
      <c r="H893" s="5">
        <f>IF('Journal'!I448="","",'Journal'!I448)</f>
        <v/>
      </c>
    </row>
    <row r="894">
      <c r="A894" s="18">
        <f>IF('Journal'!A448="","",'Journal'!A448)</f>
        <v/>
      </c>
      <c r="B894" s="21">
        <f>IF('Journal'!B448="","",'Journal'!B448)</f>
        <v/>
      </c>
      <c r="C894" s="5">
        <f>IF('Journal'!C448="","",'Journal'!C448)</f>
        <v/>
      </c>
      <c r="D894" s="5">
        <f>IF('Journal'!E448="","",IFERROR(LEFT('Journal'!E448,FIND(" ",'Journal'!E448)-1),'Journal'!E448))</f>
        <v/>
      </c>
      <c r="E894" s="5">
        <f>IF('Journal'!E448="","",IFERROR(INDEX('Kontoplan'!$B$3:$B$302,MATCH('Journal'!E448,'Kontoplan'!$H$3:$H$302,0)),""))</f>
        <v/>
      </c>
      <c r="F894" s="20">
        <f>IF('Journal'!F448="","",'Journal'!F448)</f>
        <v/>
      </c>
      <c r="G894" s="20">
        <f>IF('Journal'!G448="","",'Journal'!G448)</f>
        <v/>
      </c>
      <c r="H894" s="5">
        <f>IF('Journal'!I448="","",'Journal'!I448)</f>
        <v/>
      </c>
    </row>
    <row r="895">
      <c r="A895" s="18">
        <f>IF('Journal'!A449="","",'Journal'!A449)</f>
        <v/>
      </c>
      <c r="B895" s="21">
        <f>IF('Journal'!B449="","",'Journal'!B449)</f>
        <v/>
      </c>
      <c r="C895" s="5">
        <f>IF('Journal'!C449="","",'Journal'!C449)</f>
        <v/>
      </c>
      <c r="D895" s="5">
        <f>IF('Journal'!D449="","",IFERROR(LEFT('Journal'!D449,FIND(" ",'Journal'!D449)-1),'Journal'!D449))</f>
        <v/>
      </c>
      <c r="E895" s="5">
        <f>IF('Journal'!D449="","",IFERROR(INDEX('Kontoplan'!$B$3:$B$302,MATCH('Journal'!D449,'Kontoplan'!$H$3:$H$302,0)),""))</f>
        <v/>
      </c>
      <c r="F895" s="20">
        <f>IF('Journal'!G449="","",'Journal'!G449)</f>
        <v/>
      </c>
      <c r="G895" s="20">
        <f>IF('Journal'!F449="","",'Journal'!F449)</f>
        <v/>
      </c>
      <c r="H895" s="5">
        <f>IF('Journal'!I449="","",'Journal'!I449)</f>
        <v/>
      </c>
    </row>
    <row r="896">
      <c r="A896" s="18">
        <f>IF('Journal'!A449="","",'Journal'!A449)</f>
        <v/>
      </c>
      <c r="B896" s="21">
        <f>IF('Journal'!B449="","",'Journal'!B449)</f>
        <v/>
      </c>
      <c r="C896" s="5">
        <f>IF('Journal'!C449="","",'Journal'!C449)</f>
        <v/>
      </c>
      <c r="D896" s="5">
        <f>IF('Journal'!E449="","",IFERROR(LEFT('Journal'!E449,FIND(" ",'Journal'!E449)-1),'Journal'!E449))</f>
        <v/>
      </c>
      <c r="E896" s="5">
        <f>IF('Journal'!E449="","",IFERROR(INDEX('Kontoplan'!$B$3:$B$302,MATCH('Journal'!E449,'Kontoplan'!$H$3:$H$302,0)),""))</f>
        <v/>
      </c>
      <c r="F896" s="20">
        <f>IF('Journal'!F449="","",'Journal'!F449)</f>
        <v/>
      </c>
      <c r="G896" s="20">
        <f>IF('Journal'!G449="","",'Journal'!G449)</f>
        <v/>
      </c>
      <c r="H896" s="5">
        <f>IF('Journal'!I449="","",'Journal'!I449)</f>
        <v/>
      </c>
    </row>
    <row r="897">
      <c r="A897" s="18">
        <f>IF('Journal'!A450="","",'Journal'!A450)</f>
        <v/>
      </c>
      <c r="B897" s="21">
        <f>IF('Journal'!B450="","",'Journal'!B450)</f>
        <v/>
      </c>
      <c r="C897" s="5">
        <f>IF('Journal'!C450="","",'Journal'!C450)</f>
        <v/>
      </c>
      <c r="D897" s="5">
        <f>IF('Journal'!D450="","",IFERROR(LEFT('Journal'!D450,FIND(" ",'Journal'!D450)-1),'Journal'!D450))</f>
        <v/>
      </c>
      <c r="E897" s="5">
        <f>IF('Journal'!D450="","",IFERROR(INDEX('Kontoplan'!$B$3:$B$302,MATCH('Journal'!D450,'Kontoplan'!$H$3:$H$302,0)),""))</f>
        <v/>
      </c>
      <c r="F897" s="20">
        <f>IF('Journal'!G450="","",'Journal'!G450)</f>
        <v/>
      </c>
      <c r="G897" s="20">
        <f>IF('Journal'!F450="","",'Journal'!F450)</f>
        <v/>
      </c>
      <c r="H897" s="5">
        <f>IF('Journal'!I450="","",'Journal'!I450)</f>
        <v/>
      </c>
    </row>
    <row r="898">
      <c r="A898" s="18">
        <f>IF('Journal'!A450="","",'Journal'!A450)</f>
        <v/>
      </c>
      <c r="B898" s="21">
        <f>IF('Journal'!B450="","",'Journal'!B450)</f>
        <v/>
      </c>
      <c r="C898" s="5">
        <f>IF('Journal'!C450="","",'Journal'!C450)</f>
        <v/>
      </c>
      <c r="D898" s="5">
        <f>IF('Journal'!E450="","",IFERROR(LEFT('Journal'!E450,FIND(" ",'Journal'!E450)-1),'Journal'!E450))</f>
        <v/>
      </c>
      <c r="E898" s="5">
        <f>IF('Journal'!E450="","",IFERROR(INDEX('Kontoplan'!$B$3:$B$302,MATCH('Journal'!E450,'Kontoplan'!$H$3:$H$302,0)),""))</f>
        <v/>
      </c>
      <c r="F898" s="20">
        <f>IF('Journal'!F450="","",'Journal'!F450)</f>
        <v/>
      </c>
      <c r="G898" s="20">
        <f>IF('Journal'!G450="","",'Journal'!G450)</f>
        <v/>
      </c>
      <c r="H898" s="5">
        <f>IF('Journal'!I450="","",'Journal'!I450)</f>
        <v/>
      </c>
    </row>
    <row r="899">
      <c r="A899" s="18">
        <f>IF('Journal'!A451="","",'Journal'!A451)</f>
        <v/>
      </c>
      <c r="B899" s="21">
        <f>IF('Journal'!B451="","",'Journal'!B451)</f>
        <v/>
      </c>
      <c r="C899" s="5">
        <f>IF('Journal'!C451="","",'Journal'!C451)</f>
        <v/>
      </c>
      <c r="D899" s="5">
        <f>IF('Journal'!D451="","",IFERROR(LEFT('Journal'!D451,FIND(" ",'Journal'!D451)-1),'Journal'!D451))</f>
        <v/>
      </c>
      <c r="E899" s="5">
        <f>IF('Journal'!D451="","",IFERROR(INDEX('Kontoplan'!$B$3:$B$302,MATCH('Journal'!D451,'Kontoplan'!$H$3:$H$302,0)),""))</f>
        <v/>
      </c>
      <c r="F899" s="20">
        <f>IF('Journal'!G451="","",'Journal'!G451)</f>
        <v/>
      </c>
      <c r="G899" s="20">
        <f>IF('Journal'!F451="","",'Journal'!F451)</f>
        <v/>
      </c>
      <c r="H899" s="5">
        <f>IF('Journal'!I451="","",'Journal'!I451)</f>
        <v/>
      </c>
    </row>
    <row r="900">
      <c r="A900" s="18">
        <f>IF('Journal'!A451="","",'Journal'!A451)</f>
        <v/>
      </c>
      <c r="B900" s="21">
        <f>IF('Journal'!B451="","",'Journal'!B451)</f>
        <v/>
      </c>
      <c r="C900" s="5">
        <f>IF('Journal'!C451="","",'Journal'!C451)</f>
        <v/>
      </c>
      <c r="D900" s="5">
        <f>IF('Journal'!E451="","",IFERROR(LEFT('Journal'!E451,FIND(" ",'Journal'!E451)-1),'Journal'!E451))</f>
        <v/>
      </c>
      <c r="E900" s="5">
        <f>IF('Journal'!E451="","",IFERROR(INDEX('Kontoplan'!$B$3:$B$302,MATCH('Journal'!E451,'Kontoplan'!$H$3:$H$302,0)),""))</f>
        <v/>
      </c>
      <c r="F900" s="20">
        <f>IF('Journal'!F451="","",'Journal'!F451)</f>
        <v/>
      </c>
      <c r="G900" s="20">
        <f>IF('Journal'!G451="","",'Journal'!G451)</f>
        <v/>
      </c>
      <c r="H900" s="5">
        <f>IF('Journal'!I451="","",'Journal'!I451)</f>
        <v/>
      </c>
    </row>
    <row r="901">
      <c r="A901" s="18">
        <f>IF('Journal'!A452="","",'Journal'!A452)</f>
        <v/>
      </c>
      <c r="B901" s="21">
        <f>IF('Journal'!B452="","",'Journal'!B452)</f>
        <v/>
      </c>
      <c r="C901" s="5">
        <f>IF('Journal'!C452="","",'Journal'!C452)</f>
        <v/>
      </c>
      <c r="D901" s="5">
        <f>IF('Journal'!D452="","",IFERROR(LEFT('Journal'!D452,FIND(" ",'Journal'!D452)-1),'Journal'!D452))</f>
        <v/>
      </c>
      <c r="E901" s="5">
        <f>IF('Journal'!D452="","",IFERROR(INDEX('Kontoplan'!$B$3:$B$302,MATCH('Journal'!D452,'Kontoplan'!$H$3:$H$302,0)),""))</f>
        <v/>
      </c>
      <c r="F901" s="20">
        <f>IF('Journal'!G452="","",'Journal'!G452)</f>
        <v/>
      </c>
      <c r="G901" s="20">
        <f>IF('Journal'!F452="","",'Journal'!F452)</f>
        <v/>
      </c>
      <c r="H901" s="5">
        <f>IF('Journal'!I452="","",'Journal'!I452)</f>
        <v/>
      </c>
    </row>
    <row r="902">
      <c r="A902" s="18">
        <f>IF('Journal'!A452="","",'Journal'!A452)</f>
        <v/>
      </c>
      <c r="B902" s="21">
        <f>IF('Journal'!B452="","",'Journal'!B452)</f>
        <v/>
      </c>
      <c r="C902" s="5">
        <f>IF('Journal'!C452="","",'Journal'!C452)</f>
        <v/>
      </c>
      <c r="D902" s="5">
        <f>IF('Journal'!E452="","",IFERROR(LEFT('Journal'!E452,FIND(" ",'Journal'!E452)-1),'Journal'!E452))</f>
        <v/>
      </c>
      <c r="E902" s="5">
        <f>IF('Journal'!E452="","",IFERROR(INDEX('Kontoplan'!$B$3:$B$302,MATCH('Journal'!E452,'Kontoplan'!$H$3:$H$302,0)),""))</f>
        <v/>
      </c>
      <c r="F902" s="20">
        <f>IF('Journal'!F452="","",'Journal'!F452)</f>
        <v/>
      </c>
      <c r="G902" s="20">
        <f>IF('Journal'!G452="","",'Journal'!G452)</f>
        <v/>
      </c>
      <c r="H902" s="5">
        <f>IF('Journal'!I452="","",'Journal'!I452)</f>
        <v/>
      </c>
    </row>
    <row r="903">
      <c r="A903" s="18">
        <f>IF('Journal'!A453="","",'Journal'!A453)</f>
        <v/>
      </c>
      <c r="B903" s="21">
        <f>IF('Journal'!B453="","",'Journal'!B453)</f>
        <v/>
      </c>
      <c r="C903" s="5">
        <f>IF('Journal'!C453="","",'Journal'!C453)</f>
        <v/>
      </c>
      <c r="D903" s="5">
        <f>IF('Journal'!D453="","",IFERROR(LEFT('Journal'!D453,FIND(" ",'Journal'!D453)-1),'Journal'!D453))</f>
        <v/>
      </c>
      <c r="E903" s="5">
        <f>IF('Journal'!D453="","",IFERROR(INDEX('Kontoplan'!$B$3:$B$302,MATCH('Journal'!D453,'Kontoplan'!$H$3:$H$302,0)),""))</f>
        <v/>
      </c>
      <c r="F903" s="20">
        <f>IF('Journal'!G453="","",'Journal'!G453)</f>
        <v/>
      </c>
      <c r="G903" s="20">
        <f>IF('Journal'!F453="","",'Journal'!F453)</f>
        <v/>
      </c>
      <c r="H903" s="5">
        <f>IF('Journal'!I453="","",'Journal'!I453)</f>
        <v/>
      </c>
    </row>
    <row r="904">
      <c r="A904" s="18">
        <f>IF('Journal'!A453="","",'Journal'!A453)</f>
        <v/>
      </c>
      <c r="B904" s="21">
        <f>IF('Journal'!B453="","",'Journal'!B453)</f>
        <v/>
      </c>
      <c r="C904" s="5">
        <f>IF('Journal'!C453="","",'Journal'!C453)</f>
        <v/>
      </c>
      <c r="D904" s="5">
        <f>IF('Journal'!E453="","",IFERROR(LEFT('Journal'!E453,FIND(" ",'Journal'!E453)-1),'Journal'!E453))</f>
        <v/>
      </c>
      <c r="E904" s="5">
        <f>IF('Journal'!E453="","",IFERROR(INDEX('Kontoplan'!$B$3:$B$302,MATCH('Journal'!E453,'Kontoplan'!$H$3:$H$302,0)),""))</f>
        <v/>
      </c>
      <c r="F904" s="20">
        <f>IF('Journal'!F453="","",'Journal'!F453)</f>
        <v/>
      </c>
      <c r="G904" s="20">
        <f>IF('Journal'!G453="","",'Journal'!G453)</f>
        <v/>
      </c>
      <c r="H904" s="5">
        <f>IF('Journal'!I453="","",'Journal'!I453)</f>
        <v/>
      </c>
    </row>
    <row r="905">
      <c r="A905" s="18">
        <f>IF('Journal'!A454="","",'Journal'!A454)</f>
        <v/>
      </c>
      <c r="B905" s="21">
        <f>IF('Journal'!B454="","",'Journal'!B454)</f>
        <v/>
      </c>
      <c r="C905" s="5">
        <f>IF('Journal'!C454="","",'Journal'!C454)</f>
        <v/>
      </c>
      <c r="D905" s="5">
        <f>IF('Journal'!D454="","",IFERROR(LEFT('Journal'!D454,FIND(" ",'Journal'!D454)-1),'Journal'!D454))</f>
        <v/>
      </c>
      <c r="E905" s="5">
        <f>IF('Journal'!D454="","",IFERROR(INDEX('Kontoplan'!$B$3:$B$302,MATCH('Journal'!D454,'Kontoplan'!$H$3:$H$302,0)),""))</f>
        <v/>
      </c>
      <c r="F905" s="20">
        <f>IF('Journal'!G454="","",'Journal'!G454)</f>
        <v/>
      </c>
      <c r="G905" s="20">
        <f>IF('Journal'!F454="","",'Journal'!F454)</f>
        <v/>
      </c>
      <c r="H905" s="5">
        <f>IF('Journal'!I454="","",'Journal'!I454)</f>
        <v/>
      </c>
    </row>
    <row r="906">
      <c r="A906" s="18">
        <f>IF('Journal'!A454="","",'Journal'!A454)</f>
        <v/>
      </c>
      <c r="B906" s="21">
        <f>IF('Journal'!B454="","",'Journal'!B454)</f>
        <v/>
      </c>
      <c r="C906" s="5">
        <f>IF('Journal'!C454="","",'Journal'!C454)</f>
        <v/>
      </c>
      <c r="D906" s="5">
        <f>IF('Journal'!E454="","",IFERROR(LEFT('Journal'!E454,FIND(" ",'Journal'!E454)-1),'Journal'!E454))</f>
        <v/>
      </c>
      <c r="E906" s="5">
        <f>IF('Journal'!E454="","",IFERROR(INDEX('Kontoplan'!$B$3:$B$302,MATCH('Journal'!E454,'Kontoplan'!$H$3:$H$302,0)),""))</f>
        <v/>
      </c>
      <c r="F906" s="20">
        <f>IF('Journal'!F454="","",'Journal'!F454)</f>
        <v/>
      </c>
      <c r="G906" s="20">
        <f>IF('Journal'!G454="","",'Journal'!G454)</f>
        <v/>
      </c>
      <c r="H906" s="5">
        <f>IF('Journal'!I454="","",'Journal'!I454)</f>
        <v/>
      </c>
    </row>
    <row r="907">
      <c r="A907" s="18">
        <f>IF('Journal'!A455="","",'Journal'!A455)</f>
        <v/>
      </c>
      <c r="B907" s="21">
        <f>IF('Journal'!B455="","",'Journal'!B455)</f>
        <v/>
      </c>
      <c r="C907" s="5">
        <f>IF('Journal'!C455="","",'Journal'!C455)</f>
        <v/>
      </c>
      <c r="D907" s="5">
        <f>IF('Journal'!D455="","",IFERROR(LEFT('Journal'!D455,FIND(" ",'Journal'!D455)-1),'Journal'!D455))</f>
        <v/>
      </c>
      <c r="E907" s="5">
        <f>IF('Journal'!D455="","",IFERROR(INDEX('Kontoplan'!$B$3:$B$302,MATCH('Journal'!D455,'Kontoplan'!$H$3:$H$302,0)),""))</f>
        <v/>
      </c>
      <c r="F907" s="20">
        <f>IF('Journal'!G455="","",'Journal'!G455)</f>
        <v/>
      </c>
      <c r="G907" s="20">
        <f>IF('Journal'!F455="","",'Journal'!F455)</f>
        <v/>
      </c>
      <c r="H907" s="5">
        <f>IF('Journal'!I455="","",'Journal'!I455)</f>
        <v/>
      </c>
    </row>
    <row r="908">
      <c r="A908" s="18">
        <f>IF('Journal'!A455="","",'Journal'!A455)</f>
        <v/>
      </c>
      <c r="B908" s="21">
        <f>IF('Journal'!B455="","",'Journal'!B455)</f>
        <v/>
      </c>
      <c r="C908" s="5">
        <f>IF('Journal'!C455="","",'Journal'!C455)</f>
        <v/>
      </c>
      <c r="D908" s="5">
        <f>IF('Journal'!E455="","",IFERROR(LEFT('Journal'!E455,FIND(" ",'Journal'!E455)-1),'Journal'!E455))</f>
        <v/>
      </c>
      <c r="E908" s="5">
        <f>IF('Journal'!E455="","",IFERROR(INDEX('Kontoplan'!$B$3:$B$302,MATCH('Journal'!E455,'Kontoplan'!$H$3:$H$302,0)),""))</f>
        <v/>
      </c>
      <c r="F908" s="20">
        <f>IF('Journal'!F455="","",'Journal'!F455)</f>
        <v/>
      </c>
      <c r="G908" s="20">
        <f>IF('Journal'!G455="","",'Journal'!G455)</f>
        <v/>
      </c>
      <c r="H908" s="5">
        <f>IF('Journal'!I455="","",'Journal'!I455)</f>
        <v/>
      </c>
    </row>
    <row r="909">
      <c r="A909" s="18">
        <f>IF('Journal'!A456="","",'Journal'!A456)</f>
        <v/>
      </c>
      <c r="B909" s="21">
        <f>IF('Journal'!B456="","",'Journal'!B456)</f>
        <v/>
      </c>
      <c r="C909" s="5">
        <f>IF('Journal'!C456="","",'Journal'!C456)</f>
        <v/>
      </c>
      <c r="D909" s="5">
        <f>IF('Journal'!D456="","",IFERROR(LEFT('Journal'!D456,FIND(" ",'Journal'!D456)-1),'Journal'!D456))</f>
        <v/>
      </c>
      <c r="E909" s="5">
        <f>IF('Journal'!D456="","",IFERROR(INDEX('Kontoplan'!$B$3:$B$302,MATCH('Journal'!D456,'Kontoplan'!$H$3:$H$302,0)),""))</f>
        <v/>
      </c>
      <c r="F909" s="20">
        <f>IF('Journal'!G456="","",'Journal'!G456)</f>
        <v/>
      </c>
      <c r="G909" s="20">
        <f>IF('Journal'!F456="","",'Journal'!F456)</f>
        <v/>
      </c>
      <c r="H909" s="5">
        <f>IF('Journal'!I456="","",'Journal'!I456)</f>
        <v/>
      </c>
    </row>
    <row r="910">
      <c r="A910" s="18">
        <f>IF('Journal'!A456="","",'Journal'!A456)</f>
        <v/>
      </c>
      <c r="B910" s="21">
        <f>IF('Journal'!B456="","",'Journal'!B456)</f>
        <v/>
      </c>
      <c r="C910" s="5">
        <f>IF('Journal'!C456="","",'Journal'!C456)</f>
        <v/>
      </c>
      <c r="D910" s="5">
        <f>IF('Journal'!E456="","",IFERROR(LEFT('Journal'!E456,FIND(" ",'Journal'!E456)-1),'Journal'!E456))</f>
        <v/>
      </c>
      <c r="E910" s="5">
        <f>IF('Journal'!E456="","",IFERROR(INDEX('Kontoplan'!$B$3:$B$302,MATCH('Journal'!E456,'Kontoplan'!$H$3:$H$302,0)),""))</f>
        <v/>
      </c>
      <c r="F910" s="20">
        <f>IF('Journal'!F456="","",'Journal'!F456)</f>
        <v/>
      </c>
      <c r="G910" s="20">
        <f>IF('Journal'!G456="","",'Journal'!G456)</f>
        <v/>
      </c>
      <c r="H910" s="5">
        <f>IF('Journal'!I456="","",'Journal'!I456)</f>
        <v/>
      </c>
    </row>
    <row r="911">
      <c r="A911" s="18">
        <f>IF('Journal'!A457="","",'Journal'!A457)</f>
        <v/>
      </c>
      <c r="B911" s="21">
        <f>IF('Journal'!B457="","",'Journal'!B457)</f>
        <v/>
      </c>
      <c r="C911" s="5">
        <f>IF('Journal'!C457="","",'Journal'!C457)</f>
        <v/>
      </c>
      <c r="D911" s="5">
        <f>IF('Journal'!D457="","",IFERROR(LEFT('Journal'!D457,FIND(" ",'Journal'!D457)-1),'Journal'!D457))</f>
        <v/>
      </c>
      <c r="E911" s="5">
        <f>IF('Journal'!D457="","",IFERROR(INDEX('Kontoplan'!$B$3:$B$302,MATCH('Journal'!D457,'Kontoplan'!$H$3:$H$302,0)),""))</f>
        <v/>
      </c>
      <c r="F911" s="20">
        <f>IF('Journal'!G457="","",'Journal'!G457)</f>
        <v/>
      </c>
      <c r="G911" s="20">
        <f>IF('Journal'!F457="","",'Journal'!F457)</f>
        <v/>
      </c>
      <c r="H911" s="5">
        <f>IF('Journal'!I457="","",'Journal'!I457)</f>
        <v/>
      </c>
    </row>
    <row r="912">
      <c r="A912" s="18">
        <f>IF('Journal'!A457="","",'Journal'!A457)</f>
        <v/>
      </c>
      <c r="B912" s="21">
        <f>IF('Journal'!B457="","",'Journal'!B457)</f>
        <v/>
      </c>
      <c r="C912" s="5">
        <f>IF('Journal'!C457="","",'Journal'!C457)</f>
        <v/>
      </c>
      <c r="D912" s="5">
        <f>IF('Journal'!E457="","",IFERROR(LEFT('Journal'!E457,FIND(" ",'Journal'!E457)-1),'Journal'!E457))</f>
        <v/>
      </c>
      <c r="E912" s="5">
        <f>IF('Journal'!E457="","",IFERROR(INDEX('Kontoplan'!$B$3:$B$302,MATCH('Journal'!E457,'Kontoplan'!$H$3:$H$302,0)),""))</f>
        <v/>
      </c>
      <c r="F912" s="20">
        <f>IF('Journal'!F457="","",'Journal'!F457)</f>
        <v/>
      </c>
      <c r="G912" s="20">
        <f>IF('Journal'!G457="","",'Journal'!G457)</f>
        <v/>
      </c>
      <c r="H912" s="5">
        <f>IF('Journal'!I457="","",'Journal'!I457)</f>
        <v/>
      </c>
    </row>
    <row r="913">
      <c r="A913" s="18">
        <f>IF('Journal'!A458="","",'Journal'!A458)</f>
        <v/>
      </c>
      <c r="B913" s="21">
        <f>IF('Journal'!B458="","",'Journal'!B458)</f>
        <v/>
      </c>
      <c r="C913" s="5">
        <f>IF('Journal'!C458="","",'Journal'!C458)</f>
        <v/>
      </c>
      <c r="D913" s="5">
        <f>IF('Journal'!D458="","",IFERROR(LEFT('Journal'!D458,FIND(" ",'Journal'!D458)-1),'Journal'!D458))</f>
        <v/>
      </c>
      <c r="E913" s="5">
        <f>IF('Journal'!D458="","",IFERROR(INDEX('Kontoplan'!$B$3:$B$302,MATCH('Journal'!D458,'Kontoplan'!$H$3:$H$302,0)),""))</f>
        <v/>
      </c>
      <c r="F913" s="20">
        <f>IF('Journal'!G458="","",'Journal'!G458)</f>
        <v/>
      </c>
      <c r="G913" s="20">
        <f>IF('Journal'!F458="","",'Journal'!F458)</f>
        <v/>
      </c>
      <c r="H913" s="5">
        <f>IF('Journal'!I458="","",'Journal'!I458)</f>
        <v/>
      </c>
    </row>
    <row r="914">
      <c r="A914" s="18">
        <f>IF('Journal'!A458="","",'Journal'!A458)</f>
        <v/>
      </c>
      <c r="B914" s="21">
        <f>IF('Journal'!B458="","",'Journal'!B458)</f>
        <v/>
      </c>
      <c r="C914" s="5">
        <f>IF('Journal'!C458="","",'Journal'!C458)</f>
        <v/>
      </c>
      <c r="D914" s="5">
        <f>IF('Journal'!E458="","",IFERROR(LEFT('Journal'!E458,FIND(" ",'Journal'!E458)-1),'Journal'!E458))</f>
        <v/>
      </c>
      <c r="E914" s="5">
        <f>IF('Journal'!E458="","",IFERROR(INDEX('Kontoplan'!$B$3:$B$302,MATCH('Journal'!E458,'Kontoplan'!$H$3:$H$302,0)),""))</f>
        <v/>
      </c>
      <c r="F914" s="20">
        <f>IF('Journal'!F458="","",'Journal'!F458)</f>
        <v/>
      </c>
      <c r="G914" s="20">
        <f>IF('Journal'!G458="","",'Journal'!G458)</f>
        <v/>
      </c>
      <c r="H914" s="5">
        <f>IF('Journal'!I458="","",'Journal'!I458)</f>
        <v/>
      </c>
    </row>
    <row r="915">
      <c r="A915" s="18">
        <f>IF('Journal'!A459="","",'Journal'!A459)</f>
        <v/>
      </c>
      <c r="B915" s="21">
        <f>IF('Journal'!B459="","",'Journal'!B459)</f>
        <v/>
      </c>
      <c r="C915" s="5">
        <f>IF('Journal'!C459="","",'Journal'!C459)</f>
        <v/>
      </c>
      <c r="D915" s="5">
        <f>IF('Journal'!D459="","",IFERROR(LEFT('Journal'!D459,FIND(" ",'Journal'!D459)-1),'Journal'!D459))</f>
        <v/>
      </c>
      <c r="E915" s="5">
        <f>IF('Journal'!D459="","",IFERROR(INDEX('Kontoplan'!$B$3:$B$302,MATCH('Journal'!D459,'Kontoplan'!$H$3:$H$302,0)),""))</f>
        <v/>
      </c>
      <c r="F915" s="20">
        <f>IF('Journal'!G459="","",'Journal'!G459)</f>
        <v/>
      </c>
      <c r="G915" s="20">
        <f>IF('Journal'!F459="","",'Journal'!F459)</f>
        <v/>
      </c>
      <c r="H915" s="5">
        <f>IF('Journal'!I459="","",'Journal'!I459)</f>
        <v/>
      </c>
    </row>
    <row r="916">
      <c r="A916" s="18">
        <f>IF('Journal'!A459="","",'Journal'!A459)</f>
        <v/>
      </c>
      <c r="B916" s="21">
        <f>IF('Journal'!B459="","",'Journal'!B459)</f>
        <v/>
      </c>
      <c r="C916" s="5">
        <f>IF('Journal'!C459="","",'Journal'!C459)</f>
        <v/>
      </c>
      <c r="D916" s="5">
        <f>IF('Journal'!E459="","",IFERROR(LEFT('Journal'!E459,FIND(" ",'Journal'!E459)-1),'Journal'!E459))</f>
        <v/>
      </c>
      <c r="E916" s="5">
        <f>IF('Journal'!E459="","",IFERROR(INDEX('Kontoplan'!$B$3:$B$302,MATCH('Journal'!E459,'Kontoplan'!$H$3:$H$302,0)),""))</f>
        <v/>
      </c>
      <c r="F916" s="20">
        <f>IF('Journal'!F459="","",'Journal'!F459)</f>
        <v/>
      </c>
      <c r="G916" s="20">
        <f>IF('Journal'!G459="","",'Journal'!G459)</f>
        <v/>
      </c>
      <c r="H916" s="5">
        <f>IF('Journal'!I459="","",'Journal'!I459)</f>
        <v/>
      </c>
    </row>
    <row r="917">
      <c r="A917" s="18">
        <f>IF('Journal'!A460="","",'Journal'!A460)</f>
        <v/>
      </c>
      <c r="B917" s="21">
        <f>IF('Journal'!B460="","",'Journal'!B460)</f>
        <v/>
      </c>
      <c r="C917" s="5">
        <f>IF('Journal'!C460="","",'Journal'!C460)</f>
        <v/>
      </c>
      <c r="D917" s="5">
        <f>IF('Journal'!D460="","",IFERROR(LEFT('Journal'!D460,FIND(" ",'Journal'!D460)-1),'Journal'!D460))</f>
        <v/>
      </c>
      <c r="E917" s="5">
        <f>IF('Journal'!D460="","",IFERROR(INDEX('Kontoplan'!$B$3:$B$302,MATCH('Journal'!D460,'Kontoplan'!$H$3:$H$302,0)),""))</f>
        <v/>
      </c>
      <c r="F917" s="20">
        <f>IF('Journal'!G460="","",'Journal'!G460)</f>
        <v/>
      </c>
      <c r="G917" s="20">
        <f>IF('Journal'!F460="","",'Journal'!F460)</f>
        <v/>
      </c>
      <c r="H917" s="5">
        <f>IF('Journal'!I460="","",'Journal'!I460)</f>
        <v/>
      </c>
    </row>
    <row r="918">
      <c r="A918" s="18">
        <f>IF('Journal'!A460="","",'Journal'!A460)</f>
        <v/>
      </c>
      <c r="B918" s="21">
        <f>IF('Journal'!B460="","",'Journal'!B460)</f>
        <v/>
      </c>
      <c r="C918" s="5">
        <f>IF('Journal'!C460="","",'Journal'!C460)</f>
        <v/>
      </c>
      <c r="D918" s="5">
        <f>IF('Journal'!E460="","",IFERROR(LEFT('Journal'!E460,FIND(" ",'Journal'!E460)-1),'Journal'!E460))</f>
        <v/>
      </c>
      <c r="E918" s="5">
        <f>IF('Journal'!E460="","",IFERROR(INDEX('Kontoplan'!$B$3:$B$302,MATCH('Journal'!E460,'Kontoplan'!$H$3:$H$302,0)),""))</f>
        <v/>
      </c>
      <c r="F918" s="20">
        <f>IF('Journal'!F460="","",'Journal'!F460)</f>
        <v/>
      </c>
      <c r="G918" s="20">
        <f>IF('Journal'!G460="","",'Journal'!G460)</f>
        <v/>
      </c>
      <c r="H918" s="5">
        <f>IF('Journal'!I460="","",'Journal'!I460)</f>
        <v/>
      </c>
    </row>
    <row r="919">
      <c r="A919" s="18">
        <f>IF('Journal'!A461="","",'Journal'!A461)</f>
        <v/>
      </c>
      <c r="B919" s="21">
        <f>IF('Journal'!B461="","",'Journal'!B461)</f>
        <v/>
      </c>
      <c r="C919" s="5">
        <f>IF('Journal'!C461="","",'Journal'!C461)</f>
        <v/>
      </c>
      <c r="D919" s="5">
        <f>IF('Journal'!D461="","",IFERROR(LEFT('Journal'!D461,FIND(" ",'Journal'!D461)-1),'Journal'!D461))</f>
        <v/>
      </c>
      <c r="E919" s="5">
        <f>IF('Journal'!D461="","",IFERROR(INDEX('Kontoplan'!$B$3:$B$302,MATCH('Journal'!D461,'Kontoplan'!$H$3:$H$302,0)),""))</f>
        <v/>
      </c>
      <c r="F919" s="20">
        <f>IF('Journal'!G461="","",'Journal'!G461)</f>
        <v/>
      </c>
      <c r="G919" s="20">
        <f>IF('Journal'!F461="","",'Journal'!F461)</f>
        <v/>
      </c>
      <c r="H919" s="5">
        <f>IF('Journal'!I461="","",'Journal'!I461)</f>
        <v/>
      </c>
    </row>
    <row r="920">
      <c r="A920" s="18">
        <f>IF('Journal'!A461="","",'Journal'!A461)</f>
        <v/>
      </c>
      <c r="B920" s="21">
        <f>IF('Journal'!B461="","",'Journal'!B461)</f>
        <v/>
      </c>
      <c r="C920" s="5">
        <f>IF('Journal'!C461="","",'Journal'!C461)</f>
        <v/>
      </c>
      <c r="D920" s="5">
        <f>IF('Journal'!E461="","",IFERROR(LEFT('Journal'!E461,FIND(" ",'Journal'!E461)-1),'Journal'!E461))</f>
        <v/>
      </c>
      <c r="E920" s="5">
        <f>IF('Journal'!E461="","",IFERROR(INDEX('Kontoplan'!$B$3:$B$302,MATCH('Journal'!E461,'Kontoplan'!$H$3:$H$302,0)),""))</f>
        <v/>
      </c>
      <c r="F920" s="20">
        <f>IF('Journal'!F461="","",'Journal'!F461)</f>
        <v/>
      </c>
      <c r="G920" s="20">
        <f>IF('Journal'!G461="","",'Journal'!G461)</f>
        <v/>
      </c>
      <c r="H920" s="5">
        <f>IF('Journal'!I461="","",'Journal'!I461)</f>
        <v/>
      </c>
    </row>
    <row r="921">
      <c r="A921" s="18">
        <f>IF('Journal'!A462="","",'Journal'!A462)</f>
        <v/>
      </c>
      <c r="B921" s="21">
        <f>IF('Journal'!B462="","",'Journal'!B462)</f>
        <v/>
      </c>
      <c r="C921" s="5">
        <f>IF('Journal'!C462="","",'Journal'!C462)</f>
        <v/>
      </c>
      <c r="D921" s="5">
        <f>IF('Journal'!D462="","",IFERROR(LEFT('Journal'!D462,FIND(" ",'Journal'!D462)-1),'Journal'!D462))</f>
        <v/>
      </c>
      <c r="E921" s="5">
        <f>IF('Journal'!D462="","",IFERROR(INDEX('Kontoplan'!$B$3:$B$302,MATCH('Journal'!D462,'Kontoplan'!$H$3:$H$302,0)),""))</f>
        <v/>
      </c>
      <c r="F921" s="20">
        <f>IF('Journal'!G462="","",'Journal'!G462)</f>
        <v/>
      </c>
      <c r="G921" s="20">
        <f>IF('Journal'!F462="","",'Journal'!F462)</f>
        <v/>
      </c>
      <c r="H921" s="5">
        <f>IF('Journal'!I462="","",'Journal'!I462)</f>
        <v/>
      </c>
    </row>
    <row r="922">
      <c r="A922" s="18">
        <f>IF('Journal'!A462="","",'Journal'!A462)</f>
        <v/>
      </c>
      <c r="B922" s="21">
        <f>IF('Journal'!B462="","",'Journal'!B462)</f>
        <v/>
      </c>
      <c r="C922" s="5">
        <f>IF('Journal'!C462="","",'Journal'!C462)</f>
        <v/>
      </c>
      <c r="D922" s="5">
        <f>IF('Journal'!E462="","",IFERROR(LEFT('Journal'!E462,FIND(" ",'Journal'!E462)-1),'Journal'!E462))</f>
        <v/>
      </c>
      <c r="E922" s="5">
        <f>IF('Journal'!E462="","",IFERROR(INDEX('Kontoplan'!$B$3:$B$302,MATCH('Journal'!E462,'Kontoplan'!$H$3:$H$302,0)),""))</f>
        <v/>
      </c>
      <c r="F922" s="20">
        <f>IF('Journal'!F462="","",'Journal'!F462)</f>
        <v/>
      </c>
      <c r="G922" s="20">
        <f>IF('Journal'!G462="","",'Journal'!G462)</f>
        <v/>
      </c>
      <c r="H922" s="5">
        <f>IF('Journal'!I462="","",'Journal'!I462)</f>
        <v/>
      </c>
    </row>
    <row r="923">
      <c r="A923" s="18">
        <f>IF('Journal'!A463="","",'Journal'!A463)</f>
        <v/>
      </c>
      <c r="B923" s="21">
        <f>IF('Journal'!B463="","",'Journal'!B463)</f>
        <v/>
      </c>
      <c r="C923" s="5">
        <f>IF('Journal'!C463="","",'Journal'!C463)</f>
        <v/>
      </c>
      <c r="D923" s="5">
        <f>IF('Journal'!D463="","",IFERROR(LEFT('Journal'!D463,FIND(" ",'Journal'!D463)-1),'Journal'!D463))</f>
        <v/>
      </c>
      <c r="E923" s="5">
        <f>IF('Journal'!D463="","",IFERROR(INDEX('Kontoplan'!$B$3:$B$302,MATCH('Journal'!D463,'Kontoplan'!$H$3:$H$302,0)),""))</f>
        <v/>
      </c>
      <c r="F923" s="20">
        <f>IF('Journal'!G463="","",'Journal'!G463)</f>
        <v/>
      </c>
      <c r="G923" s="20">
        <f>IF('Journal'!F463="","",'Journal'!F463)</f>
        <v/>
      </c>
      <c r="H923" s="5">
        <f>IF('Journal'!I463="","",'Journal'!I463)</f>
        <v/>
      </c>
    </row>
    <row r="924">
      <c r="A924" s="18">
        <f>IF('Journal'!A463="","",'Journal'!A463)</f>
        <v/>
      </c>
      <c r="B924" s="21">
        <f>IF('Journal'!B463="","",'Journal'!B463)</f>
        <v/>
      </c>
      <c r="C924" s="5">
        <f>IF('Journal'!C463="","",'Journal'!C463)</f>
        <v/>
      </c>
      <c r="D924" s="5">
        <f>IF('Journal'!E463="","",IFERROR(LEFT('Journal'!E463,FIND(" ",'Journal'!E463)-1),'Journal'!E463))</f>
        <v/>
      </c>
      <c r="E924" s="5">
        <f>IF('Journal'!E463="","",IFERROR(INDEX('Kontoplan'!$B$3:$B$302,MATCH('Journal'!E463,'Kontoplan'!$H$3:$H$302,0)),""))</f>
        <v/>
      </c>
      <c r="F924" s="20">
        <f>IF('Journal'!F463="","",'Journal'!F463)</f>
        <v/>
      </c>
      <c r="G924" s="20">
        <f>IF('Journal'!G463="","",'Journal'!G463)</f>
        <v/>
      </c>
      <c r="H924" s="5">
        <f>IF('Journal'!I463="","",'Journal'!I463)</f>
        <v/>
      </c>
    </row>
    <row r="925">
      <c r="A925" s="18">
        <f>IF('Journal'!A464="","",'Journal'!A464)</f>
        <v/>
      </c>
      <c r="B925" s="21">
        <f>IF('Journal'!B464="","",'Journal'!B464)</f>
        <v/>
      </c>
      <c r="C925" s="5">
        <f>IF('Journal'!C464="","",'Journal'!C464)</f>
        <v/>
      </c>
      <c r="D925" s="5">
        <f>IF('Journal'!D464="","",IFERROR(LEFT('Journal'!D464,FIND(" ",'Journal'!D464)-1),'Journal'!D464))</f>
        <v/>
      </c>
      <c r="E925" s="5">
        <f>IF('Journal'!D464="","",IFERROR(INDEX('Kontoplan'!$B$3:$B$302,MATCH('Journal'!D464,'Kontoplan'!$H$3:$H$302,0)),""))</f>
        <v/>
      </c>
      <c r="F925" s="20">
        <f>IF('Journal'!G464="","",'Journal'!G464)</f>
        <v/>
      </c>
      <c r="G925" s="20">
        <f>IF('Journal'!F464="","",'Journal'!F464)</f>
        <v/>
      </c>
      <c r="H925" s="5">
        <f>IF('Journal'!I464="","",'Journal'!I464)</f>
        <v/>
      </c>
    </row>
    <row r="926">
      <c r="A926" s="18">
        <f>IF('Journal'!A464="","",'Journal'!A464)</f>
        <v/>
      </c>
      <c r="B926" s="21">
        <f>IF('Journal'!B464="","",'Journal'!B464)</f>
        <v/>
      </c>
      <c r="C926" s="5">
        <f>IF('Journal'!C464="","",'Journal'!C464)</f>
        <v/>
      </c>
      <c r="D926" s="5">
        <f>IF('Journal'!E464="","",IFERROR(LEFT('Journal'!E464,FIND(" ",'Journal'!E464)-1),'Journal'!E464))</f>
        <v/>
      </c>
      <c r="E926" s="5">
        <f>IF('Journal'!E464="","",IFERROR(INDEX('Kontoplan'!$B$3:$B$302,MATCH('Journal'!E464,'Kontoplan'!$H$3:$H$302,0)),""))</f>
        <v/>
      </c>
      <c r="F926" s="20">
        <f>IF('Journal'!F464="","",'Journal'!F464)</f>
        <v/>
      </c>
      <c r="G926" s="20">
        <f>IF('Journal'!G464="","",'Journal'!G464)</f>
        <v/>
      </c>
      <c r="H926" s="5">
        <f>IF('Journal'!I464="","",'Journal'!I464)</f>
        <v/>
      </c>
    </row>
    <row r="927">
      <c r="A927" s="18">
        <f>IF('Journal'!A465="","",'Journal'!A465)</f>
        <v/>
      </c>
      <c r="B927" s="21">
        <f>IF('Journal'!B465="","",'Journal'!B465)</f>
        <v/>
      </c>
      <c r="C927" s="5">
        <f>IF('Journal'!C465="","",'Journal'!C465)</f>
        <v/>
      </c>
      <c r="D927" s="5">
        <f>IF('Journal'!D465="","",IFERROR(LEFT('Journal'!D465,FIND(" ",'Journal'!D465)-1),'Journal'!D465))</f>
        <v/>
      </c>
      <c r="E927" s="5">
        <f>IF('Journal'!D465="","",IFERROR(INDEX('Kontoplan'!$B$3:$B$302,MATCH('Journal'!D465,'Kontoplan'!$H$3:$H$302,0)),""))</f>
        <v/>
      </c>
      <c r="F927" s="20">
        <f>IF('Journal'!G465="","",'Journal'!G465)</f>
        <v/>
      </c>
      <c r="G927" s="20">
        <f>IF('Journal'!F465="","",'Journal'!F465)</f>
        <v/>
      </c>
      <c r="H927" s="5">
        <f>IF('Journal'!I465="","",'Journal'!I465)</f>
        <v/>
      </c>
    </row>
    <row r="928">
      <c r="A928" s="18">
        <f>IF('Journal'!A465="","",'Journal'!A465)</f>
        <v/>
      </c>
      <c r="B928" s="21">
        <f>IF('Journal'!B465="","",'Journal'!B465)</f>
        <v/>
      </c>
      <c r="C928" s="5">
        <f>IF('Journal'!C465="","",'Journal'!C465)</f>
        <v/>
      </c>
      <c r="D928" s="5">
        <f>IF('Journal'!E465="","",IFERROR(LEFT('Journal'!E465,FIND(" ",'Journal'!E465)-1),'Journal'!E465))</f>
        <v/>
      </c>
      <c r="E928" s="5">
        <f>IF('Journal'!E465="","",IFERROR(INDEX('Kontoplan'!$B$3:$B$302,MATCH('Journal'!E465,'Kontoplan'!$H$3:$H$302,0)),""))</f>
        <v/>
      </c>
      <c r="F928" s="20">
        <f>IF('Journal'!F465="","",'Journal'!F465)</f>
        <v/>
      </c>
      <c r="G928" s="20">
        <f>IF('Journal'!G465="","",'Journal'!G465)</f>
        <v/>
      </c>
      <c r="H928" s="5">
        <f>IF('Journal'!I465="","",'Journal'!I465)</f>
        <v/>
      </c>
    </row>
    <row r="929">
      <c r="A929" s="18">
        <f>IF('Journal'!A466="","",'Journal'!A466)</f>
        <v/>
      </c>
      <c r="B929" s="21">
        <f>IF('Journal'!B466="","",'Journal'!B466)</f>
        <v/>
      </c>
      <c r="C929" s="5">
        <f>IF('Journal'!C466="","",'Journal'!C466)</f>
        <v/>
      </c>
      <c r="D929" s="5">
        <f>IF('Journal'!D466="","",IFERROR(LEFT('Journal'!D466,FIND(" ",'Journal'!D466)-1),'Journal'!D466))</f>
        <v/>
      </c>
      <c r="E929" s="5">
        <f>IF('Journal'!D466="","",IFERROR(INDEX('Kontoplan'!$B$3:$B$302,MATCH('Journal'!D466,'Kontoplan'!$H$3:$H$302,0)),""))</f>
        <v/>
      </c>
      <c r="F929" s="20">
        <f>IF('Journal'!G466="","",'Journal'!G466)</f>
        <v/>
      </c>
      <c r="G929" s="20">
        <f>IF('Journal'!F466="","",'Journal'!F466)</f>
        <v/>
      </c>
      <c r="H929" s="5">
        <f>IF('Journal'!I466="","",'Journal'!I466)</f>
        <v/>
      </c>
    </row>
    <row r="930">
      <c r="A930" s="18">
        <f>IF('Journal'!A466="","",'Journal'!A466)</f>
        <v/>
      </c>
      <c r="B930" s="21">
        <f>IF('Journal'!B466="","",'Journal'!B466)</f>
        <v/>
      </c>
      <c r="C930" s="5">
        <f>IF('Journal'!C466="","",'Journal'!C466)</f>
        <v/>
      </c>
      <c r="D930" s="5">
        <f>IF('Journal'!E466="","",IFERROR(LEFT('Journal'!E466,FIND(" ",'Journal'!E466)-1),'Journal'!E466))</f>
        <v/>
      </c>
      <c r="E930" s="5">
        <f>IF('Journal'!E466="","",IFERROR(INDEX('Kontoplan'!$B$3:$B$302,MATCH('Journal'!E466,'Kontoplan'!$H$3:$H$302,0)),""))</f>
        <v/>
      </c>
      <c r="F930" s="20">
        <f>IF('Journal'!F466="","",'Journal'!F466)</f>
        <v/>
      </c>
      <c r="G930" s="20">
        <f>IF('Journal'!G466="","",'Journal'!G466)</f>
        <v/>
      </c>
      <c r="H930" s="5">
        <f>IF('Journal'!I466="","",'Journal'!I466)</f>
        <v/>
      </c>
    </row>
    <row r="931">
      <c r="A931" s="18">
        <f>IF('Journal'!A467="","",'Journal'!A467)</f>
        <v/>
      </c>
      <c r="B931" s="21">
        <f>IF('Journal'!B467="","",'Journal'!B467)</f>
        <v/>
      </c>
      <c r="C931" s="5">
        <f>IF('Journal'!C467="","",'Journal'!C467)</f>
        <v/>
      </c>
      <c r="D931" s="5">
        <f>IF('Journal'!D467="","",IFERROR(LEFT('Journal'!D467,FIND(" ",'Journal'!D467)-1),'Journal'!D467))</f>
        <v/>
      </c>
      <c r="E931" s="5">
        <f>IF('Journal'!D467="","",IFERROR(INDEX('Kontoplan'!$B$3:$B$302,MATCH('Journal'!D467,'Kontoplan'!$H$3:$H$302,0)),""))</f>
        <v/>
      </c>
      <c r="F931" s="20">
        <f>IF('Journal'!G467="","",'Journal'!G467)</f>
        <v/>
      </c>
      <c r="G931" s="20">
        <f>IF('Journal'!F467="","",'Journal'!F467)</f>
        <v/>
      </c>
      <c r="H931" s="5">
        <f>IF('Journal'!I467="","",'Journal'!I467)</f>
        <v/>
      </c>
    </row>
    <row r="932">
      <c r="A932" s="18">
        <f>IF('Journal'!A467="","",'Journal'!A467)</f>
        <v/>
      </c>
      <c r="B932" s="21">
        <f>IF('Journal'!B467="","",'Journal'!B467)</f>
        <v/>
      </c>
      <c r="C932" s="5">
        <f>IF('Journal'!C467="","",'Journal'!C467)</f>
        <v/>
      </c>
      <c r="D932" s="5">
        <f>IF('Journal'!E467="","",IFERROR(LEFT('Journal'!E467,FIND(" ",'Journal'!E467)-1),'Journal'!E467))</f>
        <v/>
      </c>
      <c r="E932" s="5">
        <f>IF('Journal'!E467="","",IFERROR(INDEX('Kontoplan'!$B$3:$B$302,MATCH('Journal'!E467,'Kontoplan'!$H$3:$H$302,0)),""))</f>
        <v/>
      </c>
      <c r="F932" s="20">
        <f>IF('Journal'!F467="","",'Journal'!F467)</f>
        <v/>
      </c>
      <c r="G932" s="20">
        <f>IF('Journal'!G467="","",'Journal'!G467)</f>
        <v/>
      </c>
      <c r="H932" s="5">
        <f>IF('Journal'!I467="","",'Journal'!I467)</f>
        <v/>
      </c>
    </row>
    <row r="933">
      <c r="A933" s="18">
        <f>IF('Journal'!A468="","",'Journal'!A468)</f>
        <v/>
      </c>
      <c r="B933" s="21">
        <f>IF('Journal'!B468="","",'Journal'!B468)</f>
        <v/>
      </c>
      <c r="C933" s="5">
        <f>IF('Journal'!C468="","",'Journal'!C468)</f>
        <v/>
      </c>
      <c r="D933" s="5">
        <f>IF('Journal'!D468="","",IFERROR(LEFT('Journal'!D468,FIND(" ",'Journal'!D468)-1),'Journal'!D468))</f>
        <v/>
      </c>
      <c r="E933" s="5">
        <f>IF('Journal'!D468="","",IFERROR(INDEX('Kontoplan'!$B$3:$B$302,MATCH('Journal'!D468,'Kontoplan'!$H$3:$H$302,0)),""))</f>
        <v/>
      </c>
      <c r="F933" s="20">
        <f>IF('Journal'!G468="","",'Journal'!G468)</f>
        <v/>
      </c>
      <c r="G933" s="20">
        <f>IF('Journal'!F468="","",'Journal'!F468)</f>
        <v/>
      </c>
      <c r="H933" s="5">
        <f>IF('Journal'!I468="","",'Journal'!I468)</f>
        <v/>
      </c>
    </row>
    <row r="934">
      <c r="A934" s="18">
        <f>IF('Journal'!A468="","",'Journal'!A468)</f>
        <v/>
      </c>
      <c r="B934" s="21">
        <f>IF('Journal'!B468="","",'Journal'!B468)</f>
        <v/>
      </c>
      <c r="C934" s="5">
        <f>IF('Journal'!C468="","",'Journal'!C468)</f>
        <v/>
      </c>
      <c r="D934" s="5">
        <f>IF('Journal'!E468="","",IFERROR(LEFT('Journal'!E468,FIND(" ",'Journal'!E468)-1),'Journal'!E468))</f>
        <v/>
      </c>
      <c r="E934" s="5">
        <f>IF('Journal'!E468="","",IFERROR(INDEX('Kontoplan'!$B$3:$B$302,MATCH('Journal'!E468,'Kontoplan'!$H$3:$H$302,0)),""))</f>
        <v/>
      </c>
      <c r="F934" s="20">
        <f>IF('Journal'!F468="","",'Journal'!F468)</f>
        <v/>
      </c>
      <c r="G934" s="20">
        <f>IF('Journal'!G468="","",'Journal'!G468)</f>
        <v/>
      </c>
      <c r="H934" s="5">
        <f>IF('Journal'!I468="","",'Journal'!I468)</f>
        <v/>
      </c>
    </row>
    <row r="935">
      <c r="A935" s="18">
        <f>IF('Journal'!A469="","",'Journal'!A469)</f>
        <v/>
      </c>
      <c r="B935" s="21">
        <f>IF('Journal'!B469="","",'Journal'!B469)</f>
        <v/>
      </c>
      <c r="C935" s="5">
        <f>IF('Journal'!C469="","",'Journal'!C469)</f>
        <v/>
      </c>
      <c r="D935" s="5">
        <f>IF('Journal'!D469="","",IFERROR(LEFT('Journal'!D469,FIND(" ",'Journal'!D469)-1),'Journal'!D469))</f>
        <v/>
      </c>
      <c r="E935" s="5">
        <f>IF('Journal'!D469="","",IFERROR(INDEX('Kontoplan'!$B$3:$B$302,MATCH('Journal'!D469,'Kontoplan'!$H$3:$H$302,0)),""))</f>
        <v/>
      </c>
      <c r="F935" s="20">
        <f>IF('Journal'!G469="","",'Journal'!G469)</f>
        <v/>
      </c>
      <c r="G935" s="20">
        <f>IF('Journal'!F469="","",'Journal'!F469)</f>
        <v/>
      </c>
      <c r="H935" s="5">
        <f>IF('Journal'!I469="","",'Journal'!I469)</f>
        <v/>
      </c>
    </row>
    <row r="936">
      <c r="A936" s="18">
        <f>IF('Journal'!A469="","",'Journal'!A469)</f>
        <v/>
      </c>
      <c r="B936" s="21">
        <f>IF('Journal'!B469="","",'Journal'!B469)</f>
        <v/>
      </c>
      <c r="C936" s="5">
        <f>IF('Journal'!C469="","",'Journal'!C469)</f>
        <v/>
      </c>
      <c r="D936" s="5">
        <f>IF('Journal'!E469="","",IFERROR(LEFT('Journal'!E469,FIND(" ",'Journal'!E469)-1),'Journal'!E469))</f>
        <v/>
      </c>
      <c r="E936" s="5">
        <f>IF('Journal'!E469="","",IFERROR(INDEX('Kontoplan'!$B$3:$B$302,MATCH('Journal'!E469,'Kontoplan'!$H$3:$H$302,0)),""))</f>
        <v/>
      </c>
      <c r="F936" s="20">
        <f>IF('Journal'!F469="","",'Journal'!F469)</f>
        <v/>
      </c>
      <c r="G936" s="20">
        <f>IF('Journal'!G469="","",'Journal'!G469)</f>
        <v/>
      </c>
      <c r="H936" s="5">
        <f>IF('Journal'!I469="","",'Journal'!I469)</f>
        <v/>
      </c>
    </row>
    <row r="937">
      <c r="A937" s="18">
        <f>IF('Journal'!A470="","",'Journal'!A470)</f>
        <v/>
      </c>
      <c r="B937" s="21">
        <f>IF('Journal'!B470="","",'Journal'!B470)</f>
        <v/>
      </c>
      <c r="C937" s="5">
        <f>IF('Journal'!C470="","",'Journal'!C470)</f>
        <v/>
      </c>
      <c r="D937" s="5">
        <f>IF('Journal'!D470="","",IFERROR(LEFT('Journal'!D470,FIND(" ",'Journal'!D470)-1),'Journal'!D470))</f>
        <v/>
      </c>
      <c r="E937" s="5">
        <f>IF('Journal'!D470="","",IFERROR(INDEX('Kontoplan'!$B$3:$B$302,MATCH('Journal'!D470,'Kontoplan'!$H$3:$H$302,0)),""))</f>
        <v/>
      </c>
      <c r="F937" s="20">
        <f>IF('Journal'!G470="","",'Journal'!G470)</f>
        <v/>
      </c>
      <c r="G937" s="20">
        <f>IF('Journal'!F470="","",'Journal'!F470)</f>
        <v/>
      </c>
      <c r="H937" s="5">
        <f>IF('Journal'!I470="","",'Journal'!I470)</f>
        <v/>
      </c>
    </row>
    <row r="938">
      <c r="A938" s="18">
        <f>IF('Journal'!A470="","",'Journal'!A470)</f>
        <v/>
      </c>
      <c r="B938" s="21">
        <f>IF('Journal'!B470="","",'Journal'!B470)</f>
        <v/>
      </c>
      <c r="C938" s="5">
        <f>IF('Journal'!C470="","",'Journal'!C470)</f>
        <v/>
      </c>
      <c r="D938" s="5">
        <f>IF('Journal'!E470="","",IFERROR(LEFT('Journal'!E470,FIND(" ",'Journal'!E470)-1),'Journal'!E470))</f>
        <v/>
      </c>
      <c r="E938" s="5">
        <f>IF('Journal'!E470="","",IFERROR(INDEX('Kontoplan'!$B$3:$B$302,MATCH('Journal'!E470,'Kontoplan'!$H$3:$H$302,0)),""))</f>
        <v/>
      </c>
      <c r="F938" s="20">
        <f>IF('Journal'!F470="","",'Journal'!F470)</f>
        <v/>
      </c>
      <c r="G938" s="20">
        <f>IF('Journal'!G470="","",'Journal'!G470)</f>
        <v/>
      </c>
      <c r="H938" s="5">
        <f>IF('Journal'!I470="","",'Journal'!I470)</f>
        <v/>
      </c>
    </row>
    <row r="939">
      <c r="A939" s="18">
        <f>IF('Journal'!A471="","",'Journal'!A471)</f>
        <v/>
      </c>
      <c r="B939" s="21">
        <f>IF('Journal'!B471="","",'Journal'!B471)</f>
        <v/>
      </c>
      <c r="C939" s="5">
        <f>IF('Journal'!C471="","",'Journal'!C471)</f>
        <v/>
      </c>
      <c r="D939" s="5">
        <f>IF('Journal'!D471="","",IFERROR(LEFT('Journal'!D471,FIND(" ",'Journal'!D471)-1),'Journal'!D471))</f>
        <v/>
      </c>
      <c r="E939" s="5">
        <f>IF('Journal'!D471="","",IFERROR(INDEX('Kontoplan'!$B$3:$B$302,MATCH('Journal'!D471,'Kontoplan'!$H$3:$H$302,0)),""))</f>
        <v/>
      </c>
      <c r="F939" s="20">
        <f>IF('Journal'!G471="","",'Journal'!G471)</f>
        <v/>
      </c>
      <c r="G939" s="20">
        <f>IF('Journal'!F471="","",'Journal'!F471)</f>
        <v/>
      </c>
      <c r="H939" s="5">
        <f>IF('Journal'!I471="","",'Journal'!I471)</f>
        <v/>
      </c>
    </row>
    <row r="940">
      <c r="A940" s="18">
        <f>IF('Journal'!A471="","",'Journal'!A471)</f>
        <v/>
      </c>
      <c r="B940" s="21">
        <f>IF('Journal'!B471="","",'Journal'!B471)</f>
        <v/>
      </c>
      <c r="C940" s="5">
        <f>IF('Journal'!C471="","",'Journal'!C471)</f>
        <v/>
      </c>
      <c r="D940" s="5">
        <f>IF('Journal'!E471="","",IFERROR(LEFT('Journal'!E471,FIND(" ",'Journal'!E471)-1),'Journal'!E471))</f>
        <v/>
      </c>
      <c r="E940" s="5">
        <f>IF('Journal'!E471="","",IFERROR(INDEX('Kontoplan'!$B$3:$B$302,MATCH('Journal'!E471,'Kontoplan'!$H$3:$H$302,0)),""))</f>
        <v/>
      </c>
      <c r="F940" s="20">
        <f>IF('Journal'!F471="","",'Journal'!F471)</f>
        <v/>
      </c>
      <c r="G940" s="20">
        <f>IF('Journal'!G471="","",'Journal'!G471)</f>
        <v/>
      </c>
      <c r="H940" s="5">
        <f>IF('Journal'!I471="","",'Journal'!I471)</f>
        <v/>
      </c>
    </row>
    <row r="941">
      <c r="A941" s="18">
        <f>IF('Journal'!A472="","",'Journal'!A472)</f>
        <v/>
      </c>
      <c r="B941" s="21">
        <f>IF('Journal'!B472="","",'Journal'!B472)</f>
        <v/>
      </c>
      <c r="C941" s="5">
        <f>IF('Journal'!C472="","",'Journal'!C472)</f>
        <v/>
      </c>
      <c r="D941" s="5">
        <f>IF('Journal'!D472="","",IFERROR(LEFT('Journal'!D472,FIND(" ",'Journal'!D472)-1),'Journal'!D472))</f>
        <v/>
      </c>
      <c r="E941" s="5">
        <f>IF('Journal'!D472="","",IFERROR(INDEX('Kontoplan'!$B$3:$B$302,MATCH('Journal'!D472,'Kontoplan'!$H$3:$H$302,0)),""))</f>
        <v/>
      </c>
      <c r="F941" s="20">
        <f>IF('Journal'!G472="","",'Journal'!G472)</f>
        <v/>
      </c>
      <c r="G941" s="20">
        <f>IF('Journal'!F472="","",'Journal'!F472)</f>
        <v/>
      </c>
      <c r="H941" s="5">
        <f>IF('Journal'!I472="","",'Journal'!I472)</f>
        <v/>
      </c>
    </row>
    <row r="942">
      <c r="A942" s="18">
        <f>IF('Journal'!A472="","",'Journal'!A472)</f>
        <v/>
      </c>
      <c r="B942" s="21">
        <f>IF('Journal'!B472="","",'Journal'!B472)</f>
        <v/>
      </c>
      <c r="C942" s="5">
        <f>IF('Journal'!C472="","",'Journal'!C472)</f>
        <v/>
      </c>
      <c r="D942" s="5">
        <f>IF('Journal'!E472="","",IFERROR(LEFT('Journal'!E472,FIND(" ",'Journal'!E472)-1),'Journal'!E472))</f>
        <v/>
      </c>
      <c r="E942" s="5">
        <f>IF('Journal'!E472="","",IFERROR(INDEX('Kontoplan'!$B$3:$B$302,MATCH('Journal'!E472,'Kontoplan'!$H$3:$H$302,0)),""))</f>
        <v/>
      </c>
      <c r="F942" s="20">
        <f>IF('Journal'!F472="","",'Journal'!F472)</f>
        <v/>
      </c>
      <c r="G942" s="20">
        <f>IF('Journal'!G472="","",'Journal'!G472)</f>
        <v/>
      </c>
      <c r="H942" s="5">
        <f>IF('Journal'!I472="","",'Journal'!I472)</f>
        <v/>
      </c>
    </row>
    <row r="943">
      <c r="A943" s="18">
        <f>IF('Journal'!A473="","",'Journal'!A473)</f>
        <v/>
      </c>
      <c r="B943" s="21">
        <f>IF('Journal'!B473="","",'Journal'!B473)</f>
        <v/>
      </c>
      <c r="C943" s="5">
        <f>IF('Journal'!C473="","",'Journal'!C473)</f>
        <v/>
      </c>
      <c r="D943" s="5">
        <f>IF('Journal'!D473="","",IFERROR(LEFT('Journal'!D473,FIND(" ",'Journal'!D473)-1),'Journal'!D473))</f>
        <v/>
      </c>
      <c r="E943" s="5">
        <f>IF('Journal'!D473="","",IFERROR(INDEX('Kontoplan'!$B$3:$B$302,MATCH('Journal'!D473,'Kontoplan'!$H$3:$H$302,0)),""))</f>
        <v/>
      </c>
      <c r="F943" s="20">
        <f>IF('Journal'!G473="","",'Journal'!G473)</f>
        <v/>
      </c>
      <c r="G943" s="20">
        <f>IF('Journal'!F473="","",'Journal'!F473)</f>
        <v/>
      </c>
      <c r="H943" s="5">
        <f>IF('Journal'!I473="","",'Journal'!I473)</f>
        <v/>
      </c>
    </row>
    <row r="944">
      <c r="A944" s="18">
        <f>IF('Journal'!A473="","",'Journal'!A473)</f>
        <v/>
      </c>
      <c r="B944" s="21">
        <f>IF('Journal'!B473="","",'Journal'!B473)</f>
        <v/>
      </c>
      <c r="C944" s="5">
        <f>IF('Journal'!C473="","",'Journal'!C473)</f>
        <v/>
      </c>
      <c r="D944" s="5">
        <f>IF('Journal'!E473="","",IFERROR(LEFT('Journal'!E473,FIND(" ",'Journal'!E473)-1),'Journal'!E473))</f>
        <v/>
      </c>
      <c r="E944" s="5">
        <f>IF('Journal'!E473="","",IFERROR(INDEX('Kontoplan'!$B$3:$B$302,MATCH('Journal'!E473,'Kontoplan'!$H$3:$H$302,0)),""))</f>
        <v/>
      </c>
      <c r="F944" s="20">
        <f>IF('Journal'!F473="","",'Journal'!F473)</f>
        <v/>
      </c>
      <c r="G944" s="20">
        <f>IF('Journal'!G473="","",'Journal'!G473)</f>
        <v/>
      </c>
      <c r="H944" s="5">
        <f>IF('Journal'!I473="","",'Journal'!I473)</f>
        <v/>
      </c>
    </row>
    <row r="945">
      <c r="A945" s="18">
        <f>IF('Journal'!A474="","",'Journal'!A474)</f>
        <v/>
      </c>
      <c r="B945" s="21">
        <f>IF('Journal'!B474="","",'Journal'!B474)</f>
        <v/>
      </c>
      <c r="C945" s="5">
        <f>IF('Journal'!C474="","",'Journal'!C474)</f>
        <v/>
      </c>
      <c r="D945" s="5">
        <f>IF('Journal'!D474="","",IFERROR(LEFT('Journal'!D474,FIND(" ",'Journal'!D474)-1),'Journal'!D474))</f>
        <v/>
      </c>
      <c r="E945" s="5">
        <f>IF('Journal'!D474="","",IFERROR(INDEX('Kontoplan'!$B$3:$B$302,MATCH('Journal'!D474,'Kontoplan'!$H$3:$H$302,0)),""))</f>
        <v/>
      </c>
      <c r="F945" s="20">
        <f>IF('Journal'!G474="","",'Journal'!G474)</f>
        <v/>
      </c>
      <c r="G945" s="20">
        <f>IF('Journal'!F474="","",'Journal'!F474)</f>
        <v/>
      </c>
      <c r="H945" s="5">
        <f>IF('Journal'!I474="","",'Journal'!I474)</f>
        <v/>
      </c>
    </row>
    <row r="946">
      <c r="A946" s="18">
        <f>IF('Journal'!A474="","",'Journal'!A474)</f>
        <v/>
      </c>
      <c r="B946" s="21">
        <f>IF('Journal'!B474="","",'Journal'!B474)</f>
        <v/>
      </c>
      <c r="C946" s="5">
        <f>IF('Journal'!C474="","",'Journal'!C474)</f>
        <v/>
      </c>
      <c r="D946" s="5">
        <f>IF('Journal'!E474="","",IFERROR(LEFT('Journal'!E474,FIND(" ",'Journal'!E474)-1),'Journal'!E474))</f>
        <v/>
      </c>
      <c r="E946" s="5">
        <f>IF('Journal'!E474="","",IFERROR(INDEX('Kontoplan'!$B$3:$B$302,MATCH('Journal'!E474,'Kontoplan'!$H$3:$H$302,0)),""))</f>
        <v/>
      </c>
      <c r="F946" s="20">
        <f>IF('Journal'!F474="","",'Journal'!F474)</f>
        <v/>
      </c>
      <c r="G946" s="20">
        <f>IF('Journal'!G474="","",'Journal'!G474)</f>
        <v/>
      </c>
      <c r="H946" s="5">
        <f>IF('Journal'!I474="","",'Journal'!I474)</f>
        <v/>
      </c>
    </row>
    <row r="947">
      <c r="A947" s="18">
        <f>IF('Journal'!A475="","",'Journal'!A475)</f>
        <v/>
      </c>
      <c r="B947" s="21">
        <f>IF('Journal'!B475="","",'Journal'!B475)</f>
        <v/>
      </c>
      <c r="C947" s="5">
        <f>IF('Journal'!C475="","",'Journal'!C475)</f>
        <v/>
      </c>
      <c r="D947" s="5">
        <f>IF('Journal'!D475="","",IFERROR(LEFT('Journal'!D475,FIND(" ",'Journal'!D475)-1),'Journal'!D475))</f>
        <v/>
      </c>
      <c r="E947" s="5">
        <f>IF('Journal'!D475="","",IFERROR(INDEX('Kontoplan'!$B$3:$B$302,MATCH('Journal'!D475,'Kontoplan'!$H$3:$H$302,0)),""))</f>
        <v/>
      </c>
      <c r="F947" s="20">
        <f>IF('Journal'!G475="","",'Journal'!G475)</f>
        <v/>
      </c>
      <c r="G947" s="20">
        <f>IF('Journal'!F475="","",'Journal'!F475)</f>
        <v/>
      </c>
      <c r="H947" s="5">
        <f>IF('Journal'!I475="","",'Journal'!I475)</f>
        <v/>
      </c>
    </row>
    <row r="948">
      <c r="A948" s="18">
        <f>IF('Journal'!A475="","",'Journal'!A475)</f>
        <v/>
      </c>
      <c r="B948" s="21">
        <f>IF('Journal'!B475="","",'Journal'!B475)</f>
        <v/>
      </c>
      <c r="C948" s="5">
        <f>IF('Journal'!C475="","",'Journal'!C475)</f>
        <v/>
      </c>
      <c r="D948" s="5">
        <f>IF('Journal'!E475="","",IFERROR(LEFT('Journal'!E475,FIND(" ",'Journal'!E475)-1),'Journal'!E475))</f>
        <v/>
      </c>
      <c r="E948" s="5">
        <f>IF('Journal'!E475="","",IFERROR(INDEX('Kontoplan'!$B$3:$B$302,MATCH('Journal'!E475,'Kontoplan'!$H$3:$H$302,0)),""))</f>
        <v/>
      </c>
      <c r="F948" s="20">
        <f>IF('Journal'!F475="","",'Journal'!F475)</f>
        <v/>
      </c>
      <c r="G948" s="20">
        <f>IF('Journal'!G475="","",'Journal'!G475)</f>
        <v/>
      </c>
      <c r="H948" s="5">
        <f>IF('Journal'!I475="","",'Journal'!I475)</f>
        <v/>
      </c>
    </row>
    <row r="949">
      <c r="A949" s="18">
        <f>IF('Journal'!A476="","",'Journal'!A476)</f>
        <v/>
      </c>
      <c r="B949" s="21">
        <f>IF('Journal'!B476="","",'Journal'!B476)</f>
        <v/>
      </c>
      <c r="C949" s="5">
        <f>IF('Journal'!C476="","",'Journal'!C476)</f>
        <v/>
      </c>
      <c r="D949" s="5">
        <f>IF('Journal'!D476="","",IFERROR(LEFT('Journal'!D476,FIND(" ",'Journal'!D476)-1),'Journal'!D476))</f>
        <v/>
      </c>
      <c r="E949" s="5">
        <f>IF('Journal'!D476="","",IFERROR(INDEX('Kontoplan'!$B$3:$B$302,MATCH('Journal'!D476,'Kontoplan'!$H$3:$H$302,0)),""))</f>
        <v/>
      </c>
      <c r="F949" s="20">
        <f>IF('Journal'!G476="","",'Journal'!G476)</f>
        <v/>
      </c>
      <c r="G949" s="20">
        <f>IF('Journal'!F476="","",'Journal'!F476)</f>
        <v/>
      </c>
      <c r="H949" s="5">
        <f>IF('Journal'!I476="","",'Journal'!I476)</f>
        <v/>
      </c>
    </row>
    <row r="950">
      <c r="A950" s="18">
        <f>IF('Journal'!A476="","",'Journal'!A476)</f>
        <v/>
      </c>
      <c r="B950" s="21">
        <f>IF('Journal'!B476="","",'Journal'!B476)</f>
        <v/>
      </c>
      <c r="C950" s="5">
        <f>IF('Journal'!C476="","",'Journal'!C476)</f>
        <v/>
      </c>
      <c r="D950" s="5">
        <f>IF('Journal'!E476="","",IFERROR(LEFT('Journal'!E476,FIND(" ",'Journal'!E476)-1),'Journal'!E476))</f>
        <v/>
      </c>
      <c r="E950" s="5">
        <f>IF('Journal'!E476="","",IFERROR(INDEX('Kontoplan'!$B$3:$B$302,MATCH('Journal'!E476,'Kontoplan'!$H$3:$H$302,0)),""))</f>
        <v/>
      </c>
      <c r="F950" s="20">
        <f>IF('Journal'!F476="","",'Journal'!F476)</f>
        <v/>
      </c>
      <c r="G950" s="20">
        <f>IF('Journal'!G476="","",'Journal'!G476)</f>
        <v/>
      </c>
      <c r="H950" s="5">
        <f>IF('Journal'!I476="","",'Journal'!I476)</f>
        <v/>
      </c>
    </row>
    <row r="951">
      <c r="A951" s="18">
        <f>IF('Journal'!A477="","",'Journal'!A477)</f>
        <v/>
      </c>
      <c r="B951" s="21">
        <f>IF('Journal'!B477="","",'Journal'!B477)</f>
        <v/>
      </c>
      <c r="C951" s="5">
        <f>IF('Journal'!C477="","",'Journal'!C477)</f>
        <v/>
      </c>
      <c r="D951" s="5">
        <f>IF('Journal'!D477="","",IFERROR(LEFT('Journal'!D477,FIND(" ",'Journal'!D477)-1),'Journal'!D477))</f>
        <v/>
      </c>
      <c r="E951" s="5">
        <f>IF('Journal'!D477="","",IFERROR(INDEX('Kontoplan'!$B$3:$B$302,MATCH('Journal'!D477,'Kontoplan'!$H$3:$H$302,0)),""))</f>
        <v/>
      </c>
      <c r="F951" s="20">
        <f>IF('Journal'!G477="","",'Journal'!G477)</f>
        <v/>
      </c>
      <c r="G951" s="20">
        <f>IF('Journal'!F477="","",'Journal'!F477)</f>
        <v/>
      </c>
      <c r="H951" s="5">
        <f>IF('Journal'!I477="","",'Journal'!I477)</f>
        <v/>
      </c>
    </row>
    <row r="952">
      <c r="A952" s="18">
        <f>IF('Journal'!A477="","",'Journal'!A477)</f>
        <v/>
      </c>
      <c r="B952" s="21">
        <f>IF('Journal'!B477="","",'Journal'!B477)</f>
        <v/>
      </c>
      <c r="C952" s="5">
        <f>IF('Journal'!C477="","",'Journal'!C477)</f>
        <v/>
      </c>
      <c r="D952" s="5">
        <f>IF('Journal'!E477="","",IFERROR(LEFT('Journal'!E477,FIND(" ",'Journal'!E477)-1),'Journal'!E477))</f>
        <v/>
      </c>
      <c r="E952" s="5">
        <f>IF('Journal'!E477="","",IFERROR(INDEX('Kontoplan'!$B$3:$B$302,MATCH('Journal'!E477,'Kontoplan'!$H$3:$H$302,0)),""))</f>
        <v/>
      </c>
      <c r="F952" s="20">
        <f>IF('Journal'!F477="","",'Journal'!F477)</f>
        <v/>
      </c>
      <c r="G952" s="20">
        <f>IF('Journal'!G477="","",'Journal'!G477)</f>
        <v/>
      </c>
      <c r="H952" s="5">
        <f>IF('Journal'!I477="","",'Journal'!I477)</f>
        <v/>
      </c>
    </row>
    <row r="953">
      <c r="A953" s="18">
        <f>IF('Journal'!A478="","",'Journal'!A478)</f>
        <v/>
      </c>
      <c r="B953" s="21">
        <f>IF('Journal'!B478="","",'Journal'!B478)</f>
        <v/>
      </c>
      <c r="C953" s="5">
        <f>IF('Journal'!C478="","",'Journal'!C478)</f>
        <v/>
      </c>
      <c r="D953" s="5">
        <f>IF('Journal'!D478="","",IFERROR(LEFT('Journal'!D478,FIND(" ",'Journal'!D478)-1),'Journal'!D478))</f>
        <v/>
      </c>
      <c r="E953" s="5">
        <f>IF('Journal'!D478="","",IFERROR(INDEX('Kontoplan'!$B$3:$B$302,MATCH('Journal'!D478,'Kontoplan'!$H$3:$H$302,0)),""))</f>
        <v/>
      </c>
      <c r="F953" s="20">
        <f>IF('Journal'!G478="","",'Journal'!G478)</f>
        <v/>
      </c>
      <c r="G953" s="20">
        <f>IF('Journal'!F478="","",'Journal'!F478)</f>
        <v/>
      </c>
      <c r="H953" s="5">
        <f>IF('Journal'!I478="","",'Journal'!I478)</f>
        <v/>
      </c>
    </row>
    <row r="954">
      <c r="A954" s="18">
        <f>IF('Journal'!A478="","",'Journal'!A478)</f>
        <v/>
      </c>
      <c r="B954" s="21">
        <f>IF('Journal'!B478="","",'Journal'!B478)</f>
        <v/>
      </c>
      <c r="C954" s="5">
        <f>IF('Journal'!C478="","",'Journal'!C478)</f>
        <v/>
      </c>
      <c r="D954" s="5">
        <f>IF('Journal'!E478="","",IFERROR(LEFT('Journal'!E478,FIND(" ",'Journal'!E478)-1),'Journal'!E478))</f>
        <v/>
      </c>
      <c r="E954" s="5">
        <f>IF('Journal'!E478="","",IFERROR(INDEX('Kontoplan'!$B$3:$B$302,MATCH('Journal'!E478,'Kontoplan'!$H$3:$H$302,0)),""))</f>
        <v/>
      </c>
      <c r="F954" s="20">
        <f>IF('Journal'!F478="","",'Journal'!F478)</f>
        <v/>
      </c>
      <c r="G954" s="20">
        <f>IF('Journal'!G478="","",'Journal'!G478)</f>
        <v/>
      </c>
      <c r="H954" s="5">
        <f>IF('Journal'!I478="","",'Journal'!I478)</f>
        <v/>
      </c>
    </row>
    <row r="955">
      <c r="A955" s="18">
        <f>IF('Journal'!A479="","",'Journal'!A479)</f>
        <v/>
      </c>
      <c r="B955" s="21">
        <f>IF('Journal'!B479="","",'Journal'!B479)</f>
        <v/>
      </c>
      <c r="C955" s="5">
        <f>IF('Journal'!C479="","",'Journal'!C479)</f>
        <v/>
      </c>
      <c r="D955" s="5">
        <f>IF('Journal'!D479="","",IFERROR(LEFT('Journal'!D479,FIND(" ",'Journal'!D479)-1),'Journal'!D479))</f>
        <v/>
      </c>
      <c r="E955" s="5">
        <f>IF('Journal'!D479="","",IFERROR(INDEX('Kontoplan'!$B$3:$B$302,MATCH('Journal'!D479,'Kontoplan'!$H$3:$H$302,0)),""))</f>
        <v/>
      </c>
      <c r="F955" s="20">
        <f>IF('Journal'!G479="","",'Journal'!G479)</f>
        <v/>
      </c>
      <c r="G955" s="20">
        <f>IF('Journal'!F479="","",'Journal'!F479)</f>
        <v/>
      </c>
      <c r="H955" s="5">
        <f>IF('Journal'!I479="","",'Journal'!I479)</f>
        <v/>
      </c>
    </row>
    <row r="956">
      <c r="A956" s="18">
        <f>IF('Journal'!A479="","",'Journal'!A479)</f>
        <v/>
      </c>
      <c r="B956" s="21">
        <f>IF('Journal'!B479="","",'Journal'!B479)</f>
        <v/>
      </c>
      <c r="C956" s="5">
        <f>IF('Journal'!C479="","",'Journal'!C479)</f>
        <v/>
      </c>
      <c r="D956" s="5">
        <f>IF('Journal'!E479="","",IFERROR(LEFT('Journal'!E479,FIND(" ",'Journal'!E479)-1),'Journal'!E479))</f>
        <v/>
      </c>
      <c r="E956" s="5">
        <f>IF('Journal'!E479="","",IFERROR(INDEX('Kontoplan'!$B$3:$B$302,MATCH('Journal'!E479,'Kontoplan'!$H$3:$H$302,0)),""))</f>
        <v/>
      </c>
      <c r="F956" s="20">
        <f>IF('Journal'!F479="","",'Journal'!F479)</f>
        <v/>
      </c>
      <c r="G956" s="20">
        <f>IF('Journal'!G479="","",'Journal'!G479)</f>
        <v/>
      </c>
      <c r="H956" s="5">
        <f>IF('Journal'!I479="","",'Journal'!I479)</f>
        <v/>
      </c>
    </row>
    <row r="957">
      <c r="A957" s="18">
        <f>IF('Journal'!A480="","",'Journal'!A480)</f>
        <v/>
      </c>
      <c r="B957" s="21">
        <f>IF('Journal'!B480="","",'Journal'!B480)</f>
        <v/>
      </c>
      <c r="C957" s="5">
        <f>IF('Journal'!C480="","",'Journal'!C480)</f>
        <v/>
      </c>
      <c r="D957" s="5">
        <f>IF('Journal'!D480="","",IFERROR(LEFT('Journal'!D480,FIND(" ",'Journal'!D480)-1),'Journal'!D480))</f>
        <v/>
      </c>
      <c r="E957" s="5">
        <f>IF('Journal'!D480="","",IFERROR(INDEX('Kontoplan'!$B$3:$B$302,MATCH('Journal'!D480,'Kontoplan'!$H$3:$H$302,0)),""))</f>
        <v/>
      </c>
      <c r="F957" s="20">
        <f>IF('Journal'!G480="","",'Journal'!G480)</f>
        <v/>
      </c>
      <c r="G957" s="20">
        <f>IF('Journal'!F480="","",'Journal'!F480)</f>
        <v/>
      </c>
      <c r="H957" s="5">
        <f>IF('Journal'!I480="","",'Journal'!I480)</f>
        <v/>
      </c>
    </row>
    <row r="958">
      <c r="A958" s="18">
        <f>IF('Journal'!A480="","",'Journal'!A480)</f>
        <v/>
      </c>
      <c r="B958" s="21">
        <f>IF('Journal'!B480="","",'Journal'!B480)</f>
        <v/>
      </c>
      <c r="C958" s="5">
        <f>IF('Journal'!C480="","",'Journal'!C480)</f>
        <v/>
      </c>
      <c r="D958" s="5">
        <f>IF('Journal'!E480="","",IFERROR(LEFT('Journal'!E480,FIND(" ",'Journal'!E480)-1),'Journal'!E480))</f>
        <v/>
      </c>
      <c r="E958" s="5">
        <f>IF('Journal'!E480="","",IFERROR(INDEX('Kontoplan'!$B$3:$B$302,MATCH('Journal'!E480,'Kontoplan'!$H$3:$H$302,0)),""))</f>
        <v/>
      </c>
      <c r="F958" s="20">
        <f>IF('Journal'!F480="","",'Journal'!F480)</f>
        <v/>
      </c>
      <c r="G958" s="20">
        <f>IF('Journal'!G480="","",'Journal'!G480)</f>
        <v/>
      </c>
      <c r="H958" s="5">
        <f>IF('Journal'!I480="","",'Journal'!I480)</f>
        <v/>
      </c>
    </row>
    <row r="959">
      <c r="A959" s="18">
        <f>IF('Journal'!A481="","",'Journal'!A481)</f>
        <v/>
      </c>
      <c r="B959" s="21">
        <f>IF('Journal'!B481="","",'Journal'!B481)</f>
        <v/>
      </c>
      <c r="C959" s="5">
        <f>IF('Journal'!C481="","",'Journal'!C481)</f>
        <v/>
      </c>
      <c r="D959" s="5">
        <f>IF('Journal'!D481="","",IFERROR(LEFT('Journal'!D481,FIND(" ",'Journal'!D481)-1),'Journal'!D481))</f>
        <v/>
      </c>
      <c r="E959" s="5">
        <f>IF('Journal'!D481="","",IFERROR(INDEX('Kontoplan'!$B$3:$B$302,MATCH('Journal'!D481,'Kontoplan'!$H$3:$H$302,0)),""))</f>
        <v/>
      </c>
      <c r="F959" s="20">
        <f>IF('Journal'!G481="","",'Journal'!G481)</f>
        <v/>
      </c>
      <c r="G959" s="20">
        <f>IF('Journal'!F481="","",'Journal'!F481)</f>
        <v/>
      </c>
      <c r="H959" s="5">
        <f>IF('Journal'!I481="","",'Journal'!I481)</f>
        <v/>
      </c>
    </row>
    <row r="960">
      <c r="A960" s="18">
        <f>IF('Journal'!A481="","",'Journal'!A481)</f>
        <v/>
      </c>
      <c r="B960" s="21">
        <f>IF('Journal'!B481="","",'Journal'!B481)</f>
        <v/>
      </c>
      <c r="C960" s="5">
        <f>IF('Journal'!C481="","",'Journal'!C481)</f>
        <v/>
      </c>
      <c r="D960" s="5">
        <f>IF('Journal'!E481="","",IFERROR(LEFT('Journal'!E481,FIND(" ",'Journal'!E481)-1),'Journal'!E481))</f>
        <v/>
      </c>
      <c r="E960" s="5">
        <f>IF('Journal'!E481="","",IFERROR(INDEX('Kontoplan'!$B$3:$B$302,MATCH('Journal'!E481,'Kontoplan'!$H$3:$H$302,0)),""))</f>
        <v/>
      </c>
      <c r="F960" s="20">
        <f>IF('Journal'!F481="","",'Journal'!F481)</f>
        <v/>
      </c>
      <c r="G960" s="20">
        <f>IF('Journal'!G481="","",'Journal'!G481)</f>
        <v/>
      </c>
      <c r="H960" s="5">
        <f>IF('Journal'!I481="","",'Journal'!I481)</f>
        <v/>
      </c>
    </row>
    <row r="961">
      <c r="A961" s="18">
        <f>IF('Journal'!A482="","",'Journal'!A482)</f>
        <v/>
      </c>
      <c r="B961" s="21">
        <f>IF('Journal'!B482="","",'Journal'!B482)</f>
        <v/>
      </c>
      <c r="C961" s="5">
        <f>IF('Journal'!C482="","",'Journal'!C482)</f>
        <v/>
      </c>
      <c r="D961" s="5">
        <f>IF('Journal'!D482="","",IFERROR(LEFT('Journal'!D482,FIND(" ",'Journal'!D482)-1),'Journal'!D482))</f>
        <v/>
      </c>
      <c r="E961" s="5">
        <f>IF('Journal'!D482="","",IFERROR(INDEX('Kontoplan'!$B$3:$B$302,MATCH('Journal'!D482,'Kontoplan'!$H$3:$H$302,0)),""))</f>
        <v/>
      </c>
      <c r="F961" s="20">
        <f>IF('Journal'!G482="","",'Journal'!G482)</f>
        <v/>
      </c>
      <c r="G961" s="20">
        <f>IF('Journal'!F482="","",'Journal'!F482)</f>
        <v/>
      </c>
      <c r="H961" s="5">
        <f>IF('Journal'!I482="","",'Journal'!I482)</f>
        <v/>
      </c>
    </row>
    <row r="962">
      <c r="A962" s="18">
        <f>IF('Journal'!A482="","",'Journal'!A482)</f>
        <v/>
      </c>
      <c r="B962" s="21">
        <f>IF('Journal'!B482="","",'Journal'!B482)</f>
        <v/>
      </c>
      <c r="C962" s="5">
        <f>IF('Journal'!C482="","",'Journal'!C482)</f>
        <v/>
      </c>
      <c r="D962" s="5">
        <f>IF('Journal'!E482="","",IFERROR(LEFT('Journal'!E482,FIND(" ",'Journal'!E482)-1),'Journal'!E482))</f>
        <v/>
      </c>
      <c r="E962" s="5">
        <f>IF('Journal'!E482="","",IFERROR(INDEX('Kontoplan'!$B$3:$B$302,MATCH('Journal'!E482,'Kontoplan'!$H$3:$H$302,0)),""))</f>
        <v/>
      </c>
      <c r="F962" s="20">
        <f>IF('Journal'!F482="","",'Journal'!F482)</f>
        <v/>
      </c>
      <c r="G962" s="20">
        <f>IF('Journal'!G482="","",'Journal'!G482)</f>
        <v/>
      </c>
      <c r="H962" s="5">
        <f>IF('Journal'!I482="","",'Journal'!I482)</f>
        <v/>
      </c>
    </row>
    <row r="963">
      <c r="A963" s="18">
        <f>IF('Journal'!A483="","",'Journal'!A483)</f>
        <v/>
      </c>
      <c r="B963" s="21">
        <f>IF('Journal'!B483="","",'Journal'!B483)</f>
        <v/>
      </c>
      <c r="C963" s="5">
        <f>IF('Journal'!C483="","",'Journal'!C483)</f>
        <v/>
      </c>
      <c r="D963" s="5">
        <f>IF('Journal'!D483="","",IFERROR(LEFT('Journal'!D483,FIND(" ",'Journal'!D483)-1),'Journal'!D483))</f>
        <v/>
      </c>
      <c r="E963" s="5">
        <f>IF('Journal'!D483="","",IFERROR(INDEX('Kontoplan'!$B$3:$B$302,MATCH('Journal'!D483,'Kontoplan'!$H$3:$H$302,0)),""))</f>
        <v/>
      </c>
      <c r="F963" s="20">
        <f>IF('Journal'!G483="","",'Journal'!G483)</f>
        <v/>
      </c>
      <c r="G963" s="20">
        <f>IF('Journal'!F483="","",'Journal'!F483)</f>
        <v/>
      </c>
      <c r="H963" s="5">
        <f>IF('Journal'!I483="","",'Journal'!I483)</f>
        <v/>
      </c>
    </row>
    <row r="964">
      <c r="A964" s="18">
        <f>IF('Journal'!A483="","",'Journal'!A483)</f>
        <v/>
      </c>
      <c r="B964" s="21">
        <f>IF('Journal'!B483="","",'Journal'!B483)</f>
        <v/>
      </c>
      <c r="C964" s="5">
        <f>IF('Journal'!C483="","",'Journal'!C483)</f>
        <v/>
      </c>
      <c r="D964" s="5">
        <f>IF('Journal'!E483="","",IFERROR(LEFT('Journal'!E483,FIND(" ",'Journal'!E483)-1),'Journal'!E483))</f>
        <v/>
      </c>
      <c r="E964" s="5">
        <f>IF('Journal'!E483="","",IFERROR(INDEX('Kontoplan'!$B$3:$B$302,MATCH('Journal'!E483,'Kontoplan'!$H$3:$H$302,0)),""))</f>
        <v/>
      </c>
      <c r="F964" s="20">
        <f>IF('Journal'!F483="","",'Journal'!F483)</f>
        <v/>
      </c>
      <c r="G964" s="20">
        <f>IF('Journal'!G483="","",'Journal'!G483)</f>
        <v/>
      </c>
      <c r="H964" s="5">
        <f>IF('Journal'!I483="","",'Journal'!I483)</f>
        <v/>
      </c>
    </row>
    <row r="965">
      <c r="A965" s="18">
        <f>IF('Journal'!A484="","",'Journal'!A484)</f>
        <v/>
      </c>
      <c r="B965" s="21">
        <f>IF('Journal'!B484="","",'Journal'!B484)</f>
        <v/>
      </c>
      <c r="C965" s="5">
        <f>IF('Journal'!C484="","",'Journal'!C484)</f>
        <v/>
      </c>
      <c r="D965" s="5">
        <f>IF('Journal'!D484="","",IFERROR(LEFT('Journal'!D484,FIND(" ",'Journal'!D484)-1),'Journal'!D484))</f>
        <v/>
      </c>
      <c r="E965" s="5">
        <f>IF('Journal'!D484="","",IFERROR(INDEX('Kontoplan'!$B$3:$B$302,MATCH('Journal'!D484,'Kontoplan'!$H$3:$H$302,0)),""))</f>
        <v/>
      </c>
      <c r="F965" s="20">
        <f>IF('Journal'!G484="","",'Journal'!G484)</f>
        <v/>
      </c>
      <c r="G965" s="20">
        <f>IF('Journal'!F484="","",'Journal'!F484)</f>
        <v/>
      </c>
      <c r="H965" s="5">
        <f>IF('Journal'!I484="","",'Journal'!I484)</f>
        <v/>
      </c>
    </row>
    <row r="966">
      <c r="A966" s="18">
        <f>IF('Journal'!A484="","",'Journal'!A484)</f>
        <v/>
      </c>
      <c r="B966" s="21">
        <f>IF('Journal'!B484="","",'Journal'!B484)</f>
        <v/>
      </c>
      <c r="C966" s="5">
        <f>IF('Journal'!C484="","",'Journal'!C484)</f>
        <v/>
      </c>
      <c r="D966" s="5">
        <f>IF('Journal'!E484="","",IFERROR(LEFT('Journal'!E484,FIND(" ",'Journal'!E484)-1),'Journal'!E484))</f>
        <v/>
      </c>
      <c r="E966" s="5">
        <f>IF('Journal'!E484="","",IFERROR(INDEX('Kontoplan'!$B$3:$B$302,MATCH('Journal'!E484,'Kontoplan'!$H$3:$H$302,0)),""))</f>
        <v/>
      </c>
      <c r="F966" s="20">
        <f>IF('Journal'!F484="","",'Journal'!F484)</f>
        <v/>
      </c>
      <c r="G966" s="20">
        <f>IF('Journal'!G484="","",'Journal'!G484)</f>
        <v/>
      </c>
      <c r="H966" s="5">
        <f>IF('Journal'!I484="","",'Journal'!I484)</f>
        <v/>
      </c>
    </row>
    <row r="967">
      <c r="A967" s="18">
        <f>IF('Journal'!A485="","",'Journal'!A485)</f>
        <v/>
      </c>
      <c r="B967" s="21">
        <f>IF('Journal'!B485="","",'Journal'!B485)</f>
        <v/>
      </c>
      <c r="C967" s="5">
        <f>IF('Journal'!C485="","",'Journal'!C485)</f>
        <v/>
      </c>
      <c r="D967" s="5">
        <f>IF('Journal'!D485="","",IFERROR(LEFT('Journal'!D485,FIND(" ",'Journal'!D485)-1),'Journal'!D485))</f>
        <v/>
      </c>
      <c r="E967" s="5">
        <f>IF('Journal'!D485="","",IFERROR(INDEX('Kontoplan'!$B$3:$B$302,MATCH('Journal'!D485,'Kontoplan'!$H$3:$H$302,0)),""))</f>
        <v/>
      </c>
      <c r="F967" s="20">
        <f>IF('Journal'!G485="","",'Journal'!G485)</f>
        <v/>
      </c>
      <c r="G967" s="20">
        <f>IF('Journal'!F485="","",'Journal'!F485)</f>
        <v/>
      </c>
      <c r="H967" s="5">
        <f>IF('Journal'!I485="","",'Journal'!I485)</f>
        <v/>
      </c>
    </row>
    <row r="968">
      <c r="A968" s="18">
        <f>IF('Journal'!A485="","",'Journal'!A485)</f>
        <v/>
      </c>
      <c r="B968" s="21">
        <f>IF('Journal'!B485="","",'Journal'!B485)</f>
        <v/>
      </c>
      <c r="C968" s="5">
        <f>IF('Journal'!C485="","",'Journal'!C485)</f>
        <v/>
      </c>
      <c r="D968" s="5">
        <f>IF('Journal'!E485="","",IFERROR(LEFT('Journal'!E485,FIND(" ",'Journal'!E485)-1),'Journal'!E485))</f>
        <v/>
      </c>
      <c r="E968" s="5">
        <f>IF('Journal'!E485="","",IFERROR(INDEX('Kontoplan'!$B$3:$B$302,MATCH('Journal'!E485,'Kontoplan'!$H$3:$H$302,0)),""))</f>
        <v/>
      </c>
      <c r="F968" s="20">
        <f>IF('Journal'!F485="","",'Journal'!F485)</f>
        <v/>
      </c>
      <c r="G968" s="20">
        <f>IF('Journal'!G485="","",'Journal'!G485)</f>
        <v/>
      </c>
      <c r="H968" s="5">
        <f>IF('Journal'!I485="","",'Journal'!I485)</f>
        <v/>
      </c>
    </row>
    <row r="969">
      <c r="A969" s="18">
        <f>IF('Journal'!A486="","",'Journal'!A486)</f>
        <v/>
      </c>
      <c r="B969" s="21">
        <f>IF('Journal'!B486="","",'Journal'!B486)</f>
        <v/>
      </c>
      <c r="C969" s="5">
        <f>IF('Journal'!C486="","",'Journal'!C486)</f>
        <v/>
      </c>
      <c r="D969" s="5">
        <f>IF('Journal'!D486="","",IFERROR(LEFT('Journal'!D486,FIND(" ",'Journal'!D486)-1),'Journal'!D486))</f>
        <v/>
      </c>
      <c r="E969" s="5">
        <f>IF('Journal'!D486="","",IFERROR(INDEX('Kontoplan'!$B$3:$B$302,MATCH('Journal'!D486,'Kontoplan'!$H$3:$H$302,0)),""))</f>
        <v/>
      </c>
      <c r="F969" s="20">
        <f>IF('Journal'!G486="","",'Journal'!G486)</f>
        <v/>
      </c>
      <c r="G969" s="20">
        <f>IF('Journal'!F486="","",'Journal'!F486)</f>
        <v/>
      </c>
      <c r="H969" s="5">
        <f>IF('Journal'!I486="","",'Journal'!I486)</f>
        <v/>
      </c>
    </row>
    <row r="970">
      <c r="A970" s="18">
        <f>IF('Journal'!A486="","",'Journal'!A486)</f>
        <v/>
      </c>
      <c r="B970" s="21">
        <f>IF('Journal'!B486="","",'Journal'!B486)</f>
        <v/>
      </c>
      <c r="C970" s="5">
        <f>IF('Journal'!C486="","",'Journal'!C486)</f>
        <v/>
      </c>
      <c r="D970" s="5">
        <f>IF('Journal'!E486="","",IFERROR(LEFT('Journal'!E486,FIND(" ",'Journal'!E486)-1),'Journal'!E486))</f>
        <v/>
      </c>
      <c r="E970" s="5">
        <f>IF('Journal'!E486="","",IFERROR(INDEX('Kontoplan'!$B$3:$B$302,MATCH('Journal'!E486,'Kontoplan'!$H$3:$H$302,0)),""))</f>
        <v/>
      </c>
      <c r="F970" s="20">
        <f>IF('Journal'!F486="","",'Journal'!F486)</f>
        <v/>
      </c>
      <c r="G970" s="20">
        <f>IF('Journal'!G486="","",'Journal'!G486)</f>
        <v/>
      </c>
      <c r="H970" s="5">
        <f>IF('Journal'!I486="","",'Journal'!I486)</f>
        <v/>
      </c>
    </row>
    <row r="971">
      <c r="A971" s="18">
        <f>IF('Journal'!A487="","",'Journal'!A487)</f>
        <v/>
      </c>
      <c r="B971" s="21">
        <f>IF('Journal'!B487="","",'Journal'!B487)</f>
        <v/>
      </c>
      <c r="C971" s="5">
        <f>IF('Journal'!C487="","",'Journal'!C487)</f>
        <v/>
      </c>
      <c r="D971" s="5">
        <f>IF('Journal'!D487="","",IFERROR(LEFT('Journal'!D487,FIND(" ",'Journal'!D487)-1),'Journal'!D487))</f>
        <v/>
      </c>
      <c r="E971" s="5">
        <f>IF('Journal'!D487="","",IFERROR(INDEX('Kontoplan'!$B$3:$B$302,MATCH('Journal'!D487,'Kontoplan'!$H$3:$H$302,0)),""))</f>
        <v/>
      </c>
      <c r="F971" s="20">
        <f>IF('Journal'!G487="","",'Journal'!G487)</f>
        <v/>
      </c>
      <c r="G971" s="20">
        <f>IF('Journal'!F487="","",'Journal'!F487)</f>
        <v/>
      </c>
      <c r="H971" s="5">
        <f>IF('Journal'!I487="","",'Journal'!I487)</f>
        <v/>
      </c>
    </row>
    <row r="972">
      <c r="A972" s="18">
        <f>IF('Journal'!A487="","",'Journal'!A487)</f>
        <v/>
      </c>
      <c r="B972" s="21">
        <f>IF('Journal'!B487="","",'Journal'!B487)</f>
        <v/>
      </c>
      <c r="C972" s="5">
        <f>IF('Journal'!C487="","",'Journal'!C487)</f>
        <v/>
      </c>
      <c r="D972" s="5">
        <f>IF('Journal'!E487="","",IFERROR(LEFT('Journal'!E487,FIND(" ",'Journal'!E487)-1),'Journal'!E487))</f>
        <v/>
      </c>
      <c r="E972" s="5">
        <f>IF('Journal'!E487="","",IFERROR(INDEX('Kontoplan'!$B$3:$B$302,MATCH('Journal'!E487,'Kontoplan'!$H$3:$H$302,0)),""))</f>
        <v/>
      </c>
      <c r="F972" s="20">
        <f>IF('Journal'!F487="","",'Journal'!F487)</f>
        <v/>
      </c>
      <c r="G972" s="20">
        <f>IF('Journal'!G487="","",'Journal'!G487)</f>
        <v/>
      </c>
      <c r="H972" s="5">
        <f>IF('Journal'!I487="","",'Journal'!I487)</f>
        <v/>
      </c>
    </row>
    <row r="973">
      <c r="A973" s="18">
        <f>IF('Journal'!A488="","",'Journal'!A488)</f>
        <v/>
      </c>
      <c r="B973" s="21">
        <f>IF('Journal'!B488="","",'Journal'!B488)</f>
        <v/>
      </c>
      <c r="C973" s="5">
        <f>IF('Journal'!C488="","",'Journal'!C488)</f>
        <v/>
      </c>
      <c r="D973" s="5">
        <f>IF('Journal'!D488="","",IFERROR(LEFT('Journal'!D488,FIND(" ",'Journal'!D488)-1),'Journal'!D488))</f>
        <v/>
      </c>
      <c r="E973" s="5">
        <f>IF('Journal'!D488="","",IFERROR(INDEX('Kontoplan'!$B$3:$B$302,MATCH('Journal'!D488,'Kontoplan'!$H$3:$H$302,0)),""))</f>
        <v/>
      </c>
      <c r="F973" s="20">
        <f>IF('Journal'!G488="","",'Journal'!G488)</f>
        <v/>
      </c>
      <c r="G973" s="20">
        <f>IF('Journal'!F488="","",'Journal'!F488)</f>
        <v/>
      </c>
      <c r="H973" s="5">
        <f>IF('Journal'!I488="","",'Journal'!I488)</f>
        <v/>
      </c>
    </row>
    <row r="974">
      <c r="A974" s="18">
        <f>IF('Journal'!A488="","",'Journal'!A488)</f>
        <v/>
      </c>
      <c r="B974" s="21">
        <f>IF('Journal'!B488="","",'Journal'!B488)</f>
        <v/>
      </c>
      <c r="C974" s="5">
        <f>IF('Journal'!C488="","",'Journal'!C488)</f>
        <v/>
      </c>
      <c r="D974" s="5">
        <f>IF('Journal'!E488="","",IFERROR(LEFT('Journal'!E488,FIND(" ",'Journal'!E488)-1),'Journal'!E488))</f>
        <v/>
      </c>
      <c r="E974" s="5">
        <f>IF('Journal'!E488="","",IFERROR(INDEX('Kontoplan'!$B$3:$B$302,MATCH('Journal'!E488,'Kontoplan'!$H$3:$H$302,0)),""))</f>
        <v/>
      </c>
      <c r="F974" s="20">
        <f>IF('Journal'!F488="","",'Journal'!F488)</f>
        <v/>
      </c>
      <c r="G974" s="20">
        <f>IF('Journal'!G488="","",'Journal'!G488)</f>
        <v/>
      </c>
      <c r="H974" s="5">
        <f>IF('Journal'!I488="","",'Journal'!I488)</f>
        <v/>
      </c>
    </row>
    <row r="975">
      <c r="A975" s="18">
        <f>IF('Journal'!A489="","",'Journal'!A489)</f>
        <v/>
      </c>
      <c r="B975" s="21">
        <f>IF('Journal'!B489="","",'Journal'!B489)</f>
        <v/>
      </c>
      <c r="C975" s="5">
        <f>IF('Journal'!C489="","",'Journal'!C489)</f>
        <v/>
      </c>
      <c r="D975" s="5">
        <f>IF('Journal'!D489="","",IFERROR(LEFT('Journal'!D489,FIND(" ",'Journal'!D489)-1),'Journal'!D489))</f>
        <v/>
      </c>
      <c r="E975" s="5">
        <f>IF('Journal'!D489="","",IFERROR(INDEX('Kontoplan'!$B$3:$B$302,MATCH('Journal'!D489,'Kontoplan'!$H$3:$H$302,0)),""))</f>
        <v/>
      </c>
      <c r="F975" s="20">
        <f>IF('Journal'!G489="","",'Journal'!G489)</f>
        <v/>
      </c>
      <c r="G975" s="20">
        <f>IF('Journal'!F489="","",'Journal'!F489)</f>
        <v/>
      </c>
      <c r="H975" s="5">
        <f>IF('Journal'!I489="","",'Journal'!I489)</f>
        <v/>
      </c>
    </row>
    <row r="976">
      <c r="A976" s="18">
        <f>IF('Journal'!A489="","",'Journal'!A489)</f>
        <v/>
      </c>
      <c r="B976" s="21">
        <f>IF('Journal'!B489="","",'Journal'!B489)</f>
        <v/>
      </c>
      <c r="C976" s="5">
        <f>IF('Journal'!C489="","",'Journal'!C489)</f>
        <v/>
      </c>
      <c r="D976" s="5">
        <f>IF('Journal'!E489="","",IFERROR(LEFT('Journal'!E489,FIND(" ",'Journal'!E489)-1),'Journal'!E489))</f>
        <v/>
      </c>
      <c r="E976" s="5">
        <f>IF('Journal'!E489="","",IFERROR(INDEX('Kontoplan'!$B$3:$B$302,MATCH('Journal'!E489,'Kontoplan'!$H$3:$H$302,0)),""))</f>
        <v/>
      </c>
      <c r="F976" s="20">
        <f>IF('Journal'!F489="","",'Journal'!F489)</f>
        <v/>
      </c>
      <c r="G976" s="20">
        <f>IF('Journal'!G489="","",'Journal'!G489)</f>
        <v/>
      </c>
      <c r="H976" s="5">
        <f>IF('Journal'!I489="","",'Journal'!I489)</f>
        <v/>
      </c>
    </row>
    <row r="977">
      <c r="A977" s="18">
        <f>IF('Journal'!A490="","",'Journal'!A490)</f>
        <v/>
      </c>
      <c r="B977" s="21">
        <f>IF('Journal'!B490="","",'Journal'!B490)</f>
        <v/>
      </c>
      <c r="C977" s="5">
        <f>IF('Journal'!C490="","",'Journal'!C490)</f>
        <v/>
      </c>
      <c r="D977" s="5">
        <f>IF('Journal'!D490="","",IFERROR(LEFT('Journal'!D490,FIND(" ",'Journal'!D490)-1),'Journal'!D490))</f>
        <v/>
      </c>
      <c r="E977" s="5">
        <f>IF('Journal'!D490="","",IFERROR(INDEX('Kontoplan'!$B$3:$B$302,MATCH('Journal'!D490,'Kontoplan'!$H$3:$H$302,0)),""))</f>
        <v/>
      </c>
      <c r="F977" s="20">
        <f>IF('Journal'!G490="","",'Journal'!G490)</f>
        <v/>
      </c>
      <c r="G977" s="20">
        <f>IF('Journal'!F490="","",'Journal'!F490)</f>
        <v/>
      </c>
      <c r="H977" s="5">
        <f>IF('Journal'!I490="","",'Journal'!I490)</f>
        <v/>
      </c>
    </row>
    <row r="978">
      <c r="A978" s="18">
        <f>IF('Journal'!A490="","",'Journal'!A490)</f>
        <v/>
      </c>
      <c r="B978" s="21">
        <f>IF('Journal'!B490="","",'Journal'!B490)</f>
        <v/>
      </c>
      <c r="C978" s="5">
        <f>IF('Journal'!C490="","",'Journal'!C490)</f>
        <v/>
      </c>
      <c r="D978" s="5">
        <f>IF('Journal'!E490="","",IFERROR(LEFT('Journal'!E490,FIND(" ",'Journal'!E490)-1),'Journal'!E490))</f>
        <v/>
      </c>
      <c r="E978" s="5">
        <f>IF('Journal'!E490="","",IFERROR(INDEX('Kontoplan'!$B$3:$B$302,MATCH('Journal'!E490,'Kontoplan'!$H$3:$H$302,0)),""))</f>
        <v/>
      </c>
      <c r="F978" s="20">
        <f>IF('Journal'!F490="","",'Journal'!F490)</f>
        <v/>
      </c>
      <c r="G978" s="20">
        <f>IF('Journal'!G490="","",'Journal'!G490)</f>
        <v/>
      </c>
      <c r="H978" s="5">
        <f>IF('Journal'!I490="","",'Journal'!I490)</f>
        <v/>
      </c>
    </row>
    <row r="979">
      <c r="A979" s="18">
        <f>IF('Journal'!A491="","",'Journal'!A491)</f>
        <v/>
      </c>
      <c r="B979" s="21">
        <f>IF('Journal'!B491="","",'Journal'!B491)</f>
        <v/>
      </c>
      <c r="C979" s="5">
        <f>IF('Journal'!C491="","",'Journal'!C491)</f>
        <v/>
      </c>
      <c r="D979" s="5">
        <f>IF('Journal'!D491="","",IFERROR(LEFT('Journal'!D491,FIND(" ",'Journal'!D491)-1),'Journal'!D491))</f>
        <v/>
      </c>
      <c r="E979" s="5">
        <f>IF('Journal'!D491="","",IFERROR(INDEX('Kontoplan'!$B$3:$B$302,MATCH('Journal'!D491,'Kontoplan'!$H$3:$H$302,0)),""))</f>
        <v/>
      </c>
      <c r="F979" s="20">
        <f>IF('Journal'!G491="","",'Journal'!G491)</f>
        <v/>
      </c>
      <c r="G979" s="20">
        <f>IF('Journal'!F491="","",'Journal'!F491)</f>
        <v/>
      </c>
      <c r="H979" s="5">
        <f>IF('Journal'!I491="","",'Journal'!I491)</f>
        <v/>
      </c>
    </row>
    <row r="980">
      <c r="A980" s="18">
        <f>IF('Journal'!A491="","",'Journal'!A491)</f>
        <v/>
      </c>
      <c r="B980" s="21">
        <f>IF('Journal'!B491="","",'Journal'!B491)</f>
        <v/>
      </c>
      <c r="C980" s="5">
        <f>IF('Journal'!C491="","",'Journal'!C491)</f>
        <v/>
      </c>
      <c r="D980" s="5">
        <f>IF('Journal'!E491="","",IFERROR(LEFT('Journal'!E491,FIND(" ",'Journal'!E491)-1),'Journal'!E491))</f>
        <v/>
      </c>
      <c r="E980" s="5">
        <f>IF('Journal'!E491="","",IFERROR(INDEX('Kontoplan'!$B$3:$B$302,MATCH('Journal'!E491,'Kontoplan'!$H$3:$H$302,0)),""))</f>
        <v/>
      </c>
      <c r="F980" s="20">
        <f>IF('Journal'!F491="","",'Journal'!F491)</f>
        <v/>
      </c>
      <c r="G980" s="20">
        <f>IF('Journal'!G491="","",'Journal'!G491)</f>
        <v/>
      </c>
      <c r="H980" s="5">
        <f>IF('Journal'!I491="","",'Journal'!I491)</f>
        <v/>
      </c>
    </row>
    <row r="981">
      <c r="A981" s="18">
        <f>IF('Journal'!A492="","",'Journal'!A492)</f>
        <v/>
      </c>
      <c r="B981" s="21">
        <f>IF('Journal'!B492="","",'Journal'!B492)</f>
        <v/>
      </c>
      <c r="C981" s="5">
        <f>IF('Journal'!C492="","",'Journal'!C492)</f>
        <v/>
      </c>
      <c r="D981" s="5">
        <f>IF('Journal'!D492="","",IFERROR(LEFT('Journal'!D492,FIND(" ",'Journal'!D492)-1),'Journal'!D492))</f>
        <v/>
      </c>
      <c r="E981" s="5">
        <f>IF('Journal'!D492="","",IFERROR(INDEX('Kontoplan'!$B$3:$B$302,MATCH('Journal'!D492,'Kontoplan'!$H$3:$H$302,0)),""))</f>
        <v/>
      </c>
      <c r="F981" s="20">
        <f>IF('Journal'!G492="","",'Journal'!G492)</f>
        <v/>
      </c>
      <c r="G981" s="20">
        <f>IF('Journal'!F492="","",'Journal'!F492)</f>
        <v/>
      </c>
      <c r="H981" s="5">
        <f>IF('Journal'!I492="","",'Journal'!I492)</f>
        <v/>
      </c>
    </row>
    <row r="982">
      <c r="A982" s="18">
        <f>IF('Journal'!A492="","",'Journal'!A492)</f>
        <v/>
      </c>
      <c r="B982" s="21">
        <f>IF('Journal'!B492="","",'Journal'!B492)</f>
        <v/>
      </c>
      <c r="C982" s="5">
        <f>IF('Journal'!C492="","",'Journal'!C492)</f>
        <v/>
      </c>
      <c r="D982" s="5">
        <f>IF('Journal'!E492="","",IFERROR(LEFT('Journal'!E492,FIND(" ",'Journal'!E492)-1),'Journal'!E492))</f>
        <v/>
      </c>
      <c r="E982" s="5">
        <f>IF('Journal'!E492="","",IFERROR(INDEX('Kontoplan'!$B$3:$B$302,MATCH('Journal'!E492,'Kontoplan'!$H$3:$H$302,0)),""))</f>
        <v/>
      </c>
      <c r="F982" s="20">
        <f>IF('Journal'!F492="","",'Journal'!F492)</f>
        <v/>
      </c>
      <c r="G982" s="20">
        <f>IF('Journal'!G492="","",'Journal'!G492)</f>
        <v/>
      </c>
      <c r="H982" s="5">
        <f>IF('Journal'!I492="","",'Journal'!I492)</f>
        <v/>
      </c>
    </row>
    <row r="983">
      <c r="A983" s="18">
        <f>IF('Journal'!A493="","",'Journal'!A493)</f>
        <v/>
      </c>
      <c r="B983" s="21">
        <f>IF('Journal'!B493="","",'Journal'!B493)</f>
        <v/>
      </c>
      <c r="C983" s="5">
        <f>IF('Journal'!C493="","",'Journal'!C493)</f>
        <v/>
      </c>
      <c r="D983" s="5">
        <f>IF('Journal'!D493="","",IFERROR(LEFT('Journal'!D493,FIND(" ",'Journal'!D493)-1),'Journal'!D493))</f>
        <v/>
      </c>
      <c r="E983" s="5">
        <f>IF('Journal'!D493="","",IFERROR(INDEX('Kontoplan'!$B$3:$B$302,MATCH('Journal'!D493,'Kontoplan'!$H$3:$H$302,0)),""))</f>
        <v/>
      </c>
      <c r="F983" s="20">
        <f>IF('Journal'!G493="","",'Journal'!G493)</f>
        <v/>
      </c>
      <c r="G983" s="20">
        <f>IF('Journal'!F493="","",'Journal'!F493)</f>
        <v/>
      </c>
      <c r="H983" s="5">
        <f>IF('Journal'!I493="","",'Journal'!I493)</f>
        <v/>
      </c>
    </row>
    <row r="984">
      <c r="A984" s="18">
        <f>IF('Journal'!A493="","",'Journal'!A493)</f>
        <v/>
      </c>
      <c r="B984" s="21">
        <f>IF('Journal'!B493="","",'Journal'!B493)</f>
        <v/>
      </c>
      <c r="C984" s="5">
        <f>IF('Journal'!C493="","",'Journal'!C493)</f>
        <v/>
      </c>
      <c r="D984" s="5">
        <f>IF('Journal'!E493="","",IFERROR(LEFT('Journal'!E493,FIND(" ",'Journal'!E493)-1),'Journal'!E493))</f>
        <v/>
      </c>
      <c r="E984" s="5">
        <f>IF('Journal'!E493="","",IFERROR(INDEX('Kontoplan'!$B$3:$B$302,MATCH('Journal'!E493,'Kontoplan'!$H$3:$H$302,0)),""))</f>
        <v/>
      </c>
      <c r="F984" s="20">
        <f>IF('Journal'!F493="","",'Journal'!F493)</f>
        <v/>
      </c>
      <c r="G984" s="20">
        <f>IF('Journal'!G493="","",'Journal'!G493)</f>
        <v/>
      </c>
      <c r="H984" s="5">
        <f>IF('Journal'!I493="","",'Journal'!I493)</f>
        <v/>
      </c>
    </row>
    <row r="985">
      <c r="A985" s="18">
        <f>IF('Journal'!A494="","",'Journal'!A494)</f>
        <v/>
      </c>
      <c r="B985" s="21">
        <f>IF('Journal'!B494="","",'Journal'!B494)</f>
        <v/>
      </c>
      <c r="C985" s="5">
        <f>IF('Journal'!C494="","",'Journal'!C494)</f>
        <v/>
      </c>
      <c r="D985" s="5">
        <f>IF('Journal'!D494="","",IFERROR(LEFT('Journal'!D494,FIND(" ",'Journal'!D494)-1),'Journal'!D494))</f>
        <v/>
      </c>
      <c r="E985" s="5">
        <f>IF('Journal'!D494="","",IFERROR(INDEX('Kontoplan'!$B$3:$B$302,MATCH('Journal'!D494,'Kontoplan'!$H$3:$H$302,0)),""))</f>
        <v/>
      </c>
      <c r="F985" s="20">
        <f>IF('Journal'!G494="","",'Journal'!G494)</f>
        <v/>
      </c>
      <c r="G985" s="20">
        <f>IF('Journal'!F494="","",'Journal'!F494)</f>
        <v/>
      </c>
      <c r="H985" s="5">
        <f>IF('Journal'!I494="","",'Journal'!I494)</f>
        <v/>
      </c>
    </row>
    <row r="986">
      <c r="A986" s="18">
        <f>IF('Journal'!A494="","",'Journal'!A494)</f>
        <v/>
      </c>
      <c r="B986" s="21">
        <f>IF('Journal'!B494="","",'Journal'!B494)</f>
        <v/>
      </c>
      <c r="C986" s="5">
        <f>IF('Journal'!C494="","",'Journal'!C494)</f>
        <v/>
      </c>
      <c r="D986" s="5">
        <f>IF('Journal'!E494="","",IFERROR(LEFT('Journal'!E494,FIND(" ",'Journal'!E494)-1),'Journal'!E494))</f>
        <v/>
      </c>
      <c r="E986" s="5">
        <f>IF('Journal'!E494="","",IFERROR(INDEX('Kontoplan'!$B$3:$B$302,MATCH('Journal'!E494,'Kontoplan'!$H$3:$H$302,0)),""))</f>
        <v/>
      </c>
      <c r="F986" s="20">
        <f>IF('Journal'!F494="","",'Journal'!F494)</f>
        <v/>
      </c>
      <c r="G986" s="20">
        <f>IF('Journal'!G494="","",'Journal'!G494)</f>
        <v/>
      </c>
      <c r="H986" s="5">
        <f>IF('Journal'!I494="","",'Journal'!I494)</f>
        <v/>
      </c>
    </row>
    <row r="987">
      <c r="A987" s="18">
        <f>IF('Journal'!A495="","",'Journal'!A495)</f>
        <v/>
      </c>
      <c r="B987" s="21">
        <f>IF('Journal'!B495="","",'Journal'!B495)</f>
        <v/>
      </c>
      <c r="C987" s="5">
        <f>IF('Journal'!C495="","",'Journal'!C495)</f>
        <v/>
      </c>
      <c r="D987" s="5">
        <f>IF('Journal'!D495="","",IFERROR(LEFT('Journal'!D495,FIND(" ",'Journal'!D495)-1),'Journal'!D495))</f>
        <v/>
      </c>
      <c r="E987" s="5">
        <f>IF('Journal'!D495="","",IFERROR(INDEX('Kontoplan'!$B$3:$B$302,MATCH('Journal'!D495,'Kontoplan'!$H$3:$H$302,0)),""))</f>
        <v/>
      </c>
      <c r="F987" s="20">
        <f>IF('Journal'!G495="","",'Journal'!G495)</f>
        <v/>
      </c>
      <c r="G987" s="20">
        <f>IF('Journal'!F495="","",'Journal'!F495)</f>
        <v/>
      </c>
      <c r="H987" s="5">
        <f>IF('Journal'!I495="","",'Journal'!I495)</f>
        <v/>
      </c>
    </row>
    <row r="988">
      <c r="A988" s="18">
        <f>IF('Journal'!A495="","",'Journal'!A495)</f>
        <v/>
      </c>
      <c r="B988" s="21">
        <f>IF('Journal'!B495="","",'Journal'!B495)</f>
        <v/>
      </c>
      <c r="C988" s="5">
        <f>IF('Journal'!C495="","",'Journal'!C495)</f>
        <v/>
      </c>
      <c r="D988" s="5">
        <f>IF('Journal'!E495="","",IFERROR(LEFT('Journal'!E495,FIND(" ",'Journal'!E495)-1),'Journal'!E495))</f>
        <v/>
      </c>
      <c r="E988" s="5">
        <f>IF('Journal'!E495="","",IFERROR(INDEX('Kontoplan'!$B$3:$B$302,MATCH('Journal'!E495,'Kontoplan'!$H$3:$H$302,0)),""))</f>
        <v/>
      </c>
      <c r="F988" s="20">
        <f>IF('Journal'!F495="","",'Journal'!F495)</f>
        <v/>
      </c>
      <c r="G988" s="20">
        <f>IF('Journal'!G495="","",'Journal'!G495)</f>
        <v/>
      </c>
      <c r="H988" s="5">
        <f>IF('Journal'!I495="","",'Journal'!I495)</f>
        <v/>
      </c>
    </row>
    <row r="989">
      <c r="A989" s="18">
        <f>IF('Journal'!A496="","",'Journal'!A496)</f>
        <v/>
      </c>
      <c r="B989" s="21">
        <f>IF('Journal'!B496="","",'Journal'!B496)</f>
        <v/>
      </c>
      <c r="C989" s="5">
        <f>IF('Journal'!C496="","",'Journal'!C496)</f>
        <v/>
      </c>
      <c r="D989" s="5">
        <f>IF('Journal'!D496="","",IFERROR(LEFT('Journal'!D496,FIND(" ",'Journal'!D496)-1),'Journal'!D496))</f>
        <v/>
      </c>
      <c r="E989" s="5">
        <f>IF('Journal'!D496="","",IFERROR(INDEX('Kontoplan'!$B$3:$B$302,MATCH('Journal'!D496,'Kontoplan'!$H$3:$H$302,0)),""))</f>
        <v/>
      </c>
      <c r="F989" s="20">
        <f>IF('Journal'!G496="","",'Journal'!G496)</f>
        <v/>
      </c>
      <c r="G989" s="20">
        <f>IF('Journal'!F496="","",'Journal'!F496)</f>
        <v/>
      </c>
      <c r="H989" s="5">
        <f>IF('Journal'!I496="","",'Journal'!I496)</f>
        <v/>
      </c>
    </row>
    <row r="990">
      <c r="A990" s="18">
        <f>IF('Journal'!A496="","",'Journal'!A496)</f>
        <v/>
      </c>
      <c r="B990" s="21">
        <f>IF('Journal'!B496="","",'Journal'!B496)</f>
        <v/>
      </c>
      <c r="C990" s="5">
        <f>IF('Journal'!C496="","",'Journal'!C496)</f>
        <v/>
      </c>
      <c r="D990" s="5">
        <f>IF('Journal'!E496="","",IFERROR(LEFT('Journal'!E496,FIND(" ",'Journal'!E496)-1),'Journal'!E496))</f>
        <v/>
      </c>
      <c r="E990" s="5">
        <f>IF('Journal'!E496="","",IFERROR(INDEX('Kontoplan'!$B$3:$B$302,MATCH('Journal'!E496,'Kontoplan'!$H$3:$H$302,0)),""))</f>
        <v/>
      </c>
      <c r="F990" s="20">
        <f>IF('Journal'!F496="","",'Journal'!F496)</f>
        <v/>
      </c>
      <c r="G990" s="20">
        <f>IF('Journal'!G496="","",'Journal'!G496)</f>
        <v/>
      </c>
      <c r="H990" s="5">
        <f>IF('Journal'!I496="","",'Journal'!I496)</f>
        <v/>
      </c>
    </row>
    <row r="991">
      <c r="A991" s="18">
        <f>IF('Journal'!A497="","",'Journal'!A497)</f>
        <v/>
      </c>
      <c r="B991" s="21">
        <f>IF('Journal'!B497="","",'Journal'!B497)</f>
        <v/>
      </c>
      <c r="C991" s="5">
        <f>IF('Journal'!C497="","",'Journal'!C497)</f>
        <v/>
      </c>
      <c r="D991" s="5">
        <f>IF('Journal'!D497="","",IFERROR(LEFT('Journal'!D497,FIND(" ",'Journal'!D497)-1),'Journal'!D497))</f>
        <v/>
      </c>
      <c r="E991" s="5">
        <f>IF('Journal'!D497="","",IFERROR(INDEX('Kontoplan'!$B$3:$B$302,MATCH('Journal'!D497,'Kontoplan'!$H$3:$H$302,0)),""))</f>
        <v/>
      </c>
      <c r="F991" s="20">
        <f>IF('Journal'!G497="","",'Journal'!G497)</f>
        <v/>
      </c>
      <c r="G991" s="20">
        <f>IF('Journal'!F497="","",'Journal'!F497)</f>
        <v/>
      </c>
      <c r="H991" s="5">
        <f>IF('Journal'!I497="","",'Journal'!I497)</f>
        <v/>
      </c>
    </row>
    <row r="992">
      <c r="A992" s="18">
        <f>IF('Journal'!A497="","",'Journal'!A497)</f>
        <v/>
      </c>
      <c r="B992" s="21">
        <f>IF('Journal'!B497="","",'Journal'!B497)</f>
        <v/>
      </c>
      <c r="C992" s="5">
        <f>IF('Journal'!C497="","",'Journal'!C497)</f>
        <v/>
      </c>
      <c r="D992" s="5">
        <f>IF('Journal'!E497="","",IFERROR(LEFT('Journal'!E497,FIND(" ",'Journal'!E497)-1),'Journal'!E497))</f>
        <v/>
      </c>
      <c r="E992" s="5">
        <f>IF('Journal'!E497="","",IFERROR(INDEX('Kontoplan'!$B$3:$B$302,MATCH('Journal'!E497,'Kontoplan'!$H$3:$H$302,0)),""))</f>
        <v/>
      </c>
      <c r="F992" s="20">
        <f>IF('Journal'!F497="","",'Journal'!F497)</f>
        <v/>
      </c>
      <c r="G992" s="20">
        <f>IF('Journal'!G497="","",'Journal'!G497)</f>
        <v/>
      </c>
      <c r="H992" s="5">
        <f>IF('Journal'!I497="","",'Journal'!I497)</f>
        <v/>
      </c>
    </row>
    <row r="993">
      <c r="A993" s="18">
        <f>IF('Journal'!A498="","",'Journal'!A498)</f>
        <v/>
      </c>
      <c r="B993" s="21">
        <f>IF('Journal'!B498="","",'Journal'!B498)</f>
        <v/>
      </c>
      <c r="C993" s="5">
        <f>IF('Journal'!C498="","",'Journal'!C498)</f>
        <v/>
      </c>
      <c r="D993" s="5">
        <f>IF('Journal'!D498="","",IFERROR(LEFT('Journal'!D498,FIND(" ",'Journal'!D498)-1),'Journal'!D498))</f>
        <v/>
      </c>
      <c r="E993" s="5">
        <f>IF('Journal'!D498="","",IFERROR(INDEX('Kontoplan'!$B$3:$B$302,MATCH('Journal'!D498,'Kontoplan'!$H$3:$H$302,0)),""))</f>
        <v/>
      </c>
      <c r="F993" s="20">
        <f>IF('Journal'!G498="","",'Journal'!G498)</f>
        <v/>
      </c>
      <c r="G993" s="20">
        <f>IF('Journal'!F498="","",'Journal'!F498)</f>
        <v/>
      </c>
      <c r="H993" s="5">
        <f>IF('Journal'!I498="","",'Journal'!I498)</f>
        <v/>
      </c>
    </row>
    <row r="994">
      <c r="A994" s="18">
        <f>IF('Journal'!A498="","",'Journal'!A498)</f>
        <v/>
      </c>
      <c r="B994" s="21">
        <f>IF('Journal'!B498="","",'Journal'!B498)</f>
        <v/>
      </c>
      <c r="C994" s="5">
        <f>IF('Journal'!C498="","",'Journal'!C498)</f>
        <v/>
      </c>
      <c r="D994" s="5">
        <f>IF('Journal'!E498="","",IFERROR(LEFT('Journal'!E498,FIND(" ",'Journal'!E498)-1),'Journal'!E498))</f>
        <v/>
      </c>
      <c r="E994" s="5">
        <f>IF('Journal'!E498="","",IFERROR(INDEX('Kontoplan'!$B$3:$B$302,MATCH('Journal'!E498,'Kontoplan'!$H$3:$H$302,0)),""))</f>
        <v/>
      </c>
      <c r="F994" s="20">
        <f>IF('Journal'!F498="","",'Journal'!F498)</f>
        <v/>
      </c>
      <c r="G994" s="20">
        <f>IF('Journal'!G498="","",'Journal'!G498)</f>
        <v/>
      </c>
      <c r="H994" s="5">
        <f>IF('Journal'!I498="","",'Journal'!I498)</f>
        <v/>
      </c>
    </row>
    <row r="995">
      <c r="A995" s="18">
        <f>IF('Journal'!A499="","",'Journal'!A499)</f>
        <v/>
      </c>
      <c r="B995" s="21">
        <f>IF('Journal'!B499="","",'Journal'!B499)</f>
        <v/>
      </c>
      <c r="C995" s="5">
        <f>IF('Journal'!C499="","",'Journal'!C499)</f>
        <v/>
      </c>
      <c r="D995" s="5">
        <f>IF('Journal'!D499="","",IFERROR(LEFT('Journal'!D499,FIND(" ",'Journal'!D499)-1),'Journal'!D499))</f>
        <v/>
      </c>
      <c r="E995" s="5">
        <f>IF('Journal'!D499="","",IFERROR(INDEX('Kontoplan'!$B$3:$B$302,MATCH('Journal'!D499,'Kontoplan'!$H$3:$H$302,0)),""))</f>
        <v/>
      </c>
      <c r="F995" s="20">
        <f>IF('Journal'!G499="","",'Journal'!G499)</f>
        <v/>
      </c>
      <c r="G995" s="20">
        <f>IF('Journal'!F499="","",'Journal'!F499)</f>
        <v/>
      </c>
      <c r="H995" s="5">
        <f>IF('Journal'!I499="","",'Journal'!I499)</f>
        <v/>
      </c>
    </row>
    <row r="996">
      <c r="A996" s="18">
        <f>IF('Journal'!A499="","",'Journal'!A499)</f>
        <v/>
      </c>
      <c r="B996" s="21">
        <f>IF('Journal'!B499="","",'Journal'!B499)</f>
        <v/>
      </c>
      <c r="C996" s="5">
        <f>IF('Journal'!C499="","",'Journal'!C499)</f>
        <v/>
      </c>
      <c r="D996" s="5">
        <f>IF('Journal'!E499="","",IFERROR(LEFT('Journal'!E499,FIND(" ",'Journal'!E499)-1),'Journal'!E499))</f>
        <v/>
      </c>
      <c r="E996" s="5">
        <f>IF('Journal'!E499="","",IFERROR(INDEX('Kontoplan'!$B$3:$B$302,MATCH('Journal'!E499,'Kontoplan'!$H$3:$H$302,0)),""))</f>
        <v/>
      </c>
      <c r="F996" s="20">
        <f>IF('Journal'!F499="","",'Journal'!F499)</f>
        <v/>
      </c>
      <c r="G996" s="20">
        <f>IF('Journal'!G499="","",'Journal'!G499)</f>
        <v/>
      </c>
      <c r="H996" s="5">
        <f>IF('Journal'!I499="","",'Journal'!I499)</f>
        <v/>
      </c>
    </row>
    <row r="997">
      <c r="A997" s="18">
        <f>IF('Journal'!A500="","",'Journal'!A500)</f>
        <v/>
      </c>
      <c r="B997" s="21">
        <f>IF('Journal'!B500="","",'Journal'!B500)</f>
        <v/>
      </c>
      <c r="C997" s="5">
        <f>IF('Journal'!C500="","",'Journal'!C500)</f>
        <v/>
      </c>
      <c r="D997" s="5">
        <f>IF('Journal'!D500="","",IFERROR(LEFT('Journal'!D500,FIND(" ",'Journal'!D500)-1),'Journal'!D500))</f>
        <v/>
      </c>
      <c r="E997" s="5">
        <f>IF('Journal'!D500="","",IFERROR(INDEX('Kontoplan'!$B$3:$B$302,MATCH('Journal'!D500,'Kontoplan'!$H$3:$H$302,0)),""))</f>
        <v/>
      </c>
      <c r="F997" s="20">
        <f>IF('Journal'!G500="","",'Journal'!G500)</f>
        <v/>
      </c>
      <c r="G997" s="20">
        <f>IF('Journal'!F500="","",'Journal'!F500)</f>
        <v/>
      </c>
      <c r="H997" s="5">
        <f>IF('Journal'!I500="","",'Journal'!I500)</f>
        <v/>
      </c>
    </row>
    <row r="998">
      <c r="A998" s="18">
        <f>IF('Journal'!A500="","",'Journal'!A500)</f>
        <v/>
      </c>
      <c r="B998" s="21">
        <f>IF('Journal'!B500="","",'Journal'!B500)</f>
        <v/>
      </c>
      <c r="C998" s="5">
        <f>IF('Journal'!C500="","",'Journal'!C500)</f>
        <v/>
      </c>
      <c r="D998" s="5">
        <f>IF('Journal'!E500="","",IFERROR(LEFT('Journal'!E500,FIND(" ",'Journal'!E500)-1),'Journal'!E500))</f>
        <v/>
      </c>
      <c r="E998" s="5">
        <f>IF('Journal'!E500="","",IFERROR(INDEX('Kontoplan'!$B$3:$B$302,MATCH('Journal'!E500,'Kontoplan'!$H$3:$H$302,0)),""))</f>
        <v/>
      </c>
      <c r="F998" s="20">
        <f>IF('Journal'!F500="","",'Journal'!F500)</f>
        <v/>
      </c>
      <c r="G998" s="20">
        <f>IF('Journal'!G500="","",'Journal'!G500)</f>
        <v/>
      </c>
      <c r="H998" s="5">
        <f>IF('Journal'!I500="","",'Journal'!I500)</f>
        <v/>
      </c>
    </row>
    <row r="999">
      <c r="A999" s="18">
        <f>IF('Journal'!A501="","",'Journal'!A501)</f>
        <v/>
      </c>
      <c r="B999" s="21">
        <f>IF('Journal'!B501="","",'Journal'!B501)</f>
        <v/>
      </c>
      <c r="C999" s="5">
        <f>IF('Journal'!C501="","",'Journal'!C501)</f>
        <v/>
      </c>
      <c r="D999" s="5">
        <f>IF('Journal'!D501="","",IFERROR(LEFT('Journal'!D501,FIND(" ",'Journal'!D501)-1),'Journal'!D501))</f>
        <v/>
      </c>
      <c r="E999" s="5">
        <f>IF('Journal'!D501="","",IFERROR(INDEX('Kontoplan'!$B$3:$B$302,MATCH('Journal'!D501,'Kontoplan'!$H$3:$H$302,0)),""))</f>
        <v/>
      </c>
      <c r="F999" s="20">
        <f>IF('Journal'!G501="","",'Journal'!G501)</f>
        <v/>
      </c>
      <c r="G999" s="20">
        <f>IF('Journal'!F501="","",'Journal'!F501)</f>
        <v/>
      </c>
      <c r="H999" s="5">
        <f>IF('Journal'!I501="","",'Journal'!I501)</f>
        <v/>
      </c>
    </row>
    <row r="1000">
      <c r="A1000" s="18">
        <f>IF('Journal'!A501="","",'Journal'!A501)</f>
        <v/>
      </c>
      <c r="B1000" s="21">
        <f>IF('Journal'!B501="","",'Journal'!B501)</f>
        <v/>
      </c>
      <c r="C1000" s="5">
        <f>IF('Journal'!C501="","",'Journal'!C501)</f>
        <v/>
      </c>
      <c r="D1000" s="5">
        <f>IF('Journal'!E501="","",IFERROR(LEFT('Journal'!E501,FIND(" ",'Journal'!E501)-1),'Journal'!E501))</f>
        <v/>
      </c>
      <c r="E1000" s="5">
        <f>IF('Journal'!E501="","",IFERROR(INDEX('Kontoplan'!$B$3:$B$302,MATCH('Journal'!E501,'Kontoplan'!$H$3:$H$302,0)),""))</f>
        <v/>
      </c>
      <c r="F1000" s="20">
        <f>IF('Journal'!F501="","",'Journal'!F501)</f>
        <v/>
      </c>
      <c r="G1000" s="20">
        <f>IF('Journal'!G501="","",'Journal'!G501)</f>
        <v/>
      </c>
      <c r="H1000" s="5">
        <f>IF('Journal'!I501="","",'Journal'!I501)</f>
        <v/>
      </c>
    </row>
    <row r="1001">
      <c r="A1001" s="18">
        <f>IF('Journal'!A502="","",'Journal'!A502)</f>
        <v/>
      </c>
      <c r="B1001" s="21">
        <f>IF('Journal'!B502="","",'Journal'!B502)</f>
        <v/>
      </c>
      <c r="C1001" s="5">
        <f>IF('Journal'!C502="","",'Journal'!C502)</f>
        <v/>
      </c>
      <c r="D1001" s="5">
        <f>IF('Journal'!D502="","",IFERROR(LEFT('Journal'!D502,FIND(" ",'Journal'!D502)-1),'Journal'!D502))</f>
        <v/>
      </c>
      <c r="E1001" s="5">
        <f>IF('Journal'!D502="","",IFERROR(INDEX('Kontoplan'!$B$3:$B$302,MATCH('Journal'!D502,'Kontoplan'!$H$3:$H$302,0)),""))</f>
        <v/>
      </c>
      <c r="F1001" s="20">
        <f>IF('Journal'!G502="","",'Journal'!G502)</f>
        <v/>
      </c>
      <c r="G1001" s="20">
        <f>IF('Journal'!F502="","",'Journal'!F502)</f>
        <v/>
      </c>
      <c r="H1001" s="5">
        <f>IF('Journal'!I502="","",'Journal'!I502)</f>
        <v/>
      </c>
    </row>
    <row r="1002">
      <c r="A1002" s="18">
        <f>IF('Journal'!A502="","",'Journal'!A502)</f>
        <v/>
      </c>
      <c r="B1002" s="21">
        <f>IF('Journal'!B502="","",'Journal'!B502)</f>
        <v/>
      </c>
      <c r="C1002" s="5">
        <f>IF('Journal'!C502="","",'Journal'!C502)</f>
        <v/>
      </c>
      <c r="D1002" s="5">
        <f>IF('Journal'!E502="","",IFERROR(LEFT('Journal'!E502,FIND(" ",'Journal'!E502)-1),'Journal'!E502))</f>
        <v/>
      </c>
      <c r="E1002" s="5">
        <f>IF('Journal'!E502="","",IFERROR(INDEX('Kontoplan'!$B$3:$B$302,MATCH('Journal'!E502,'Kontoplan'!$H$3:$H$302,0)),""))</f>
        <v/>
      </c>
      <c r="F1002" s="20">
        <f>IF('Journal'!F502="","",'Journal'!F502)</f>
        <v/>
      </c>
      <c r="G1002" s="20">
        <f>IF('Journal'!G502="","",'Journal'!G502)</f>
        <v/>
      </c>
      <c r="H1002" s="5">
        <f>IF('Journal'!I502="","",'Journal'!I502)</f>
        <v/>
      </c>
    </row>
    <row r="1003">
      <c r="A1003" s="18">
        <f>IF('Journal'!A503="","",'Journal'!A503)</f>
        <v/>
      </c>
      <c r="B1003" s="21">
        <f>IF('Journal'!B503="","",'Journal'!B503)</f>
        <v/>
      </c>
      <c r="C1003" s="5">
        <f>IF('Journal'!C503="","",'Journal'!C503)</f>
        <v/>
      </c>
      <c r="D1003" s="5">
        <f>IF('Journal'!D503="","",IFERROR(LEFT('Journal'!D503,FIND(" ",'Journal'!D503)-1),'Journal'!D503))</f>
        <v/>
      </c>
      <c r="E1003" s="5">
        <f>IF('Journal'!D503="","",IFERROR(INDEX('Kontoplan'!$B$3:$B$302,MATCH('Journal'!D503,'Kontoplan'!$H$3:$H$302,0)),""))</f>
        <v/>
      </c>
      <c r="F1003" s="20">
        <f>IF('Journal'!G503="","",'Journal'!G503)</f>
        <v/>
      </c>
      <c r="G1003" s="20">
        <f>IF('Journal'!F503="","",'Journal'!F503)</f>
        <v/>
      </c>
      <c r="H1003" s="5">
        <f>IF('Journal'!I503="","",'Journal'!I503)</f>
        <v/>
      </c>
    </row>
    <row r="1004">
      <c r="A1004" s="18">
        <f>IF('Journal'!A503="","",'Journal'!A503)</f>
        <v/>
      </c>
      <c r="B1004" s="21">
        <f>IF('Journal'!B503="","",'Journal'!B503)</f>
        <v/>
      </c>
      <c r="C1004" s="5">
        <f>IF('Journal'!C503="","",'Journal'!C503)</f>
        <v/>
      </c>
      <c r="D1004" s="5">
        <f>IF('Journal'!E503="","",IFERROR(LEFT('Journal'!E503,FIND(" ",'Journal'!E503)-1),'Journal'!E503))</f>
        <v/>
      </c>
      <c r="E1004" s="5">
        <f>IF('Journal'!E503="","",IFERROR(INDEX('Kontoplan'!$B$3:$B$302,MATCH('Journal'!E503,'Kontoplan'!$H$3:$H$302,0)),""))</f>
        <v/>
      </c>
      <c r="F1004" s="20">
        <f>IF('Journal'!F503="","",'Journal'!F503)</f>
        <v/>
      </c>
      <c r="G1004" s="20">
        <f>IF('Journal'!G503="","",'Journal'!G503)</f>
        <v/>
      </c>
      <c r="H1004" s="5">
        <f>IF('Journal'!I503="","",'Journal'!I503)</f>
        <v/>
      </c>
    </row>
    <row r="1005">
      <c r="A1005" s="18">
        <f>IF('Journal'!A504="","",'Journal'!A504)</f>
        <v/>
      </c>
      <c r="B1005" s="21">
        <f>IF('Journal'!B504="","",'Journal'!B504)</f>
        <v/>
      </c>
      <c r="C1005" s="5">
        <f>IF('Journal'!C504="","",'Journal'!C504)</f>
        <v/>
      </c>
      <c r="D1005" s="5">
        <f>IF('Journal'!D504="","",IFERROR(LEFT('Journal'!D504,FIND(" ",'Journal'!D504)-1),'Journal'!D504))</f>
        <v/>
      </c>
      <c r="E1005" s="5">
        <f>IF('Journal'!D504="","",IFERROR(INDEX('Kontoplan'!$B$3:$B$302,MATCH('Journal'!D504,'Kontoplan'!$H$3:$H$302,0)),""))</f>
        <v/>
      </c>
      <c r="F1005" s="20">
        <f>IF('Journal'!G504="","",'Journal'!G504)</f>
        <v/>
      </c>
      <c r="G1005" s="20">
        <f>IF('Journal'!F504="","",'Journal'!F504)</f>
        <v/>
      </c>
      <c r="H1005" s="5">
        <f>IF('Journal'!I504="","",'Journal'!I504)</f>
        <v/>
      </c>
    </row>
    <row r="1006">
      <c r="A1006" s="18">
        <f>IF('Journal'!A504="","",'Journal'!A504)</f>
        <v/>
      </c>
      <c r="B1006" s="21">
        <f>IF('Journal'!B504="","",'Journal'!B504)</f>
        <v/>
      </c>
      <c r="C1006" s="5">
        <f>IF('Journal'!C504="","",'Journal'!C504)</f>
        <v/>
      </c>
      <c r="D1006" s="5">
        <f>IF('Journal'!E504="","",IFERROR(LEFT('Journal'!E504,FIND(" ",'Journal'!E504)-1),'Journal'!E504))</f>
        <v/>
      </c>
      <c r="E1006" s="5">
        <f>IF('Journal'!E504="","",IFERROR(INDEX('Kontoplan'!$B$3:$B$302,MATCH('Journal'!E504,'Kontoplan'!$H$3:$H$302,0)),""))</f>
        <v/>
      </c>
      <c r="F1006" s="20">
        <f>IF('Journal'!F504="","",'Journal'!F504)</f>
        <v/>
      </c>
      <c r="G1006" s="20">
        <f>IF('Journal'!G504="","",'Journal'!G504)</f>
        <v/>
      </c>
      <c r="H1006" s="5">
        <f>IF('Journal'!I504="","",'Journal'!I504)</f>
        <v/>
      </c>
    </row>
    <row r="1007">
      <c r="A1007" s="18">
        <f>IF('Journal'!A505="","",'Journal'!A505)</f>
        <v/>
      </c>
      <c r="B1007" s="21">
        <f>IF('Journal'!B505="","",'Journal'!B505)</f>
        <v/>
      </c>
      <c r="C1007" s="5">
        <f>IF('Journal'!C505="","",'Journal'!C505)</f>
        <v/>
      </c>
      <c r="D1007" s="5">
        <f>IF('Journal'!D505="","",IFERROR(LEFT('Journal'!D505,FIND(" ",'Journal'!D505)-1),'Journal'!D505))</f>
        <v/>
      </c>
      <c r="E1007" s="5">
        <f>IF('Journal'!D505="","",IFERROR(INDEX('Kontoplan'!$B$3:$B$302,MATCH('Journal'!D505,'Kontoplan'!$H$3:$H$302,0)),""))</f>
        <v/>
      </c>
      <c r="F1007" s="20">
        <f>IF('Journal'!G505="","",'Journal'!G505)</f>
        <v/>
      </c>
      <c r="G1007" s="20">
        <f>IF('Journal'!F505="","",'Journal'!F505)</f>
        <v/>
      </c>
      <c r="H1007" s="5">
        <f>IF('Journal'!I505="","",'Journal'!I505)</f>
        <v/>
      </c>
    </row>
    <row r="1008">
      <c r="A1008" s="18">
        <f>IF('Journal'!A505="","",'Journal'!A505)</f>
        <v/>
      </c>
      <c r="B1008" s="21">
        <f>IF('Journal'!B505="","",'Journal'!B505)</f>
        <v/>
      </c>
      <c r="C1008" s="5">
        <f>IF('Journal'!C505="","",'Journal'!C505)</f>
        <v/>
      </c>
      <c r="D1008" s="5">
        <f>IF('Journal'!E505="","",IFERROR(LEFT('Journal'!E505,FIND(" ",'Journal'!E505)-1),'Journal'!E505))</f>
        <v/>
      </c>
      <c r="E1008" s="5">
        <f>IF('Journal'!E505="","",IFERROR(INDEX('Kontoplan'!$B$3:$B$302,MATCH('Journal'!E505,'Kontoplan'!$H$3:$H$302,0)),""))</f>
        <v/>
      </c>
      <c r="F1008" s="20">
        <f>IF('Journal'!F505="","",'Journal'!F505)</f>
        <v/>
      </c>
      <c r="G1008" s="20">
        <f>IF('Journal'!G505="","",'Journal'!G505)</f>
        <v/>
      </c>
      <c r="H1008" s="5">
        <f>IF('Journal'!I505="","",'Journal'!I505)</f>
        <v/>
      </c>
    </row>
    <row r="1009">
      <c r="A1009" s="18">
        <f>IF('Journal'!A506="","",'Journal'!A506)</f>
        <v/>
      </c>
      <c r="B1009" s="21">
        <f>IF('Journal'!B506="","",'Journal'!B506)</f>
        <v/>
      </c>
      <c r="C1009" s="5">
        <f>IF('Journal'!C506="","",'Journal'!C506)</f>
        <v/>
      </c>
      <c r="D1009" s="5">
        <f>IF('Journal'!D506="","",IFERROR(LEFT('Journal'!D506,FIND(" ",'Journal'!D506)-1),'Journal'!D506))</f>
        <v/>
      </c>
      <c r="E1009" s="5">
        <f>IF('Journal'!D506="","",IFERROR(INDEX('Kontoplan'!$B$3:$B$302,MATCH('Journal'!D506,'Kontoplan'!$H$3:$H$302,0)),""))</f>
        <v/>
      </c>
      <c r="F1009" s="20">
        <f>IF('Journal'!G506="","",'Journal'!G506)</f>
        <v/>
      </c>
      <c r="G1009" s="20">
        <f>IF('Journal'!F506="","",'Journal'!F506)</f>
        <v/>
      </c>
      <c r="H1009" s="5">
        <f>IF('Journal'!I506="","",'Journal'!I506)</f>
        <v/>
      </c>
    </row>
    <row r="1010">
      <c r="A1010" s="18">
        <f>IF('Journal'!A506="","",'Journal'!A506)</f>
        <v/>
      </c>
      <c r="B1010" s="21">
        <f>IF('Journal'!B506="","",'Journal'!B506)</f>
        <v/>
      </c>
      <c r="C1010" s="5">
        <f>IF('Journal'!C506="","",'Journal'!C506)</f>
        <v/>
      </c>
      <c r="D1010" s="5">
        <f>IF('Journal'!E506="","",IFERROR(LEFT('Journal'!E506,FIND(" ",'Journal'!E506)-1),'Journal'!E506))</f>
        <v/>
      </c>
      <c r="E1010" s="5">
        <f>IF('Journal'!E506="","",IFERROR(INDEX('Kontoplan'!$B$3:$B$302,MATCH('Journal'!E506,'Kontoplan'!$H$3:$H$302,0)),""))</f>
        <v/>
      </c>
      <c r="F1010" s="20">
        <f>IF('Journal'!F506="","",'Journal'!F506)</f>
        <v/>
      </c>
      <c r="G1010" s="20">
        <f>IF('Journal'!G506="","",'Journal'!G506)</f>
        <v/>
      </c>
      <c r="H1010" s="5">
        <f>IF('Journal'!I506="","",'Journal'!I506)</f>
        <v/>
      </c>
    </row>
    <row r="1011">
      <c r="A1011" s="18">
        <f>IF('Journal'!A507="","",'Journal'!A507)</f>
        <v/>
      </c>
      <c r="B1011" s="21">
        <f>IF('Journal'!B507="","",'Journal'!B507)</f>
        <v/>
      </c>
      <c r="C1011" s="5">
        <f>IF('Journal'!C507="","",'Journal'!C507)</f>
        <v/>
      </c>
      <c r="D1011" s="5">
        <f>IF('Journal'!D507="","",IFERROR(LEFT('Journal'!D507,FIND(" ",'Journal'!D507)-1),'Journal'!D507))</f>
        <v/>
      </c>
      <c r="E1011" s="5">
        <f>IF('Journal'!D507="","",IFERROR(INDEX('Kontoplan'!$B$3:$B$302,MATCH('Journal'!D507,'Kontoplan'!$H$3:$H$302,0)),""))</f>
        <v/>
      </c>
      <c r="F1011" s="20">
        <f>IF('Journal'!G507="","",'Journal'!G507)</f>
        <v/>
      </c>
      <c r="G1011" s="20">
        <f>IF('Journal'!F507="","",'Journal'!F507)</f>
        <v/>
      </c>
      <c r="H1011" s="5">
        <f>IF('Journal'!I507="","",'Journal'!I507)</f>
        <v/>
      </c>
    </row>
    <row r="1012">
      <c r="A1012" s="18">
        <f>IF('Journal'!A507="","",'Journal'!A507)</f>
        <v/>
      </c>
      <c r="B1012" s="21">
        <f>IF('Journal'!B507="","",'Journal'!B507)</f>
        <v/>
      </c>
      <c r="C1012" s="5">
        <f>IF('Journal'!C507="","",'Journal'!C507)</f>
        <v/>
      </c>
      <c r="D1012" s="5">
        <f>IF('Journal'!E507="","",IFERROR(LEFT('Journal'!E507,FIND(" ",'Journal'!E507)-1),'Journal'!E507))</f>
        <v/>
      </c>
      <c r="E1012" s="5">
        <f>IF('Journal'!E507="","",IFERROR(INDEX('Kontoplan'!$B$3:$B$302,MATCH('Journal'!E507,'Kontoplan'!$H$3:$H$302,0)),""))</f>
        <v/>
      </c>
      <c r="F1012" s="20">
        <f>IF('Journal'!F507="","",'Journal'!F507)</f>
        <v/>
      </c>
      <c r="G1012" s="20">
        <f>IF('Journal'!G507="","",'Journal'!G507)</f>
        <v/>
      </c>
      <c r="H1012" s="5">
        <f>IF('Journal'!I507="","",'Journal'!I507)</f>
        <v/>
      </c>
    </row>
    <row r="1013">
      <c r="A1013" s="18">
        <f>IF('Journal'!A508="","",'Journal'!A508)</f>
        <v/>
      </c>
      <c r="B1013" s="21">
        <f>IF('Journal'!B508="","",'Journal'!B508)</f>
        <v/>
      </c>
      <c r="C1013" s="5">
        <f>IF('Journal'!C508="","",'Journal'!C508)</f>
        <v/>
      </c>
      <c r="D1013" s="5">
        <f>IF('Journal'!D508="","",IFERROR(LEFT('Journal'!D508,FIND(" ",'Journal'!D508)-1),'Journal'!D508))</f>
        <v/>
      </c>
      <c r="E1013" s="5">
        <f>IF('Journal'!D508="","",IFERROR(INDEX('Kontoplan'!$B$3:$B$302,MATCH('Journal'!D508,'Kontoplan'!$H$3:$H$302,0)),""))</f>
        <v/>
      </c>
      <c r="F1013" s="20">
        <f>IF('Journal'!G508="","",'Journal'!G508)</f>
        <v/>
      </c>
      <c r="G1013" s="20">
        <f>IF('Journal'!F508="","",'Journal'!F508)</f>
        <v/>
      </c>
      <c r="H1013" s="5">
        <f>IF('Journal'!I508="","",'Journal'!I508)</f>
        <v/>
      </c>
    </row>
    <row r="1014">
      <c r="A1014" s="18">
        <f>IF('Journal'!A508="","",'Journal'!A508)</f>
        <v/>
      </c>
      <c r="B1014" s="21">
        <f>IF('Journal'!B508="","",'Journal'!B508)</f>
        <v/>
      </c>
      <c r="C1014" s="5">
        <f>IF('Journal'!C508="","",'Journal'!C508)</f>
        <v/>
      </c>
      <c r="D1014" s="5">
        <f>IF('Journal'!E508="","",IFERROR(LEFT('Journal'!E508,FIND(" ",'Journal'!E508)-1),'Journal'!E508))</f>
        <v/>
      </c>
      <c r="E1014" s="5">
        <f>IF('Journal'!E508="","",IFERROR(INDEX('Kontoplan'!$B$3:$B$302,MATCH('Journal'!E508,'Kontoplan'!$H$3:$H$302,0)),""))</f>
        <v/>
      </c>
      <c r="F1014" s="20">
        <f>IF('Journal'!F508="","",'Journal'!F508)</f>
        <v/>
      </c>
      <c r="G1014" s="20">
        <f>IF('Journal'!G508="","",'Journal'!G508)</f>
        <v/>
      </c>
      <c r="H1014" s="5">
        <f>IF('Journal'!I508="","",'Journal'!I508)</f>
        <v/>
      </c>
    </row>
    <row r="1015">
      <c r="A1015" s="18">
        <f>IF('Journal'!A509="","",'Journal'!A509)</f>
        <v/>
      </c>
      <c r="B1015" s="21">
        <f>IF('Journal'!B509="","",'Journal'!B509)</f>
        <v/>
      </c>
      <c r="C1015" s="5">
        <f>IF('Journal'!C509="","",'Journal'!C509)</f>
        <v/>
      </c>
      <c r="D1015" s="5">
        <f>IF('Journal'!D509="","",IFERROR(LEFT('Journal'!D509,FIND(" ",'Journal'!D509)-1),'Journal'!D509))</f>
        <v/>
      </c>
      <c r="E1015" s="5">
        <f>IF('Journal'!D509="","",IFERROR(INDEX('Kontoplan'!$B$3:$B$302,MATCH('Journal'!D509,'Kontoplan'!$H$3:$H$302,0)),""))</f>
        <v/>
      </c>
      <c r="F1015" s="20">
        <f>IF('Journal'!G509="","",'Journal'!G509)</f>
        <v/>
      </c>
      <c r="G1015" s="20">
        <f>IF('Journal'!F509="","",'Journal'!F509)</f>
        <v/>
      </c>
      <c r="H1015" s="5">
        <f>IF('Journal'!I509="","",'Journal'!I509)</f>
        <v/>
      </c>
    </row>
    <row r="1016">
      <c r="A1016" s="18">
        <f>IF('Journal'!A509="","",'Journal'!A509)</f>
        <v/>
      </c>
      <c r="B1016" s="21">
        <f>IF('Journal'!B509="","",'Journal'!B509)</f>
        <v/>
      </c>
      <c r="C1016" s="5">
        <f>IF('Journal'!C509="","",'Journal'!C509)</f>
        <v/>
      </c>
      <c r="D1016" s="5">
        <f>IF('Journal'!E509="","",IFERROR(LEFT('Journal'!E509,FIND(" ",'Journal'!E509)-1),'Journal'!E509))</f>
        <v/>
      </c>
      <c r="E1016" s="5">
        <f>IF('Journal'!E509="","",IFERROR(INDEX('Kontoplan'!$B$3:$B$302,MATCH('Journal'!E509,'Kontoplan'!$H$3:$H$302,0)),""))</f>
        <v/>
      </c>
      <c r="F1016" s="20">
        <f>IF('Journal'!F509="","",'Journal'!F509)</f>
        <v/>
      </c>
      <c r="G1016" s="20">
        <f>IF('Journal'!G509="","",'Journal'!G509)</f>
        <v/>
      </c>
      <c r="H1016" s="5">
        <f>IF('Journal'!I509="","",'Journal'!I509)</f>
        <v/>
      </c>
    </row>
    <row r="1017">
      <c r="A1017" s="18">
        <f>IF('Journal'!A510="","",'Journal'!A510)</f>
        <v/>
      </c>
      <c r="B1017" s="21">
        <f>IF('Journal'!B510="","",'Journal'!B510)</f>
        <v/>
      </c>
      <c r="C1017" s="5">
        <f>IF('Journal'!C510="","",'Journal'!C510)</f>
        <v/>
      </c>
      <c r="D1017" s="5">
        <f>IF('Journal'!D510="","",IFERROR(LEFT('Journal'!D510,FIND(" ",'Journal'!D510)-1),'Journal'!D510))</f>
        <v/>
      </c>
      <c r="E1017" s="5">
        <f>IF('Journal'!D510="","",IFERROR(INDEX('Kontoplan'!$B$3:$B$302,MATCH('Journal'!D510,'Kontoplan'!$H$3:$H$302,0)),""))</f>
        <v/>
      </c>
      <c r="F1017" s="20">
        <f>IF('Journal'!G510="","",'Journal'!G510)</f>
        <v/>
      </c>
      <c r="G1017" s="20">
        <f>IF('Journal'!F510="","",'Journal'!F510)</f>
        <v/>
      </c>
      <c r="H1017" s="5">
        <f>IF('Journal'!I510="","",'Journal'!I510)</f>
        <v/>
      </c>
    </row>
    <row r="1018">
      <c r="A1018" s="18">
        <f>IF('Journal'!A510="","",'Journal'!A510)</f>
        <v/>
      </c>
      <c r="B1018" s="21">
        <f>IF('Journal'!B510="","",'Journal'!B510)</f>
        <v/>
      </c>
      <c r="C1018" s="5">
        <f>IF('Journal'!C510="","",'Journal'!C510)</f>
        <v/>
      </c>
      <c r="D1018" s="5">
        <f>IF('Journal'!E510="","",IFERROR(LEFT('Journal'!E510,FIND(" ",'Journal'!E510)-1),'Journal'!E510))</f>
        <v/>
      </c>
      <c r="E1018" s="5">
        <f>IF('Journal'!E510="","",IFERROR(INDEX('Kontoplan'!$B$3:$B$302,MATCH('Journal'!E510,'Kontoplan'!$H$3:$H$302,0)),""))</f>
        <v/>
      </c>
      <c r="F1018" s="20">
        <f>IF('Journal'!F510="","",'Journal'!F510)</f>
        <v/>
      </c>
      <c r="G1018" s="20">
        <f>IF('Journal'!G510="","",'Journal'!G510)</f>
        <v/>
      </c>
      <c r="H1018" s="5">
        <f>IF('Journal'!I510="","",'Journal'!I510)</f>
        <v/>
      </c>
    </row>
    <row r="1019">
      <c r="A1019" s="18">
        <f>IF('Journal'!A511="","",'Journal'!A511)</f>
        <v/>
      </c>
      <c r="B1019" s="21">
        <f>IF('Journal'!B511="","",'Journal'!B511)</f>
        <v/>
      </c>
      <c r="C1019" s="5">
        <f>IF('Journal'!C511="","",'Journal'!C511)</f>
        <v/>
      </c>
      <c r="D1019" s="5">
        <f>IF('Journal'!D511="","",IFERROR(LEFT('Journal'!D511,FIND(" ",'Journal'!D511)-1),'Journal'!D511))</f>
        <v/>
      </c>
      <c r="E1019" s="5">
        <f>IF('Journal'!D511="","",IFERROR(INDEX('Kontoplan'!$B$3:$B$302,MATCH('Journal'!D511,'Kontoplan'!$H$3:$H$302,0)),""))</f>
        <v/>
      </c>
      <c r="F1019" s="20">
        <f>IF('Journal'!G511="","",'Journal'!G511)</f>
        <v/>
      </c>
      <c r="G1019" s="20">
        <f>IF('Journal'!F511="","",'Journal'!F511)</f>
        <v/>
      </c>
      <c r="H1019" s="5">
        <f>IF('Journal'!I511="","",'Journal'!I511)</f>
        <v/>
      </c>
    </row>
    <row r="1020">
      <c r="A1020" s="18">
        <f>IF('Journal'!A511="","",'Journal'!A511)</f>
        <v/>
      </c>
      <c r="B1020" s="21">
        <f>IF('Journal'!B511="","",'Journal'!B511)</f>
        <v/>
      </c>
      <c r="C1020" s="5">
        <f>IF('Journal'!C511="","",'Journal'!C511)</f>
        <v/>
      </c>
      <c r="D1020" s="5">
        <f>IF('Journal'!E511="","",IFERROR(LEFT('Journal'!E511,FIND(" ",'Journal'!E511)-1),'Journal'!E511))</f>
        <v/>
      </c>
      <c r="E1020" s="5">
        <f>IF('Journal'!E511="","",IFERROR(INDEX('Kontoplan'!$B$3:$B$302,MATCH('Journal'!E511,'Kontoplan'!$H$3:$H$302,0)),""))</f>
        <v/>
      </c>
      <c r="F1020" s="20">
        <f>IF('Journal'!F511="","",'Journal'!F511)</f>
        <v/>
      </c>
      <c r="G1020" s="20">
        <f>IF('Journal'!G511="","",'Journal'!G511)</f>
        <v/>
      </c>
      <c r="H1020" s="5">
        <f>IF('Journal'!I511="","",'Journal'!I511)</f>
        <v/>
      </c>
    </row>
    <row r="1021">
      <c r="A1021" s="18">
        <f>IF('Journal'!A512="","",'Journal'!A512)</f>
        <v/>
      </c>
      <c r="B1021" s="21">
        <f>IF('Journal'!B512="","",'Journal'!B512)</f>
        <v/>
      </c>
      <c r="C1021" s="5">
        <f>IF('Journal'!C512="","",'Journal'!C512)</f>
        <v/>
      </c>
      <c r="D1021" s="5">
        <f>IF('Journal'!D512="","",IFERROR(LEFT('Journal'!D512,FIND(" ",'Journal'!D512)-1),'Journal'!D512))</f>
        <v/>
      </c>
      <c r="E1021" s="5">
        <f>IF('Journal'!D512="","",IFERROR(INDEX('Kontoplan'!$B$3:$B$302,MATCH('Journal'!D512,'Kontoplan'!$H$3:$H$302,0)),""))</f>
        <v/>
      </c>
      <c r="F1021" s="20">
        <f>IF('Journal'!G512="","",'Journal'!G512)</f>
        <v/>
      </c>
      <c r="G1021" s="20">
        <f>IF('Journal'!F512="","",'Journal'!F512)</f>
        <v/>
      </c>
      <c r="H1021" s="5">
        <f>IF('Journal'!I512="","",'Journal'!I512)</f>
        <v/>
      </c>
    </row>
    <row r="1022">
      <c r="A1022" s="18">
        <f>IF('Journal'!A512="","",'Journal'!A512)</f>
        <v/>
      </c>
      <c r="B1022" s="21">
        <f>IF('Journal'!B512="","",'Journal'!B512)</f>
        <v/>
      </c>
      <c r="C1022" s="5">
        <f>IF('Journal'!C512="","",'Journal'!C512)</f>
        <v/>
      </c>
      <c r="D1022" s="5">
        <f>IF('Journal'!E512="","",IFERROR(LEFT('Journal'!E512,FIND(" ",'Journal'!E512)-1),'Journal'!E512))</f>
        <v/>
      </c>
      <c r="E1022" s="5">
        <f>IF('Journal'!E512="","",IFERROR(INDEX('Kontoplan'!$B$3:$B$302,MATCH('Journal'!E512,'Kontoplan'!$H$3:$H$302,0)),""))</f>
        <v/>
      </c>
      <c r="F1022" s="20">
        <f>IF('Journal'!F512="","",'Journal'!F512)</f>
        <v/>
      </c>
      <c r="G1022" s="20">
        <f>IF('Journal'!G512="","",'Journal'!G512)</f>
        <v/>
      </c>
      <c r="H1022" s="5">
        <f>IF('Journal'!I512="","",'Journal'!I512)</f>
        <v/>
      </c>
    </row>
    <row r="1023">
      <c r="A1023" s="18">
        <f>IF('Journal'!A513="","",'Journal'!A513)</f>
        <v/>
      </c>
      <c r="B1023" s="21">
        <f>IF('Journal'!B513="","",'Journal'!B513)</f>
        <v/>
      </c>
      <c r="C1023" s="5">
        <f>IF('Journal'!C513="","",'Journal'!C513)</f>
        <v/>
      </c>
      <c r="D1023" s="5">
        <f>IF('Journal'!D513="","",IFERROR(LEFT('Journal'!D513,FIND(" ",'Journal'!D513)-1),'Journal'!D513))</f>
        <v/>
      </c>
      <c r="E1023" s="5">
        <f>IF('Journal'!D513="","",IFERROR(INDEX('Kontoplan'!$B$3:$B$302,MATCH('Journal'!D513,'Kontoplan'!$H$3:$H$302,0)),""))</f>
        <v/>
      </c>
      <c r="F1023" s="20">
        <f>IF('Journal'!G513="","",'Journal'!G513)</f>
        <v/>
      </c>
      <c r="G1023" s="20">
        <f>IF('Journal'!F513="","",'Journal'!F513)</f>
        <v/>
      </c>
      <c r="H1023" s="5">
        <f>IF('Journal'!I513="","",'Journal'!I513)</f>
        <v/>
      </c>
    </row>
    <row r="1024">
      <c r="A1024" s="18">
        <f>IF('Journal'!A513="","",'Journal'!A513)</f>
        <v/>
      </c>
      <c r="B1024" s="21">
        <f>IF('Journal'!B513="","",'Journal'!B513)</f>
        <v/>
      </c>
      <c r="C1024" s="5">
        <f>IF('Journal'!C513="","",'Journal'!C513)</f>
        <v/>
      </c>
      <c r="D1024" s="5">
        <f>IF('Journal'!E513="","",IFERROR(LEFT('Journal'!E513,FIND(" ",'Journal'!E513)-1),'Journal'!E513))</f>
        <v/>
      </c>
      <c r="E1024" s="5">
        <f>IF('Journal'!E513="","",IFERROR(INDEX('Kontoplan'!$B$3:$B$302,MATCH('Journal'!E513,'Kontoplan'!$H$3:$H$302,0)),""))</f>
        <v/>
      </c>
      <c r="F1024" s="20">
        <f>IF('Journal'!F513="","",'Journal'!F513)</f>
        <v/>
      </c>
      <c r="G1024" s="20">
        <f>IF('Journal'!G513="","",'Journal'!G513)</f>
        <v/>
      </c>
      <c r="H1024" s="5">
        <f>IF('Journal'!I513="","",'Journal'!I513)</f>
        <v/>
      </c>
    </row>
    <row r="1025">
      <c r="A1025" s="18">
        <f>IF('Journal'!A514="","",'Journal'!A514)</f>
        <v/>
      </c>
      <c r="B1025" s="21">
        <f>IF('Journal'!B514="","",'Journal'!B514)</f>
        <v/>
      </c>
      <c r="C1025" s="5">
        <f>IF('Journal'!C514="","",'Journal'!C514)</f>
        <v/>
      </c>
      <c r="D1025" s="5">
        <f>IF('Journal'!D514="","",IFERROR(LEFT('Journal'!D514,FIND(" ",'Journal'!D514)-1),'Journal'!D514))</f>
        <v/>
      </c>
      <c r="E1025" s="5">
        <f>IF('Journal'!D514="","",IFERROR(INDEX('Kontoplan'!$B$3:$B$302,MATCH('Journal'!D514,'Kontoplan'!$H$3:$H$302,0)),""))</f>
        <v/>
      </c>
      <c r="F1025" s="20">
        <f>IF('Journal'!G514="","",'Journal'!G514)</f>
        <v/>
      </c>
      <c r="G1025" s="20">
        <f>IF('Journal'!F514="","",'Journal'!F514)</f>
        <v/>
      </c>
      <c r="H1025" s="5">
        <f>IF('Journal'!I514="","",'Journal'!I514)</f>
        <v/>
      </c>
    </row>
    <row r="1026">
      <c r="A1026" s="18">
        <f>IF('Journal'!A514="","",'Journal'!A514)</f>
        <v/>
      </c>
      <c r="B1026" s="21">
        <f>IF('Journal'!B514="","",'Journal'!B514)</f>
        <v/>
      </c>
      <c r="C1026" s="5">
        <f>IF('Journal'!C514="","",'Journal'!C514)</f>
        <v/>
      </c>
      <c r="D1026" s="5">
        <f>IF('Journal'!E514="","",IFERROR(LEFT('Journal'!E514,FIND(" ",'Journal'!E514)-1),'Journal'!E514))</f>
        <v/>
      </c>
      <c r="E1026" s="5">
        <f>IF('Journal'!E514="","",IFERROR(INDEX('Kontoplan'!$B$3:$B$302,MATCH('Journal'!E514,'Kontoplan'!$H$3:$H$302,0)),""))</f>
        <v/>
      </c>
      <c r="F1026" s="20">
        <f>IF('Journal'!F514="","",'Journal'!F514)</f>
        <v/>
      </c>
      <c r="G1026" s="20">
        <f>IF('Journal'!G514="","",'Journal'!G514)</f>
        <v/>
      </c>
      <c r="H1026" s="5">
        <f>IF('Journal'!I514="","",'Journal'!I514)</f>
        <v/>
      </c>
    </row>
    <row r="1027">
      <c r="A1027" s="18">
        <f>IF('Journal'!A515="","",'Journal'!A515)</f>
        <v/>
      </c>
      <c r="B1027" s="21">
        <f>IF('Journal'!B515="","",'Journal'!B515)</f>
        <v/>
      </c>
      <c r="C1027" s="5">
        <f>IF('Journal'!C515="","",'Journal'!C515)</f>
        <v/>
      </c>
      <c r="D1027" s="5">
        <f>IF('Journal'!D515="","",IFERROR(LEFT('Journal'!D515,FIND(" ",'Journal'!D515)-1),'Journal'!D515))</f>
        <v/>
      </c>
      <c r="E1027" s="5">
        <f>IF('Journal'!D515="","",IFERROR(INDEX('Kontoplan'!$B$3:$B$302,MATCH('Journal'!D515,'Kontoplan'!$H$3:$H$302,0)),""))</f>
        <v/>
      </c>
      <c r="F1027" s="20">
        <f>IF('Journal'!G515="","",'Journal'!G515)</f>
        <v/>
      </c>
      <c r="G1027" s="20">
        <f>IF('Journal'!F515="","",'Journal'!F515)</f>
        <v/>
      </c>
      <c r="H1027" s="5">
        <f>IF('Journal'!I515="","",'Journal'!I515)</f>
        <v/>
      </c>
    </row>
    <row r="1028">
      <c r="A1028" s="18">
        <f>IF('Journal'!A515="","",'Journal'!A515)</f>
        <v/>
      </c>
      <c r="B1028" s="21">
        <f>IF('Journal'!B515="","",'Journal'!B515)</f>
        <v/>
      </c>
      <c r="C1028" s="5">
        <f>IF('Journal'!C515="","",'Journal'!C515)</f>
        <v/>
      </c>
      <c r="D1028" s="5">
        <f>IF('Journal'!E515="","",IFERROR(LEFT('Journal'!E515,FIND(" ",'Journal'!E515)-1),'Journal'!E515))</f>
        <v/>
      </c>
      <c r="E1028" s="5">
        <f>IF('Journal'!E515="","",IFERROR(INDEX('Kontoplan'!$B$3:$B$302,MATCH('Journal'!E515,'Kontoplan'!$H$3:$H$302,0)),""))</f>
        <v/>
      </c>
      <c r="F1028" s="20">
        <f>IF('Journal'!F515="","",'Journal'!F515)</f>
        <v/>
      </c>
      <c r="G1028" s="20">
        <f>IF('Journal'!G515="","",'Journal'!G515)</f>
        <v/>
      </c>
      <c r="H1028" s="5">
        <f>IF('Journal'!I515="","",'Journal'!I515)</f>
        <v/>
      </c>
    </row>
    <row r="1029">
      <c r="A1029" s="18">
        <f>IF('Journal'!A516="","",'Journal'!A516)</f>
        <v/>
      </c>
      <c r="B1029" s="21">
        <f>IF('Journal'!B516="","",'Journal'!B516)</f>
        <v/>
      </c>
      <c r="C1029" s="5">
        <f>IF('Journal'!C516="","",'Journal'!C516)</f>
        <v/>
      </c>
      <c r="D1029" s="5">
        <f>IF('Journal'!D516="","",IFERROR(LEFT('Journal'!D516,FIND(" ",'Journal'!D516)-1),'Journal'!D516))</f>
        <v/>
      </c>
      <c r="E1029" s="5">
        <f>IF('Journal'!D516="","",IFERROR(INDEX('Kontoplan'!$B$3:$B$302,MATCH('Journal'!D516,'Kontoplan'!$H$3:$H$302,0)),""))</f>
        <v/>
      </c>
      <c r="F1029" s="20">
        <f>IF('Journal'!G516="","",'Journal'!G516)</f>
        <v/>
      </c>
      <c r="G1029" s="20">
        <f>IF('Journal'!F516="","",'Journal'!F516)</f>
        <v/>
      </c>
      <c r="H1029" s="5">
        <f>IF('Journal'!I516="","",'Journal'!I516)</f>
        <v/>
      </c>
    </row>
    <row r="1030">
      <c r="A1030" s="18">
        <f>IF('Journal'!A516="","",'Journal'!A516)</f>
        <v/>
      </c>
      <c r="B1030" s="21">
        <f>IF('Journal'!B516="","",'Journal'!B516)</f>
        <v/>
      </c>
      <c r="C1030" s="5">
        <f>IF('Journal'!C516="","",'Journal'!C516)</f>
        <v/>
      </c>
      <c r="D1030" s="5">
        <f>IF('Journal'!E516="","",IFERROR(LEFT('Journal'!E516,FIND(" ",'Journal'!E516)-1),'Journal'!E516))</f>
        <v/>
      </c>
      <c r="E1030" s="5">
        <f>IF('Journal'!E516="","",IFERROR(INDEX('Kontoplan'!$B$3:$B$302,MATCH('Journal'!E516,'Kontoplan'!$H$3:$H$302,0)),""))</f>
        <v/>
      </c>
      <c r="F1030" s="20">
        <f>IF('Journal'!F516="","",'Journal'!F516)</f>
        <v/>
      </c>
      <c r="G1030" s="20">
        <f>IF('Journal'!G516="","",'Journal'!G516)</f>
        <v/>
      </c>
      <c r="H1030" s="5">
        <f>IF('Journal'!I516="","",'Journal'!I516)</f>
        <v/>
      </c>
    </row>
    <row r="1031">
      <c r="A1031" s="18">
        <f>IF('Journal'!A517="","",'Journal'!A517)</f>
        <v/>
      </c>
      <c r="B1031" s="21">
        <f>IF('Journal'!B517="","",'Journal'!B517)</f>
        <v/>
      </c>
      <c r="C1031" s="5">
        <f>IF('Journal'!C517="","",'Journal'!C517)</f>
        <v/>
      </c>
      <c r="D1031" s="5">
        <f>IF('Journal'!D517="","",IFERROR(LEFT('Journal'!D517,FIND(" ",'Journal'!D517)-1),'Journal'!D517))</f>
        <v/>
      </c>
      <c r="E1031" s="5">
        <f>IF('Journal'!D517="","",IFERROR(INDEX('Kontoplan'!$B$3:$B$302,MATCH('Journal'!D517,'Kontoplan'!$H$3:$H$302,0)),""))</f>
        <v/>
      </c>
      <c r="F1031" s="20">
        <f>IF('Journal'!G517="","",'Journal'!G517)</f>
        <v/>
      </c>
      <c r="G1031" s="20">
        <f>IF('Journal'!F517="","",'Journal'!F517)</f>
        <v/>
      </c>
      <c r="H1031" s="5">
        <f>IF('Journal'!I517="","",'Journal'!I517)</f>
        <v/>
      </c>
    </row>
    <row r="1032">
      <c r="A1032" s="18">
        <f>IF('Journal'!A517="","",'Journal'!A517)</f>
        <v/>
      </c>
      <c r="B1032" s="21">
        <f>IF('Journal'!B517="","",'Journal'!B517)</f>
        <v/>
      </c>
      <c r="C1032" s="5">
        <f>IF('Journal'!C517="","",'Journal'!C517)</f>
        <v/>
      </c>
      <c r="D1032" s="5">
        <f>IF('Journal'!E517="","",IFERROR(LEFT('Journal'!E517,FIND(" ",'Journal'!E517)-1),'Journal'!E517))</f>
        <v/>
      </c>
      <c r="E1032" s="5">
        <f>IF('Journal'!E517="","",IFERROR(INDEX('Kontoplan'!$B$3:$B$302,MATCH('Journal'!E517,'Kontoplan'!$H$3:$H$302,0)),""))</f>
        <v/>
      </c>
      <c r="F1032" s="20">
        <f>IF('Journal'!F517="","",'Journal'!F517)</f>
        <v/>
      </c>
      <c r="G1032" s="20">
        <f>IF('Journal'!G517="","",'Journal'!G517)</f>
        <v/>
      </c>
      <c r="H1032" s="5">
        <f>IF('Journal'!I517="","",'Journal'!I517)</f>
        <v/>
      </c>
    </row>
    <row r="1033">
      <c r="A1033" s="18">
        <f>IF('Journal'!A518="","",'Journal'!A518)</f>
        <v/>
      </c>
      <c r="B1033" s="21">
        <f>IF('Journal'!B518="","",'Journal'!B518)</f>
        <v/>
      </c>
      <c r="C1033" s="5">
        <f>IF('Journal'!C518="","",'Journal'!C518)</f>
        <v/>
      </c>
      <c r="D1033" s="5">
        <f>IF('Journal'!D518="","",IFERROR(LEFT('Journal'!D518,FIND(" ",'Journal'!D518)-1),'Journal'!D518))</f>
        <v/>
      </c>
      <c r="E1033" s="5">
        <f>IF('Journal'!D518="","",IFERROR(INDEX('Kontoplan'!$B$3:$B$302,MATCH('Journal'!D518,'Kontoplan'!$H$3:$H$302,0)),""))</f>
        <v/>
      </c>
      <c r="F1033" s="20">
        <f>IF('Journal'!G518="","",'Journal'!G518)</f>
        <v/>
      </c>
      <c r="G1033" s="20">
        <f>IF('Journal'!F518="","",'Journal'!F518)</f>
        <v/>
      </c>
      <c r="H1033" s="5">
        <f>IF('Journal'!I518="","",'Journal'!I518)</f>
        <v/>
      </c>
    </row>
    <row r="1034">
      <c r="A1034" s="18">
        <f>IF('Journal'!A518="","",'Journal'!A518)</f>
        <v/>
      </c>
      <c r="B1034" s="21">
        <f>IF('Journal'!B518="","",'Journal'!B518)</f>
        <v/>
      </c>
      <c r="C1034" s="5">
        <f>IF('Journal'!C518="","",'Journal'!C518)</f>
        <v/>
      </c>
      <c r="D1034" s="5">
        <f>IF('Journal'!E518="","",IFERROR(LEFT('Journal'!E518,FIND(" ",'Journal'!E518)-1),'Journal'!E518))</f>
        <v/>
      </c>
      <c r="E1034" s="5">
        <f>IF('Journal'!E518="","",IFERROR(INDEX('Kontoplan'!$B$3:$B$302,MATCH('Journal'!E518,'Kontoplan'!$H$3:$H$302,0)),""))</f>
        <v/>
      </c>
      <c r="F1034" s="20">
        <f>IF('Journal'!F518="","",'Journal'!F518)</f>
        <v/>
      </c>
      <c r="G1034" s="20">
        <f>IF('Journal'!G518="","",'Journal'!G518)</f>
        <v/>
      </c>
      <c r="H1034" s="5">
        <f>IF('Journal'!I518="","",'Journal'!I518)</f>
        <v/>
      </c>
    </row>
    <row r="1035">
      <c r="A1035" s="18">
        <f>IF('Journal'!A519="","",'Journal'!A519)</f>
        <v/>
      </c>
      <c r="B1035" s="21">
        <f>IF('Journal'!B519="","",'Journal'!B519)</f>
        <v/>
      </c>
      <c r="C1035" s="5">
        <f>IF('Journal'!C519="","",'Journal'!C519)</f>
        <v/>
      </c>
      <c r="D1035" s="5">
        <f>IF('Journal'!D519="","",IFERROR(LEFT('Journal'!D519,FIND(" ",'Journal'!D519)-1),'Journal'!D519))</f>
        <v/>
      </c>
      <c r="E1035" s="5">
        <f>IF('Journal'!D519="","",IFERROR(INDEX('Kontoplan'!$B$3:$B$302,MATCH('Journal'!D519,'Kontoplan'!$H$3:$H$302,0)),""))</f>
        <v/>
      </c>
      <c r="F1035" s="20">
        <f>IF('Journal'!G519="","",'Journal'!G519)</f>
        <v/>
      </c>
      <c r="G1035" s="20">
        <f>IF('Journal'!F519="","",'Journal'!F519)</f>
        <v/>
      </c>
      <c r="H1035" s="5">
        <f>IF('Journal'!I519="","",'Journal'!I519)</f>
        <v/>
      </c>
    </row>
    <row r="1036">
      <c r="A1036" s="18">
        <f>IF('Journal'!A519="","",'Journal'!A519)</f>
        <v/>
      </c>
      <c r="B1036" s="21">
        <f>IF('Journal'!B519="","",'Journal'!B519)</f>
        <v/>
      </c>
      <c r="C1036" s="5">
        <f>IF('Journal'!C519="","",'Journal'!C519)</f>
        <v/>
      </c>
      <c r="D1036" s="5">
        <f>IF('Journal'!E519="","",IFERROR(LEFT('Journal'!E519,FIND(" ",'Journal'!E519)-1),'Journal'!E519))</f>
        <v/>
      </c>
      <c r="E1036" s="5">
        <f>IF('Journal'!E519="","",IFERROR(INDEX('Kontoplan'!$B$3:$B$302,MATCH('Journal'!E519,'Kontoplan'!$H$3:$H$302,0)),""))</f>
        <v/>
      </c>
      <c r="F1036" s="20">
        <f>IF('Journal'!F519="","",'Journal'!F519)</f>
        <v/>
      </c>
      <c r="G1036" s="20">
        <f>IF('Journal'!G519="","",'Journal'!G519)</f>
        <v/>
      </c>
      <c r="H1036" s="5">
        <f>IF('Journal'!I519="","",'Journal'!I519)</f>
        <v/>
      </c>
    </row>
    <row r="1037">
      <c r="A1037" s="18">
        <f>IF('Journal'!A520="","",'Journal'!A520)</f>
        <v/>
      </c>
      <c r="B1037" s="21">
        <f>IF('Journal'!B520="","",'Journal'!B520)</f>
        <v/>
      </c>
      <c r="C1037" s="5">
        <f>IF('Journal'!C520="","",'Journal'!C520)</f>
        <v/>
      </c>
      <c r="D1037" s="5">
        <f>IF('Journal'!D520="","",IFERROR(LEFT('Journal'!D520,FIND(" ",'Journal'!D520)-1),'Journal'!D520))</f>
        <v/>
      </c>
      <c r="E1037" s="5">
        <f>IF('Journal'!D520="","",IFERROR(INDEX('Kontoplan'!$B$3:$B$302,MATCH('Journal'!D520,'Kontoplan'!$H$3:$H$302,0)),""))</f>
        <v/>
      </c>
      <c r="F1037" s="20">
        <f>IF('Journal'!G520="","",'Journal'!G520)</f>
        <v/>
      </c>
      <c r="G1037" s="20">
        <f>IF('Journal'!F520="","",'Journal'!F520)</f>
        <v/>
      </c>
      <c r="H1037" s="5">
        <f>IF('Journal'!I520="","",'Journal'!I520)</f>
        <v/>
      </c>
    </row>
    <row r="1038">
      <c r="A1038" s="18">
        <f>IF('Journal'!A520="","",'Journal'!A520)</f>
        <v/>
      </c>
      <c r="B1038" s="21">
        <f>IF('Journal'!B520="","",'Journal'!B520)</f>
        <v/>
      </c>
      <c r="C1038" s="5">
        <f>IF('Journal'!C520="","",'Journal'!C520)</f>
        <v/>
      </c>
      <c r="D1038" s="5">
        <f>IF('Journal'!E520="","",IFERROR(LEFT('Journal'!E520,FIND(" ",'Journal'!E520)-1),'Journal'!E520))</f>
        <v/>
      </c>
      <c r="E1038" s="5">
        <f>IF('Journal'!E520="","",IFERROR(INDEX('Kontoplan'!$B$3:$B$302,MATCH('Journal'!E520,'Kontoplan'!$H$3:$H$302,0)),""))</f>
        <v/>
      </c>
      <c r="F1038" s="20">
        <f>IF('Journal'!F520="","",'Journal'!F520)</f>
        <v/>
      </c>
      <c r="G1038" s="20">
        <f>IF('Journal'!G520="","",'Journal'!G520)</f>
        <v/>
      </c>
      <c r="H1038" s="5">
        <f>IF('Journal'!I520="","",'Journal'!I520)</f>
        <v/>
      </c>
    </row>
    <row r="1039">
      <c r="A1039" s="18">
        <f>IF('Journal'!A521="","",'Journal'!A521)</f>
        <v/>
      </c>
      <c r="B1039" s="21">
        <f>IF('Journal'!B521="","",'Journal'!B521)</f>
        <v/>
      </c>
      <c r="C1039" s="5">
        <f>IF('Journal'!C521="","",'Journal'!C521)</f>
        <v/>
      </c>
      <c r="D1039" s="5">
        <f>IF('Journal'!D521="","",IFERROR(LEFT('Journal'!D521,FIND(" ",'Journal'!D521)-1),'Journal'!D521))</f>
        <v/>
      </c>
      <c r="E1039" s="5">
        <f>IF('Journal'!D521="","",IFERROR(INDEX('Kontoplan'!$B$3:$B$302,MATCH('Journal'!D521,'Kontoplan'!$H$3:$H$302,0)),""))</f>
        <v/>
      </c>
      <c r="F1039" s="20">
        <f>IF('Journal'!G521="","",'Journal'!G521)</f>
        <v/>
      </c>
      <c r="G1039" s="20">
        <f>IF('Journal'!F521="","",'Journal'!F521)</f>
        <v/>
      </c>
      <c r="H1039" s="5">
        <f>IF('Journal'!I521="","",'Journal'!I521)</f>
        <v/>
      </c>
    </row>
    <row r="1040">
      <c r="A1040" s="18">
        <f>IF('Journal'!A521="","",'Journal'!A521)</f>
        <v/>
      </c>
      <c r="B1040" s="21">
        <f>IF('Journal'!B521="","",'Journal'!B521)</f>
        <v/>
      </c>
      <c r="C1040" s="5">
        <f>IF('Journal'!C521="","",'Journal'!C521)</f>
        <v/>
      </c>
      <c r="D1040" s="5">
        <f>IF('Journal'!E521="","",IFERROR(LEFT('Journal'!E521,FIND(" ",'Journal'!E521)-1),'Journal'!E521))</f>
        <v/>
      </c>
      <c r="E1040" s="5">
        <f>IF('Journal'!E521="","",IFERROR(INDEX('Kontoplan'!$B$3:$B$302,MATCH('Journal'!E521,'Kontoplan'!$H$3:$H$302,0)),""))</f>
        <v/>
      </c>
      <c r="F1040" s="20">
        <f>IF('Journal'!F521="","",'Journal'!F521)</f>
        <v/>
      </c>
      <c r="G1040" s="20">
        <f>IF('Journal'!G521="","",'Journal'!G521)</f>
        <v/>
      </c>
      <c r="H1040" s="5">
        <f>IF('Journal'!I521="","",'Journal'!I521)</f>
        <v/>
      </c>
    </row>
    <row r="1041">
      <c r="A1041" s="18">
        <f>IF('Journal'!A522="","",'Journal'!A522)</f>
        <v/>
      </c>
      <c r="B1041" s="21">
        <f>IF('Journal'!B522="","",'Journal'!B522)</f>
        <v/>
      </c>
      <c r="C1041" s="5">
        <f>IF('Journal'!C522="","",'Journal'!C522)</f>
        <v/>
      </c>
      <c r="D1041" s="5">
        <f>IF('Journal'!D522="","",IFERROR(LEFT('Journal'!D522,FIND(" ",'Journal'!D522)-1),'Journal'!D522))</f>
        <v/>
      </c>
      <c r="E1041" s="5">
        <f>IF('Journal'!D522="","",IFERROR(INDEX('Kontoplan'!$B$3:$B$302,MATCH('Journal'!D522,'Kontoplan'!$H$3:$H$302,0)),""))</f>
        <v/>
      </c>
      <c r="F1041" s="20">
        <f>IF('Journal'!G522="","",'Journal'!G522)</f>
        <v/>
      </c>
      <c r="G1041" s="20">
        <f>IF('Journal'!F522="","",'Journal'!F522)</f>
        <v/>
      </c>
      <c r="H1041" s="5">
        <f>IF('Journal'!I522="","",'Journal'!I522)</f>
        <v/>
      </c>
    </row>
    <row r="1042">
      <c r="A1042" s="18">
        <f>IF('Journal'!A522="","",'Journal'!A522)</f>
        <v/>
      </c>
      <c r="B1042" s="21">
        <f>IF('Journal'!B522="","",'Journal'!B522)</f>
        <v/>
      </c>
      <c r="C1042" s="5">
        <f>IF('Journal'!C522="","",'Journal'!C522)</f>
        <v/>
      </c>
      <c r="D1042" s="5">
        <f>IF('Journal'!E522="","",IFERROR(LEFT('Journal'!E522,FIND(" ",'Journal'!E522)-1),'Journal'!E522))</f>
        <v/>
      </c>
      <c r="E1042" s="5">
        <f>IF('Journal'!E522="","",IFERROR(INDEX('Kontoplan'!$B$3:$B$302,MATCH('Journal'!E522,'Kontoplan'!$H$3:$H$302,0)),""))</f>
        <v/>
      </c>
      <c r="F1042" s="20">
        <f>IF('Journal'!F522="","",'Journal'!F522)</f>
        <v/>
      </c>
      <c r="G1042" s="20">
        <f>IF('Journal'!G522="","",'Journal'!G522)</f>
        <v/>
      </c>
      <c r="H1042" s="5">
        <f>IF('Journal'!I522="","",'Journal'!I522)</f>
        <v/>
      </c>
    </row>
    <row r="1043">
      <c r="A1043" s="18">
        <f>IF('Journal'!A523="","",'Journal'!A523)</f>
        <v/>
      </c>
      <c r="B1043" s="21">
        <f>IF('Journal'!B523="","",'Journal'!B523)</f>
        <v/>
      </c>
      <c r="C1043" s="5">
        <f>IF('Journal'!C523="","",'Journal'!C523)</f>
        <v/>
      </c>
      <c r="D1043" s="5">
        <f>IF('Journal'!D523="","",IFERROR(LEFT('Journal'!D523,FIND(" ",'Journal'!D523)-1),'Journal'!D523))</f>
        <v/>
      </c>
      <c r="E1043" s="5">
        <f>IF('Journal'!D523="","",IFERROR(INDEX('Kontoplan'!$B$3:$B$302,MATCH('Journal'!D523,'Kontoplan'!$H$3:$H$302,0)),""))</f>
        <v/>
      </c>
      <c r="F1043" s="20">
        <f>IF('Journal'!G523="","",'Journal'!G523)</f>
        <v/>
      </c>
      <c r="G1043" s="20">
        <f>IF('Journal'!F523="","",'Journal'!F523)</f>
        <v/>
      </c>
      <c r="H1043" s="5">
        <f>IF('Journal'!I523="","",'Journal'!I523)</f>
        <v/>
      </c>
    </row>
    <row r="1044">
      <c r="A1044" s="18">
        <f>IF('Journal'!A523="","",'Journal'!A523)</f>
        <v/>
      </c>
      <c r="B1044" s="21">
        <f>IF('Journal'!B523="","",'Journal'!B523)</f>
        <v/>
      </c>
      <c r="C1044" s="5">
        <f>IF('Journal'!C523="","",'Journal'!C523)</f>
        <v/>
      </c>
      <c r="D1044" s="5">
        <f>IF('Journal'!E523="","",IFERROR(LEFT('Journal'!E523,FIND(" ",'Journal'!E523)-1),'Journal'!E523))</f>
        <v/>
      </c>
      <c r="E1044" s="5">
        <f>IF('Journal'!E523="","",IFERROR(INDEX('Kontoplan'!$B$3:$B$302,MATCH('Journal'!E523,'Kontoplan'!$H$3:$H$302,0)),""))</f>
        <v/>
      </c>
      <c r="F1044" s="20">
        <f>IF('Journal'!F523="","",'Journal'!F523)</f>
        <v/>
      </c>
      <c r="G1044" s="20">
        <f>IF('Journal'!G523="","",'Journal'!G523)</f>
        <v/>
      </c>
      <c r="H1044" s="5">
        <f>IF('Journal'!I523="","",'Journal'!I523)</f>
        <v/>
      </c>
    </row>
    <row r="1045">
      <c r="A1045" s="18">
        <f>IF('Journal'!A524="","",'Journal'!A524)</f>
        <v/>
      </c>
      <c r="B1045" s="21">
        <f>IF('Journal'!B524="","",'Journal'!B524)</f>
        <v/>
      </c>
      <c r="C1045" s="5">
        <f>IF('Journal'!C524="","",'Journal'!C524)</f>
        <v/>
      </c>
      <c r="D1045" s="5">
        <f>IF('Journal'!D524="","",IFERROR(LEFT('Journal'!D524,FIND(" ",'Journal'!D524)-1),'Journal'!D524))</f>
        <v/>
      </c>
      <c r="E1045" s="5">
        <f>IF('Journal'!D524="","",IFERROR(INDEX('Kontoplan'!$B$3:$B$302,MATCH('Journal'!D524,'Kontoplan'!$H$3:$H$302,0)),""))</f>
        <v/>
      </c>
      <c r="F1045" s="20">
        <f>IF('Journal'!G524="","",'Journal'!G524)</f>
        <v/>
      </c>
      <c r="G1045" s="20">
        <f>IF('Journal'!F524="","",'Journal'!F524)</f>
        <v/>
      </c>
      <c r="H1045" s="5">
        <f>IF('Journal'!I524="","",'Journal'!I524)</f>
        <v/>
      </c>
    </row>
    <row r="1046">
      <c r="A1046" s="18">
        <f>IF('Journal'!A524="","",'Journal'!A524)</f>
        <v/>
      </c>
      <c r="B1046" s="21">
        <f>IF('Journal'!B524="","",'Journal'!B524)</f>
        <v/>
      </c>
      <c r="C1046" s="5">
        <f>IF('Journal'!C524="","",'Journal'!C524)</f>
        <v/>
      </c>
      <c r="D1046" s="5">
        <f>IF('Journal'!E524="","",IFERROR(LEFT('Journal'!E524,FIND(" ",'Journal'!E524)-1),'Journal'!E524))</f>
        <v/>
      </c>
      <c r="E1046" s="5">
        <f>IF('Journal'!E524="","",IFERROR(INDEX('Kontoplan'!$B$3:$B$302,MATCH('Journal'!E524,'Kontoplan'!$H$3:$H$302,0)),""))</f>
        <v/>
      </c>
      <c r="F1046" s="20">
        <f>IF('Journal'!F524="","",'Journal'!F524)</f>
        <v/>
      </c>
      <c r="G1046" s="20">
        <f>IF('Journal'!G524="","",'Journal'!G524)</f>
        <v/>
      </c>
      <c r="H1046" s="5">
        <f>IF('Journal'!I524="","",'Journal'!I524)</f>
        <v/>
      </c>
    </row>
    <row r="1047">
      <c r="A1047" s="18">
        <f>IF('Journal'!A525="","",'Journal'!A525)</f>
        <v/>
      </c>
      <c r="B1047" s="21">
        <f>IF('Journal'!B525="","",'Journal'!B525)</f>
        <v/>
      </c>
      <c r="C1047" s="5">
        <f>IF('Journal'!C525="","",'Journal'!C525)</f>
        <v/>
      </c>
      <c r="D1047" s="5">
        <f>IF('Journal'!D525="","",IFERROR(LEFT('Journal'!D525,FIND(" ",'Journal'!D525)-1),'Journal'!D525))</f>
        <v/>
      </c>
      <c r="E1047" s="5">
        <f>IF('Journal'!D525="","",IFERROR(INDEX('Kontoplan'!$B$3:$B$302,MATCH('Journal'!D525,'Kontoplan'!$H$3:$H$302,0)),""))</f>
        <v/>
      </c>
      <c r="F1047" s="20">
        <f>IF('Journal'!G525="","",'Journal'!G525)</f>
        <v/>
      </c>
      <c r="G1047" s="20">
        <f>IF('Journal'!F525="","",'Journal'!F525)</f>
        <v/>
      </c>
      <c r="H1047" s="5">
        <f>IF('Journal'!I525="","",'Journal'!I525)</f>
        <v/>
      </c>
    </row>
    <row r="1048">
      <c r="A1048" s="18">
        <f>IF('Journal'!A525="","",'Journal'!A525)</f>
        <v/>
      </c>
      <c r="B1048" s="21">
        <f>IF('Journal'!B525="","",'Journal'!B525)</f>
        <v/>
      </c>
      <c r="C1048" s="5">
        <f>IF('Journal'!C525="","",'Journal'!C525)</f>
        <v/>
      </c>
      <c r="D1048" s="5">
        <f>IF('Journal'!E525="","",IFERROR(LEFT('Journal'!E525,FIND(" ",'Journal'!E525)-1),'Journal'!E525))</f>
        <v/>
      </c>
      <c r="E1048" s="5">
        <f>IF('Journal'!E525="","",IFERROR(INDEX('Kontoplan'!$B$3:$B$302,MATCH('Journal'!E525,'Kontoplan'!$H$3:$H$302,0)),""))</f>
        <v/>
      </c>
      <c r="F1048" s="20">
        <f>IF('Journal'!F525="","",'Journal'!F525)</f>
        <v/>
      </c>
      <c r="G1048" s="20">
        <f>IF('Journal'!G525="","",'Journal'!G525)</f>
        <v/>
      </c>
      <c r="H1048" s="5">
        <f>IF('Journal'!I525="","",'Journal'!I525)</f>
        <v/>
      </c>
    </row>
    <row r="1049">
      <c r="A1049" s="18">
        <f>IF('Journal'!A526="","",'Journal'!A526)</f>
        <v/>
      </c>
      <c r="B1049" s="21">
        <f>IF('Journal'!B526="","",'Journal'!B526)</f>
        <v/>
      </c>
      <c r="C1049" s="5">
        <f>IF('Journal'!C526="","",'Journal'!C526)</f>
        <v/>
      </c>
      <c r="D1049" s="5">
        <f>IF('Journal'!D526="","",IFERROR(LEFT('Journal'!D526,FIND(" ",'Journal'!D526)-1),'Journal'!D526))</f>
        <v/>
      </c>
      <c r="E1049" s="5">
        <f>IF('Journal'!D526="","",IFERROR(INDEX('Kontoplan'!$B$3:$B$302,MATCH('Journal'!D526,'Kontoplan'!$H$3:$H$302,0)),""))</f>
        <v/>
      </c>
      <c r="F1049" s="20">
        <f>IF('Journal'!G526="","",'Journal'!G526)</f>
        <v/>
      </c>
      <c r="G1049" s="20">
        <f>IF('Journal'!F526="","",'Journal'!F526)</f>
        <v/>
      </c>
      <c r="H1049" s="5">
        <f>IF('Journal'!I526="","",'Journal'!I526)</f>
        <v/>
      </c>
    </row>
    <row r="1050">
      <c r="A1050" s="18">
        <f>IF('Journal'!A526="","",'Journal'!A526)</f>
        <v/>
      </c>
      <c r="B1050" s="21">
        <f>IF('Journal'!B526="","",'Journal'!B526)</f>
        <v/>
      </c>
      <c r="C1050" s="5">
        <f>IF('Journal'!C526="","",'Journal'!C526)</f>
        <v/>
      </c>
      <c r="D1050" s="5">
        <f>IF('Journal'!E526="","",IFERROR(LEFT('Journal'!E526,FIND(" ",'Journal'!E526)-1),'Journal'!E526))</f>
        <v/>
      </c>
      <c r="E1050" s="5">
        <f>IF('Journal'!E526="","",IFERROR(INDEX('Kontoplan'!$B$3:$B$302,MATCH('Journal'!E526,'Kontoplan'!$H$3:$H$302,0)),""))</f>
        <v/>
      </c>
      <c r="F1050" s="20">
        <f>IF('Journal'!F526="","",'Journal'!F526)</f>
        <v/>
      </c>
      <c r="G1050" s="20">
        <f>IF('Journal'!G526="","",'Journal'!G526)</f>
        <v/>
      </c>
      <c r="H1050" s="5">
        <f>IF('Journal'!I526="","",'Journal'!I526)</f>
        <v/>
      </c>
    </row>
    <row r="1051">
      <c r="A1051" s="18">
        <f>IF('Journal'!A527="","",'Journal'!A527)</f>
        <v/>
      </c>
      <c r="B1051" s="21">
        <f>IF('Journal'!B527="","",'Journal'!B527)</f>
        <v/>
      </c>
      <c r="C1051" s="5">
        <f>IF('Journal'!C527="","",'Journal'!C527)</f>
        <v/>
      </c>
      <c r="D1051" s="5">
        <f>IF('Journal'!D527="","",IFERROR(LEFT('Journal'!D527,FIND(" ",'Journal'!D527)-1),'Journal'!D527))</f>
        <v/>
      </c>
      <c r="E1051" s="5">
        <f>IF('Journal'!D527="","",IFERROR(INDEX('Kontoplan'!$B$3:$B$302,MATCH('Journal'!D527,'Kontoplan'!$H$3:$H$302,0)),""))</f>
        <v/>
      </c>
      <c r="F1051" s="20">
        <f>IF('Journal'!G527="","",'Journal'!G527)</f>
        <v/>
      </c>
      <c r="G1051" s="20">
        <f>IF('Journal'!F527="","",'Journal'!F527)</f>
        <v/>
      </c>
      <c r="H1051" s="5">
        <f>IF('Journal'!I527="","",'Journal'!I527)</f>
        <v/>
      </c>
    </row>
    <row r="1052">
      <c r="A1052" s="18">
        <f>IF('Journal'!A527="","",'Journal'!A527)</f>
        <v/>
      </c>
      <c r="B1052" s="21">
        <f>IF('Journal'!B527="","",'Journal'!B527)</f>
        <v/>
      </c>
      <c r="C1052" s="5">
        <f>IF('Journal'!C527="","",'Journal'!C527)</f>
        <v/>
      </c>
      <c r="D1052" s="5">
        <f>IF('Journal'!E527="","",IFERROR(LEFT('Journal'!E527,FIND(" ",'Journal'!E527)-1),'Journal'!E527))</f>
        <v/>
      </c>
      <c r="E1052" s="5">
        <f>IF('Journal'!E527="","",IFERROR(INDEX('Kontoplan'!$B$3:$B$302,MATCH('Journal'!E527,'Kontoplan'!$H$3:$H$302,0)),""))</f>
        <v/>
      </c>
      <c r="F1052" s="20">
        <f>IF('Journal'!F527="","",'Journal'!F527)</f>
        <v/>
      </c>
      <c r="G1052" s="20">
        <f>IF('Journal'!G527="","",'Journal'!G527)</f>
        <v/>
      </c>
      <c r="H1052" s="5">
        <f>IF('Journal'!I527="","",'Journal'!I527)</f>
        <v/>
      </c>
    </row>
    <row r="1053">
      <c r="A1053" s="18">
        <f>IF('Journal'!A528="","",'Journal'!A528)</f>
        <v/>
      </c>
      <c r="B1053" s="21">
        <f>IF('Journal'!B528="","",'Journal'!B528)</f>
        <v/>
      </c>
      <c r="C1053" s="5">
        <f>IF('Journal'!C528="","",'Journal'!C528)</f>
        <v/>
      </c>
      <c r="D1053" s="5">
        <f>IF('Journal'!D528="","",IFERROR(LEFT('Journal'!D528,FIND(" ",'Journal'!D528)-1),'Journal'!D528))</f>
        <v/>
      </c>
      <c r="E1053" s="5">
        <f>IF('Journal'!D528="","",IFERROR(INDEX('Kontoplan'!$B$3:$B$302,MATCH('Journal'!D528,'Kontoplan'!$H$3:$H$302,0)),""))</f>
        <v/>
      </c>
      <c r="F1053" s="20">
        <f>IF('Journal'!G528="","",'Journal'!G528)</f>
        <v/>
      </c>
      <c r="G1053" s="20">
        <f>IF('Journal'!F528="","",'Journal'!F528)</f>
        <v/>
      </c>
      <c r="H1053" s="5">
        <f>IF('Journal'!I528="","",'Journal'!I528)</f>
        <v/>
      </c>
    </row>
    <row r="1054">
      <c r="A1054" s="18">
        <f>IF('Journal'!A528="","",'Journal'!A528)</f>
        <v/>
      </c>
      <c r="B1054" s="21">
        <f>IF('Journal'!B528="","",'Journal'!B528)</f>
        <v/>
      </c>
      <c r="C1054" s="5">
        <f>IF('Journal'!C528="","",'Journal'!C528)</f>
        <v/>
      </c>
      <c r="D1054" s="5">
        <f>IF('Journal'!E528="","",IFERROR(LEFT('Journal'!E528,FIND(" ",'Journal'!E528)-1),'Journal'!E528))</f>
        <v/>
      </c>
      <c r="E1054" s="5">
        <f>IF('Journal'!E528="","",IFERROR(INDEX('Kontoplan'!$B$3:$B$302,MATCH('Journal'!E528,'Kontoplan'!$H$3:$H$302,0)),""))</f>
        <v/>
      </c>
      <c r="F1054" s="20">
        <f>IF('Journal'!F528="","",'Journal'!F528)</f>
        <v/>
      </c>
      <c r="G1054" s="20">
        <f>IF('Journal'!G528="","",'Journal'!G528)</f>
        <v/>
      </c>
      <c r="H1054" s="5">
        <f>IF('Journal'!I528="","",'Journal'!I528)</f>
        <v/>
      </c>
    </row>
    <row r="1055">
      <c r="A1055" s="18">
        <f>IF('Journal'!A529="","",'Journal'!A529)</f>
        <v/>
      </c>
      <c r="B1055" s="21">
        <f>IF('Journal'!B529="","",'Journal'!B529)</f>
        <v/>
      </c>
      <c r="C1055" s="5">
        <f>IF('Journal'!C529="","",'Journal'!C529)</f>
        <v/>
      </c>
      <c r="D1055" s="5">
        <f>IF('Journal'!D529="","",IFERROR(LEFT('Journal'!D529,FIND(" ",'Journal'!D529)-1),'Journal'!D529))</f>
        <v/>
      </c>
      <c r="E1055" s="5">
        <f>IF('Journal'!D529="","",IFERROR(INDEX('Kontoplan'!$B$3:$B$302,MATCH('Journal'!D529,'Kontoplan'!$H$3:$H$302,0)),""))</f>
        <v/>
      </c>
      <c r="F1055" s="20">
        <f>IF('Journal'!G529="","",'Journal'!G529)</f>
        <v/>
      </c>
      <c r="G1055" s="20">
        <f>IF('Journal'!F529="","",'Journal'!F529)</f>
        <v/>
      </c>
      <c r="H1055" s="5">
        <f>IF('Journal'!I529="","",'Journal'!I529)</f>
        <v/>
      </c>
    </row>
    <row r="1056">
      <c r="A1056" s="18">
        <f>IF('Journal'!A529="","",'Journal'!A529)</f>
        <v/>
      </c>
      <c r="B1056" s="21">
        <f>IF('Journal'!B529="","",'Journal'!B529)</f>
        <v/>
      </c>
      <c r="C1056" s="5">
        <f>IF('Journal'!C529="","",'Journal'!C529)</f>
        <v/>
      </c>
      <c r="D1056" s="5">
        <f>IF('Journal'!E529="","",IFERROR(LEFT('Journal'!E529,FIND(" ",'Journal'!E529)-1),'Journal'!E529))</f>
        <v/>
      </c>
      <c r="E1056" s="5">
        <f>IF('Journal'!E529="","",IFERROR(INDEX('Kontoplan'!$B$3:$B$302,MATCH('Journal'!E529,'Kontoplan'!$H$3:$H$302,0)),""))</f>
        <v/>
      </c>
      <c r="F1056" s="20">
        <f>IF('Journal'!F529="","",'Journal'!F529)</f>
        <v/>
      </c>
      <c r="G1056" s="20">
        <f>IF('Journal'!G529="","",'Journal'!G529)</f>
        <v/>
      </c>
      <c r="H1056" s="5">
        <f>IF('Journal'!I529="","",'Journal'!I529)</f>
        <v/>
      </c>
    </row>
    <row r="1057">
      <c r="A1057" s="18">
        <f>IF('Journal'!A530="","",'Journal'!A530)</f>
        <v/>
      </c>
      <c r="B1057" s="21">
        <f>IF('Journal'!B530="","",'Journal'!B530)</f>
        <v/>
      </c>
      <c r="C1057" s="5">
        <f>IF('Journal'!C530="","",'Journal'!C530)</f>
        <v/>
      </c>
      <c r="D1057" s="5">
        <f>IF('Journal'!D530="","",IFERROR(LEFT('Journal'!D530,FIND(" ",'Journal'!D530)-1),'Journal'!D530))</f>
        <v/>
      </c>
      <c r="E1057" s="5">
        <f>IF('Journal'!D530="","",IFERROR(INDEX('Kontoplan'!$B$3:$B$302,MATCH('Journal'!D530,'Kontoplan'!$H$3:$H$302,0)),""))</f>
        <v/>
      </c>
      <c r="F1057" s="20">
        <f>IF('Journal'!G530="","",'Journal'!G530)</f>
        <v/>
      </c>
      <c r="G1057" s="20">
        <f>IF('Journal'!F530="","",'Journal'!F530)</f>
        <v/>
      </c>
      <c r="H1057" s="5">
        <f>IF('Journal'!I530="","",'Journal'!I530)</f>
        <v/>
      </c>
    </row>
    <row r="1058">
      <c r="A1058" s="18">
        <f>IF('Journal'!A530="","",'Journal'!A530)</f>
        <v/>
      </c>
      <c r="B1058" s="21">
        <f>IF('Journal'!B530="","",'Journal'!B530)</f>
        <v/>
      </c>
      <c r="C1058" s="5">
        <f>IF('Journal'!C530="","",'Journal'!C530)</f>
        <v/>
      </c>
      <c r="D1058" s="5">
        <f>IF('Journal'!E530="","",IFERROR(LEFT('Journal'!E530,FIND(" ",'Journal'!E530)-1),'Journal'!E530))</f>
        <v/>
      </c>
      <c r="E1058" s="5">
        <f>IF('Journal'!E530="","",IFERROR(INDEX('Kontoplan'!$B$3:$B$302,MATCH('Journal'!E530,'Kontoplan'!$H$3:$H$302,0)),""))</f>
        <v/>
      </c>
      <c r="F1058" s="20">
        <f>IF('Journal'!F530="","",'Journal'!F530)</f>
        <v/>
      </c>
      <c r="G1058" s="20">
        <f>IF('Journal'!G530="","",'Journal'!G530)</f>
        <v/>
      </c>
      <c r="H1058" s="5">
        <f>IF('Journal'!I530="","",'Journal'!I530)</f>
        <v/>
      </c>
    </row>
    <row r="1059">
      <c r="A1059" s="18">
        <f>IF('Journal'!A531="","",'Journal'!A531)</f>
        <v/>
      </c>
      <c r="B1059" s="21">
        <f>IF('Journal'!B531="","",'Journal'!B531)</f>
        <v/>
      </c>
      <c r="C1059" s="5">
        <f>IF('Journal'!C531="","",'Journal'!C531)</f>
        <v/>
      </c>
      <c r="D1059" s="5">
        <f>IF('Journal'!D531="","",IFERROR(LEFT('Journal'!D531,FIND(" ",'Journal'!D531)-1),'Journal'!D531))</f>
        <v/>
      </c>
      <c r="E1059" s="5">
        <f>IF('Journal'!D531="","",IFERROR(INDEX('Kontoplan'!$B$3:$B$302,MATCH('Journal'!D531,'Kontoplan'!$H$3:$H$302,0)),""))</f>
        <v/>
      </c>
      <c r="F1059" s="20">
        <f>IF('Journal'!G531="","",'Journal'!G531)</f>
        <v/>
      </c>
      <c r="G1059" s="20">
        <f>IF('Journal'!F531="","",'Journal'!F531)</f>
        <v/>
      </c>
      <c r="H1059" s="5">
        <f>IF('Journal'!I531="","",'Journal'!I531)</f>
        <v/>
      </c>
    </row>
    <row r="1060">
      <c r="A1060" s="18">
        <f>IF('Journal'!A531="","",'Journal'!A531)</f>
        <v/>
      </c>
      <c r="B1060" s="21">
        <f>IF('Journal'!B531="","",'Journal'!B531)</f>
        <v/>
      </c>
      <c r="C1060" s="5">
        <f>IF('Journal'!C531="","",'Journal'!C531)</f>
        <v/>
      </c>
      <c r="D1060" s="5">
        <f>IF('Journal'!E531="","",IFERROR(LEFT('Journal'!E531,FIND(" ",'Journal'!E531)-1),'Journal'!E531))</f>
        <v/>
      </c>
      <c r="E1060" s="5">
        <f>IF('Journal'!E531="","",IFERROR(INDEX('Kontoplan'!$B$3:$B$302,MATCH('Journal'!E531,'Kontoplan'!$H$3:$H$302,0)),""))</f>
        <v/>
      </c>
      <c r="F1060" s="20">
        <f>IF('Journal'!F531="","",'Journal'!F531)</f>
        <v/>
      </c>
      <c r="G1060" s="20">
        <f>IF('Journal'!G531="","",'Journal'!G531)</f>
        <v/>
      </c>
      <c r="H1060" s="5">
        <f>IF('Journal'!I531="","",'Journal'!I531)</f>
        <v/>
      </c>
    </row>
    <row r="1061">
      <c r="A1061" s="18">
        <f>IF('Journal'!A532="","",'Journal'!A532)</f>
        <v/>
      </c>
      <c r="B1061" s="21">
        <f>IF('Journal'!B532="","",'Journal'!B532)</f>
        <v/>
      </c>
      <c r="C1061" s="5">
        <f>IF('Journal'!C532="","",'Journal'!C532)</f>
        <v/>
      </c>
      <c r="D1061" s="5">
        <f>IF('Journal'!D532="","",IFERROR(LEFT('Journal'!D532,FIND(" ",'Journal'!D532)-1),'Journal'!D532))</f>
        <v/>
      </c>
      <c r="E1061" s="5">
        <f>IF('Journal'!D532="","",IFERROR(INDEX('Kontoplan'!$B$3:$B$302,MATCH('Journal'!D532,'Kontoplan'!$H$3:$H$302,0)),""))</f>
        <v/>
      </c>
      <c r="F1061" s="20">
        <f>IF('Journal'!G532="","",'Journal'!G532)</f>
        <v/>
      </c>
      <c r="G1061" s="20">
        <f>IF('Journal'!F532="","",'Journal'!F532)</f>
        <v/>
      </c>
      <c r="H1061" s="5">
        <f>IF('Journal'!I532="","",'Journal'!I532)</f>
        <v/>
      </c>
    </row>
    <row r="1062">
      <c r="A1062" s="18">
        <f>IF('Journal'!A532="","",'Journal'!A532)</f>
        <v/>
      </c>
      <c r="B1062" s="21">
        <f>IF('Journal'!B532="","",'Journal'!B532)</f>
        <v/>
      </c>
      <c r="C1062" s="5">
        <f>IF('Journal'!C532="","",'Journal'!C532)</f>
        <v/>
      </c>
      <c r="D1062" s="5">
        <f>IF('Journal'!E532="","",IFERROR(LEFT('Journal'!E532,FIND(" ",'Journal'!E532)-1),'Journal'!E532))</f>
        <v/>
      </c>
      <c r="E1062" s="5">
        <f>IF('Journal'!E532="","",IFERROR(INDEX('Kontoplan'!$B$3:$B$302,MATCH('Journal'!E532,'Kontoplan'!$H$3:$H$302,0)),""))</f>
        <v/>
      </c>
      <c r="F1062" s="20">
        <f>IF('Journal'!F532="","",'Journal'!F532)</f>
        <v/>
      </c>
      <c r="G1062" s="20">
        <f>IF('Journal'!G532="","",'Journal'!G532)</f>
        <v/>
      </c>
      <c r="H1062" s="5">
        <f>IF('Journal'!I532="","",'Journal'!I532)</f>
        <v/>
      </c>
    </row>
    <row r="1063">
      <c r="A1063" s="18">
        <f>IF('Journal'!A533="","",'Journal'!A533)</f>
        <v/>
      </c>
      <c r="B1063" s="21">
        <f>IF('Journal'!B533="","",'Journal'!B533)</f>
        <v/>
      </c>
      <c r="C1063" s="5">
        <f>IF('Journal'!C533="","",'Journal'!C533)</f>
        <v/>
      </c>
      <c r="D1063" s="5">
        <f>IF('Journal'!D533="","",IFERROR(LEFT('Journal'!D533,FIND(" ",'Journal'!D533)-1),'Journal'!D533))</f>
        <v/>
      </c>
      <c r="E1063" s="5">
        <f>IF('Journal'!D533="","",IFERROR(INDEX('Kontoplan'!$B$3:$B$302,MATCH('Journal'!D533,'Kontoplan'!$H$3:$H$302,0)),""))</f>
        <v/>
      </c>
      <c r="F1063" s="20">
        <f>IF('Journal'!G533="","",'Journal'!G533)</f>
        <v/>
      </c>
      <c r="G1063" s="20">
        <f>IF('Journal'!F533="","",'Journal'!F533)</f>
        <v/>
      </c>
      <c r="H1063" s="5">
        <f>IF('Journal'!I533="","",'Journal'!I533)</f>
        <v/>
      </c>
    </row>
    <row r="1064">
      <c r="A1064" s="18">
        <f>IF('Journal'!A533="","",'Journal'!A533)</f>
        <v/>
      </c>
      <c r="B1064" s="21">
        <f>IF('Journal'!B533="","",'Journal'!B533)</f>
        <v/>
      </c>
      <c r="C1064" s="5">
        <f>IF('Journal'!C533="","",'Journal'!C533)</f>
        <v/>
      </c>
      <c r="D1064" s="5">
        <f>IF('Journal'!E533="","",IFERROR(LEFT('Journal'!E533,FIND(" ",'Journal'!E533)-1),'Journal'!E533))</f>
        <v/>
      </c>
      <c r="E1064" s="5">
        <f>IF('Journal'!E533="","",IFERROR(INDEX('Kontoplan'!$B$3:$B$302,MATCH('Journal'!E533,'Kontoplan'!$H$3:$H$302,0)),""))</f>
        <v/>
      </c>
      <c r="F1064" s="20">
        <f>IF('Journal'!F533="","",'Journal'!F533)</f>
        <v/>
      </c>
      <c r="G1064" s="20">
        <f>IF('Journal'!G533="","",'Journal'!G533)</f>
        <v/>
      </c>
      <c r="H1064" s="5">
        <f>IF('Journal'!I533="","",'Journal'!I533)</f>
        <v/>
      </c>
    </row>
    <row r="1065">
      <c r="A1065" s="18">
        <f>IF('Journal'!A534="","",'Journal'!A534)</f>
        <v/>
      </c>
      <c r="B1065" s="21">
        <f>IF('Journal'!B534="","",'Journal'!B534)</f>
        <v/>
      </c>
      <c r="C1065" s="5">
        <f>IF('Journal'!C534="","",'Journal'!C534)</f>
        <v/>
      </c>
      <c r="D1065" s="5">
        <f>IF('Journal'!D534="","",IFERROR(LEFT('Journal'!D534,FIND(" ",'Journal'!D534)-1),'Journal'!D534))</f>
        <v/>
      </c>
      <c r="E1065" s="5">
        <f>IF('Journal'!D534="","",IFERROR(INDEX('Kontoplan'!$B$3:$B$302,MATCH('Journal'!D534,'Kontoplan'!$H$3:$H$302,0)),""))</f>
        <v/>
      </c>
      <c r="F1065" s="20">
        <f>IF('Journal'!G534="","",'Journal'!G534)</f>
        <v/>
      </c>
      <c r="G1065" s="20">
        <f>IF('Journal'!F534="","",'Journal'!F534)</f>
        <v/>
      </c>
      <c r="H1065" s="5">
        <f>IF('Journal'!I534="","",'Journal'!I534)</f>
        <v/>
      </c>
    </row>
    <row r="1066">
      <c r="A1066" s="18">
        <f>IF('Journal'!A534="","",'Journal'!A534)</f>
        <v/>
      </c>
      <c r="B1066" s="21">
        <f>IF('Journal'!B534="","",'Journal'!B534)</f>
        <v/>
      </c>
      <c r="C1066" s="5">
        <f>IF('Journal'!C534="","",'Journal'!C534)</f>
        <v/>
      </c>
      <c r="D1066" s="5">
        <f>IF('Journal'!E534="","",IFERROR(LEFT('Journal'!E534,FIND(" ",'Journal'!E534)-1),'Journal'!E534))</f>
        <v/>
      </c>
      <c r="E1066" s="5">
        <f>IF('Journal'!E534="","",IFERROR(INDEX('Kontoplan'!$B$3:$B$302,MATCH('Journal'!E534,'Kontoplan'!$H$3:$H$302,0)),""))</f>
        <v/>
      </c>
      <c r="F1066" s="20">
        <f>IF('Journal'!F534="","",'Journal'!F534)</f>
        <v/>
      </c>
      <c r="G1066" s="20">
        <f>IF('Journal'!G534="","",'Journal'!G534)</f>
        <v/>
      </c>
      <c r="H1066" s="5">
        <f>IF('Journal'!I534="","",'Journal'!I534)</f>
        <v/>
      </c>
    </row>
    <row r="1067">
      <c r="A1067" s="18">
        <f>IF('Journal'!A535="","",'Journal'!A535)</f>
        <v/>
      </c>
      <c r="B1067" s="21">
        <f>IF('Journal'!B535="","",'Journal'!B535)</f>
        <v/>
      </c>
      <c r="C1067" s="5">
        <f>IF('Journal'!C535="","",'Journal'!C535)</f>
        <v/>
      </c>
      <c r="D1067" s="5">
        <f>IF('Journal'!D535="","",IFERROR(LEFT('Journal'!D535,FIND(" ",'Journal'!D535)-1),'Journal'!D535))</f>
        <v/>
      </c>
      <c r="E1067" s="5">
        <f>IF('Journal'!D535="","",IFERROR(INDEX('Kontoplan'!$B$3:$B$302,MATCH('Journal'!D535,'Kontoplan'!$H$3:$H$302,0)),""))</f>
        <v/>
      </c>
      <c r="F1067" s="20">
        <f>IF('Journal'!G535="","",'Journal'!G535)</f>
        <v/>
      </c>
      <c r="G1067" s="20">
        <f>IF('Journal'!F535="","",'Journal'!F535)</f>
        <v/>
      </c>
      <c r="H1067" s="5">
        <f>IF('Journal'!I535="","",'Journal'!I535)</f>
        <v/>
      </c>
    </row>
    <row r="1068">
      <c r="A1068" s="18">
        <f>IF('Journal'!A535="","",'Journal'!A535)</f>
        <v/>
      </c>
      <c r="B1068" s="21">
        <f>IF('Journal'!B535="","",'Journal'!B535)</f>
        <v/>
      </c>
      <c r="C1068" s="5">
        <f>IF('Journal'!C535="","",'Journal'!C535)</f>
        <v/>
      </c>
      <c r="D1068" s="5">
        <f>IF('Journal'!E535="","",IFERROR(LEFT('Journal'!E535,FIND(" ",'Journal'!E535)-1),'Journal'!E535))</f>
        <v/>
      </c>
      <c r="E1068" s="5">
        <f>IF('Journal'!E535="","",IFERROR(INDEX('Kontoplan'!$B$3:$B$302,MATCH('Journal'!E535,'Kontoplan'!$H$3:$H$302,0)),""))</f>
        <v/>
      </c>
      <c r="F1068" s="20">
        <f>IF('Journal'!F535="","",'Journal'!F535)</f>
        <v/>
      </c>
      <c r="G1068" s="20">
        <f>IF('Journal'!G535="","",'Journal'!G535)</f>
        <v/>
      </c>
      <c r="H1068" s="5">
        <f>IF('Journal'!I535="","",'Journal'!I535)</f>
        <v/>
      </c>
    </row>
    <row r="1069">
      <c r="A1069" s="18">
        <f>IF('Journal'!A536="","",'Journal'!A536)</f>
        <v/>
      </c>
      <c r="B1069" s="21">
        <f>IF('Journal'!B536="","",'Journal'!B536)</f>
        <v/>
      </c>
      <c r="C1069" s="5">
        <f>IF('Journal'!C536="","",'Journal'!C536)</f>
        <v/>
      </c>
      <c r="D1069" s="5">
        <f>IF('Journal'!D536="","",IFERROR(LEFT('Journal'!D536,FIND(" ",'Journal'!D536)-1),'Journal'!D536))</f>
        <v/>
      </c>
      <c r="E1069" s="5">
        <f>IF('Journal'!D536="","",IFERROR(INDEX('Kontoplan'!$B$3:$B$302,MATCH('Journal'!D536,'Kontoplan'!$H$3:$H$302,0)),""))</f>
        <v/>
      </c>
      <c r="F1069" s="20">
        <f>IF('Journal'!G536="","",'Journal'!G536)</f>
        <v/>
      </c>
      <c r="G1069" s="20">
        <f>IF('Journal'!F536="","",'Journal'!F536)</f>
        <v/>
      </c>
      <c r="H1069" s="5">
        <f>IF('Journal'!I536="","",'Journal'!I536)</f>
        <v/>
      </c>
    </row>
    <row r="1070">
      <c r="A1070" s="18">
        <f>IF('Journal'!A536="","",'Journal'!A536)</f>
        <v/>
      </c>
      <c r="B1070" s="21">
        <f>IF('Journal'!B536="","",'Journal'!B536)</f>
        <v/>
      </c>
      <c r="C1070" s="5">
        <f>IF('Journal'!C536="","",'Journal'!C536)</f>
        <v/>
      </c>
      <c r="D1070" s="5">
        <f>IF('Journal'!E536="","",IFERROR(LEFT('Journal'!E536,FIND(" ",'Journal'!E536)-1),'Journal'!E536))</f>
        <v/>
      </c>
      <c r="E1070" s="5">
        <f>IF('Journal'!E536="","",IFERROR(INDEX('Kontoplan'!$B$3:$B$302,MATCH('Journal'!E536,'Kontoplan'!$H$3:$H$302,0)),""))</f>
        <v/>
      </c>
      <c r="F1070" s="20">
        <f>IF('Journal'!F536="","",'Journal'!F536)</f>
        <v/>
      </c>
      <c r="G1070" s="20">
        <f>IF('Journal'!G536="","",'Journal'!G536)</f>
        <v/>
      </c>
      <c r="H1070" s="5">
        <f>IF('Journal'!I536="","",'Journal'!I536)</f>
        <v/>
      </c>
    </row>
    <row r="1071">
      <c r="A1071" s="18">
        <f>IF('Journal'!A537="","",'Journal'!A537)</f>
        <v/>
      </c>
      <c r="B1071" s="21">
        <f>IF('Journal'!B537="","",'Journal'!B537)</f>
        <v/>
      </c>
      <c r="C1071" s="5">
        <f>IF('Journal'!C537="","",'Journal'!C537)</f>
        <v/>
      </c>
      <c r="D1071" s="5">
        <f>IF('Journal'!D537="","",IFERROR(LEFT('Journal'!D537,FIND(" ",'Journal'!D537)-1),'Journal'!D537))</f>
        <v/>
      </c>
      <c r="E1071" s="5">
        <f>IF('Journal'!D537="","",IFERROR(INDEX('Kontoplan'!$B$3:$B$302,MATCH('Journal'!D537,'Kontoplan'!$H$3:$H$302,0)),""))</f>
        <v/>
      </c>
      <c r="F1071" s="20">
        <f>IF('Journal'!G537="","",'Journal'!G537)</f>
        <v/>
      </c>
      <c r="G1071" s="20">
        <f>IF('Journal'!F537="","",'Journal'!F537)</f>
        <v/>
      </c>
      <c r="H1071" s="5">
        <f>IF('Journal'!I537="","",'Journal'!I537)</f>
        <v/>
      </c>
    </row>
    <row r="1072">
      <c r="A1072" s="18">
        <f>IF('Journal'!A537="","",'Journal'!A537)</f>
        <v/>
      </c>
      <c r="B1072" s="21">
        <f>IF('Journal'!B537="","",'Journal'!B537)</f>
        <v/>
      </c>
      <c r="C1072" s="5">
        <f>IF('Journal'!C537="","",'Journal'!C537)</f>
        <v/>
      </c>
      <c r="D1072" s="5">
        <f>IF('Journal'!E537="","",IFERROR(LEFT('Journal'!E537,FIND(" ",'Journal'!E537)-1),'Journal'!E537))</f>
        <v/>
      </c>
      <c r="E1072" s="5">
        <f>IF('Journal'!E537="","",IFERROR(INDEX('Kontoplan'!$B$3:$B$302,MATCH('Journal'!E537,'Kontoplan'!$H$3:$H$302,0)),""))</f>
        <v/>
      </c>
      <c r="F1072" s="20">
        <f>IF('Journal'!F537="","",'Journal'!F537)</f>
        <v/>
      </c>
      <c r="G1072" s="20">
        <f>IF('Journal'!G537="","",'Journal'!G537)</f>
        <v/>
      </c>
      <c r="H1072" s="5">
        <f>IF('Journal'!I537="","",'Journal'!I537)</f>
        <v/>
      </c>
    </row>
    <row r="1073">
      <c r="A1073" s="18">
        <f>IF('Journal'!A538="","",'Journal'!A538)</f>
        <v/>
      </c>
      <c r="B1073" s="21">
        <f>IF('Journal'!B538="","",'Journal'!B538)</f>
        <v/>
      </c>
      <c r="C1073" s="5">
        <f>IF('Journal'!C538="","",'Journal'!C538)</f>
        <v/>
      </c>
      <c r="D1073" s="5">
        <f>IF('Journal'!D538="","",IFERROR(LEFT('Journal'!D538,FIND(" ",'Journal'!D538)-1),'Journal'!D538))</f>
        <v/>
      </c>
      <c r="E1073" s="5">
        <f>IF('Journal'!D538="","",IFERROR(INDEX('Kontoplan'!$B$3:$B$302,MATCH('Journal'!D538,'Kontoplan'!$H$3:$H$302,0)),""))</f>
        <v/>
      </c>
      <c r="F1073" s="20">
        <f>IF('Journal'!G538="","",'Journal'!G538)</f>
        <v/>
      </c>
      <c r="G1073" s="20">
        <f>IF('Journal'!F538="","",'Journal'!F538)</f>
        <v/>
      </c>
      <c r="H1073" s="5">
        <f>IF('Journal'!I538="","",'Journal'!I538)</f>
        <v/>
      </c>
    </row>
    <row r="1074">
      <c r="A1074" s="18">
        <f>IF('Journal'!A538="","",'Journal'!A538)</f>
        <v/>
      </c>
      <c r="B1074" s="21">
        <f>IF('Journal'!B538="","",'Journal'!B538)</f>
        <v/>
      </c>
      <c r="C1074" s="5">
        <f>IF('Journal'!C538="","",'Journal'!C538)</f>
        <v/>
      </c>
      <c r="D1074" s="5">
        <f>IF('Journal'!E538="","",IFERROR(LEFT('Journal'!E538,FIND(" ",'Journal'!E538)-1),'Journal'!E538))</f>
        <v/>
      </c>
      <c r="E1074" s="5">
        <f>IF('Journal'!E538="","",IFERROR(INDEX('Kontoplan'!$B$3:$B$302,MATCH('Journal'!E538,'Kontoplan'!$H$3:$H$302,0)),""))</f>
        <v/>
      </c>
      <c r="F1074" s="20">
        <f>IF('Journal'!F538="","",'Journal'!F538)</f>
        <v/>
      </c>
      <c r="G1074" s="20">
        <f>IF('Journal'!G538="","",'Journal'!G538)</f>
        <v/>
      </c>
      <c r="H1074" s="5">
        <f>IF('Journal'!I538="","",'Journal'!I538)</f>
        <v/>
      </c>
    </row>
    <row r="1075">
      <c r="A1075" s="18">
        <f>IF('Journal'!A539="","",'Journal'!A539)</f>
        <v/>
      </c>
      <c r="B1075" s="21">
        <f>IF('Journal'!B539="","",'Journal'!B539)</f>
        <v/>
      </c>
      <c r="C1075" s="5">
        <f>IF('Journal'!C539="","",'Journal'!C539)</f>
        <v/>
      </c>
      <c r="D1075" s="5">
        <f>IF('Journal'!D539="","",IFERROR(LEFT('Journal'!D539,FIND(" ",'Journal'!D539)-1),'Journal'!D539))</f>
        <v/>
      </c>
      <c r="E1075" s="5">
        <f>IF('Journal'!D539="","",IFERROR(INDEX('Kontoplan'!$B$3:$B$302,MATCH('Journal'!D539,'Kontoplan'!$H$3:$H$302,0)),""))</f>
        <v/>
      </c>
      <c r="F1075" s="20">
        <f>IF('Journal'!G539="","",'Journal'!G539)</f>
        <v/>
      </c>
      <c r="G1075" s="20">
        <f>IF('Journal'!F539="","",'Journal'!F539)</f>
        <v/>
      </c>
      <c r="H1075" s="5">
        <f>IF('Journal'!I539="","",'Journal'!I539)</f>
        <v/>
      </c>
    </row>
    <row r="1076">
      <c r="A1076" s="18">
        <f>IF('Journal'!A539="","",'Journal'!A539)</f>
        <v/>
      </c>
      <c r="B1076" s="21">
        <f>IF('Journal'!B539="","",'Journal'!B539)</f>
        <v/>
      </c>
      <c r="C1076" s="5">
        <f>IF('Journal'!C539="","",'Journal'!C539)</f>
        <v/>
      </c>
      <c r="D1076" s="5">
        <f>IF('Journal'!E539="","",IFERROR(LEFT('Journal'!E539,FIND(" ",'Journal'!E539)-1),'Journal'!E539))</f>
        <v/>
      </c>
      <c r="E1076" s="5">
        <f>IF('Journal'!E539="","",IFERROR(INDEX('Kontoplan'!$B$3:$B$302,MATCH('Journal'!E539,'Kontoplan'!$H$3:$H$302,0)),""))</f>
        <v/>
      </c>
      <c r="F1076" s="20">
        <f>IF('Journal'!F539="","",'Journal'!F539)</f>
        <v/>
      </c>
      <c r="G1076" s="20">
        <f>IF('Journal'!G539="","",'Journal'!G539)</f>
        <v/>
      </c>
      <c r="H1076" s="5">
        <f>IF('Journal'!I539="","",'Journal'!I539)</f>
        <v/>
      </c>
    </row>
    <row r="1077">
      <c r="A1077" s="18">
        <f>IF('Journal'!A540="","",'Journal'!A540)</f>
        <v/>
      </c>
      <c r="B1077" s="21">
        <f>IF('Journal'!B540="","",'Journal'!B540)</f>
        <v/>
      </c>
      <c r="C1077" s="5">
        <f>IF('Journal'!C540="","",'Journal'!C540)</f>
        <v/>
      </c>
      <c r="D1077" s="5">
        <f>IF('Journal'!D540="","",IFERROR(LEFT('Journal'!D540,FIND(" ",'Journal'!D540)-1),'Journal'!D540))</f>
        <v/>
      </c>
      <c r="E1077" s="5">
        <f>IF('Journal'!D540="","",IFERROR(INDEX('Kontoplan'!$B$3:$B$302,MATCH('Journal'!D540,'Kontoplan'!$H$3:$H$302,0)),""))</f>
        <v/>
      </c>
      <c r="F1077" s="20">
        <f>IF('Journal'!G540="","",'Journal'!G540)</f>
        <v/>
      </c>
      <c r="G1077" s="20">
        <f>IF('Journal'!F540="","",'Journal'!F540)</f>
        <v/>
      </c>
      <c r="H1077" s="5">
        <f>IF('Journal'!I540="","",'Journal'!I540)</f>
        <v/>
      </c>
    </row>
    <row r="1078">
      <c r="A1078" s="18">
        <f>IF('Journal'!A540="","",'Journal'!A540)</f>
        <v/>
      </c>
      <c r="B1078" s="21">
        <f>IF('Journal'!B540="","",'Journal'!B540)</f>
        <v/>
      </c>
      <c r="C1078" s="5">
        <f>IF('Journal'!C540="","",'Journal'!C540)</f>
        <v/>
      </c>
      <c r="D1078" s="5">
        <f>IF('Journal'!E540="","",IFERROR(LEFT('Journal'!E540,FIND(" ",'Journal'!E540)-1),'Journal'!E540))</f>
        <v/>
      </c>
      <c r="E1078" s="5">
        <f>IF('Journal'!E540="","",IFERROR(INDEX('Kontoplan'!$B$3:$B$302,MATCH('Journal'!E540,'Kontoplan'!$H$3:$H$302,0)),""))</f>
        <v/>
      </c>
      <c r="F1078" s="20">
        <f>IF('Journal'!F540="","",'Journal'!F540)</f>
        <v/>
      </c>
      <c r="G1078" s="20">
        <f>IF('Journal'!G540="","",'Journal'!G540)</f>
        <v/>
      </c>
      <c r="H1078" s="5">
        <f>IF('Journal'!I540="","",'Journal'!I540)</f>
        <v/>
      </c>
    </row>
    <row r="1079">
      <c r="A1079" s="18">
        <f>IF('Journal'!A541="","",'Journal'!A541)</f>
        <v/>
      </c>
      <c r="B1079" s="21">
        <f>IF('Journal'!B541="","",'Journal'!B541)</f>
        <v/>
      </c>
      <c r="C1079" s="5">
        <f>IF('Journal'!C541="","",'Journal'!C541)</f>
        <v/>
      </c>
      <c r="D1079" s="5">
        <f>IF('Journal'!D541="","",IFERROR(LEFT('Journal'!D541,FIND(" ",'Journal'!D541)-1),'Journal'!D541))</f>
        <v/>
      </c>
      <c r="E1079" s="5">
        <f>IF('Journal'!D541="","",IFERROR(INDEX('Kontoplan'!$B$3:$B$302,MATCH('Journal'!D541,'Kontoplan'!$H$3:$H$302,0)),""))</f>
        <v/>
      </c>
      <c r="F1079" s="20">
        <f>IF('Journal'!G541="","",'Journal'!G541)</f>
        <v/>
      </c>
      <c r="G1079" s="20">
        <f>IF('Journal'!F541="","",'Journal'!F541)</f>
        <v/>
      </c>
      <c r="H1079" s="5">
        <f>IF('Journal'!I541="","",'Journal'!I541)</f>
        <v/>
      </c>
    </row>
    <row r="1080">
      <c r="A1080" s="18">
        <f>IF('Journal'!A541="","",'Journal'!A541)</f>
        <v/>
      </c>
      <c r="B1080" s="21">
        <f>IF('Journal'!B541="","",'Journal'!B541)</f>
        <v/>
      </c>
      <c r="C1080" s="5">
        <f>IF('Journal'!C541="","",'Journal'!C541)</f>
        <v/>
      </c>
      <c r="D1080" s="5">
        <f>IF('Journal'!E541="","",IFERROR(LEFT('Journal'!E541,FIND(" ",'Journal'!E541)-1),'Journal'!E541))</f>
        <v/>
      </c>
      <c r="E1080" s="5">
        <f>IF('Journal'!E541="","",IFERROR(INDEX('Kontoplan'!$B$3:$B$302,MATCH('Journal'!E541,'Kontoplan'!$H$3:$H$302,0)),""))</f>
        <v/>
      </c>
      <c r="F1080" s="20">
        <f>IF('Journal'!F541="","",'Journal'!F541)</f>
        <v/>
      </c>
      <c r="G1080" s="20">
        <f>IF('Journal'!G541="","",'Journal'!G541)</f>
        <v/>
      </c>
      <c r="H1080" s="5">
        <f>IF('Journal'!I541="","",'Journal'!I541)</f>
        <v/>
      </c>
    </row>
    <row r="1081">
      <c r="A1081" s="18">
        <f>IF('Journal'!A542="","",'Journal'!A542)</f>
        <v/>
      </c>
      <c r="B1081" s="21">
        <f>IF('Journal'!B542="","",'Journal'!B542)</f>
        <v/>
      </c>
      <c r="C1081" s="5">
        <f>IF('Journal'!C542="","",'Journal'!C542)</f>
        <v/>
      </c>
      <c r="D1081" s="5">
        <f>IF('Journal'!D542="","",IFERROR(LEFT('Journal'!D542,FIND(" ",'Journal'!D542)-1),'Journal'!D542))</f>
        <v/>
      </c>
      <c r="E1081" s="5">
        <f>IF('Journal'!D542="","",IFERROR(INDEX('Kontoplan'!$B$3:$B$302,MATCH('Journal'!D542,'Kontoplan'!$H$3:$H$302,0)),""))</f>
        <v/>
      </c>
      <c r="F1081" s="20">
        <f>IF('Journal'!G542="","",'Journal'!G542)</f>
        <v/>
      </c>
      <c r="G1081" s="20">
        <f>IF('Journal'!F542="","",'Journal'!F542)</f>
        <v/>
      </c>
      <c r="H1081" s="5">
        <f>IF('Journal'!I542="","",'Journal'!I542)</f>
        <v/>
      </c>
    </row>
    <row r="1082">
      <c r="A1082" s="18">
        <f>IF('Journal'!A542="","",'Journal'!A542)</f>
        <v/>
      </c>
      <c r="B1082" s="21">
        <f>IF('Journal'!B542="","",'Journal'!B542)</f>
        <v/>
      </c>
      <c r="C1082" s="5">
        <f>IF('Journal'!C542="","",'Journal'!C542)</f>
        <v/>
      </c>
      <c r="D1082" s="5">
        <f>IF('Journal'!E542="","",IFERROR(LEFT('Journal'!E542,FIND(" ",'Journal'!E542)-1),'Journal'!E542))</f>
        <v/>
      </c>
      <c r="E1082" s="5">
        <f>IF('Journal'!E542="","",IFERROR(INDEX('Kontoplan'!$B$3:$B$302,MATCH('Journal'!E542,'Kontoplan'!$H$3:$H$302,0)),""))</f>
        <v/>
      </c>
      <c r="F1082" s="20">
        <f>IF('Journal'!F542="","",'Journal'!F542)</f>
        <v/>
      </c>
      <c r="G1082" s="20">
        <f>IF('Journal'!G542="","",'Journal'!G542)</f>
        <v/>
      </c>
      <c r="H1082" s="5">
        <f>IF('Journal'!I542="","",'Journal'!I542)</f>
        <v/>
      </c>
    </row>
    <row r="1083">
      <c r="A1083" s="18">
        <f>IF('Journal'!A543="","",'Journal'!A543)</f>
        <v/>
      </c>
      <c r="B1083" s="21">
        <f>IF('Journal'!B543="","",'Journal'!B543)</f>
        <v/>
      </c>
      <c r="C1083" s="5">
        <f>IF('Journal'!C543="","",'Journal'!C543)</f>
        <v/>
      </c>
      <c r="D1083" s="5">
        <f>IF('Journal'!D543="","",IFERROR(LEFT('Journal'!D543,FIND(" ",'Journal'!D543)-1),'Journal'!D543))</f>
        <v/>
      </c>
      <c r="E1083" s="5">
        <f>IF('Journal'!D543="","",IFERROR(INDEX('Kontoplan'!$B$3:$B$302,MATCH('Journal'!D543,'Kontoplan'!$H$3:$H$302,0)),""))</f>
        <v/>
      </c>
      <c r="F1083" s="20">
        <f>IF('Journal'!G543="","",'Journal'!G543)</f>
        <v/>
      </c>
      <c r="G1083" s="20">
        <f>IF('Journal'!F543="","",'Journal'!F543)</f>
        <v/>
      </c>
      <c r="H1083" s="5">
        <f>IF('Journal'!I543="","",'Journal'!I543)</f>
        <v/>
      </c>
    </row>
    <row r="1084">
      <c r="A1084" s="18">
        <f>IF('Journal'!A543="","",'Journal'!A543)</f>
        <v/>
      </c>
      <c r="B1084" s="21">
        <f>IF('Journal'!B543="","",'Journal'!B543)</f>
        <v/>
      </c>
      <c r="C1084" s="5">
        <f>IF('Journal'!C543="","",'Journal'!C543)</f>
        <v/>
      </c>
      <c r="D1084" s="5">
        <f>IF('Journal'!E543="","",IFERROR(LEFT('Journal'!E543,FIND(" ",'Journal'!E543)-1),'Journal'!E543))</f>
        <v/>
      </c>
      <c r="E1084" s="5">
        <f>IF('Journal'!E543="","",IFERROR(INDEX('Kontoplan'!$B$3:$B$302,MATCH('Journal'!E543,'Kontoplan'!$H$3:$H$302,0)),""))</f>
        <v/>
      </c>
      <c r="F1084" s="20">
        <f>IF('Journal'!F543="","",'Journal'!F543)</f>
        <v/>
      </c>
      <c r="G1084" s="20">
        <f>IF('Journal'!G543="","",'Journal'!G543)</f>
        <v/>
      </c>
      <c r="H1084" s="5">
        <f>IF('Journal'!I543="","",'Journal'!I543)</f>
        <v/>
      </c>
    </row>
    <row r="1085">
      <c r="A1085" s="18">
        <f>IF('Journal'!A544="","",'Journal'!A544)</f>
        <v/>
      </c>
      <c r="B1085" s="21">
        <f>IF('Journal'!B544="","",'Journal'!B544)</f>
        <v/>
      </c>
      <c r="C1085" s="5">
        <f>IF('Journal'!C544="","",'Journal'!C544)</f>
        <v/>
      </c>
      <c r="D1085" s="5">
        <f>IF('Journal'!D544="","",IFERROR(LEFT('Journal'!D544,FIND(" ",'Journal'!D544)-1),'Journal'!D544))</f>
        <v/>
      </c>
      <c r="E1085" s="5">
        <f>IF('Journal'!D544="","",IFERROR(INDEX('Kontoplan'!$B$3:$B$302,MATCH('Journal'!D544,'Kontoplan'!$H$3:$H$302,0)),""))</f>
        <v/>
      </c>
      <c r="F1085" s="20">
        <f>IF('Journal'!G544="","",'Journal'!G544)</f>
        <v/>
      </c>
      <c r="G1085" s="20">
        <f>IF('Journal'!F544="","",'Journal'!F544)</f>
        <v/>
      </c>
      <c r="H1085" s="5">
        <f>IF('Journal'!I544="","",'Journal'!I544)</f>
        <v/>
      </c>
    </row>
    <row r="1086">
      <c r="A1086" s="18">
        <f>IF('Journal'!A544="","",'Journal'!A544)</f>
        <v/>
      </c>
      <c r="B1086" s="21">
        <f>IF('Journal'!B544="","",'Journal'!B544)</f>
        <v/>
      </c>
      <c r="C1086" s="5">
        <f>IF('Journal'!C544="","",'Journal'!C544)</f>
        <v/>
      </c>
      <c r="D1086" s="5">
        <f>IF('Journal'!E544="","",IFERROR(LEFT('Journal'!E544,FIND(" ",'Journal'!E544)-1),'Journal'!E544))</f>
        <v/>
      </c>
      <c r="E1086" s="5">
        <f>IF('Journal'!E544="","",IFERROR(INDEX('Kontoplan'!$B$3:$B$302,MATCH('Journal'!E544,'Kontoplan'!$H$3:$H$302,0)),""))</f>
        <v/>
      </c>
      <c r="F1086" s="20">
        <f>IF('Journal'!F544="","",'Journal'!F544)</f>
        <v/>
      </c>
      <c r="G1086" s="20">
        <f>IF('Journal'!G544="","",'Journal'!G544)</f>
        <v/>
      </c>
      <c r="H1086" s="5">
        <f>IF('Journal'!I544="","",'Journal'!I544)</f>
        <v/>
      </c>
    </row>
    <row r="1087">
      <c r="A1087" s="18">
        <f>IF('Journal'!A545="","",'Journal'!A545)</f>
        <v/>
      </c>
      <c r="B1087" s="21">
        <f>IF('Journal'!B545="","",'Journal'!B545)</f>
        <v/>
      </c>
      <c r="C1087" s="5">
        <f>IF('Journal'!C545="","",'Journal'!C545)</f>
        <v/>
      </c>
      <c r="D1087" s="5">
        <f>IF('Journal'!D545="","",IFERROR(LEFT('Journal'!D545,FIND(" ",'Journal'!D545)-1),'Journal'!D545))</f>
        <v/>
      </c>
      <c r="E1087" s="5">
        <f>IF('Journal'!D545="","",IFERROR(INDEX('Kontoplan'!$B$3:$B$302,MATCH('Journal'!D545,'Kontoplan'!$H$3:$H$302,0)),""))</f>
        <v/>
      </c>
      <c r="F1087" s="20">
        <f>IF('Journal'!G545="","",'Journal'!G545)</f>
        <v/>
      </c>
      <c r="G1087" s="20">
        <f>IF('Journal'!F545="","",'Journal'!F545)</f>
        <v/>
      </c>
      <c r="H1087" s="5">
        <f>IF('Journal'!I545="","",'Journal'!I545)</f>
        <v/>
      </c>
    </row>
    <row r="1088">
      <c r="A1088" s="18">
        <f>IF('Journal'!A545="","",'Journal'!A545)</f>
        <v/>
      </c>
      <c r="B1088" s="21">
        <f>IF('Journal'!B545="","",'Journal'!B545)</f>
        <v/>
      </c>
      <c r="C1088" s="5">
        <f>IF('Journal'!C545="","",'Journal'!C545)</f>
        <v/>
      </c>
      <c r="D1088" s="5">
        <f>IF('Journal'!E545="","",IFERROR(LEFT('Journal'!E545,FIND(" ",'Journal'!E545)-1),'Journal'!E545))</f>
        <v/>
      </c>
      <c r="E1088" s="5">
        <f>IF('Journal'!E545="","",IFERROR(INDEX('Kontoplan'!$B$3:$B$302,MATCH('Journal'!E545,'Kontoplan'!$H$3:$H$302,0)),""))</f>
        <v/>
      </c>
      <c r="F1088" s="20">
        <f>IF('Journal'!F545="","",'Journal'!F545)</f>
        <v/>
      </c>
      <c r="G1088" s="20">
        <f>IF('Journal'!G545="","",'Journal'!G545)</f>
        <v/>
      </c>
      <c r="H1088" s="5">
        <f>IF('Journal'!I545="","",'Journal'!I545)</f>
        <v/>
      </c>
    </row>
    <row r="1089">
      <c r="A1089" s="18">
        <f>IF('Journal'!A546="","",'Journal'!A546)</f>
        <v/>
      </c>
      <c r="B1089" s="21">
        <f>IF('Journal'!B546="","",'Journal'!B546)</f>
        <v/>
      </c>
      <c r="C1089" s="5">
        <f>IF('Journal'!C546="","",'Journal'!C546)</f>
        <v/>
      </c>
      <c r="D1089" s="5">
        <f>IF('Journal'!D546="","",IFERROR(LEFT('Journal'!D546,FIND(" ",'Journal'!D546)-1),'Journal'!D546))</f>
        <v/>
      </c>
      <c r="E1089" s="5">
        <f>IF('Journal'!D546="","",IFERROR(INDEX('Kontoplan'!$B$3:$B$302,MATCH('Journal'!D546,'Kontoplan'!$H$3:$H$302,0)),""))</f>
        <v/>
      </c>
      <c r="F1089" s="20">
        <f>IF('Journal'!G546="","",'Journal'!G546)</f>
        <v/>
      </c>
      <c r="G1089" s="20">
        <f>IF('Journal'!F546="","",'Journal'!F546)</f>
        <v/>
      </c>
      <c r="H1089" s="5">
        <f>IF('Journal'!I546="","",'Journal'!I546)</f>
        <v/>
      </c>
    </row>
    <row r="1090">
      <c r="A1090" s="18">
        <f>IF('Journal'!A546="","",'Journal'!A546)</f>
        <v/>
      </c>
      <c r="B1090" s="21">
        <f>IF('Journal'!B546="","",'Journal'!B546)</f>
        <v/>
      </c>
      <c r="C1090" s="5">
        <f>IF('Journal'!C546="","",'Journal'!C546)</f>
        <v/>
      </c>
      <c r="D1090" s="5">
        <f>IF('Journal'!E546="","",IFERROR(LEFT('Journal'!E546,FIND(" ",'Journal'!E546)-1),'Journal'!E546))</f>
        <v/>
      </c>
      <c r="E1090" s="5">
        <f>IF('Journal'!E546="","",IFERROR(INDEX('Kontoplan'!$B$3:$B$302,MATCH('Journal'!E546,'Kontoplan'!$H$3:$H$302,0)),""))</f>
        <v/>
      </c>
      <c r="F1090" s="20">
        <f>IF('Journal'!F546="","",'Journal'!F546)</f>
        <v/>
      </c>
      <c r="G1090" s="20">
        <f>IF('Journal'!G546="","",'Journal'!G546)</f>
        <v/>
      </c>
      <c r="H1090" s="5">
        <f>IF('Journal'!I546="","",'Journal'!I546)</f>
        <v/>
      </c>
    </row>
    <row r="1091">
      <c r="A1091" s="18">
        <f>IF('Journal'!A547="","",'Journal'!A547)</f>
        <v/>
      </c>
      <c r="B1091" s="21">
        <f>IF('Journal'!B547="","",'Journal'!B547)</f>
        <v/>
      </c>
      <c r="C1091" s="5">
        <f>IF('Journal'!C547="","",'Journal'!C547)</f>
        <v/>
      </c>
      <c r="D1091" s="5">
        <f>IF('Journal'!D547="","",IFERROR(LEFT('Journal'!D547,FIND(" ",'Journal'!D547)-1),'Journal'!D547))</f>
        <v/>
      </c>
      <c r="E1091" s="5">
        <f>IF('Journal'!D547="","",IFERROR(INDEX('Kontoplan'!$B$3:$B$302,MATCH('Journal'!D547,'Kontoplan'!$H$3:$H$302,0)),""))</f>
        <v/>
      </c>
      <c r="F1091" s="20">
        <f>IF('Journal'!G547="","",'Journal'!G547)</f>
        <v/>
      </c>
      <c r="G1091" s="20">
        <f>IF('Journal'!F547="","",'Journal'!F547)</f>
        <v/>
      </c>
      <c r="H1091" s="5">
        <f>IF('Journal'!I547="","",'Journal'!I547)</f>
        <v/>
      </c>
    </row>
    <row r="1092">
      <c r="A1092" s="18">
        <f>IF('Journal'!A547="","",'Journal'!A547)</f>
        <v/>
      </c>
      <c r="B1092" s="21">
        <f>IF('Journal'!B547="","",'Journal'!B547)</f>
        <v/>
      </c>
      <c r="C1092" s="5">
        <f>IF('Journal'!C547="","",'Journal'!C547)</f>
        <v/>
      </c>
      <c r="D1092" s="5">
        <f>IF('Journal'!E547="","",IFERROR(LEFT('Journal'!E547,FIND(" ",'Journal'!E547)-1),'Journal'!E547))</f>
        <v/>
      </c>
      <c r="E1092" s="5">
        <f>IF('Journal'!E547="","",IFERROR(INDEX('Kontoplan'!$B$3:$B$302,MATCH('Journal'!E547,'Kontoplan'!$H$3:$H$302,0)),""))</f>
        <v/>
      </c>
      <c r="F1092" s="20">
        <f>IF('Journal'!F547="","",'Journal'!F547)</f>
        <v/>
      </c>
      <c r="G1092" s="20">
        <f>IF('Journal'!G547="","",'Journal'!G547)</f>
        <v/>
      </c>
      <c r="H1092" s="5">
        <f>IF('Journal'!I547="","",'Journal'!I547)</f>
        <v/>
      </c>
    </row>
    <row r="1093">
      <c r="A1093" s="18">
        <f>IF('Journal'!A548="","",'Journal'!A548)</f>
        <v/>
      </c>
      <c r="B1093" s="21">
        <f>IF('Journal'!B548="","",'Journal'!B548)</f>
        <v/>
      </c>
      <c r="C1093" s="5">
        <f>IF('Journal'!C548="","",'Journal'!C548)</f>
        <v/>
      </c>
      <c r="D1093" s="5">
        <f>IF('Journal'!D548="","",IFERROR(LEFT('Journal'!D548,FIND(" ",'Journal'!D548)-1),'Journal'!D548))</f>
        <v/>
      </c>
      <c r="E1093" s="5">
        <f>IF('Journal'!D548="","",IFERROR(INDEX('Kontoplan'!$B$3:$B$302,MATCH('Journal'!D548,'Kontoplan'!$H$3:$H$302,0)),""))</f>
        <v/>
      </c>
      <c r="F1093" s="20">
        <f>IF('Journal'!G548="","",'Journal'!G548)</f>
        <v/>
      </c>
      <c r="G1093" s="20">
        <f>IF('Journal'!F548="","",'Journal'!F548)</f>
        <v/>
      </c>
      <c r="H1093" s="5">
        <f>IF('Journal'!I548="","",'Journal'!I548)</f>
        <v/>
      </c>
    </row>
    <row r="1094">
      <c r="A1094" s="18">
        <f>IF('Journal'!A548="","",'Journal'!A548)</f>
        <v/>
      </c>
      <c r="B1094" s="21">
        <f>IF('Journal'!B548="","",'Journal'!B548)</f>
        <v/>
      </c>
      <c r="C1094" s="5">
        <f>IF('Journal'!C548="","",'Journal'!C548)</f>
        <v/>
      </c>
      <c r="D1094" s="5">
        <f>IF('Journal'!E548="","",IFERROR(LEFT('Journal'!E548,FIND(" ",'Journal'!E548)-1),'Journal'!E548))</f>
        <v/>
      </c>
      <c r="E1094" s="5">
        <f>IF('Journal'!E548="","",IFERROR(INDEX('Kontoplan'!$B$3:$B$302,MATCH('Journal'!E548,'Kontoplan'!$H$3:$H$302,0)),""))</f>
        <v/>
      </c>
      <c r="F1094" s="20">
        <f>IF('Journal'!F548="","",'Journal'!F548)</f>
        <v/>
      </c>
      <c r="G1094" s="20">
        <f>IF('Journal'!G548="","",'Journal'!G548)</f>
        <v/>
      </c>
      <c r="H1094" s="5">
        <f>IF('Journal'!I548="","",'Journal'!I548)</f>
        <v/>
      </c>
    </row>
    <row r="1095">
      <c r="A1095" s="18">
        <f>IF('Journal'!A549="","",'Journal'!A549)</f>
        <v/>
      </c>
      <c r="B1095" s="21">
        <f>IF('Journal'!B549="","",'Journal'!B549)</f>
        <v/>
      </c>
      <c r="C1095" s="5">
        <f>IF('Journal'!C549="","",'Journal'!C549)</f>
        <v/>
      </c>
      <c r="D1095" s="5">
        <f>IF('Journal'!D549="","",IFERROR(LEFT('Journal'!D549,FIND(" ",'Journal'!D549)-1),'Journal'!D549))</f>
        <v/>
      </c>
      <c r="E1095" s="5">
        <f>IF('Journal'!D549="","",IFERROR(INDEX('Kontoplan'!$B$3:$B$302,MATCH('Journal'!D549,'Kontoplan'!$H$3:$H$302,0)),""))</f>
        <v/>
      </c>
      <c r="F1095" s="20">
        <f>IF('Journal'!G549="","",'Journal'!G549)</f>
        <v/>
      </c>
      <c r="G1095" s="20">
        <f>IF('Journal'!F549="","",'Journal'!F549)</f>
        <v/>
      </c>
      <c r="H1095" s="5">
        <f>IF('Journal'!I549="","",'Journal'!I549)</f>
        <v/>
      </c>
    </row>
    <row r="1096">
      <c r="A1096" s="18">
        <f>IF('Journal'!A549="","",'Journal'!A549)</f>
        <v/>
      </c>
      <c r="B1096" s="21">
        <f>IF('Journal'!B549="","",'Journal'!B549)</f>
        <v/>
      </c>
      <c r="C1096" s="5">
        <f>IF('Journal'!C549="","",'Journal'!C549)</f>
        <v/>
      </c>
      <c r="D1096" s="5">
        <f>IF('Journal'!E549="","",IFERROR(LEFT('Journal'!E549,FIND(" ",'Journal'!E549)-1),'Journal'!E549))</f>
        <v/>
      </c>
      <c r="E1096" s="5">
        <f>IF('Journal'!E549="","",IFERROR(INDEX('Kontoplan'!$B$3:$B$302,MATCH('Journal'!E549,'Kontoplan'!$H$3:$H$302,0)),""))</f>
        <v/>
      </c>
      <c r="F1096" s="20">
        <f>IF('Journal'!F549="","",'Journal'!F549)</f>
        <v/>
      </c>
      <c r="G1096" s="20">
        <f>IF('Journal'!G549="","",'Journal'!G549)</f>
        <v/>
      </c>
      <c r="H1096" s="5">
        <f>IF('Journal'!I549="","",'Journal'!I549)</f>
        <v/>
      </c>
    </row>
    <row r="1097">
      <c r="A1097" s="18">
        <f>IF('Journal'!A550="","",'Journal'!A550)</f>
        <v/>
      </c>
      <c r="B1097" s="21">
        <f>IF('Journal'!B550="","",'Journal'!B550)</f>
        <v/>
      </c>
      <c r="C1097" s="5">
        <f>IF('Journal'!C550="","",'Journal'!C550)</f>
        <v/>
      </c>
      <c r="D1097" s="5">
        <f>IF('Journal'!D550="","",IFERROR(LEFT('Journal'!D550,FIND(" ",'Journal'!D550)-1),'Journal'!D550))</f>
        <v/>
      </c>
      <c r="E1097" s="5">
        <f>IF('Journal'!D550="","",IFERROR(INDEX('Kontoplan'!$B$3:$B$302,MATCH('Journal'!D550,'Kontoplan'!$H$3:$H$302,0)),""))</f>
        <v/>
      </c>
      <c r="F1097" s="20">
        <f>IF('Journal'!G550="","",'Journal'!G550)</f>
        <v/>
      </c>
      <c r="G1097" s="20">
        <f>IF('Journal'!F550="","",'Journal'!F550)</f>
        <v/>
      </c>
      <c r="H1097" s="5">
        <f>IF('Journal'!I550="","",'Journal'!I550)</f>
        <v/>
      </c>
    </row>
    <row r="1098">
      <c r="A1098" s="18">
        <f>IF('Journal'!A550="","",'Journal'!A550)</f>
        <v/>
      </c>
      <c r="B1098" s="21">
        <f>IF('Journal'!B550="","",'Journal'!B550)</f>
        <v/>
      </c>
      <c r="C1098" s="5">
        <f>IF('Journal'!C550="","",'Journal'!C550)</f>
        <v/>
      </c>
      <c r="D1098" s="5">
        <f>IF('Journal'!E550="","",IFERROR(LEFT('Journal'!E550,FIND(" ",'Journal'!E550)-1),'Journal'!E550))</f>
        <v/>
      </c>
      <c r="E1098" s="5">
        <f>IF('Journal'!E550="","",IFERROR(INDEX('Kontoplan'!$B$3:$B$302,MATCH('Journal'!E550,'Kontoplan'!$H$3:$H$302,0)),""))</f>
        <v/>
      </c>
      <c r="F1098" s="20">
        <f>IF('Journal'!F550="","",'Journal'!F550)</f>
        <v/>
      </c>
      <c r="G1098" s="20">
        <f>IF('Journal'!G550="","",'Journal'!G550)</f>
        <v/>
      </c>
      <c r="H1098" s="5">
        <f>IF('Journal'!I550="","",'Journal'!I550)</f>
        <v/>
      </c>
    </row>
    <row r="1099">
      <c r="A1099" s="18">
        <f>IF('Journal'!A551="","",'Journal'!A551)</f>
        <v/>
      </c>
      <c r="B1099" s="21">
        <f>IF('Journal'!B551="","",'Journal'!B551)</f>
        <v/>
      </c>
      <c r="C1099" s="5">
        <f>IF('Journal'!C551="","",'Journal'!C551)</f>
        <v/>
      </c>
      <c r="D1099" s="5">
        <f>IF('Journal'!D551="","",IFERROR(LEFT('Journal'!D551,FIND(" ",'Journal'!D551)-1),'Journal'!D551))</f>
        <v/>
      </c>
      <c r="E1099" s="5">
        <f>IF('Journal'!D551="","",IFERROR(INDEX('Kontoplan'!$B$3:$B$302,MATCH('Journal'!D551,'Kontoplan'!$H$3:$H$302,0)),""))</f>
        <v/>
      </c>
      <c r="F1099" s="20">
        <f>IF('Journal'!G551="","",'Journal'!G551)</f>
        <v/>
      </c>
      <c r="G1099" s="20">
        <f>IF('Journal'!F551="","",'Journal'!F551)</f>
        <v/>
      </c>
      <c r="H1099" s="5">
        <f>IF('Journal'!I551="","",'Journal'!I551)</f>
        <v/>
      </c>
    </row>
    <row r="1100">
      <c r="A1100" s="18">
        <f>IF('Journal'!A551="","",'Journal'!A551)</f>
        <v/>
      </c>
      <c r="B1100" s="21">
        <f>IF('Journal'!B551="","",'Journal'!B551)</f>
        <v/>
      </c>
      <c r="C1100" s="5">
        <f>IF('Journal'!C551="","",'Journal'!C551)</f>
        <v/>
      </c>
      <c r="D1100" s="5">
        <f>IF('Journal'!E551="","",IFERROR(LEFT('Journal'!E551,FIND(" ",'Journal'!E551)-1),'Journal'!E551))</f>
        <v/>
      </c>
      <c r="E1100" s="5">
        <f>IF('Journal'!E551="","",IFERROR(INDEX('Kontoplan'!$B$3:$B$302,MATCH('Journal'!E551,'Kontoplan'!$H$3:$H$302,0)),""))</f>
        <v/>
      </c>
      <c r="F1100" s="20">
        <f>IF('Journal'!F551="","",'Journal'!F551)</f>
        <v/>
      </c>
      <c r="G1100" s="20">
        <f>IF('Journal'!G551="","",'Journal'!G551)</f>
        <v/>
      </c>
      <c r="H1100" s="5">
        <f>IF('Journal'!I551="","",'Journal'!I551)</f>
        <v/>
      </c>
    </row>
    <row r="1101">
      <c r="A1101" s="18">
        <f>IF('Journal'!A552="","",'Journal'!A552)</f>
        <v/>
      </c>
      <c r="B1101" s="21">
        <f>IF('Journal'!B552="","",'Journal'!B552)</f>
        <v/>
      </c>
      <c r="C1101" s="5">
        <f>IF('Journal'!C552="","",'Journal'!C552)</f>
        <v/>
      </c>
      <c r="D1101" s="5">
        <f>IF('Journal'!D552="","",IFERROR(LEFT('Journal'!D552,FIND(" ",'Journal'!D552)-1),'Journal'!D552))</f>
        <v/>
      </c>
      <c r="E1101" s="5">
        <f>IF('Journal'!D552="","",IFERROR(INDEX('Kontoplan'!$B$3:$B$302,MATCH('Journal'!D552,'Kontoplan'!$H$3:$H$302,0)),""))</f>
        <v/>
      </c>
      <c r="F1101" s="20">
        <f>IF('Journal'!G552="","",'Journal'!G552)</f>
        <v/>
      </c>
      <c r="G1101" s="20">
        <f>IF('Journal'!F552="","",'Journal'!F552)</f>
        <v/>
      </c>
      <c r="H1101" s="5">
        <f>IF('Journal'!I552="","",'Journal'!I552)</f>
        <v/>
      </c>
    </row>
    <row r="1102">
      <c r="A1102" s="18">
        <f>IF('Journal'!A552="","",'Journal'!A552)</f>
        <v/>
      </c>
      <c r="B1102" s="21">
        <f>IF('Journal'!B552="","",'Journal'!B552)</f>
        <v/>
      </c>
      <c r="C1102" s="5">
        <f>IF('Journal'!C552="","",'Journal'!C552)</f>
        <v/>
      </c>
      <c r="D1102" s="5">
        <f>IF('Journal'!E552="","",IFERROR(LEFT('Journal'!E552,FIND(" ",'Journal'!E552)-1),'Journal'!E552))</f>
        <v/>
      </c>
      <c r="E1102" s="5">
        <f>IF('Journal'!E552="","",IFERROR(INDEX('Kontoplan'!$B$3:$B$302,MATCH('Journal'!E552,'Kontoplan'!$H$3:$H$302,0)),""))</f>
        <v/>
      </c>
      <c r="F1102" s="20">
        <f>IF('Journal'!F552="","",'Journal'!F552)</f>
        <v/>
      </c>
      <c r="G1102" s="20">
        <f>IF('Journal'!G552="","",'Journal'!G552)</f>
        <v/>
      </c>
      <c r="H1102" s="5">
        <f>IF('Journal'!I552="","",'Journal'!I552)</f>
        <v/>
      </c>
    </row>
    <row r="1103">
      <c r="A1103" s="18">
        <f>IF('Journal'!A553="","",'Journal'!A553)</f>
        <v/>
      </c>
      <c r="B1103" s="21">
        <f>IF('Journal'!B553="","",'Journal'!B553)</f>
        <v/>
      </c>
      <c r="C1103" s="5">
        <f>IF('Journal'!C553="","",'Journal'!C553)</f>
        <v/>
      </c>
      <c r="D1103" s="5">
        <f>IF('Journal'!D553="","",IFERROR(LEFT('Journal'!D553,FIND(" ",'Journal'!D553)-1),'Journal'!D553))</f>
        <v/>
      </c>
      <c r="E1103" s="5">
        <f>IF('Journal'!D553="","",IFERROR(INDEX('Kontoplan'!$B$3:$B$302,MATCH('Journal'!D553,'Kontoplan'!$H$3:$H$302,0)),""))</f>
        <v/>
      </c>
      <c r="F1103" s="20">
        <f>IF('Journal'!G553="","",'Journal'!G553)</f>
        <v/>
      </c>
      <c r="G1103" s="20">
        <f>IF('Journal'!F553="","",'Journal'!F553)</f>
        <v/>
      </c>
      <c r="H1103" s="5">
        <f>IF('Journal'!I553="","",'Journal'!I553)</f>
        <v/>
      </c>
    </row>
    <row r="1104">
      <c r="A1104" s="18">
        <f>IF('Journal'!A553="","",'Journal'!A553)</f>
        <v/>
      </c>
      <c r="B1104" s="21">
        <f>IF('Journal'!B553="","",'Journal'!B553)</f>
        <v/>
      </c>
      <c r="C1104" s="5">
        <f>IF('Journal'!C553="","",'Journal'!C553)</f>
        <v/>
      </c>
      <c r="D1104" s="5">
        <f>IF('Journal'!E553="","",IFERROR(LEFT('Journal'!E553,FIND(" ",'Journal'!E553)-1),'Journal'!E553))</f>
        <v/>
      </c>
      <c r="E1104" s="5">
        <f>IF('Journal'!E553="","",IFERROR(INDEX('Kontoplan'!$B$3:$B$302,MATCH('Journal'!E553,'Kontoplan'!$H$3:$H$302,0)),""))</f>
        <v/>
      </c>
      <c r="F1104" s="20">
        <f>IF('Journal'!F553="","",'Journal'!F553)</f>
        <v/>
      </c>
      <c r="G1104" s="20">
        <f>IF('Journal'!G553="","",'Journal'!G553)</f>
        <v/>
      </c>
      <c r="H1104" s="5">
        <f>IF('Journal'!I553="","",'Journal'!I553)</f>
        <v/>
      </c>
    </row>
    <row r="1105">
      <c r="A1105" s="18">
        <f>IF('Journal'!A554="","",'Journal'!A554)</f>
        <v/>
      </c>
      <c r="B1105" s="21">
        <f>IF('Journal'!B554="","",'Journal'!B554)</f>
        <v/>
      </c>
      <c r="C1105" s="5">
        <f>IF('Journal'!C554="","",'Journal'!C554)</f>
        <v/>
      </c>
      <c r="D1105" s="5">
        <f>IF('Journal'!D554="","",IFERROR(LEFT('Journal'!D554,FIND(" ",'Journal'!D554)-1),'Journal'!D554))</f>
        <v/>
      </c>
      <c r="E1105" s="5">
        <f>IF('Journal'!D554="","",IFERROR(INDEX('Kontoplan'!$B$3:$B$302,MATCH('Journal'!D554,'Kontoplan'!$H$3:$H$302,0)),""))</f>
        <v/>
      </c>
      <c r="F1105" s="20">
        <f>IF('Journal'!G554="","",'Journal'!G554)</f>
        <v/>
      </c>
      <c r="G1105" s="20">
        <f>IF('Journal'!F554="","",'Journal'!F554)</f>
        <v/>
      </c>
      <c r="H1105" s="5">
        <f>IF('Journal'!I554="","",'Journal'!I554)</f>
        <v/>
      </c>
    </row>
    <row r="1106">
      <c r="A1106" s="18">
        <f>IF('Journal'!A554="","",'Journal'!A554)</f>
        <v/>
      </c>
      <c r="B1106" s="21">
        <f>IF('Journal'!B554="","",'Journal'!B554)</f>
        <v/>
      </c>
      <c r="C1106" s="5">
        <f>IF('Journal'!C554="","",'Journal'!C554)</f>
        <v/>
      </c>
      <c r="D1106" s="5">
        <f>IF('Journal'!E554="","",IFERROR(LEFT('Journal'!E554,FIND(" ",'Journal'!E554)-1),'Journal'!E554))</f>
        <v/>
      </c>
      <c r="E1106" s="5">
        <f>IF('Journal'!E554="","",IFERROR(INDEX('Kontoplan'!$B$3:$B$302,MATCH('Journal'!E554,'Kontoplan'!$H$3:$H$302,0)),""))</f>
        <v/>
      </c>
      <c r="F1106" s="20">
        <f>IF('Journal'!F554="","",'Journal'!F554)</f>
        <v/>
      </c>
      <c r="G1106" s="20">
        <f>IF('Journal'!G554="","",'Journal'!G554)</f>
        <v/>
      </c>
      <c r="H1106" s="5">
        <f>IF('Journal'!I554="","",'Journal'!I554)</f>
        <v/>
      </c>
    </row>
    <row r="1107">
      <c r="A1107" s="18">
        <f>IF('Journal'!A555="","",'Journal'!A555)</f>
        <v/>
      </c>
      <c r="B1107" s="21">
        <f>IF('Journal'!B555="","",'Journal'!B555)</f>
        <v/>
      </c>
      <c r="C1107" s="5">
        <f>IF('Journal'!C555="","",'Journal'!C555)</f>
        <v/>
      </c>
      <c r="D1107" s="5">
        <f>IF('Journal'!D555="","",IFERROR(LEFT('Journal'!D555,FIND(" ",'Journal'!D555)-1),'Journal'!D555))</f>
        <v/>
      </c>
      <c r="E1107" s="5">
        <f>IF('Journal'!D555="","",IFERROR(INDEX('Kontoplan'!$B$3:$B$302,MATCH('Journal'!D555,'Kontoplan'!$H$3:$H$302,0)),""))</f>
        <v/>
      </c>
      <c r="F1107" s="20">
        <f>IF('Journal'!G555="","",'Journal'!G555)</f>
        <v/>
      </c>
      <c r="G1107" s="20">
        <f>IF('Journal'!F555="","",'Journal'!F555)</f>
        <v/>
      </c>
      <c r="H1107" s="5">
        <f>IF('Journal'!I555="","",'Journal'!I555)</f>
        <v/>
      </c>
    </row>
    <row r="1108">
      <c r="A1108" s="18">
        <f>IF('Journal'!A555="","",'Journal'!A555)</f>
        <v/>
      </c>
      <c r="B1108" s="21">
        <f>IF('Journal'!B555="","",'Journal'!B555)</f>
        <v/>
      </c>
      <c r="C1108" s="5">
        <f>IF('Journal'!C555="","",'Journal'!C555)</f>
        <v/>
      </c>
      <c r="D1108" s="5">
        <f>IF('Journal'!E555="","",IFERROR(LEFT('Journal'!E555,FIND(" ",'Journal'!E555)-1),'Journal'!E555))</f>
        <v/>
      </c>
      <c r="E1108" s="5">
        <f>IF('Journal'!E555="","",IFERROR(INDEX('Kontoplan'!$B$3:$B$302,MATCH('Journal'!E555,'Kontoplan'!$H$3:$H$302,0)),""))</f>
        <v/>
      </c>
      <c r="F1108" s="20">
        <f>IF('Journal'!F555="","",'Journal'!F555)</f>
        <v/>
      </c>
      <c r="G1108" s="20">
        <f>IF('Journal'!G555="","",'Journal'!G555)</f>
        <v/>
      </c>
      <c r="H1108" s="5">
        <f>IF('Journal'!I555="","",'Journal'!I555)</f>
        <v/>
      </c>
    </row>
    <row r="1109">
      <c r="A1109" s="18">
        <f>IF('Journal'!A556="","",'Journal'!A556)</f>
        <v/>
      </c>
      <c r="B1109" s="21">
        <f>IF('Journal'!B556="","",'Journal'!B556)</f>
        <v/>
      </c>
      <c r="C1109" s="5">
        <f>IF('Journal'!C556="","",'Journal'!C556)</f>
        <v/>
      </c>
      <c r="D1109" s="5">
        <f>IF('Journal'!D556="","",IFERROR(LEFT('Journal'!D556,FIND(" ",'Journal'!D556)-1),'Journal'!D556))</f>
        <v/>
      </c>
      <c r="E1109" s="5">
        <f>IF('Journal'!D556="","",IFERROR(INDEX('Kontoplan'!$B$3:$B$302,MATCH('Journal'!D556,'Kontoplan'!$H$3:$H$302,0)),""))</f>
        <v/>
      </c>
      <c r="F1109" s="20">
        <f>IF('Journal'!G556="","",'Journal'!G556)</f>
        <v/>
      </c>
      <c r="G1109" s="20">
        <f>IF('Journal'!F556="","",'Journal'!F556)</f>
        <v/>
      </c>
      <c r="H1109" s="5">
        <f>IF('Journal'!I556="","",'Journal'!I556)</f>
        <v/>
      </c>
    </row>
    <row r="1110">
      <c r="A1110" s="18">
        <f>IF('Journal'!A556="","",'Journal'!A556)</f>
        <v/>
      </c>
      <c r="B1110" s="21">
        <f>IF('Journal'!B556="","",'Journal'!B556)</f>
        <v/>
      </c>
      <c r="C1110" s="5">
        <f>IF('Journal'!C556="","",'Journal'!C556)</f>
        <v/>
      </c>
      <c r="D1110" s="5">
        <f>IF('Journal'!E556="","",IFERROR(LEFT('Journal'!E556,FIND(" ",'Journal'!E556)-1),'Journal'!E556))</f>
        <v/>
      </c>
      <c r="E1110" s="5">
        <f>IF('Journal'!E556="","",IFERROR(INDEX('Kontoplan'!$B$3:$B$302,MATCH('Journal'!E556,'Kontoplan'!$H$3:$H$302,0)),""))</f>
        <v/>
      </c>
      <c r="F1110" s="20">
        <f>IF('Journal'!F556="","",'Journal'!F556)</f>
        <v/>
      </c>
      <c r="G1110" s="20">
        <f>IF('Journal'!G556="","",'Journal'!G556)</f>
        <v/>
      </c>
      <c r="H1110" s="5">
        <f>IF('Journal'!I556="","",'Journal'!I556)</f>
        <v/>
      </c>
    </row>
    <row r="1111">
      <c r="A1111" s="18">
        <f>IF('Journal'!A557="","",'Journal'!A557)</f>
        <v/>
      </c>
      <c r="B1111" s="21">
        <f>IF('Journal'!B557="","",'Journal'!B557)</f>
        <v/>
      </c>
      <c r="C1111" s="5">
        <f>IF('Journal'!C557="","",'Journal'!C557)</f>
        <v/>
      </c>
      <c r="D1111" s="5">
        <f>IF('Journal'!D557="","",IFERROR(LEFT('Journal'!D557,FIND(" ",'Journal'!D557)-1),'Journal'!D557))</f>
        <v/>
      </c>
      <c r="E1111" s="5">
        <f>IF('Journal'!D557="","",IFERROR(INDEX('Kontoplan'!$B$3:$B$302,MATCH('Journal'!D557,'Kontoplan'!$H$3:$H$302,0)),""))</f>
        <v/>
      </c>
      <c r="F1111" s="20">
        <f>IF('Journal'!G557="","",'Journal'!G557)</f>
        <v/>
      </c>
      <c r="G1111" s="20">
        <f>IF('Journal'!F557="","",'Journal'!F557)</f>
        <v/>
      </c>
      <c r="H1111" s="5">
        <f>IF('Journal'!I557="","",'Journal'!I557)</f>
        <v/>
      </c>
    </row>
    <row r="1112">
      <c r="A1112" s="18">
        <f>IF('Journal'!A557="","",'Journal'!A557)</f>
        <v/>
      </c>
      <c r="B1112" s="21">
        <f>IF('Journal'!B557="","",'Journal'!B557)</f>
        <v/>
      </c>
      <c r="C1112" s="5">
        <f>IF('Journal'!C557="","",'Journal'!C557)</f>
        <v/>
      </c>
      <c r="D1112" s="5">
        <f>IF('Journal'!E557="","",IFERROR(LEFT('Journal'!E557,FIND(" ",'Journal'!E557)-1),'Journal'!E557))</f>
        <v/>
      </c>
      <c r="E1112" s="5">
        <f>IF('Journal'!E557="","",IFERROR(INDEX('Kontoplan'!$B$3:$B$302,MATCH('Journal'!E557,'Kontoplan'!$H$3:$H$302,0)),""))</f>
        <v/>
      </c>
      <c r="F1112" s="20">
        <f>IF('Journal'!F557="","",'Journal'!F557)</f>
        <v/>
      </c>
      <c r="G1112" s="20">
        <f>IF('Journal'!G557="","",'Journal'!G557)</f>
        <v/>
      </c>
      <c r="H1112" s="5">
        <f>IF('Journal'!I557="","",'Journal'!I557)</f>
        <v/>
      </c>
    </row>
    <row r="1113">
      <c r="A1113" s="18">
        <f>IF('Journal'!A558="","",'Journal'!A558)</f>
        <v/>
      </c>
      <c r="B1113" s="21">
        <f>IF('Journal'!B558="","",'Journal'!B558)</f>
        <v/>
      </c>
      <c r="C1113" s="5">
        <f>IF('Journal'!C558="","",'Journal'!C558)</f>
        <v/>
      </c>
      <c r="D1113" s="5">
        <f>IF('Journal'!D558="","",IFERROR(LEFT('Journal'!D558,FIND(" ",'Journal'!D558)-1),'Journal'!D558))</f>
        <v/>
      </c>
      <c r="E1113" s="5">
        <f>IF('Journal'!D558="","",IFERROR(INDEX('Kontoplan'!$B$3:$B$302,MATCH('Journal'!D558,'Kontoplan'!$H$3:$H$302,0)),""))</f>
        <v/>
      </c>
      <c r="F1113" s="20">
        <f>IF('Journal'!G558="","",'Journal'!G558)</f>
        <v/>
      </c>
      <c r="G1113" s="20">
        <f>IF('Journal'!F558="","",'Journal'!F558)</f>
        <v/>
      </c>
      <c r="H1113" s="5">
        <f>IF('Journal'!I558="","",'Journal'!I558)</f>
        <v/>
      </c>
    </row>
    <row r="1114">
      <c r="A1114" s="18">
        <f>IF('Journal'!A558="","",'Journal'!A558)</f>
        <v/>
      </c>
      <c r="B1114" s="21">
        <f>IF('Journal'!B558="","",'Journal'!B558)</f>
        <v/>
      </c>
      <c r="C1114" s="5">
        <f>IF('Journal'!C558="","",'Journal'!C558)</f>
        <v/>
      </c>
      <c r="D1114" s="5">
        <f>IF('Journal'!E558="","",IFERROR(LEFT('Journal'!E558,FIND(" ",'Journal'!E558)-1),'Journal'!E558))</f>
        <v/>
      </c>
      <c r="E1114" s="5">
        <f>IF('Journal'!E558="","",IFERROR(INDEX('Kontoplan'!$B$3:$B$302,MATCH('Journal'!E558,'Kontoplan'!$H$3:$H$302,0)),""))</f>
        <v/>
      </c>
      <c r="F1114" s="20">
        <f>IF('Journal'!F558="","",'Journal'!F558)</f>
        <v/>
      </c>
      <c r="G1114" s="20">
        <f>IF('Journal'!G558="","",'Journal'!G558)</f>
        <v/>
      </c>
      <c r="H1114" s="5">
        <f>IF('Journal'!I558="","",'Journal'!I558)</f>
        <v/>
      </c>
    </row>
    <row r="1115">
      <c r="A1115" s="18">
        <f>IF('Journal'!A559="","",'Journal'!A559)</f>
        <v/>
      </c>
      <c r="B1115" s="21">
        <f>IF('Journal'!B559="","",'Journal'!B559)</f>
        <v/>
      </c>
      <c r="C1115" s="5">
        <f>IF('Journal'!C559="","",'Journal'!C559)</f>
        <v/>
      </c>
      <c r="D1115" s="5">
        <f>IF('Journal'!D559="","",IFERROR(LEFT('Journal'!D559,FIND(" ",'Journal'!D559)-1),'Journal'!D559))</f>
        <v/>
      </c>
      <c r="E1115" s="5">
        <f>IF('Journal'!D559="","",IFERROR(INDEX('Kontoplan'!$B$3:$B$302,MATCH('Journal'!D559,'Kontoplan'!$H$3:$H$302,0)),""))</f>
        <v/>
      </c>
      <c r="F1115" s="20">
        <f>IF('Journal'!G559="","",'Journal'!G559)</f>
        <v/>
      </c>
      <c r="G1115" s="20">
        <f>IF('Journal'!F559="","",'Journal'!F559)</f>
        <v/>
      </c>
      <c r="H1115" s="5">
        <f>IF('Journal'!I559="","",'Journal'!I559)</f>
        <v/>
      </c>
    </row>
    <row r="1116">
      <c r="A1116" s="18">
        <f>IF('Journal'!A559="","",'Journal'!A559)</f>
        <v/>
      </c>
      <c r="B1116" s="21">
        <f>IF('Journal'!B559="","",'Journal'!B559)</f>
        <v/>
      </c>
      <c r="C1116" s="5">
        <f>IF('Journal'!C559="","",'Journal'!C559)</f>
        <v/>
      </c>
      <c r="D1116" s="5">
        <f>IF('Journal'!E559="","",IFERROR(LEFT('Journal'!E559,FIND(" ",'Journal'!E559)-1),'Journal'!E559))</f>
        <v/>
      </c>
      <c r="E1116" s="5">
        <f>IF('Journal'!E559="","",IFERROR(INDEX('Kontoplan'!$B$3:$B$302,MATCH('Journal'!E559,'Kontoplan'!$H$3:$H$302,0)),""))</f>
        <v/>
      </c>
      <c r="F1116" s="20">
        <f>IF('Journal'!F559="","",'Journal'!F559)</f>
        <v/>
      </c>
      <c r="G1116" s="20">
        <f>IF('Journal'!G559="","",'Journal'!G559)</f>
        <v/>
      </c>
      <c r="H1116" s="5">
        <f>IF('Journal'!I559="","",'Journal'!I559)</f>
        <v/>
      </c>
    </row>
    <row r="1117">
      <c r="A1117" s="18">
        <f>IF('Journal'!A560="","",'Journal'!A560)</f>
        <v/>
      </c>
      <c r="B1117" s="21">
        <f>IF('Journal'!B560="","",'Journal'!B560)</f>
        <v/>
      </c>
      <c r="C1117" s="5">
        <f>IF('Journal'!C560="","",'Journal'!C560)</f>
        <v/>
      </c>
      <c r="D1117" s="5">
        <f>IF('Journal'!D560="","",IFERROR(LEFT('Journal'!D560,FIND(" ",'Journal'!D560)-1),'Journal'!D560))</f>
        <v/>
      </c>
      <c r="E1117" s="5">
        <f>IF('Journal'!D560="","",IFERROR(INDEX('Kontoplan'!$B$3:$B$302,MATCH('Journal'!D560,'Kontoplan'!$H$3:$H$302,0)),""))</f>
        <v/>
      </c>
      <c r="F1117" s="20">
        <f>IF('Journal'!G560="","",'Journal'!G560)</f>
        <v/>
      </c>
      <c r="G1117" s="20">
        <f>IF('Journal'!F560="","",'Journal'!F560)</f>
        <v/>
      </c>
      <c r="H1117" s="5">
        <f>IF('Journal'!I560="","",'Journal'!I560)</f>
        <v/>
      </c>
    </row>
    <row r="1118">
      <c r="A1118" s="18">
        <f>IF('Journal'!A560="","",'Journal'!A560)</f>
        <v/>
      </c>
      <c r="B1118" s="21">
        <f>IF('Journal'!B560="","",'Journal'!B560)</f>
        <v/>
      </c>
      <c r="C1118" s="5">
        <f>IF('Journal'!C560="","",'Journal'!C560)</f>
        <v/>
      </c>
      <c r="D1118" s="5">
        <f>IF('Journal'!E560="","",IFERROR(LEFT('Journal'!E560,FIND(" ",'Journal'!E560)-1),'Journal'!E560))</f>
        <v/>
      </c>
      <c r="E1118" s="5">
        <f>IF('Journal'!E560="","",IFERROR(INDEX('Kontoplan'!$B$3:$B$302,MATCH('Journal'!E560,'Kontoplan'!$H$3:$H$302,0)),""))</f>
        <v/>
      </c>
      <c r="F1118" s="20">
        <f>IF('Journal'!F560="","",'Journal'!F560)</f>
        <v/>
      </c>
      <c r="G1118" s="20">
        <f>IF('Journal'!G560="","",'Journal'!G560)</f>
        <v/>
      </c>
      <c r="H1118" s="5">
        <f>IF('Journal'!I560="","",'Journal'!I560)</f>
        <v/>
      </c>
    </row>
    <row r="1119">
      <c r="A1119" s="18">
        <f>IF('Journal'!A561="","",'Journal'!A561)</f>
        <v/>
      </c>
      <c r="B1119" s="21">
        <f>IF('Journal'!B561="","",'Journal'!B561)</f>
        <v/>
      </c>
      <c r="C1119" s="5">
        <f>IF('Journal'!C561="","",'Journal'!C561)</f>
        <v/>
      </c>
      <c r="D1119" s="5">
        <f>IF('Journal'!D561="","",IFERROR(LEFT('Journal'!D561,FIND(" ",'Journal'!D561)-1),'Journal'!D561))</f>
        <v/>
      </c>
      <c r="E1119" s="5">
        <f>IF('Journal'!D561="","",IFERROR(INDEX('Kontoplan'!$B$3:$B$302,MATCH('Journal'!D561,'Kontoplan'!$H$3:$H$302,0)),""))</f>
        <v/>
      </c>
      <c r="F1119" s="20">
        <f>IF('Journal'!G561="","",'Journal'!G561)</f>
        <v/>
      </c>
      <c r="G1119" s="20">
        <f>IF('Journal'!F561="","",'Journal'!F561)</f>
        <v/>
      </c>
      <c r="H1119" s="5">
        <f>IF('Journal'!I561="","",'Journal'!I561)</f>
        <v/>
      </c>
    </row>
    <row r="1120">
      <c r="A1120" s="18">
        <f>IF('Journal'!A561="","",'Journal'!A561)</f>
        <v/>
      </c>
      <c r="B1120" s="21">
        <f>IF('Journal'!B561="","",'Journal'!B561)</f>
        <v/>
      </c>
      <c r="C1120" s="5">
        <f>IF('Journal'!C561="","",'Journal'!C561)</f>
        <v/>
      </c>
      <c r="D1120" s="5">
        <f>IF('Journal'!E561="","",IFERROR(LEFT('Journal'!E561,FIND(" ",'Journal'!E561)-1),'Journal'!E561))</f>
        <v/>
      </c>
      <c r="E1120" s="5">
        <f>IF('Journal'!E561="","",IFERROR(INDEX('Kontoplan'!$B$3:$B$302,MATCH('Journal'!E561,'Kontoplan'!$H$3:$H$302,0)),""))</f>
        <v/>
      </c>
      <c r="F1120" s="20">
        <f>IF('Journal'!F561="","",'Journal'!F561)</f>
        <v/>
      </c>
      <c r="G1120" s="20">
        <f>IF('Journal'!G561="","",'Journal'!G561)</f>
        <v/>
      </c>
      <c r="H1120" s="5">
        <f>IF('Journal'!I561="","",'Journal'!I561)</f>
        <v/>
      </c>
    </row>
    <row r="1121">
      <c r="A1121" s="18">
        <f>IF('Journal'!A562="","",'Journal'!A562)</f>
        <v/>
      </c>
      <c r="B1121" s="21">
        <f>IF('Journal'!B562="","",'Journal'!B562)</f>
        <v/>
      </c>
      <c r="C1121" s="5">
        <f>IF('Journal'!C562="","",'Journal'!C562)</f>
        <v/>
      </c>
      <c r="D1121" s="5">
        <f>IF('Journal'!D562="","",IFERROR(LEFT('Journal'!D562,FIND(" ",'Journal'!D562)-1),'Journal'!D562))</f>
        <v/>
      </c>
      <c r="E1121" s="5">
        <f>IF('Journal'!D562="","",IFERROR(INDEX('Kontoplan'!$B$3:$B$302,MATCH('Journal'!D562,'Kontoplan'!$H$3:$H$302,0)),""))</f>
        <v/>
      </c>
      <c r="F1121" s="20">
        <f>IF('Journal'!G562="","",'Journal'!G562)</f>
        <v/>
      </c>
      <c r="G1121" s="20">
        <f>IF('Journal'!F562="","",'Journal'!F562)</f>
        <v/>
      </c>
      <c r="H1121" s="5">
        <f>IF('Journal'!I562="","",'Journal'!I562)</f>
        <v/>
      </c>
    </row>
    <row r="1122">
      <c r="A1122" s="18">
        <f>IF('Journal'!A562="","",'Journal'!A562)</f>
        <v/>
      </c>
      <c r="B1122" s="21">
        <f>IF('Journal'!B562="","",'Journal'!B562)</f>
        <v/>
      </c>
      <c r="C1122" s="5">
        <f>IF('Journal'!C562="","",'Journal'!C562)</f>
        <v/>
      </c>
      <c r="D1122" s="5">
        <f>IF('Journal'!E562="","",IFERROR(LEFT('Journal'!E562,FIND(" ",'Journal'!E562)-1),'Journal'!E562))</f>
        <v/>
      </c>
      <c r="E1122" s="5">
        <f>IF('Journal'!E562="","",IFERROR(INDEX('Kontoplan'!$B$3:$B$302,MATCH('Journal'!E562,'Kontoplan'!$H$3:$H$302,0)),""))</f>
        <v/>
      </c>
      <c r="F1122" s="20">
        <f>IF('Journal'!F562="","",'Journal'!F562)</f>
        <v/>
      </c>
      <c r="G1122" s="20">
        <f>IF('Journal'!G562="","",'Journal'!G562)</f>
        <v/>
      </c>
      <c r="H1122" s="5">
        <f>IF('Journal'!I562="","",'Journal'!I562)</f>
        <v/>
      </c>
    </row>
    <row r="1123">
      <c r="A1123" s="18">
        <f>IF('Journal'!A563="","",'Journal'!A563)</f>
        <v/>
      </c>
      <c r="B1123" s="21">
        <f>IF('Journal'!B563="","",'Journal'!B563)</f>
        <v/>
      </c>
      <c r="C1123" s="5">
        <f>IF('Journal'!C563="","",'Journal'!C563)</f>
        <v/>
      </c>
      <c r="D1123" s="5">
        <f>IF('Journal'!D563="","",IFERROR(LEFT('Journal'!D563,FIND(" ",'Journal'!D563)-1),'Journal'!D563))</f>
        <v/>
      </c>
      <c r="E1123" s="5">
        <f>IF('Journal'!D563="","",IFERROR(INDEX('Kontoplan'!$B$3:$B$302,MATCH('Journal'!D563,'Kontoplan'!$H$3:$H$302,0)),""))</f>
        <v/>
      </c>
      <c r="F1123" s="20">
        <f>IF('Journal'!G563="","",'Journal'!G563)</f>
        <v/>
      </c>
      <c r="G1123" s="20">
        <f>IF('Journal'!F563="","",'Journal'!F563)</f>
        <v/>
      </c>
      <c r="H1123" s="5">
        <f>IF('Journal'!I563="","",'Journal'!I563)</f>
        <v/>
      </c>
    </row>
    <row r="1124">
      <c r="A1124" s="18">
        <f>IF('Journal'!A563="","",'Journal'!A563)</f>
        <v/>
      </c>
      <c r="B1124" s="21">
        <f>IF('Journal'!B563="","",'Journal'!B563)</f>
        <v/>
      </c>
      <c r="C1124" s="5">
        <f>IF('Journal'!C563="","",'Journal'!C563)</f>
        <v/>
      </c>
      <c r="D1124" s="5">
        <f>IF('Journal'!E563="","",IFERROR(LEFT('Journal'!E563,FIND(" ",'Journal'!E563)-1),'Journal'!E563))</f>
        <v/>
      </c>
      <c r="E1124" s="5">
        <f>IF('Journal'!E563="","",IFERROR(INDEX('Kontoplan'!$B$3:$B$302,MATCH('Journal'!E563,'Kontoplan'!$H$3:$H$302,0)),""))</f>
        <v/>
      </c>
      <c r="F1124" s="20">
        <f>IF('Journal'!F563="","",'Journal'!F563)</f>
        <v/>
      </c>
      <c r="G1124" s="20">
        <f>IF('Journal'!G563="","",'Journal'!G563)</f>
        <v/>
      </c>
      <c r="H1124" s="5">
        <f>IF('Journal'!I563="","",'Journal'!I563)</f>
        <v/>
      </c>
    </row>
    <row r="1125">
      <c r="A1125" s="18">
        <f>IF('Journal'!A564="","",'Journal'!A564)</f>
        <v/>
      </c>
      <c r="B1125" s="21">
        <f>IF('Journal'!B564="","",'Journal'!B564)</f>
        <v/>
      </c>
      <c r="C1125" s="5">
        <f>IF('Journal'!C564="","",'Journal'!C564)</f>
        <v/>
      </c>
      <c r="D1125" s="5">
        <f>IF('Journal'!D564="","",IFERROR(LEFT('Journal'!D564,FIND(" ",'Journal'!D564)-1),'Journal'!D564))</f>
        <v/>
      </c>
      <c r="E1125" s="5">
        <f>IF('Journal'!D564="","",IFERROR(INDEX('Kontoplan'!$B$3:$B$302,MATCH('Journal'!D564,'Kontoplan'!$H$3:$H$302,0)),""))</f>
        <v/>
      </c>
      <c r="F1125" s="20">
        <f>IF('Journal'!G564="","",'Journal'!G564)</f>
        <v/>
      </c>
      <c r="G1125" s="20">
        <f>IF('Journal'!F564="","",'Journal'!F564)</f>
        <v/>
      </c>
      <c r="H1125" s="5">
        <f>IF('Journal'!I564="","",'Journal'!I564)</f>
        <v/>
      </c>
    </row>
    <row r="1126">
      <c r="A1126" s="18">
        <f>IF('Journal'!A564="","",'Journal'!A564)</f>
        <v/>
      </c>
      <c r="B1126" s="21">
        <f>IF('Journal'!B564="","",'Journal'!B564)</f>
        <v/>
      </c>
      <c r="C1126" s="5">
        <f>IF('Journal'!C564="","",'Journal'!C564)</f>
        <v/>
      </c>
      <c r="D1126" s="5">
        <f>IF('Journal'!E564="","",IFERROR(LEFT('Journal'!E564,FIND(" ",'Journal'!E564)-1),'Journal'!E564))</f>
        <v/>
      </c>
      <c r="E1126" s="5">
        <f>IF('Journal'!E564="","",IFERROR(INDEX('Kontoplan'!$B$3:$B$302,MATCH('Journal'!E564,'Kontoplan'!$H$3:$H$302,0)),""))</f>
        <v/>
      </c>
      <c r="F1126" s="20">
        <f>IF('Journal'!F564="","",'Journal'!F564)</f>
        <v/>
      </c>
      <c r="G1126" s="20">
        <f>IF('Journal'!G564="","",'Journal'!G564)</f>
        <v/>
      </c>
      <c r="H1126" s="5">
        <f>IF('Journal'!I564="","",'Journal'!I564)</f>
        <v/>
      </c>
    </row>
    <row r="1127">
      <c r="A1127" s="18">
        <f>IF('Journal'!A565="","",'Journal'!A565)</f>
        <v/>
      </c>
      <c r="B1127" s="21">
        <f>IF('Journal'!B565="","",'Journal'!B565)</f>
        <v/>
      </c>
      <c r="C1127" s="5">
        <f>IF('Journal'!C565="","",'Journal'!C565)</f>
        <v/>
      </c>
      <c r="D1127" s="5">
        <f>IF('Journal'!D565="","",IFERROR(LEFT('Journal'!D565,FIND(" ",'Journal'!D565)-1),'Journal'!D565))</f>
        <v/>
      </c>
      <c r="E1127" s="5">
        <f>IF('Journal'!D565="","",IFERROR(INDEX('Kontoplan'!$B$3:$B$302,MATCH('Journal'!D565,'Kontoplan'!$H$3:$H$302,0)),""))</f>
        <v/>
      </c>
      <c r="F1127" s="20">
        <f>IF('Journal'!G565="","",'Journal'!G565)</f>
        <v/>
      </c>
      <c r="G1127" s="20">
        <f>IF('Journal'!F565="","",'Journal'!F565)</f>
        <v/>
      </c>
      <c r="H1127" s="5">
        <f>IF('Journal'!I565="","",'Journal'!I565)</f>
        <v/>
      </c>
    </row>
    <row r="1128">
      <c r="A1128" s="18">
        <f>IF('Journal'!A565="","",'Journal'!A565)</f>
        <v/>
      </c>
      <c r="B1128" s="21">
        <f>IF('Journal'!B565="","",'Journal'!B565)</f>
        <v/>
      </c>
      <c r="C1128" s="5">
        <f>IF('Journal'!C565="","",'Journal'!C565)</f>
        <v/>
      </c>
      <c r="D1128" s="5">
        <f>IF('Journal'!E565="","",IFERROR(LEFT('Journal'!E565,FIND(" ",'Journal'!E565)-1),'Journal'!E565))</f>
        <v/>
      </c>
      <c r="E1128" s="5">
        <f>IF('Journal'!E565="","",IFERROR(INDEX('Kontoplan'!$B$3:$B$302,MATCH('Journal'!E565,'Kontoplan'!$H$3:$H$302,0)),""))</f>
        <v/>
      </c>
      <c r="F1128" s="20">
        <f>IF('Journal'!F565="","",'Journal'!F565)</f>
        <v/>
      </c>
      <c r="G1128" s="20">
        <f>IF('Journal'!G565="","",'Journal'!G565)</f>
        <v/>
      </c>
      <c r="H1128" s="5">
        <f>IF('Journal'!I565="","",'Journal'!I565)</f>
        <v/>
      </c>
    </row>
    <row r="1129">
      <c r="A1129" s="18">
        <f>IF('Journal'!A566="","",'Journal'!A566)</f>
        <v/>
      </c>
      <c r="B1129" s="21">
        <f>IF('Journal'!B566="","",'Journal'!B566)</f>
        <v/>
      </c>
      <c r="C1129" s="5">
        <f>IF('Journal'!C566="","",'Journal'!C566)</f>
        <v/>
      </c>
      <c r="D1129" s="5">
        <f>IF('Journal'!D566="","",IFERROR(LEFT('Journal'!D566,FIND(" ",'Journal'!D566)-1),'Journal'!D566))</f>
        <v/>
      </c>
      <c r="E1129" s="5">
        <f>IF('Journal'!D566="","",IFERROR(INDEX('Kontoplan'!$B$3:$B$302,MATCH('Journal'!D566,'Kontoplan'!$H$3:$H$302,0)),""))</f>
        <v/>
      </c>
      <c r="F1129" s="20">
        <f>IF('Journal'!G566="","",'Journal'!G566)</f>
        <v/>
      </c>
      <c r="G1129" s="20">
        <f>IF('Journal'!F566="","",'Journal'!F566)</f>
        <v/>
      </c>
      <c r="H1129" s="5">
        <f>IF('Journal'!I566="","",'Journal'!I566)</f>
        <v/>
      </c>
    </row>
    <row r="1130">
      <c r="A1130" s="18">
        <f>IF('Journal'!A566="","",'Journal'!A566)</f>
        <v/>
      </c>
      <c r="B1130" s="21">
        <f>IF('Journal'!B566="","",'Journal'!B566)</f>
        <v/>
      </c>
      <c r="C1130" s="5">
        <f>IF('Journal'!C566="","",'Journal'!C566)</f>
        <v/>
      </c>
      <c r="D1130" s="5">
        <f>IF('Journal'!E566="","",IFERROR(LEFT('Journal'!E566,FIND(" ",'Journal'!E566)-1),'Journal'!E566))</f>
        <v/>
      </c>
      <c r="E1130" s="5">
        <f>IF('Journal'!E566="","",IFERROR(INDEX('Kontoplan'!$B$3:$B$302,MATCH('Journal'!E566,'Kontoplan'!$H$3:$H$302,0)),""))</f>
        <v/>
      </c>
      <c r="F1130" s="20">
        <f>IF('Journal'!F566="","",'Journal'!F566)</f>
        <v/>
      </c>
      <c r="G1130" s="20">
        <f>IF('Journal'!G566="","",'Journal'!G566)</f>
        <v/>
      </c>
      <c r="H1130" s="5">
        <f>IF('Journal'!I566="","",'Journal'!I566)</f>
        <v/>
      </c>
    </row>
    <row r="1131">
      <c r="A1131" s="18">
        <f>IF('Journal'!A567="","",'Journal'!A567)</f>
        <v/>
      </c>
      <c r="B1131" s="21">
        <f>IF('Journal'!B567="","",'Journal'!B567)</f>
        <v/>
      </c>
      <c r="C1131" s="5">
        <f>IF('Journal'!C567="","",'Journal'!C567)</f>
        <v/>
      </c>
      <c r="D1131" s="5">
        <f>IF('Journal'!D567="","",IFERROR(LEFT('Journal'!D567,FIND(" ",'Journal'!D567)-1),'Journal'!D567))</f>
        <v/>
      </c>
      <c r="E1131" s="5">
        <f>IF('Journal'!D567="","",IFERROR(INDEX('Kontoplan'!$B$3:$B$302,MATCH('Journal'!D567,'Kontoplan'!$H$3:$H$302,0)),""))</f>
        <v/>
      </c>
      <c r="F1131" s="20">
        <f>IF('Journal'!G567="","",'Journal'!G567)</f>
        <v/>
      </c>
      <c r="G1131" s="20">
        <f>IF('Journal'!F567="","",'Journal'!F567)</f>
        <v/>
      </c>
      <c r="H1131" s="5">
        <f>IF('Journal'!I567="","",'Journal'!I567)</f>
        <v/>
      </c>
    </row>
    <row r="1132">
      <c r="A1132" s="18">
        <f>IF('Journal'!A567="","",'Journal'!A567)</f>
        <v/>
      </c>
      <c r="B1132" s="21">
        <f>IF('Journal'!B567="","",'Journal'!B567)</f>
        <v/>
      </c>
      <c r="C1132" s="5">
        <f>IF('Journal'!C567="","",'Journal'!C567)</f>
        <v/>
      </c>
      <c r="D1132" s="5">
        <f>IF('Journal'!E567="","",IFERROR(LEFT('Journal'!E567,FIND(" ",'Journal'!E567)-1),'Journal'!E567))</f>
        <v/>
      </c>
      <c r="E1132" s="5">
        <f>IF('Journal'!E567="","",IFERROR(INDEX('Kontoplan'!$B$3:$B$302,MATCH('Journal'!E567,'Kontoplan'!$H$3:$H$302,0)),""))</f>
        <v/>
      </c>
      <c r="F1132" s="20">
        <f>IF('Journal'!F567="","",'Journal'!F567)</f>
        <v/>
      </c>
      <c r="G1132" s="20">
        <f>IF('Journal'!G567="","",'Journal'!G567)</f>
        <v/>
      </c>
      <c r="H1132" s="5">
        <f>IF('Journal'!I567="","",'Journal'!I567)</f>
        <v/>
      </c>
    </row>
    <row r="1133">
      <c r="A1133" s="18">
        <f>IF('Journal'!A568="","",'Journal'!A568)</f>
        <v/>
      </c>
      <c r="B1133" s="21">
        <f>IF('Journal'!B568="","",'Journal'!B568)</f>
        <v/>
      </c>
      <c r="C1133" s="5">
        <f>IF('Journal'!C568="","",'Journal'!C568)</f>
        <v/>
      </c>
      <c r="D1133" s="5">
        <f>IF('Journal'!D568="","",IFERROR(LEFT('Journal'!D568,FIND(" ",'Journal'!D568)-1),'Journal'!D568))</f>
        <v/>
      </c>
      <c r="E1133" s="5">
        <f>IF('Journal'!D568="","",IFERROR(INDEX('Kontoplan'!$B$3:$B$302,MATCH('Journal'!D568,'Kontoplan'!$H$3:$H$302,0)),""))</f>
        <v/>
      </c>
      <c r="F1133" s="20">
        <f>IF('Journal'!G568="","",'Journal'!G568)</f>
        <v/>
      </c>
      <c r="G1133" s="20">
        <f>IF('Journal'!F568="","",'Journal'!F568)</f>
        <v/>
      </c>
      <c r="H1133" s="5">
        <f>IF('Journal'!I568="","",'Journal'!I568)</f>
        <v/>
      </c>
    </row>
    <row r="1134">
      <c r="A1134" s="18">
        <f>IF('Journal'!A568="","",'Journal'!A568)</f>
        <v/>
      </c>
      <c r="B1134" s="21">
        <f>IF('Journal'!B568="","",'Journal'!B568)</f>
        <v/>
      </c>
      <c r="C1134" s="5">
        <f>IF('Journal'!C568="","",'Journal'!C568)</f>
        <v/>
      </c>
      <c r="D1134" s="5">
        <f>IF('Journal'!E568="","",IFERROR(LEFT('Journal'!E568,FIND(" ",'Journal'!E568)-1),'Journal'!E568))</f>
        <v/>
      </c>
      <c r="E1134" s="5">
        <f>IF('Journal'!E568="","",IFERROR(INDEX('Kontoplan'!$B$3:$B$302,MATCH('Journal'!E568,'Kontoplan'!$H$3:$H$302,0)),""))</f>
        <v/>
      </c>
      <c r="F1134" s="20">
        <f>IF('Journal'!F568="","",'Journal'!F568)</f>
        <v/>
      </c>
      <c r="G1134" s="20">
        <f>IF('Journal'!G568="","",'Journal'!G568)</f>
        <v/>
      </c>
      <c r="H1134" s="5">
        <f>IF('Journal'!I568="","",'Journal'!I568)</f>
        <v/>
      </c>
    </row>
    <row r="1135">
      <c r="A1135" s="18">
        <f>IF('Journal'!A569="","",'Journal'!A569)</f>
        <v/>
      </c>
      <c r="B1135" s="21">
        <f>IF('Journal'!B569="","",'Journal'!B569)</f>
        <v/>
      </c>
      <c r="C1135" s="5">
        <f>IF('Journal'!C569="","",'Journal'!C569)</f>
        <v/>
      </c>
      <c r="D1135" s="5">
        <f>IF('Journal'!D569="","",IFERROR(LEFT('Journal'!D569,FIND(" ",'Journal'!D569)-1),'Journal'!D569))</f>
        <v/>
      </c>
      <c r="E1135" s="5">
        <f>IF('Journal'!D569="","",IFERROR(INDEX('Kontoplan'!$B$3:$B$302,MATCH('Journal'!D569,'Kontoplan'!$H$3:$H$302,0)),""))</f>
        <v/>
      </c>
      <c r="F1135" s="20">
        <f>IF('Journal'!G569="","",'Journal'!G569)</f>
        <v/>
      </c>
      <c r="G1135" s="20">
        <f>IF('Journal'!F569="","",'Journal'!F569)</f>
        <v/>
      </c>
      <c r="H1135" s="5">
        <f>IF('Journal'!I569="","",'Journal'!I569)</f>
        <v/>
      </c>
    </row>
    <row r="1136">
      <c r="A1136" s="18">
        <f>IF('Journal'!A569="","",'Journal'!A569)</f>
        <v/>
      </c>
      <c r="B1136" s="21">
        <f>IF('Journal'!B569="","",'Journal'!B569)</f>
        <v/>
      </c>
      <c r="C1136" s="5">
        <f>IF('Journal'!C569="","",'Journal'!C569)</f>
        <v/>
      </c>
      <c r="D1136" s="5">
        <f>IF('Journal'!E569="","",IFERROR(LEFT('Journal'!E569,FIND(" ",'Journal'!E569)-1),'Journal'!E569))</f>
        <v/>
      </c>
      <c r="E1136" s="5">
        <f>IF('Journal'!E569="","",IFERROR(INDEX('Kontoplan'!$B$3:$B$302,MATCH('Journal'!E569,'Kontoplan'!$H$3:$H$302,0)),""))</f>
        <v/>
      </c>
      <c r="F1136" s="20">
        <f>IF('Journal'!F569="","",'Journal'!F569)</f>
        <v/>
      </c>
      <c r="G1136" s="20">
        <f>IF('Journal'!G569="","",'Journal'!G569)</f>
        <v/>
      </c>
      <c r="H1136" s="5">
        <f>IF('Journal'!I569="","",'Journal'!I569)</f>
        <v/>
      </c>
    </row>
    <row r="1137">
      <c r="A1137" s="18">
        <f>IF('Journal'!A570="","",'Journal'!A570)</f>
        <v/>
      </c>
      <c r="B1137" s="21">
        <f>IF('Journal'!B570="","",'Journal'!B570)</f>
        <v/>
      </c>
      <c r="C1137" s="5">
        <f>IF('Journal'!C570="","",'Journal'!C570)</f>
        <v/>
      </c>
      <c r="D1137" s="5">
        <f>IF('Journal'!D570="","",IFERROR(LEFT('Journal'!D570,FIND(" ",'Journal'!D570)-1),'Journal'!D570))</f>
        <v/>
      </c>
      <c r="E1137" s="5">
        <f>IF('Journal'!D570="","",IFERROR(INDEX('Kontoplan'!$B$3:$B$302,MATCH('Journal'!D570,'Kontoplan'!$H$3:$H$302,0)),""))</f>
        <v/>
      </c>
      <c r="F1137" s="20">
        <f>IF('Journal'!G570="","",'Journal'!G570)</f>
        <v/>
      </c>
      <c r="G1137" s="20">
        <f>IF('Journal'!F570="","",'Journal'!F570)</f>
        <v/>
      </c>
      <c r="H1137" s="5">
        <f>IF('Journal'!I570="","",'Journal'!I570)</f>
        <v/>
      </c>
    </row>
    <row r="1138">
      <c r="A1138" s="18">
        <f>IF('Journal'!A570="","",'Journal'!A570)</f>
        <v/>
      </c>
      <c r="B1138" s="21">
        <f>IF('Journal'!B570="","",'Journal'!B570)</f>
        <v/>
      </c>
      <c r="C1138" s="5">
        <f>IF('Journal'!C570="","",'Journal'!C570)</f>
        <v/>
      </c>
      <c r="D1138" s="5">
        <f>IF('Journal'!E570="","",IFERROR(LEFT('Journal'!E570,FIND(" ",'Journal'!E570)-1),'Journal'!E570))</f>
        <v/>
      </c>
      <c r="E1138" s="5">
        <f>IF('Journal'!E570="","",IFERROR(INDEX('Kontoplan'!$B$3:$B$302,MATCH('Journal'!E570,'Kontoplan'!$H$3:$H$302,0)),""))</f>
        <v/>
      </c>
      <c r="F1138" s="20">
        <f>IF('Journal'!F570="","",'Journal'!F570)</f>
        <v/>
      </c>
      <c r="G1138" s="20">
        <f>IF('Journal'!G570="","",'Journal'!G570)</f>
        <v/>
      </c>
      <c r="H1138" s="5">
        <f>IF('Journal'!I570="","",'Journal'!I570)</f>
        <v/>
      </c>
    </row>
    <row r="1139">
      <c r="A1139" s="18">
        <f>IF('Journal'!A571="","",'Journal'!A571)</f>
        <v/>
      </c>
      <c r="B1139" s="21">
        <f>IF('Journal'!B571="","",'Journal'!B571)</f>
        <v/>
      </c>
      <c r="C1139" s="5">
        <f>IF('Journal'!C571="","",'Journal'!C571)</f>
        <v/>
      </c>
      <c r="D1139" s="5">
        <f>IF('Journal'!D571="","",IFERROR(LEFT('Journal'!D571,FIND(" ",'Journal'!D571)-1),'Journal'!D571))</f>
        <v/>
      </c>
      <c r="E1139" s="5">
        <f>IF('Journal'!D571="","",IFERROR(INDEX('Kontoplan'!$B$3:$B$302,MATCH('Journal'!D571,'Kontoplan'!$H$3:$H$302,0)),""))</f>
        <v/>
      </c>
      <c r="F1139" s="20">
        <f>IF('Journal'!G571="","",'Journal'!G571)</f>
        <v/>
      </c>
      <c r="G1139" s="20">
        <f>IF('Journal'!F571="","",'Journal'!F571)</f>
        <v/>
      </c>
      <c r="H1139" s="5">
        <f>IF('Journal'!I571="","",'Journal'!I571)</f>
        <v/>
      </c>
    </row>
    <row r="1140">
      <c r="A1140" s="18">
        <f>IF('Journal'!A571="","",'Journal'!A571)</f>
        <v/>
      </c>
      <c r="B1140" s="21">
        <f>IF('Journal'!B571="","",'Journal'!B571)</f>
        <v/>
      </c>
      <c r="C1140" s="5">
        <f>IF('Journal'!C571="","",'Journal'!C571)</f>
        <v/>
      </c>
      <c r="D1140" s="5">
        <f>IF('Journal'!E571="","",IFERROR(LEFT('Journal'!E571,FIND(" ",'Journal'!E571)-1),'Journal'!E571))</f>
        <v/>
      </c>
      <c r="E1140" s="5">
        <f>IF('Journal'!E571="","",IFERROR(INDEX('Kontoplan'!$B$3:$B$302,MATCH('Journal'!E571,'Kontoplan'!$H$3:$H$302,0)),""))</f>
        <v/>
      </c>
      <c r="F1140" s="20">
        <f>IF('Journal'!F571="","",'Journal'!F571)</f>
        <v/>
      </c>
      <c r="G1140" s="20">
        <f>IF('Journal'!G571="","",'Journal'!G571)</f>
        <v/>
      </c>
      <c r="H1140" s="5">
        <f>IF('Journal'!I571="","",'Journal'!I571)</f>
        <v/>
      </c>
    </row>
    <row r="1141">
      <c r="A1141" s="18">
        <f>IF('Journal'!A572="","",'Journal'!A572)</f>
        <v/>
      </c>
      <c r="B1141" s="21">
        <f>IF('Journal'!B572="","",'Journal'!B572)</f>
        <v/>
      </c>
      <c r="C1141" s="5">
        <f>IF('Journal'!C572="","",'Journal'!C572)</f>
        <v/>
      </c>
      <c r="D1141" s="5">
        <f>IF('Journal'!D572="","",IFERROR(LEFT('Journal'!D572,FIND(" ",'Journal'!D572)-1),'Journal'!D572))</f>
        <v/>
      </c>
      <c r="E1141" s="5">
        <f>IF('Journal'!D572="","",IFERROR(INDEX('Kontoplan'!$B$3:$B$302,MATCH('Journal'!D572,'Kontoplan'!$H$3:$H$302,0)),""))</f>
        <v/>
      </c>
      <c r="F1141" s="20">
        <f>IF('Journal'!G572="","",'Journal'!G572)</f>
        <v/>
      </c>
      <c r="G1141" s="20">
        <f>IF('Journal'!F572="","",'Journal'!F572)</f>
        <v/>
      </c>
      <c r="H1141" s="5">
        <f>IF('Journal'!I572="","",'Journal'!I572)</f>
        <v/>
      </c>
    </row>
    <row r="1142">
      <c r="A1142" s="18">
        <f>IF('Journal'!A572="","",'Journal'!A572)</f>
        <v/>
      </c>
      <c r="B1142" s="21">
        <f>IF('Journal'!B572="","",'Journal'!B572)</f>
        <v/>
      </c>
      <c r="C1142" s="5">
        <f>IF('Journal'!C572="","",'Journal'!C572)</f>
        <v/>
      </c>
      <c r="D1142" s="5">
        <f>IF('Journal'!E572="","",IFERROR(LEFT('Journal'!E572,FIND(" ",'Journal'!E572)-1),'Journal'!E572))</f>
        <v/>
      </c>
      <c r="E1142" s="5">
        <f>IF('Journal'!E572="","",IFERROR(INDEX('Kontoplan'!$B$3:$B$302,MATCH('Journal'!E572,'Kontoplan'!$H$3:$H$302,0)),""))</f>
        <v/>
      </c>
      <c r="F1142" s="20">
        <f>IF('Journal'!F572="","",'Journal'!F572)</f>
        <v/>
      </c>
      <c r="G1142" s="20">
        <f>IF('Journal'!G572="","",'Journal'!G572)</f>
        <v/>
      </c>
      <c r="H1142" s="5">
        <f>IF('Journal'!I572="","",'Journal'!I572)</f>
        <v/>
      </c>
    </row>
    <row r="1143">
      <c r="A1143" s="18">
        <f>IF('Journal'!A573="","",'Journal'!A573)</f>
        <v/>
      </c>
      <c r="B1143" s="21">
        <f>IF('Journal'!B573="","",'Journal'!B573)</f>
        <v/>
      </c>
      <c r="C1143" s="5">
        <f>IF('Journal'!C573="","",'Journal'!C573)</f>
        <v/>
      </c>
      <c r="D1143" s="5">
        <f>IF('Journal'!D573="","",IFERROR(LEFT('Journal'!D573,FIND(" ",'Journal'!D573)-1),'Journal'!D573))</f>
        <v/>
      </c>
      <c r="E1143" s="5">
        <f>IF('Journal'!D573="","",IFERROR(INDEX('Kontoplan'!$B$3:$B$302,MATCH('Journal'!D573,'Kontoplan'!$H$3:$H$302,0)),""))</f>
        <v/>
      </c>
      <c r="F1143" s="20">
        <f>IF('Journal'!G573="","",'Journal'!G573)</f>
        <v/>
      </c>
      <c r="G1143" s="20">
        <f>IF('Journal'!F573="","",'Journal'!F573)</f>
        <v/>
      </c>
      <c r="H1143" s="5">
        <f>IF('Journal'!I573="","",'Journal'!I573)</f>
        <v/>
      </c>
    </row>
    <row r="1144">
      <c r="A1144" s="18">
        <f>IF('Journal'!A573="","",'Journal'!A573)</f>
        <v/>
      </c>
      <c r="B1144" s="21">
        <f>IF('Journal'!B573="","",'Journal'!B573)</f>
        <v/>
      </c>
      <c r="C1144" s="5">
        <f>IF('Journal'!C573="","",'Journal'!C573)</f>
        <v/>
      </c>
      <c r="D1144" s="5">
        <f>IF('Journal'!E573="","",IFERROR(LEFT('Journal'!E573,FIND(" ",'Journal'!E573)-1),'Journal'!E573))</f>
        <v/>
      </c>
      <c r="E1144" s="5">
        <f>IF('Journal'!E573="","",IFERROR(INDEX('Kontoplan'!$B$3:$B$302,MATCH('Journal'!E573,'Kontoplan'!$H$3:$H$302,0)),""))</f>
        <v/>
      </c>
      <c r="F1144" s="20">
        <f>IF('Journal'!F573="","",'Journal'!F573)</f>
        <v/>
      </c>
      <c r="G1144" s="20">
        <f>IF('Journal'!G573="","",'Journal'!G573)</f>
        <v/>
      </c>
      <c r="H1144" s="5">
        <f>IF('Journal'!I573="","",'Journal'!I573)</f>
        <v/>
      </c>
    </row>
    <row r="1145">
      <c r="A1145" s="18">
        <f>IF('Journal'!A574="","",'Journal'!A574)</f>
        <v/>
      </c>
      <c r="B1145" s="21">
        <f>IF('Journal'!B574="","",'Journal'!B574)</f>
        <v/>
      </c>
      <c r="C1145" s="5">
        <f>IF('Journal'!C574="","",'Journal'!C574)</f>
        <v/>
      </c>
      <c r="D1145" s="5">
        <f>IF('Journal'!D574="","",IFERROR(LEFT('Journal'!D574,FIND(" ",'Journal'!D574)-1),'Journal'!D574))</f>
        <v/>
      </c>
      <c r="E1145" s="5">
        <f>IF('Journal'!D574="","",IFERROR(INDEX('Kontoplan'!$B$3:$B$302,MATCH('Journal'!D574,'Kontoplan'!$H$3:$H$302,0)),""))</f>
        <v/>
      </c>
      <c r="F1145" s="20">
        <f>IF('Journal'!G574="","",'Journal'!G574)</f>
        <v/>
      </c>
      <c r="G1145" s="20">
        <f>IF('Journal'!F574="","",'Journal'!F574)</f>
        <v/>
      </c>
      <c r="H1145" s="5">
        <f>IF('Journal'!I574="","",'Journal'!I574)</f>
        <v/>
      </c>
    </row>
    <row r="1146">
      <c r="A1146" s="18">
        <f>IF('Journal'!A574="","",'Journal'!A574)</f>
        <v/>
      </c>
      <c r="B1146" s="21">
        <f>IF('Journal'!B574="","",'Journal'!B574)</f>
        <v/>
      </c>
      <c r="C1146" s="5">
        <f>IF('Journal'!C574="","",'Journal'!C574)</f>
        <v/>
      </c>
      <c r="D1146" s="5">
        <f>IF('Journal'!E574="","",IFERROR(LEFT('Journal'!E574,FIND(" ",'Journal'!E574)-1),'Journal'!E574))</f>
        <v/>
      </c>
      <c r="E1146" s="5">
        <f>IF('Journal'!E574="","",IFERROR(INDEX('Kontoplan'!$B$3:$B$302,MATCH('Journal'!E574,'Kontoplan'!$H$3:$H$302,0)),""))</f>
        <v/>
      </c>
      <c r="F1146" s="20">
        <f>IF('Journal'!F574="","",'Journal'!F574)</f>
        <v/>
      </c>
      <c r="G1146" s="20">
        <f>IF('Journal'!G574="","",'Journal'!G574)</f>
        <v/>
      </c>
      <c r="H1146" s="5">
        <f>IF('Journal'!I574="","",'Journal'!I574)</f>
        <v/>
      </c>
    </row>
    <row r="1147">
      <c r="A1147" s="18">
        <f>IF('Journal'!A575="","",'Journal'!A575)</f>
        <v/>
      </c>
      <c r="B1147" s="21">
        <f>IF('Journal'!B575="","",'Journal'!B575)</f>
        <v/>
      </c>
      <c r="C1147" s="5">
        <f>IF('Journal'!C575="","",'Journal'!C575)</f>
        <v/>
      </c>
      <c r="D1147" s="5">
        <f>IF('Journal'!D575="","",IFERROR(LEFT('Journal'!D575,FIND(" ",'Journal'!D575)-1),'Journal'!D575))</f>
        <v/>
      </c>
      <c r="E1147" s="5">
        <f>IF('Journal'!D575="","",IFERROR(INDEX('Kontoplan'!$B$3:$B$302,MATCH('Journal'!D575,'Kontoplan'!$H$3:$H$302,0)),""))</f>
        <v/>
      </c>
      <c r="F1147" s="20">
        <f>IF('Journal'!G575="","",'Journal'!G575)</f>
        <v/>
      </c>
      <c r="G1147" s="20">
        <f>IF('Journal'!F575="","",'Journal'!F575)</f>
        <v/>
      </c>
      <c r="H1147" s="5">
        <f>IF('Journal'!I575="","",'Journal'!I575)</f>
        <v/>
      </c>
    </row>
    <row r="1148">
      <c r="A1148" s="18">
        <f>IF('Journal'!A575="","",'Journal'!A575)</f>
        <v/>
      </c>
      <c r="B1148" s="21">
        <f>IF('Journal'!B575="","",'Journal'!B575)</f>
        <v/>
      </c>
      <c r="C1148" s="5">
        <f>IF('Journal'!C575="","",'Journal'!C575)</f>
        <v/>
      </c>
      <c r="D1148" s="5">
        <f>IF('Journal'!E575="","",IFERROR(LEFT('Journal'!E575,FIND(" ",'Journal'!E575)-1),'Journal'!E575))</f>
        <v/>
      </c>
      <c r="E1148" s="5">
        <f>IF('Journal'!E575="","",IFERROR(INDEX('Kontoplan'!$B$3:$B$302,MATCH('Journal'!E575,'Kontoplan'!$H$3:$H$302,0)),""))</f>
        <v/>
      </c>
      <c r="F1148" s="20">
        <f>IF('Journal'!F575="","",'Journal'!F575)</f>
        <v/>
      </c>
      <c r="G1148" s="20">
        <f>IF('Journal'!G575="","",'Journal'!G575)</f>
        <v/>
      </c>
      <c r="H1148" s="5">
        <f>IF('Journal'!I575="","",'Journal'!I575)</f>
        <v/>
      </c>
    </row>
    <row r="1149">
      <c r="A1149" s="18">
        <f>IF('Journal'!A576="","",'Journal'!A576)</f>
        <v/>
      </c>
      <c r="B1149" s="21">
        <f>IF('Journal'!B576="","",'Journal'!B576)</f>
        <v/>
      </c>
      <c r="C1149" s="5">
        <f>IF('Journal'!C576="","",'Journal'!C576)</f>
        <v/>
      </c>
      <c r="D1149" s="5">
        <f>IF('Journal'!D576="","",IFERROR(LEFT('Journal'!D576,FIND(" ",'Journal'!D576)-1),'Journal'!D576))</f>
        <v/>
      </c>
      <c r="E1149" s="5">
        <f>IF('Journal'!D576="","",IFERROR(INDEX('Kontoplan'!$B$3:$B$302,MATCH('Journal'!D576,'Kontoplan'!$H$3:$H$302,0)),""))</f>
        <v/>
      </c>
      <c r="F1149" s="20">
        <f>IF('Journal'!G576="","",'Journal'!G576)</f>
        <v/>
      </c>
      <c r="G1149" s="20">
        <f>IF('Journal'!F576="","",'Journal'!F576)</f>
        <v/>
      </c>
      <c r="H1149" s="5">
        <f>IF('Journal'!I576="","",'Journal'!I576)</f>
        <v/>
      </c>
    </row>
    <row r="1150">
      <c r="A1150" s="18">
        <f>IF('Journal'!A576="","",'Journal'!A576)</f>
        <v/>
      </c>
      <c r="B1150" s="21">
        <f>IF('Journal'!B576="","",'Journal'!B576)</f>
        <v/>
      </c>
      <c r="C1150" s="5">
        <f>IF('Journal'!C576="","",'Journal'!C576)</f>
        <v/>
      </c>
      <c r="D1150" s="5">
        <f>IF('Journal'!E576="","",IFERROR(LEFT('Journal'!E576,FIND(" ",'Journal'!E576)-1),'Journal'!E576))</f>
        <v/>
      </c>
      <c r="E1150" s="5">
        <f>IF('Journal'!E576="","",IFERROR(INDEX('Kontoplan'!$B$3:$B$302,MATCH('Journal'!E576,'Kontoplan'!$H$3:$H$302,0)),""))</f>
        <v/>
      </c>
      <c r="F1150" s="20">
        <f>IF('Journal'!F576="","",'Journal'!F576)</f>
        <v/>
      </c>
      <c r="G1150" s="20">
        <f>IF('Journal'!G576="","",'Journal'!G576)</f>
        <v/>
      </c>
      <c r="H1150" s="5">
        <f>IF('Journal'!I576="","",'Journal'!I576)</f>
        <v/>
      </c>
    </row>
    <row r="1151">
      <c r="A1151" s="18">
        <f>IF('Journal'!A577="","",'Journal'!A577)</f>
        <v/>
      </c>
      <c r="B1151" s="21">
        <f>IF('Journal'!B577="","",'Journal'!B577)</f>
        <v/>
      </c>
      <c r="C1151" s="5">
        <f>IF('Journal'!C577="","",'Journal'!C577)</f>
        <v/>
      </c>
      <c r="D1151" s="5">
        <f>IF('Journal'!D577="","",IFERROR(LEFT('Journal'!D577,FIND(" ",'Journal'!D577)-1),'Journal'!D577))</f>
        <v/>
      </c>
      <c r="E1151" s="5">
        <f>IF('Journal'!D577="","",IFERROR(INDEX('Kontoplan'!$B$3:$B$302,MATCH('Journal'!D577,'Kontoplan'!$H$3:$H$302,0)),""))</f>
        <v/>
      </c>
      <c r="F1151" s="20">
        <f>IF('Journal'!G577="","",'Journal'!G577)</f>
        <v/>
      </c>
      <c r="G1151" s="20">
        <f>IF('Journal'!F577="","",'Journal'!F577)</f>
        <v/>
      </c>
      <c r="H1151" s="5">
        <f>IF('Journal'!I577="","",'Journal'!I577)</f>
        <v/>
      </c>
    </row>
    <row r="1152">
      <c r="A1152" s="18">
        <f>IF('Journal'!A577="","",'Journal'!A577)</f>
        <v/>
      </c>
      <c r="B1152" s="21">
        <f>IF('Journal'!B577="","",'Journal'!B577)</f>
        <v/>
      </c>
      <c r="C1152" s="5">
        <f>IF('Journal'!C577="","",'Journal'!C577)</f>
        <v/>
      </c>
      <c r="D1152" s="5">
        <f>IF('Journal'!E577="","",IFERROR(LEFT('Journal'!E577,FIND(" ",'Journal'!E577)-1),'Journal'!E577))</f>
        <v/>
      </c>
      <c r="E1152" s="5">
        <f>IF('Journal'!E577="","",IFERROR(INDEX('Kontoplan'!$B$3:$B$302,MATCH('Journal'!E577,'Kontoplan'!$H$3:$H$302,0)),""))</f>
        <v/>
      </c>
      <c r="F1152" s="20">
        <f>IF('Journal'!F577="","",'Journal'!F577)</f>
        <v/>
      </c>
      <c r="G1152" s="20">
        <f>IF('Journal'!G577="","",'Journal'!G577)</f>
        <v/>
      </c>
      <c r="H1152" s="5">
        <f>IF('Journal'!I577="","",'Journal'!I577)</f>
        <v/>
      </c>
    </row>
    <row r="1153">
      <c r="A1153" s="18">
        <f>IF('Journal'!A578="","",'Journal'!A578)</f>
        <v/>
      </c>
      <c r="B1153" s="21">
        <f>IF('Journal'!B578="","",'Journal'!B578)</f>
        <v/>
      </c>
      <c r="C1153" s="5">
        <f>IF('Journal'!C578="","",'Journal'!C578)</f>
        <v/>
      </c>
      <c r="D1153" s="5">
        <f>IF('Journal'!D578="","",IFERROR(LEFT('Journal'!D578,FIND(" ",'Journal'!D578)-1),'Journal'!D578))</f>
        <v/>
      </c>
      <c r="E1153" s="5">
        <f>IF('Journal'!D578="","",IFERROR(INDEX('Kontoplan'!$B$3:$B$302,MATCH('Journal'!D578,'Kontoplan'!$H$3:$H$302,0)),""))</f>
        <v/>
      </c>
      <c r="F1153" s="20">
        <f>IF('Journal'!G578="","",'Journal'!G578)</f>
        <v/>
      </c>
      <c r="G1153" s="20">
        <f>IF('Journal'!F578="","",'Journal'!F578)</f>
        <v/>
      </c>
      <c r="H1153" s="5">
        <f>IF('Journal'!I578="","",'Journal'!I578)</f>
        <v/>
      </c>
    </row>
    <row r="1154">
      <c r="A1154" s="18">
        <f>IF('Journal'!A578="","",'Journal'!A578)</f>
        <v/>
      </c>
      <c r="B1154" s="21">
        <f>IF('Journal'!B578="","",'Journal'!B578)</f>
        <v/>
      </c>
      <c r="C1154" s="5">
        <f>IF('Journal'!C578="","",'Journal'!C578)</f>
        <v/>
      </c>
      <c r="D1154" s="5">
        <f>IF('Journal'!E578="","",IFERROR(LEFT('Journal'!E578,FIND(" ",'Journal'!E578)-1),'Journal'!E578))</f>
        <v/>
      </c>
      <c r="E1154" s="5">
        <f>IF('Journal'!E578="","",IFERROR(INDEX('Kontoplan'!$B$3:$B$302,MATCH('Journal'!E578,'Kontoplan'!$H$3:$H$302,0)),""))</f>
        <v/>
      </c>
      <c r="F1154" s="20">
        <f>IF('Journal'!F578="","",'Journal'!F578)</f>
        <v/>
      </c>
      <c r="G1154" s="20">
        <f>IF('Journal'!G578="","",'Journal'!G578)</f>
        <v/>
      </c>
      <c r="H1154" s="5">
        <f>IF('Journal'!I578="","",'Journal'!I578)</f>
        <v/>
      </c>
    </row>
    <row r="1155">
      <c r="A1155" s="18">
        <f>IF('Journal'!A579="","",'Journal'!A579)</f>
        <v/>
      </c>
      <c r="B1155" s="21">
        <f>IF('Journal'!B579="","",'Journal'!B579)</f>
        <v/>
      </c>
      <c r="C1155" s="5">
        <f>IF('Journal'!C579="","",'Journal'!C579)</f>
        <v/>
      </c>
      <c r="D1155" s="5">
        <f>IF('Journal'!D579="","",IFERROR(LEFT('Journal'!D579,FIND(" ",'Journal'!D579)-1),'Journal'!D579))</f>
        <v/>
      </c>
      <c r="E1155" s="5">
        <f>IF('Journal'!D579="","",IFERROR(INDEX('Kontoplan'!$B$3:$B$302,MATCH('Journal'!D579,'Kontoplan'!$H$3:$H$302,0)),""))</f>
        <v/>
      </c>
      <c r="F1155" s="20">
        <f>IF('Journal'!G579="","",'Journal'!G579)</f>
        <v/>
      </c>
      <c r="G1155" s="20">
        <f>IF('Journal'!F579="","",'Journal'!F579)</f>
        <v/>
      </c>
      <c r="H1155" s="5">
        <f>IF('Journal'!I579="","",'Journal'!I579)</f>
        <v/>
      </c>
    </row>
    <row r="1156">
      <c r="A1156" s="18">
        <f>IF('Journal'!A579="","",'Journal'!A579)</f>
        <v/>
      </c>
      <c r="B1156" s="21">
        <f>IF('Journal'!B579="","",'Journal'!B579)</f>
        <v/>
      </c>
      <c r="C1156" s="5">
        <f>IF('Journal'!C579="","",'Journal'!C579)</f>
        <v/>
      </c>
      <c r="D1156" s="5">
        <f>IF('Journal'!E579="","",IFERROR(LEFT('Journal'!E579,FIND(" ",'Journal'!E579)-1),'Journal'!E579))</f>
        <v/>
      </c>
      <c r="E1156" s="5">
        <f>IF('Journal'!E579="","",IFERROR(INDEX('Kontoplan'!$B$3:$B$302,MATCH('Journal'!E579,'Kontoplan'!$H$3:$H$302,0)),""))</f>
        <v/>
      </c>
      <c r="F1156" s="20">
        <f>IF('Journal'!F579="","",'Journal'!F579)</f>
        <v/>
      </c>
      <c r="G1156" s="20">
        <f>IF('Journal'!G579="","",'Journal'!G579)</f>
        <v/>
      </c>
      <c r="H1156" s="5">
        <f>IF('Journal'!I579="","",'Journal'!I579)</f>
        <v/>
      </c>
    </row>
    <row r="1157">
      <c r="A1157" s="18">
        <f>IF('Journal'!A580="","",'Journal'!A580)</f>
        <v/>
      </c>
      <c r="B1157" s="21">
        <f>IF('Journal'!B580="","",'Journal'!B580)</f>
        <v/>
      </c>
      <c r="C1157" s="5">
        <f>IF('Journal'!C580="","",'Journal'!C580)</f>
        <v/>
      </c>
      <c r="D1157" s="5">
        <f>IF('Journal'!D580="","",IFERROR(LEFT('Journal'!D580,FIND(" ",'Journal'!D580)-1),'Journal'!D580))</f>
        <v/>
      </c>
      <c r="E1157" s="5">
        <f>IF('Journal'!D580="","",IFERROR(INDEX('Kontoplan'!$B$3:$B$302,MATCH('Journal'!D580,'Kontoplan'!$H$3:$H$302,0)),""))</f>
        <v/>
      </c>
      <c r="F1157" s="20">
        <f>IF('Journal'!G580="","",'Journal'!G580)</f>
        <v/>
      </c>
      <c r="G1157" s="20">
        <f>IF('Journal'!F580="","",'Journal'!F580)</f>
        <v/>
      </c>
      <c r="H1157" s="5">
        <f>IF('Journal'!I580="","",'Journal'!I580)</f>
        <v/>
      </c>
    </row>
    <row r="1158">
      <c r="A1158" s="18">
        <f>IF('Journal'!A580="","",'Journal'!A580)</f>
        <v/>
      </c>
      <c r="B1158" s="21">
        <f>IF('Journal'!B580="","",'Journal'!B580)</f>
        <v/>
      </c>
      <c r="C1158" s="5">
        <f>IF('Journal'!C580="","",'Journal'!C580)</f>
        <v/>
      </c>
      <c r="D1158" s="5">
        <f>IF('Journal'!E580="","",IFERROR(LEFT('Journal'!E580,FIND(" ",'Journal'!E580)-1),'Journal'!E580))</f>
        <v/>
      </c>
      <c r="E1158" s="5">
        <f>IF('Journal'!E580="","",IFERROR(INDEX('Kontoplan'!$B$3:$B$302,MATCH('Journal'!E580,'Kontoplan'!$H$3:$H$302,0)),""))</f>
        <v/>
      </c>
      <c r="F1158" s="20">
        <f>IF('Journal'!F580="","",'Journal'!F580)</f>
        <v/>
      </c>
      <c r="G1158" s="20">
        <f>IF('Journal'!G580="","",'Journal'!G580)</f>
        <v/>
      </c>
      <c r="H1158" s="5">
        <f>IF('Journal'!I580="","",'Journal'!I580)</f>
        <v/>
      </c>
    </row>
    <row r="1159">
      <c r="A1159" s="18">
        <f>IF('Journal'!A581="","",'Journal'!A581)</f>
        <v/>
      </c>
      <c r="B1159" s="21">
        <f>IF('Journal'!B581="","",'Journal'!B581)</f>
        <v/>
      </c>
      <c r="C1159" s="5">
        <f>IF('Journal'!C581="","",'Journal'!C581)</f>
        <v/>
      </c>
      <c r="D1159" s="5">
        <f>IF('Journal'!D581="","",IFERROR(LEFT('Journal'!D581,FIND(" ",'Journal'!D581)-1),'Journal'!D581))</f>
        <v/>
      </c>
      <c r="E1159" s="5">
        <f>IF('Journal'!D581="","",IFERROR(INDEX('Kontoplan'!$B$3:$B$302,MATCH('Journal'!D581,'Kontoplan'!$H$3:$H$302,0)),""))</f>
        <v/>
      </c>
      <c r="F1159" s="20">
        <f>IF('Journal'!G581="","",'Journal'!G581)</f>
        <v/>
      </c>
      <c r="G1159" s="20">
        <f>IF('Journal'!F581="","",'Journal'!F581)</f>
        <v/>
      </c>
      <c r="H1159" s="5">
        <f>IF('Journal'!I581="","",'Journal'!I581)</f>
        <v/>
      </c>
    </row>
    <row r="1160">
      <c r="A1160" s="18">
        <f>IF('Journal'!A581="","",'Journal'!A581)</f>
        <v/>
      </c>
      <c r="B1160" s="21">
        <f>IF('Journal'!B581="","",'Journal'!B581)</f>
        <v/>
      </c>
      <c r="C1160" s="5">
        <f>IF('Journal'!C581="","",'Journal'!C581)</f>
        <v/>
      </c>
      <c r="D1160" s="5">
        <f>IF('Journal'!E581="","",IFERROR(LEFT('Journal'!E581,FIND(" ",'Journal'!E581)-1),'Journal'!E581))</f>
        <v/>
      </c>
      <c r="E1160" s="5">
        <f>IF('Journal'!E581="","",IFERROR(INDEX('Kontoplan'!$B$3:$B$302,MATCH('Journal'!E581,'Kontoplan'!$H$3:$H$302,0)),""))</f>
        <v/>
      </c>
      <c r="F1160" s="20">
        <f>IF('Journal'!F581="","",'Journal'!F581)</f>
        <v/>
      </c>
      <c r="G1160" s="20">
        <f>IF('Journal'!G581="","",'Journal'!G581)</f>
        <v/>
      </c>
      <c r="H1160" s="5">
        <f>IF('Journal'!I581="","",'Journal'!I581)</f>
        <v/>
      </c>
    </row>
    <row r="1161">
      <c r="A1161" s="18">
        <f>IF('Journal'!A582="","",'Journal'!A582)</f>
        <v/>
      </c>
      <c r="B1161" s="21">
        <f>IF('Journal'!B582="","",'Journal'!B582)</f>
        <v/>
      </c>
      <c r="C1161" s="5">
        <f>IF('Journal'!C582="","",'Journal'!C582)</f>
        <v/>
      </c>
      <c r="D1161" s="5">
        <f>IF('Journal'!D582="","",IFERROR(LEFT('Journal'!D582,FIND(" ",'Journal'!D582)-1),'Journal'!D582))</f>
        <v/>
      </c>
      <c r="E1161" s="5">
        <f>IF('Journal'!D582="","",IFERROR(INDEX('Kontoplan'!$B$3:$B$302,MATCH('Journal'!D582,'Kontoplan'!$H$3:$H$302,0)),""))</f>
        <v/>
      </c>
      <c r="F1161" s="20">
        <f>IF('Journal'!G582="","",'Journal'!G582)</f>
        <v/>
      </c>
      <c r="G1161" s="20">
        <f>IF('Journal'!F582="","",'Journal'!F582)</f>
        <v/>
      </c>
      <c r="H1161" s="5">
        <f>IF('Journal'!I582="","",'Journal'!I582)</f>
        <v/>
      </c>
    </row>
    <row r="1162">
      <c r="A1162" s="18">
        <f>IF('Journal'!A582="","",'Journal'!A582)</f>
        <v/>
      </c>
      <c r="B1162" s="21">
        <f>IF('Journal'!B582="","",'Journal'!B582)</f>
        <v/>
      </c>
      <c r="C1162" s="5">
        <f>IF('Journal'!C582="","",'Journal'!C582)</f>
        <v/>
      </c>
      <c r="D1162" s="5">
        <f>IF('Journal'!E582="","",IFERROR(LEFT('Journal'!E582,FIND(" ",'Journal'!E582)-1),'Journal'!E582))</f>
        <v/>
      </c>
      <c r="E1162" s="5">
        <f>IF('Journal'!E582="","",IFERROR(INDEX('Kontoplan'!$B$3:$B$302,MATCH('Journal'!E582,'Kontoplan'!$H$3:$H$302,0)),""))</f>
        <v/>
      </c>
      <c r="F1162" s="20">
        <f>IF('Journal'!F582="","",'Journal'!F582)</f>
        <v/>
      </c>
      <c r="G1162" s="20">
        <f>IF('Journal'!G582="","",'Journal'!G582)</f>
        <v/>
      </c>
      <c r="H1162" s="5">
        <f>IF('Journal'!I582="","",'Journal'!I582)</f>
        <v/>
      </c>
    </row>
    <row r="1163">
      <c r="A1163" s="18">
        <f>IF('Journal'!A583="","",'Journal'!A583)</f>
        <v/>
      </c>
      <c r="B1163" s="21">
        <f>IF('Journal'!B583="","",'Journal'!B583)</f>
        <v/>
      </c>
      <c r="C1163" s="5">
        <f>IF('Journal'!C583="","",'Journal'!C583)</f>
        <v/>
      </c>
      <c r="D1163" s="5">
        <f>IF('Journal'!D583="","",IFERROR(LEFT('Journal'!D583,FIND(" ",'Journal'!D583)-1),'Journal'!D583))</f>
        <v/>
      </c>
      <c r="E1163" s="5">
        <f>IF('Journal'!D583="","",IFERROR(INDEX('Kontoplan'!$B$3:$B$302,MATCH('Journal'!D583,'Kontoplan'!$H$3:$H$302,0)),""))</f>
        <v/>
      </c>
      <c r="F1163" s="20">
        <f>IF('Journal'!G583="","",'Journal'!G583)</f>
        <v/>
      </c>
      <c r="G1163" s="20">
        <f>IF('Journal'!F583="","",'Journal'!F583)</f>
        <v/>
      </c>
      <c r="H1163" s="5">
        <f>IF('Journal'!I583="","",'Journal'!I583)</f>
        <v/>
      </c>
    </row>
    <row r="1164">
      <c r="A1164" s="18">
        <f>IF('Journal'!A583="","",'Journal'!A583)</f>
        <v/>
      </c>
      <c r="B1164" s="21">
        <f>IF('Journal'!B583="","",'Journal'!B583)</f>
        <v/>
      </c>
      <c r="C1164" s="5">
        <f>IF('Journal'!C583="","",'Journal'!C583)</f>
        <v/>
      </c>
      <c r="D1164" s="5">
        <f>IF('Journal'!E583="","",IFERROR(LEFT('Journal'!E583,FIND(" ",'Journal'!E583)-1),'Journal'!E583))</f>
        <v/>
      </c>
      <c r="E1164" s="5">
        <f>IF('Journal'!E583="","",IFERROR(INDEX('Kontoplan'!$B$3:$B$302,MATCH('Journal'!E583,'Kontoplan'!$H$3:$H$302,0)),""))</f>
        <v/>
      </c>
      <c r="F1164" s="20">
        <f>IF('Journal'!F583="","",'Journal'!F583)</f>
        <v/>
      </c>
      <c r="G1164" s="20">
        <f>IF('Journal'!G583="","",'Journal'!G583)</f>
        <v/>
      </c>
      <c r="H1164" s="5">
        <f>IF('Journal'!I583="","",'Journal'!I583)</f>
        <v/>
      </c>
    </row>
    <row r="1165">
      <c r="A1165" s="18">
        <f>IF('Journal'!A584="","",'Journal'!A584)</f>
        <v/>
      </c>
      <c r="B1165" s="21">
        <f>IF('Journal'!B584="","",'Journal'!B584)</f>
        <v/>
      </c>
      <c r="C1165" s="5">
        <f>IF('Journal'!C584="","",'Journal'!C584)</f>
        <v/>
      </c>
      <c r="D1165" s="5">
        <f>IF('Journal'!D584="","",IFERROR(LEFT('Journal'!D584,FIND(" ",'Journal'!D584)-1),'Journal'!D584))</f>
        <v/>
      </c>
      <c r="E1165" s="5">
        <f>IF('Journal'!D584="","",IFERROR(INDEX('Kontoplan'!$B$3:$B$302,MATCH('Journal'!D584,'Kontoplan'!$H$3:$H$302,0)),""))</f>
        <v/>
      </c>
      <c r="F1165" s="20">
        <f>IF('Journal'!G584="","",'Journal'!G584)</f>
        <v/>
      </c>
      <c r="G1165" s="20">
        <f>IF('Journal'!F584="","",'Journal'!F584)</f>
        <v/>
      </c>
      <c r="H1165" s="5">
        <f>IF('Journal'!I584="","",'Journal'!I584)</f>
        <v/>
      </c>
    </row>
    <row r="1166">
      <c r="A1166" s="18">
        <f>IF('Journal'!A584="","",'Journal'!A584)</f>
        <v/>
      </c>
      <c r="B1166" s="21">
        <f>IF('Journal'!B584="","",'Journal'!B584)</f>
        <v/>
      </c>
      <c r="C1166" s="5">
        <f>IF('Journal'!C584="","",'Journal'!C584)</f>
        <v/>
      </c>
      <c r="D1166" s="5">
        <f>IF('Journal'!E584="","",IFERROR(LEFT('Journal'!E584,FIND(" ",'Journal'!E584)-1),'Journal'!E584))</f>
        <v/>
      </c>
      <c r="E1166" s="5">
        <f>IF('Journal'!E584="","",IFERROR(INDEX('Kontoplan'!$B$3:$B$302,MATCH('Journal'!E584,'Kontoplan'!$H$3:$H$302,0)),""))</f>
        <v/>
      </c>
      <c r="F1166" s="20">
        <f>IF('Journal'!F584="","",'Journal'!F584)</f>
        <v/>
      </c>
      <c r="G1166" s="20">
        <f>IF('Journal'!G584="","",'Journal'!G584)</f>
        <v/>
      </c>
      <c r="H1166" s="5">
        <f>IF('Journal'!I584="","",'Journal'!I584)</f>
        <v/>
      </c>
    </row>
    <row r="1167">
      <c r="A1167" s="18">
        <f>IF('Journal'!A585="","",'Journal'!A585)</f>
        <v/>
      </c>
      <c r="B1167" s="21">
        <f>IF('Journal'!B585="","",'Journal'!B585)</f>
        <v/>
      </c>
      <c r="C1167" s="5">
        <f>IF('Journal'!C585="","",'Journal'!C585)</f>
        <v/>
      </c>
      <c r="D1167" s="5">
        <f>IF('Journal'!D585="","",IFERROR(LEFT('Journal'!D585,FIND(" ",'Journal'!D585)-1),'Journal'!D585))</f>
        <v/>
      </c>
      <c r="E1167" s="5">
        <f>IF('Journal'!D585="","",IFERROR(INDEX('Kontoplan'!$B$3:$B$302,MATCH('Journal'!D585,'Kontoplan'!$H$3:$H$302,0)),""))</f>
        <v/>
      </c>
      <c r="F1167" s="20">
        <f>IF('Journal'!G585="","",'Journal'!G585)</f>
        <v/>
      </c>
      <c r="G1167" s="20">
        <f>IF('Journal'!F585="","",'Journal'!F585)</f>
        <v/>
      </c>
      <c r="H1167" s="5">
        <f>IF('Journal'!I585="","",'Journal'!I585)</f>
        <v/>
      </c>
    </row>
    <row r="1168">
      <c r="A1168" s="18">
        <f>IF('Journal'!A585="","",'Journal'!A585)</f>
        <v/>
      </c>
      <c r="B1168" s="21">
        <f>IF('Journal'!B585="","",'Journal'!B585)</f>
        <v/>
      </c>
      <c r="C1168" s="5">
        <f>IF('Journal'!C585="","",'Journal'!C585)</f>
        <v/>
      </c>
      <c r="D1168" s="5">
        <f>IF('Journal'!E585="","",IFERROR(LEFT('Journal'!E585,FIND(" ",'Journal'!E585)-1),'Journal'!E585))</f>
        <v/>
      </c>
      <c r="E1168" s="5">
        <f>IF('Journal'!E585="","",IFERROR(INDEX('Kontoplan'!$B$3:$B$302,MATCH('Journal'!E585,'Kontoplan'!$H$3:$H$302,0)),""))</f>
        <v/>
      </c>
      <c r="F1168" s="20">
        <f>IF('Journal'!F585="","",'Journal'!F585)</f>
        <v/>
      </c>
      <c r="G1168" s="20">
        <f>IF('Journal'!G585="","",'Journal'!G585)</f>
        <v/>
      </c>
      <c r="H1168" s="5">
        <f>IF('Journal'!I585="","",'Journal'!I585)</f>
        <v/>
      </c>
    </row>
    <row r="1169">
      <c r="A1169" s="18">
        <f>IF('Journal'!A586="","",'Journal'!A586)</f>
        <v/>
      </c>
      <c r="B1169" s="21">
        <f>IF('Journal'!B586="","",'Journal'!B586)</f>
        <v/>
      </c>
      <c r="C1169" s="5">
        <f>IF('Journal'!C586="","",'Journal'!C586)</f>
        <v/>
      </c>
      <c r="D1169" s="5">
        <f>IF('Journal'!D586="","",IFERROR(LEFT('Journal'!D586,FIND(" ",'Journal'!D586)-1),'Journal'!D586))</f>
        <v/>
      </c>
      <c r="E1169" s="5">
        <f>IF('Journal'!D586="","",IFERROR(INDEX('Kontoplan'!$B$3:$B$302,MATCH('Journal'!D586,'Kontoplan'!$H$3:$H$302,0)),""))</f>
        <v/>
      </c>
      <c r="F1169" s="20">
        <f>IF('Journal'!G586="","",'Journal'!G586)</f>
        <v/>
      </c>
      <c r="G1169" s="20">
        <f>IF('Journal'!F586="","",'Journal'!F586)</f>
        <v/>
      </c>
      <c r="H1169" s="5">
        <f>IF('Journal'!I586="","",'Journal'!I586)</f>
        <v/>
      </c>
    </row>
    <row r="1170">
      <c r="A1170" s="18">
        <f>IF('Journal'!A586="","",'Journal'!A586)</f>
        <v/>
      </c>
      <c r="B1170" s="21">
        <f>IF('Journal'!B586="","",'Journal'!B586)</f>
        <v/>
      </c>
      <c r="C1170" s="5">
        <f>IF('Journal'!C586="","",'Journal'!C586)</f>
        <v/>
      </c>
      <c r="D1170" s="5">
        <f>IF('Journal'!E586="","",IFERROR(LEFT('Journal'!E586,FIND(" ",'Journal'!E586)-1),'Journal'!E586))</f>
        <v/>
      </c>
      <c r="E1170" s="5">
        <f>IF('Journal'!E586="","",IFERROR(INDEX('Kontoplan'!$B$3:$B$302,MATCH('Journal'!E586,'Kontoplan'!$H$3:$H$302,0)),""))</f>
        <v/>
      </c>
      <c r="F1170" s="20">
        <f>IF('Journal'!F586="","",'Journal'!F586)</f>
        <v/>
      </c>
      <c r="G1170" s="20">
        <f>IF('Journal'!G586="","",'Journal'!G586)</f>
        <v/>
      </c>
      <c r="H1170" s="5">
        <f>IF('Journal'!I586="","",'Journal'!I586)</f>
        <v/>
      </c>
    </row>
    <row r="1171">
      <c r="A1171" s="18">
        <f>IF('Journal'!A587="","",'Journal'!A587)</f>
        <v/>
      </c>
      <c r="B1171" s="21">
        <f>IF('Journal'!B587="","",'Journal'!B587)</f>
        <v/>
      </c>
      <c r="C1171" s="5">
        <f>IF('Journal'!C587="","",'Journal'!C587)</f>
        <v/>
      </c>
      <c r="D1171" s="5">
        <f>IF('Journal'!D587="","",IFERROR(LEFT('Journal'!D587,FIND(" ",'Journal'!D587)-1),'Journal'!D587))</f>
        <v/>
      </c>
      <c r="E1171" s="5">
        <f>IF('Journal'!D587="","",IFERROR(INDEX('Kontoplan'!$B$3:$B$302,MATCH('Journal'!D587,'Kontoplan'!$H$3:$H$302,0)),""))</f>
        <v/>
      </c>
      <c r="F1171" s="20">
        <f>IF('Journal'!G587="","",'Journal'!G587)</f>
        <v/>
      </c>
      <c r="G1171" s="20">
        <f>IF('Journal'!F587="","",'Journal'!F587)</f>
        <v/>
      </c>
      <c r="H1171" s="5">
        <f>IF('Journal'!I587="","",'Journal'!I587)</f>
        <v/>
      </c>
    </row>
    <row r="1172">
      <c r="A1172" s="18">
        <f>IF('Journal'!A587="","",'Journal'!A587)</f>
        <v/>
      </c>
      <c r="B1172" s="21">
        <f>IF('Journal'!B587="","",'Journal'!B587)</f>
        <v/>
      </c>
      <c r="C1172" s="5">
        <f>IF('Journal'!C587="","",'Journal'!C587)</f>
        <v/>
      </c>
      <c r="D1172" s="5">
        <f>IF('Journal'!E587="","",IFERROR(LEFT('Journal'!E587,FIND(" ",'Journal'!E587)-1),'Journal'!E587))</f>
        <v/>
      </c>
      <c r="E1172" s="5">
        <f>IF('Journal'!E587="","",IFERROR(INDEX('Kontoplan'!$B$3:$B$302,MATCH('Journal'!E587,'Kontoplan'!$H$3:$H$302,0)),""))</f>
        <v/>
      </c>
      <c r="F1172" s="20">
        <f>IF('Journal'!F587="","",'Journal'!F587)</f>
        <v/>
      </c>
      <c r="G1172" s="20">
        <f>IF('Journal'!G587="","",'Journal'!G587)</f>
        <v/>
      </c>
      <c r="H1172" s="5">
        <f>IF('Journal'!I587="","",'Journal'!I587)</f>
        <v/>
      </c>
    </row>
    <row r="1173">
      <c r="A1173" s="18">
        <f>IF('Journal'!A588="","",'Journal'!A588)</f>
        <v/>
      </c>
      <c r="B1173" s="21">
        <f>IF('Journal'!B588="","",'Journal'!B588)</f>
        <v/>
      </c>
      <c r="C1173" s="5">
        <f>IF('Journal'!C588="","",'Journal'!C588)</f>
        <v/>
      </c>
      <c r="D1173" s="5">
        <f>IF('Journal'!D588="","",IFERROR(LEFT('Journal'!D588,FIND(" ",'Journal'!D588)-1),'Journal'!D588))</f>
        <v/>
      </c>
      <c r="E1173" s="5">
        <f>IF('Journal'!D588="","",IFERROR(INDEX('Kontoplan'!$B$3:$B$302,MATCH('Journal'!D588,'Kontoplan'!$H$3:$H$302,0)),""))</f>
        <v/>
      </c>
      <c r="F1173" s="20">
        <f>IF('Journal'!G588="","",'Journal'!G588)</f>
        <v/>
      </c>
      <c r="G1173" s="20">
        <f>IF('Journal'!F588="","",'Journal'!F588)</f>
        <v/>
      </c>
      <c r="H1173" s="5">
        <f>IF('Journal'!I588="","",'Journal'!I588)</f>
        <v/>
      </c>
    </row>
    <row r="1174">
      <c r="A1174" s="18">
        <f>IF('Journal'!A588="","",'Journal'!A588)</f>
        <v/>
      </c>
      <c r="B1174" s="21">
        <f>IF('Journal'!B588="","",'Journal'!B588)</f>
        <v/>
      </c>
      <c r="C1174" s="5">
        <f>IF('Journal'!C588="","",'Journal'!C588)</f>
        <v/>
      </c>
      <c r="D1174" s="5">
        <f>IF('Journal'!E588="","",IFERROR(LEFT('Journal'!E588,FIND(" ",'Journal'!E588)-1),'Journal'!E588))</f>
        <v/>
      </c>
      <c r="E1174" s="5">
        <f>IF('Journal'!E588="","",IFERROR(INDEX('Kontoplan'!$B$3:$B$302,MATCH('Journal'!E588,'Kontoplan'!$H$3:$H$302,0)),""))</f>
        <v/>
      </c>
      <c r="F1174" s="20">
        <f>IF('Journal'!F588="","",'Journal'!F588)</f>
        <v/>
      </c>
      <c r="G1174" s="20">
        <f>IF('Journal'!G588="","",'Journal'!G588)</f>
        <v/>
      </c>
      <c r="H1174" s="5">
        <f>IF('Journal'!I588="","",'Journal'!I588)</f>
        <v/>
      </c>
    </row>
    <row r="1175">
      <c r="A1175" s="18">
        <f>IF('Journal'!A589="","",'Journal'!A589)</f>
        <v/>
      </c>
      <c r="B1175" s="21">
        <f>IF('Journal'!B589="","",'Journal'!B589)</f>
        <v/>
      </c>
      <c r="C1175" s="5">
        <f>IF('Journal'!C589="","",'Journal'!C589)</f>
        <v/>
      </c>
      <c r="D1175" s="5">
        <f>IF('Journal'!D589="","",IFERROR(LEFT('Journal'!D589,FIND(" ",'Journal'!D589)-1),'Journal'!D589))</f>
        <v/>
      </c>
      <c r="E1175" s="5">
        <f>IF('Journal'!D589="","",IFERROR(INDEX('Kontoplan'!$B$3:$B$302,MATCH('Journal'!D589,'Kontoplan'!$H$3:$H$302,0)),""))</f>
        <v/>
      </c>
      <c r="F1175" s="20">
        <f>IF('Journal'!G589="","",'Journal'!G589)</f>
        <v/>
      </c>
      <c r="G1175" s="20">
        <f>IF('Journal'!F589="","",'Journal'!F589)</f>
        <v/>
      </c>
      <c r="H1175" s="5">
        <f>IF('Journal'!I589="","",'Journal'!I589)</f>
        <v/>
      </c>
    </row>
    <row r="1176">
      <c r="A1176" s="18">
        <f>IF('Journal'!A589="","",'Journal'!A589)</f>
        <v/>
      </c>
      <c r="B1176" s="21">
        <f>IF('Journal'!B589="","",'Journal'!B589)</f>
        <v/>
      </c>
      <c r="C1176" s="5">
        <f>IF('Journal'!C589="","",'Journal'!C589)</f>
        <v/>
      </c>
      <c r="D1176" s="5">
        <f>IF('Journal'!E589="","",IFERROR(LEFT('Journal'!E589,FIND(" ",'Journal'!E589)-1),'Journal'!E589))</f>
        <v/>
      </c>
      <c r="E1176" s="5">
        <f>IF('Journal'!E589="","",IFERROR(INDEX('Kontoplan'!$B$3:$B$302,MATCH('Journal'!E589,'Kontoplan'!$H$3:$H$302,0)),""))</f>
        <v/>
      </c>
      <c r="F1176" s="20">
        <f>IF('Journal'!F589="","",'Journal'!F589)</f>
        <v/>
      </c>
      <c r="G1176" s="20">
        <f>IF('Journal'!G589="","",'Journal'!G589)</f>
        <v/>
      </c>
      <c r="H1176" s="5">
        <f>IF('Journal'!I589="","",'Journal'!I589)</f>
        <v/>
      </c>
    </row>
    <row r="1177">
      <c r="A1177" s="18">
        <f>IF('Journal'!A590="","",'Journal'!A590)</f>
        <v/>
      </c>
      <c r="B1177" s="21">
        <f>IF('Journal'!B590="","",'Journal'!B590)</f>
        <v/>
      </c>
      <c r="C1177" s="5">
        <f>IF('Journal'!C590="","",'Journal'!C590)</f>
        <v/>
      </c>
      <c r="D1177" s="5">
        <f>IF('Journal'!D590="","",IFERROR(LEFT('Journal'!D590,FIND(" ",'Journal'!D590)-1),'Journal'!D590))</f>
        <v/>
      </c>
      <c r="E1177" s="5">
        <f>IF('Journal'!D590="","",IFERROR(INDEX('Kontoplan'!$B$3:$B$302,MATCH('Journal'!D590,'Kontoplan'!$H$3:$H$302,0)),""))</f>
        <v/>
      </c>
      <c r="F1177" s="20">
        <f>IF('Journal'!G590="","",'Journal'!G590)</f>
        <v/>
      </c>
      <c r="G1177" s="20">
        <f>IF('Journal'!F590="","",'Journal'!F590)</f>
        <v/>
      </c>
      <c r="H1177" s="5">
        <f>IF('Journal'!I590="","",'Journal'!I590)</f>
        <v/>
      </c>
    </row>
    <row r="1178">
      <c r="A1178" s="18">
        <f>IF('Journal'!A590="","",'Journal'!A590)</f>
        <v/>
      </c>
      <c r="B1178" s="21">
        <f>IF('Journal'!B590="","",'Journal'!B590)</f>
        <v/>
      </c>
      <c r="C1178" s="5">
        <f>IF('Journal'!C590="","",'Journal'!C590)</f>
        <v/>
      </c>
      <c r="D1178" s="5">
        <f>IF('Journal'!E590="","",IFERROR(LEFT('Journal'!E590,FIND(" ",'Journal'!E590)-1),'Journal'!E590))</f>
        <v/>
      </c>
      <c r="E1178" s="5">
        <f>IF('Journal'!E590="","",IFERROR(INDEX('Kontoplan'!$B$3:$B$302,MATCH('Journal'!E590,'Kontoplan'!$H$3:$H$302,0)),""))</f>
        <v/>
      </c>
      <c r="F1178" s="20">
        <f>IF('Journal'!F590="","",'Journal'!F590)</f>
        <v/>
      </c>
      <c r="G1178" s="20">
        <f>IF('Journal'!G590="","",'Journal'!G590)</f>
        <v/>
      </c>
      <c r="H1178" s="5">
        <f>IF('Journal'!I590="","",'Journal'!I590)</f>
        <v/>
      </c>
    </row>
    <row r="1179">
      <c r="A1179" s="18">
        <f>IF('Journal'!A591="","",'Journal'!A591)</f>
        <v/>
      </c>
      <c r="B1179" s="21">
        <f>IF('Journal'!B591="","",'Journal'!B591)</f>
        <v/>
      </c>
      <c r="C1179" s="5">
        <f>IF('Journal'!C591="","",'Journal'!C591)</f>
        <v/>
      </c>
      <c r="D1179" s="5">
        <f>IF('Journal'!D591="","",IFERROR(LEFT('Journal'!D591,FIND(" ",'Journal'!D591)-1),'Journal'!D591))</f>
        <v/>
      </c>
      <c r="E1179" s="5">
        <f>IF('Journal'!D591="","",IFERROR(INDEX('Kontoplan'!$B$3:$B$302,MATCH('Journal'!D591,'Kontoplan'!$H$3:$H$302,0)),""))</f>
        <v/>
      </c>
      <c r="F1179" s="20">
        <f>IF('Journal'!G591="","",'Journal'!G591)</f>
        <v/>
      </c>
      <c r="G1179" s="20">
        <f>IF('Journal'!F591="","",'Journal'!F591)</f>
        <v/>
      </c>
      <c r="H1179" s="5">
        <f>IF('Journal'!I591="","",'Journal'!I591)</f>
        <v/>
      </c>
    </row>
    <row r="1180">
      <c r="A1180" s="18">
        <f>IF('Journal'!A591="","",'Journal'!A591)</f>
        <v/>
      </c>
      <c r="B1180" s="21">
        <f>IF('Journal'!B591="","",'Journal'!B591)</f>
        <v/>
      </c>
      <c r="C1180" s="5">
        <f>IF('Journal'!C591="","",'Journal'!C591)</f>
        <v/>
      </c>
      <c r="D1180" s="5">
        <f>IF('Journal'!E591="","",IFERROR(LEFT('Journal'!E591,FIND(" ",'Journal'!E591)-1),'Journal'!E591))</f>
        <v/>
      </c>
      <c r="E1180" s="5">
        <f>IF('Journal'!E591="","",IFERROR(INDEX('Kontoplan'!$B$3:$B$302,MATCH('Journal'!E591,'Kontoplan'!$H$3:$H$302,0)),""))</f>
        <v/>
      </c>
      <c r="F1180" s="20">
        <f>IF('Journal'!F591="","",'Journal'!F591)</f>
        <v/>
      </c>
      <c r="G1180" s="20">
        <f>IF('Journal'!G591="","",'Journal'!G591)</f>
        <v/>
      </c>
      <c r="H1180" s="5">
        <f>IF('Journal'!I591="","",'Journal'!I591)</f>
        <v/>
      </c>
    </row>
    <row r="1181">
      <c r="A1181" s="18">
        <f>IF('Journal'!A592="","",'Journal'!A592)</f>
        <v/>
      </c>
      <c r="B1181" s="21">
        <f>IF('Journal'!B592="","",'Journal'!B592)</f>
        <v/>
      </c>
      <c r="C1181" s="5">
        <f>IF('Journal'!C592="","",'Journal'!C592)</f>
        <v/>
      </c>
      <c r="D1181" s="5">
        <f>IF('Journal'!D592="","",IFERROR(LEFT('Journal'!D592,FIND(" ",'Journal'!D592)-1),'Journal'!D592))</f>
        <v/>
      </c>
      <c r="E1181" s="5">
        <f>IF('Journal'!D592="","",IFERROR(INDEX('Kontoplan'!$B$3:$B$302,MATCH('Journal'!D592,'Kontoplan'!$H$3:$H$302,0)),""))</f>
        <v/>
      </c>
      <c r="F1181" s="20">
        <f>IF('Journal'!G592="","",'Journal'!G592)</f>
        <v/>
      </c>
      <c r="G1181" s="20">
        <f>IF('Journal'!F592="","",'Journal'!F592)</f>
        <v/>
      </c>
      <c r="H1181" s="5">
        <f>IF('Journal'!I592="","",'Journal'!I592)</f>
        <v/>
      </c>
    </row>
    <row r="1182">
      <c r="A1182" s="18">
        <f>IF('Journal'!A592="","",'Journal'!A592)</f>
        <v/>
      </c>
      <c r="B1182" s="21">
        <f>IF('Journal'!B592="","",'Journal'!B592)</f>
        <v/>
      </c>
      <c r="C1182" s="5">
        <f>IF('Journal'!C592="","",'Journal'!C592)</f>
        <v/>
      </c>
      <c r="D1182" s="5">
        <f>IF('Journal'!E592="","",IFERROR(LEFT('Journal'!E592,FIND(" ",'Journal'!E592)-1),'Journal'!E592))</f>
        <v/>
      </c>
      <c r="E1182" s="5">
        <f>IF('Journal'!E592="","",IFERROR(INDEX('Kontoplan'!$B$3:$B$302,MATCH('Journal'!E592,'Kontoplan'!$H$3:$H$302,0)),""))</f>
        <v/>
      </c>
      <c r="F1182" s="20">
        <f>IF('Journal'!F592="","",'Journal'!F592)</f>
        <v/>
      </c>
      <c r="G1182" s="20">
        <f>IF('Journal'!G592="","",'Journal'!G592)</f>
        <v/>
      </c>
      <c r="H1182" s="5">
        <f>IF('Journal'!I592="","",'Journal'!I592)</f>
        <v/>
      </c>
    </row>
    <row r="1183">
      <c r="A1183" s="18">
        <f>IF('Journal'!A593="","",'Journal'!A593)</f>
        <v/>
      </c>
      <c r="B1183" s="21">
        <f>IF('Journal'!B593="","",'Journal'!B593)</f>
        <v/>
      </c>
      <c r="C1183" s="5">
        <f>IF('Journal'!C593="","",'Journal'!C593)</f>
        <v/>
      </c>
      <c r="D1183" s="5">
        <f>IF('Journal'!D593="","",IFERROR(LEFT('Journal'!D593,FIND(" ",'Journal'!D593)-1),'Journal'!D593))</f>
        <v/>
      </c>
      <c r="E1183" s="5">
        <f>IF('Journal'!D593="","",IFERROR(INDEX('Kontoplan'!$B$3:$B$302,MATCH('Journal'!D593,'Kontoplan'!$H$3:$H$302,0)),""))</f>
        <v/>
      </c>
      <c r="F1183" s="20">
        <f>IF('Journal'!G593="","",'Journal'!G593)</f>
        <v/>
      </c>
      <c r="G1183" s="20">
        <f>IF('Journal'!F593="","",'Journal'!F593)</f>
        <v/>
      </c>
      <c r="H1183" s="5">
        <f>IF('Journal'!I593="","",'Journal'!I593)</f>
        <v/>
      </c>
    </row>
    <row r="1184">
      <c r="A1184" s="18">
        <f>IF('Journal'!A593="","",'Journal'!A593)</f>
        <v/>
      </c>
      <c r="B1184" s="21">
        <f>IF('Journal'!B593="","",'Journal'!B593)</f>
        <v/>
      </c>
      <c r="C1184" s="5">
        <f>IF('Journal'!C593="","",'Journal'!C593)</f>
        <v/>
      </c>
      <c r="D1184" s="5">
        <f>IF('Journal'!E593="","",IFERROR(LEFT('Journal'!E593,FIND(" ",'Journal'!E593)-1),'Journal'!E593))</f>
        <v/>
      </c>
      <c r="E1184" s="5">
        <f>IF('Journal'!E593="","",IFERROR(INDEX('Kontoplan'!$B$3:$B$302,MATCH('Journal'!E593,'Kontoplan'!$H$3:$H$302,0)),""))</f>
        <v/>
      </c>
      <c r="F1184" s="20">
        <f>IF('Journal'!F593="","",'Journal'!F593)</f>
        <v/>
      </c>
      <c r="G1184" s="20">
        <f>IF('Journal'!G593="","",'Journal'!G593)</f>
        <v/>
      </c>
      <c r="H1184" s="5">
        <f>IF('Journal'!I593="","",'Journal'!I593)</f>
        <v/>
      </c>
    </row>
    <row r="1185">
      <c r="A1185" s="18">
        <f>IF('Journal'!A594="","",'Journal'!A594)</f>
        <v/>
      </c>
      <c r="B1185" s="21">
        <f>IF('Journal'!B594="","",'Journal'!B594)</f>
        <v/>
      </c>
      <c r="C1185" s="5">
        <f>IF('Journal'!C594="","",'Journal'!C594)</f>
        <v/>
      </c>
      <c r="D1185" s="5">
        <f>IF('Journal'!D594="","",IFERROR(LEFT('Journal'!D594,FIND(" ",'Journal'!D594)-1),'Journal'!D594))</f>
        <v/>
      </c>
      <c r="E1185" s="5">
        <f>IF('Journal'!D594="","",IFERROR(INDEX('Kontoplan'!$B$3:$B$302,MATCH('Journal'!D594,'Kontoplan'!$H$3:$H$302,0)),""))</f>
        <v/>
      </c>
      <c r="F1185" s="20">
        <f>IF('Journal'!G594="","",'Journal'!G594)</f>
        <v/>
      </c>
      <c r="G1185" s="20">
        <f>IF('Journal'!F594="","",'Journal'!F594)</f>
        <v/>
      </c>
      <c r="H1185" s="5">
        <f>IF('Journal'!I594="","",'Journal'!I594)</f>
        <v/>
      </c>
    </row>
    <row r="1186">
      <c r="A1186" s="18">
        <f>IF('Journal'!A594="","",'Journal'!A594)</f>
        <v/>
      </c>
      <c r="B1186" s="21">
        <f>IF('Journal'!B594="","",'Journal'!B594)</f>
        <v/>
      </c>
      <c r="C1186" s="5">
        <f>IF('Journal'!C594="","",'Journal'!C594)</f>
        <v/>
      </c>
      <c r="D1186" s="5">
        <f>IF('Journal'!E594="","",IFERROR(LEFT('Journal'!E594,FIND(" ",'Journal'!E594)-1),'Journal'!E594))</f>
        <v/>
      </c>
      <c r="E1186" s="5">
        <f>IF('Journal'!E594="","",IFERROR(INDEX('Kontoplan'!$B$3:$B$302,MATCH('Journal'!E594,'Kontoplan'!$H$3:$H$302,0)),""))</f>
        <v/>
      </c>
      <c r="F1186" s="20">
        <f>IF('Journal'!F594="","",'Journal'!F594)</f>
        <v/>
      </c>
      <c r="G1186" s="20">
        <f>IF('Journal'!G594="","",'Journal'!G594)</f>
        <v/>
      </c>
      <c r="H1186" s="5">
        <f>IF('Journal'!I594="","",'Journal'!I594)</f>
        <v/>
      </c>
    </row>
    <row r="1187">
      <c r="A1187" s="18">
        <f>IF('Journal'!A595="","",'Journal'!A595)</f>
        <v/>
      </c>
      <c r="B1187" s="21">
        <f>IF('Journal'!B595="","",'Journal'!B595)</f>
        <v/>
      </c>
      <c r="C1187" s="5">
        <f>IF('Journal'!C595="","",'Journal'!C595)</f>
        <v/>
      </c>
      <c r="D1187" s="5">
        <f>IF('Journal'!D595="","",IFERROR(LEFT('Journal'!D595,FIND(" ",'Journal'!D595)-1),'Journal'!D595))</f>
        <v/>
      </c>
      <c r="E1187" s="5">
        <f>IF('Journal'!D595="","",IFERROR(INDEX('Kontoplan'!$B$3:$B$302,MATCH('Journal'!D595,'Kontoplan'!$H$3:$H$302,0)),""))</f>
        <v/>
      </c>
      <c r="F1187" s="20">
        <f>IF('Journal'!G595="","",'Journal'!G595)</f>
        <v/>
      </c>
      <c r="G1187" s="20">
        <f>IF('Journal'!F595="","",'Journal'!F595)</f>
        <v/>
      </c>
      <c r="H1187" s="5">
        <f>IF('Journal'!I595="","",'Journal'!I595)</f>
        <v/>
      </c>
    </row>
    <row r="1188">
      <c r="A1188" s="18">
        <f>IF('Journal'!A595="","",'Journal'!A595)</f>
        <v/>
      </c>
      <c r="B1188" s="21">
        <f>IF('Journal'!B595="","",'Journal'!B595)</f>
        <v/>
      </c>
      <c r="C1188" s="5">
        <f>IF('Journal'!C595="","",'Journal'!C595)</f>
        <v/>
      </c>
      <c r="D1188" s="5">
        <f>IF('Journal'!E595="","",IFERROR(LEFT('Journal'!E595,FIND(" ",'Journal'!E595)-1),'Journal'!E595))</f>
        <v/>
      </c>
      <c r="E1188" s="5">
        <f>IF('Journal'!E595="","",IFERROR(INDEX('Kontoplan'!$B$3:$B$302,MATCH('Journal'!E595,'Kontoplan'!$H$3:$H$302,0)),""))</f>
        <v/>
      </c>
      <c r="F1188" s="20">
        <f>IF('Journal'!F595="","",'Journal'!F595)</f>
        <v/>
      </c>
      <c r="G1188" s="20">
        <f>IF('Journal'!G595="","",'Journal'!G595)</f>
        <v/>
      </c>
      <c r="H1188" s="5">
        <f>IF('Journal'!I595="","",'Journal'!I595)</f>
        <v/>
      </c>
    </row>
    <row r="1189">
      <c r="A1189" s="18">
        <f>IF('Journal'!A596="","",'Journal'!A596)</f>
        <v/>
      </c>
      <c r="B1189" s="21">
        <f>IF('Journal'!B596="","",'Journal'!B596)</f>
        <v/>
      </c>
      <c r="C1189" s="5">
        <f>IF('Journal'!C596="","",'Journal'!C596)</f>
        <v/>
      </c>
      <c r="D1189" s="5">
        <f>IF('Journal'!D596="","",IFERROR(LEFT('Journal'!D596,FIND(" ",'Journal'!D596)-1),'Journal'!D596))</f>
        <v/>
      </c>
      <c r="E1189" s="5">
        <f>IF('Journal'!D596="","",IFERROR(INDEX('Kontoplan'!$B$3:$B$302,MATCH('Journal'!D596,'Kontoplan'!$H$3:$H$302,0)),""))</f>
        <v/>
      </c>
      <c r="F1189" s="20">
        <f>IF('Journal'!G596="","",'Journal'!G596)</f>
        <v/>
      </c>
      <c r="G1189" s="20">
        <f>IF('Journal'!F596="","",'Journal'!F596)</f>
        <v/>
      </c>
      <c r="H1189" s="5">
        <f>IF('Journal'!I596="","",'Journal'!I596)</f>
        <v/>
      </c>
    </row>
    <row r="1190">
      <c r="A1190" s="18">
        <f>IF('Journal'!A596="","",'Journal'!A596)</f>
        <v/>
      </c>
      <c r="B1190" s="21">
        <f>IF('Journal'!B596="","",'Journal'!B596)</f>
        <v/>
      </c>
      <c r="C1190" s="5">
        <f>IF('Journal'!C596="","",'Journal'!C596)</f>
        <v/>
      </c>
      <c r="D1190" s="5">
        <f>IF('Journal'!E596="","",IFERROR(LEFT('Journal'!E596,FIND(" ",'Journal'!E596)-1),'Journal'!E596))</f>
        <v/>
      </c>
      <c r="E1190" s="5">
        <f>IF('Journal'!E596="","",IFERROR(INDEX('Kontoplan'!$B$3:$B$302,MATCH('Journal'!E596,'Kontoplan'!$H$3:$H$302,0)),""))</f>
        <v/>
      </c>
      <c r="F1190" s="20">
        <f>IF('Journal'!F596="","",'Journal'!F596)</f>
        <v/>
      </c>
      <c r="G1190" s="20">
        <f>IF('Journal'!G596="","",'Journal'!G596)</f>
        <v/>
      </c>
      <c r="H1190" s="5">
        <f>IF('Journal'!I596="","",'Journal'!I596)</f>
        <v/>
      </c>
    </row>
    <row r="1191">
      <c r="A1191" s="18">
        <f>IF('Journal'!A597="","",'Journal'!A597)</f>
        <v/>
      </c>
      <c r="B1191" s="21">
        <f>IF('Journal'!B597="","",'Journal'!B597)</f>
        <v/>
      </c>
      <c r="C1191" s="5">
        <f>IF('Journal'!C597="","",'Journal'!C597)</f>
        <v/>
      </c>
      <c r="D1191" s="5">
        <f>IF('Journal'!D597="","",IFERROR(LEFT('Journal'!D597,FIND(" ",'Journal'!D597)-1),'Journal'!D597))</f>
        <v/>
      </c>
      <c r="E1191" s="5">
        <f>IF('Journal'!D597="","",IFERROR(INDEX('Kontoplan'!$B$3:$B$302,MATCH('Journal'!D597,'Kontoplan'!$H$3:$H$302,0)),""))</f>
        <v/>
      </c>
      <c r="F1191" s="20">
        <f>IF('Journal'!G597="","",'Journal'!G597)</f>
        <v/>
      </c>
      <c r="G1191" s="20">
        <f>IF('Journal'!F597="","",'Journal'!F597)</f>
        <v/>
      </c>
      <c r="H1191" s="5">
        <f>IF('Journal'!I597="","",'Journal'!I597)</f>
        <v/>
      </c>
    </row>
    <row r="1192">
      <c r="A1192" s="18">
        <f>IF('Journal'!A597="","",'Journal'!A597)</f>
        <v/>
      </c>
      <c r="B1192" s="21">
        <f>IF('Journal'!B597="","",'Journal'!B597)</f>
        <v/>
      </c>
      <c r="C1192" s="5">
        <f>IF('Journal'!C597="","",'Journal'!C597)</f>
        <v/>
      </c>
      <c r="D1192" s="5">
        <f>IF('Journal'!E597="","",IFERROR(LEFT('Journal'!E597,FIND(" ",'Journal'!E597)-1),'Journal'!E597))</f>
        <v/>
      </c>
      <c r="E1192" s="5">
        <f>IF('Journal'!E597="","",IFERROR(INDEX('Kontoplan'!$B$3:$B$302,MATCH('Journal'!E597,'Kontoplan'!$H$3:$H$302,0)),""))</f>
        <v/>
      </c>
      <c r="F1192" s="20">
        <f>IF('Journal'!F597="","",'Journal'!F597)</f>
        <v/>
      </c>
      <c r="G1192" s="20">
        <f>IF('Journal'!G597="","",'Journal'!G597)</f>
        <v/>
      </c>
      <c r="H1192" s="5">
        <f>IF('Journal'!I597="","",'Journal'!I597)</f>
        <v/>
      </c>
    </row>
    <row r="1193">
      <c r="A1193" s="18">
        <f>IF('Journal'!A598="","",'Journal'!A598)</f>
        <v/>
      </c>
      <c r="B1193" s="21">
        <f>IF('Journal'!B598="","",'Journal'!B598)</f>
        <v/>
      </c>
      <c r="C1193" s="5">
        <f>IF('Journal'!C598="","",'Journal'!C598)</f>
        <v/>
      </c>
      <c r="D1193" s="5">
        <f>IF('Journal'!D598="","",IFERROR(LEFT('Journal'!D598,FIND(" ",'Journal'!D598)-1),'Journal'!D598))</f>
        <v/>
      </c>
      <c r="E1193" s="5">
        <f>IF('Journal'!D598="","",IFERROR(INDEX('Kontoplan'!$B$3:$B$302,MATCH('Journal'!D598,'Kontoplan'!$H$3:$H$302,0)),""))</f>
        <v/>
      </c>
      <c r="F1193" s="20">
        <f>IF('Journal'!G598="","",'Journal'!G598)</f>
        <v/>
      </c>
      <c r="G1193" s="20">
        <f>IF('Journal'!F598="","",'Journal'!F598)</f>
        <v/>
      </c>
      <c r="H1193" s="5">
        <f>IF('Journal'!I598="","",'Journal'!I598)</f>
        <v/>
      </c>
    </row>
    <row r="1194">
      <c r="A1194" s="18">
        <f>IF('Journal'!A598="","",'Journal'!A598)</f>
        <v/>
      </c>
      <c r="B1194" s="21">
        <f>IF('Journal'!B598="","",'Journal'!B598)</f>
        <v/>
      </c>
      <c r="C1194" s="5">
        <f>IF('Journal'!C598="","",'Journal'!C598)</f>
        <v/>
      </c>
      <c r="D1194" s="5">
        <f>IF('Journal'!E598="","",IFERROR(LEFT('Journal'!E598,FIND(" ",'Journal'!E598)-1),'Journal'!E598))</f>
        <v/>
      </c>
      <c r="E1194" s="5">
        <f>IF('Journal'!E598="","",IFERROR(INDEX('Kontoplan'!$B$3:$B$302,MATCH('Journal'!E598,'Kontoplan'!$H$3:$H$302,0)),""))</f>
        <v/>
      </c>
      <c r="F1194" s="20">
        <f>IF('Journal'!F598="","",'Journal'!F598)</f>
        <v/>
      </c>
      <c r="G1194" s="20">
        <f>IF('Journal'!G598="","",'Journal'!G598)</f>
        <v/>
      </c>
      <c r="H1194" s="5">
        <f>IF('Journal'!I598="","",'Journal'!I598)</f>
        <v/>
      </c>
    </row>
    <row r="1195">
      <c r="A1195" s="18">
        <f>IF('Journal'!A599="","",'Journal'!A599)</f>
        <v/>
      </c>
      <c r="B1195" s="21">
        <f>IF('Journal'!B599="","",'Journal'!B599)</f>
        <v/>
      </c>
      <c r="C1195" s="5">
        <f>IF('Journal'!C599="","",'Journal'!C599)</f>
        <v/>
      </c>
      <c r="D1195" s="5">
        <f>IF('Journal'!D599="","",IFERROR(LEFT('Journal'!D599,FIND(" ",'Journal'!D599)-1),'Journal'!D599))</f>
        <v/>
      </c>
      <c r="E1195" s="5">
        <f>IF('Journal'!D599="","",IFERROR(INDEX('Kontoplan'!$B$3:$B$302,MATCH('Journal'!D599,'Kontoplan'!$H$3:$H$302,0)),""))</f>
        <v/>
      </c>
      <c r="F1195" s="20">
        <f>IF('Journal'!G599="","",'Journal'!G599)</f>
        <v/>
      </c>
      <c r="G1195" s="20">
        <f>IF('Journal'!F599="","",'Journal'!F599)</f>
        <v/>
      </c>
      <c r="H1195" s="5">
        <f>IF('Journal'!I599="","",'Journal'!I599)</f>
        <v/>
      </c>
    </row>
    <row r="1196">
      <c r="A1196" s="18">
        <f>IF('Journal'!A599="","",'Journal'!A599)</f>
        <v/>
      </c>
      <c r="B1196" s="21">
        <f>IF('Journal'!B599="","",'Journal'!B599)</f>
        <v/>
      </c>
      <c r="C1196" s="5">
        <f>IF('Journal'!C599="","",'Journal'!C599)</f>
        <v/>
      </c>
      <c r="D1196" s="5">
        <f>IF('Journal'!E599="","",IFERROR(LEFT('Journal'!E599,FIND(" ",'Journal'!E599)-1),'Journal'!E599))</f>
        <v/>
      </c>
      <c r="E1196" s="5">
        <f>IF('Journal'!E599="","",IFERROR(INDEX('Kontoplan'!$B$3:$B$302,MATCH('Journal'!E599,'Kontoplan'!$H$3:$H$302,0)),""))</f>
        <v/>
      </c>
      <c r="F1196" s="20">
        <f>IF('Journal'!F599="","",'Journal'!F599)</f>
        <v/>
      </c>
      <c r="G1196" s="20">
        <f>IF('Journal'!G599="","",'Journal'!G599)</f>
        <v/>
      </c>
      <c r="H1196" s="5">
        <f>IF('Journal'!I599="","",'Journal'!I599)</f>
        <v/>
      </c>
    </row>
    <row r="1197">
      <c r="A1197" s="18">
        <f>IF('Journal'!A600="","",'Journal'!A600)</f>
        <v/>
      </c>
      <c r="B1197" s="21">
        <f>IF('Journal'!B600="","",'Journal'!B600)</f>
        <v/>
      </c>
      <c r="C1197" s="5">
        <f>IF('Journal'!C600="","",'Journal'!C600)</f>
        <v/>
      </c>
      <c r="D1197" s="5">
        <f>IF('Journal'!D600="","",IFERROR(LEFT('Journal'!D600,FIND(" ",'Journal'!D600)-1),'Journal'!D600))</f>
        <v/>
      </c>
      <c r="E1197" s="5">
        <f>IF('Journal'!D600="","",IFERROR(INDEX('Kontoplan'!$B$3:$B$302,MATCH('Journal'!D600,'Kontoplan'!$H$3:$H$302,0)),""))</f>
        <v/>
      </c>
      <c r="F1197" s="20">
        <f>IF('Journal'!G600="","",'Journal'!G600)</f>
        <v/>
      </c>
      <c r="G1197" s="20">
        <f>IF('Journal'!F600="","",'Journal'!F600)</f>
        <v/>
      </c>
      <c r="H1197" s="5">
        <f>IF('Journal'!I600="","",'Journal'!I600)</f>
        <v/>
      </c>
    </row>
    <row r="1198">
      <c r="A1198" s="18">
        <f>IF('Journal'!A600="","",'Journal'!A600)</f>
        <v/>
      </c>
      <c r="B1198" s="21">
        <f>IF('Journal'!B600="","",'Journal'!B600)</f>
        <v/>
      </c>
      <c r="C1198" s="5">
        <f>IF('Journal'!C600="","",'Journal'!C600)</f>
        <v/>
      </c>
      <c r="D1198" s="5">
        <f>IF('Journal'!E600="","",IFERROR(LEFT('Journal'!E600,FIND(" ",'Journal'!E600)-1),'Journal'!E600))</f>
        <v/>
      </c>
      <c r="E1198" s="5">
        <f>IF('Journal'!E600="","",IFERROR(INDEX('Kontoplan'!$B$3:$B$302,MATCH('Journal'!E600,'Kontoplan'!$H$3:$H$302,0)),""))</f>
        <v/>
      </c>
      <c r="F1198" s="20">
        <f>IF('Journal'!F600="","",'Journal'!F600)</f>
        <v/>
      </c>
      <c r="G1198" s="20">
        <f>IF('Journal'!G600="","",'Journal'!G600)</f>
        <v/>
      </c>
      <c r="H1198" s="5">
        <f>IF('Journal'!I600="","",'Journal'!I600)</f>
        <v/>
      </c>
    </row>
    <row r="1199">
      <c r="A1199" s="18">
        <f>IF('Journal'!A601="","",'Journal'!A601)</f>
        <v/>
      </c>
      <c r="B1199" s="21">
        <f>IF('Journal'!B601="","",'Journal'!B601)</f>
        <v/>
      </c>
      <c r="C1199" s="5">
        <f>IF('Journal'!C601="","",'Journal'!C601)</f>
        <v/>
      </c>
      <c r="D1199" s="5">
        <f>IF('Journal'!D601="","",IFERROR(LEFT('Journal'!D601,FIND(" ",'Journal'!D601)-1),'Journal'!D601))</f>
        <v/>
      </c>
      <c r="E1199" s="5">
        <f>IF('Journal'!D601="","",IFERROR(INDEX('Kontoplan'!$B$3:$B$302,MATCH('Journal'!D601,'Kontoplan'!$H$3:$H$302,0)),""))</f>
        <v/>
      </c>
      <c r="F1199" s="20">
        <f>IF('Journal'!G601="","",'Journal'!G601)</f>
        <v/>
      </c>
      <c r="G1199" s="20">
        <f>IF('Journal'!F601="","",'Journal'!F601)</f>
        <v/>
      </c>
      <c r="H1199" s="5">
        <f>IF('Journal'!I601="","",'Journal'!I601)</f>
        <v/>
      </c>
    </row>
    <row r="1200">
      <c r="A1200" s="18">
        <f>IF('Journal'!A601="","",'Journal'!A601)</f>
        <v/>
      </c>
      <c r="B1200" s="21">
        <f>IF('Journal'!B601="","",'Journal'!B601)</f>
        <v/>
      </c>
      <c r="C1200" s="5">
        <f>IF('Journal'!C601="","",'Journal'!C601)</f>
        <v/>
      </c>
      <c r="D1200" s="5">
        <f>IF('Journal'!E601="","",IFERROR(LEFT('Journal'!E601,FIND(" ",'Journal'!E601)-1),'Journal'!E601))</f>
        <v/>
      </c>
      <c r="E1200" s="5">
        <f>IF('Journal'!E601="","",IFERROR(INDEX('Kontoplan'!$B$3:$B$302,MATCH('Journal'!E601,'Kontoplan'!$H$3:$H$302,0)),""))</f>
        <v/>
      </c>
      <c r="F1200" s="20">
        <f>IF('Journal'!F601="","",'Journal'!F601)</f>
        <v/>
      </c>
      <c r="G1200" s="20">
        <f>IF('Journal'!G601="","",'Journal'!G601)</f>
        <v/>
      </c>
      <c r="H1200" s="5">
        <f>IF('Journal'!I601="","",'Journal'!I601)</f>
        <v/>
      </c>
    </row>
    <row r="1201">
      <c r="A1201" s="18">
        <f>IF('Journal'!A602="","",'Journal'!A602)</f>
        <v/>
      </c>
      <c r="B1201" s="21">
        <f>IF('Journal'!B602="","",'Journal'!B602)</f>
        <v/>
      </c>
      <c r="C1201" s="5">
        <f>IF('Journal'!C602="","",'Journal'!C602)</f>
        <v/>
      </c>
      <c r="D1201" s="5">
        <f>IF('Journal'!D602="","",IFERROR(LEFT('Journal'!D602,FIND(" ",'Journal'!D602)-1),'Journal'!D602))</f>
        <v/>
      </c>
      <c r="E1201" s="5">
        <f>IF('Journal'!D602="","",IFERROR(INDEX('Kontoplan'!$B$3:$B$302,MATCH('Journal'!D602,'Kontoplan'!$H$3:$H$302,0)),""))</f>
        <v/>
      </c>
      <c r="F1201" s="20">
        <f>IF('Journal'!G602="","",'Journal'!G602)</f>
        <v/>
      </c>
      <c r="G1201" s="20">
        <f>IF('Journal'!F602="","",'Journal'!F602)</f>
        <v/>
      </c>
      <c r="H1201" s="5">
        <f>IF('Journal'!I602="","",'Journal'!I602)</f>
        <v/>
      </c>
    </row>
    <row r="1202">
      <c r="A1202" s="18">
        <f>IF('Journal'!A602="","",'Journal'!A602)</f>
        <v/>
      </c>
      <c r="B1202" s="21">
        <f>IF('Journal'!B602="","",'Journal'!B602)</f>
        <v/>
      </c>
      <c r="C1202" s="5">
        <f>IF('Journal'!C602="","",'Journal'!C602)</f>
        <v/>
      </c>
      <c r="D1202" s="5">
        <f>IF('Journal'!E602="","",IFERROR(LEFT('Journal'!E602,FIND(" ",'Journal'!E602)-1),'Journal'!E602))</f>
        <v/>
      </c>
      <c r="E1202" s="5">
        <f>IF('Journal'!E602="","",IFERROR(INDEX('Kontoplan'!$B$3:$B$302,MATCH('Journal'!E602,'Kontoplan'!$H$3:$H$302,0)),""))</f>
        <v/>
      </c>
      <c r="F1202" s="20">
        <f>IF('Journal'!F602="","",'Journal'!F602)</f>
        <v/>
      </c>
      <c r="G1202" s="20">
        <f>IF('Journal'!G602="","",'Journal'!G602)</f>
        <v/>
      </c>
      <c r="H1202" s="5">
        <f>IF('Journal'!I602="","",'Journal'!I602)</f>
        <v/>
      </c>
    </row>
    <row r="1203">
      <c r="A1203" s="18">
        <f>IF('Journal'!A603="","",'Journal'!A603)</f>
        <v/>
      </c>
      <c r="B1203" s="21">
        <f>IF('Journal'!B603="","",'Journal'!B603)</f>
        <v/>
      </c>
      <c r="C1203" s="5">
        <f>IF('Journal'!C603="","",'Journal'!C603)</f>
        <v/>
      </c>
      <c r="D1203" s="5">
        <f>IF('Journal'!D603="","",IFERROR(LEFT('Journal'!D603,FIND(" ",'Journal'!D603)-1),'Journal'!D603))</f>
        <v/>
      </c>
      <c r="E1203" s="5">
        <f>IF('Journal'!D603="","",IFERROR(INDEX('Kontoplan'!$B$3:$B$302,MATCH('Journal'!D603,'Kontoplan'!$H$3:$H$302,0)),""))</f>
        <v/>
      </c>
      <c r="F1203" s="20">
        <f>IF('Journal'!G603="","",'Journal'!G603)</f>
        <v/>
      </c>
      <c r="G1203" s="20">
        <f>IF('Journal'!F603="","",'Journal'!F603)</f>
        <v/>
      </c>
      <c r="H1203" s="5">
        <f>IF('Journal'!I603="","",'Journal'!I603)</f>
        <v/>
      </c>
    </row>
    <row r="1204">
      <c r="A1204" s="18">
        <f>IF('Journal'!A603="","",'Journal'!A603)</f>
        <v/>
      </c>
      <c r="B1204" s="21">
        <f>IF('Journal'!B603="","",'Journal'!B603)</f>
        <v/>
      </c>
      <c r="C1204" s="5">
        <f>IF('Journal'!C603="","",'Journal'!C603)</f>
        <v/>
      </c>
      <c r="D1204" s="5">
        <f>IF('Journal'!E603="","",IFERROR(LEFT('Journal'!E603,FIND(" ",'Journal'!E603)-1),'Journal'!E603))</f>
        <v/>
      </c>
      <c r="E1204" s="5">
        <f>IF('Journal'!E603="","",IFERROR(INDEX('Kontoplan'!$B$3:$B$302,MATCH('Journal'!E603,'Kontoplan'!$H$3:$H$302,0)),""))</f>
        <v/>
      </c>
      <c r="F1204" s="20">
        <f>IF('Journal'!F603="","",'Journal'!F603)</f>
        <v/>
      </c>
      <c r="G1204" s="20">
        <f>IF('Journal'!G603="","",'Journal'!G603)</f>
        <v/>
      </c>
      <c r="H1204" s="5">
        <f>IF('Journal'!I603="","",'Journal'!I603)</f>
        <v/>
      </c>
    </row>
    <row r="1205">
      <c r="A1205" s="18">
        <f>IF('Journal'!A604="","",'Journal'!A604)</f>
        <v/>
      </c>
      <c r="B1205" s="21">
        <f>IF('Journal'!B604="","",'Journal'!B604)</f>
        <v/>
      </c>
      <c r="C1205" s="5">
        <f>IF('Journal'!C604="","",'Journal'!C604)</f>
        <v/>
      </c>
      <c r="D1205" s="5">
        <f>IF('Journal'!D604="","",IFERROR(LEFT('Journal'!D604,FIND(" ",'Journal'!D604)-1),'Journal'!D604))</f>
        <v/>
      </c>
      <c r="E1205" s="5">
        <f>IF('Journal'!D604="","",IFERROR(INDEX('Kontoplan'!$B$3:$B$302,MATCH('Journal'!D604,'Kontoplan'!$H$3:$H$302,0)),""))</f>
        <v/>
      </c>
      <c r="F1205" s="20">
        <f>IF('Journal'!G604="","",'Journal'!G604)</f>
        <v/>
      </c>
      <c r="G1205" s="20">
        <f>IF('Journal'!F604="","",'Journal'!F604)</f>
        <v/>
      </c>
      <c r="H1205" s="5">
        <f>IF('Journal'!I604="","",'Journal'!I604)</f>
        <v/>
      </c>
    </row>
    <row r="1206">
      <c r="A1206" s="18">
        <f>IF('Journal'!A604="","",'Journal'!A604)</f>
        <v/>
      </c>
      <c r="B1206" s="21">
        <f>IF('Journal'!B604="","",'Journal'!B604)</f>
        <v/>
      </c>
      <c r="C1206" s="5">
        <f>IF('Journal'!C604="","",'Journal'!C604)</f>
        <v/>
      </c>
      <c r="D1206" s="5">
        <f>IF('Journal'!E604="","",IFERROR(LEFT('Journal'!E604,FIND(" ",'Journal'!E604)-1),'Journal'!E604))</f>
        <v/>
      </c>
      <c r="E1206" s="5">
        <f>IF('Journal'!E604="","",IFERROR(INDEX('Kontoplan'!$B$3:$B$302,MATCH('Journal'!E604,'Kontoplan'!$H$3:$H$302,0)),""))</f>
        <v/>
      </c>
      <c r="F1206" s="20">
        <f>IF('Journal'!F604="","",'Journal'!F604)</f>
        <v/>
      </c>
      <c r="G1206" s="20">
        <f>IF('Journal'!G604="","",'Journal'!G604)</f>
        <v/>
      </c>
      <c r="H1206" s="5">
        <f>IF('Journal'!I604="","",'Journal'!I604)</f>
        <v/>
      </c>
    </row>
    <row r="1207">
      <c r="A1207" s="18">
        <f>IF('Journal'!A605="","",'Journal'!A605)</f>
        <v/>
      </c>
      <c r="B1207" s="21">
        <f>IF('Journal'!B605="","",'Journal'!B605)</f>
        <v/>
      </c>
      <c r="C1207" s="5">
        <f>IF('Journal'!C605="","",'Journal'!C605)</f>
        <v/>
      </c>
      <c r="D1207" s="5">
        <f>IF('Journal'!D605="","",IFERROR(LEFT('Journal'!D605,FIND(" ",'Journal'!D605)-1),'Journal'!D605))</f>
        <v/>
      </c>
      <c r="E1207" s="5">
        <f>IF('Journal'!D605="","",IFERROR(INDEX('Kontoplan'!$B$3:$B$302,MATCH('Journal'!D605,'Kontoplan'!$H$3:$H$302,0)),""))</f>
        <v/>
      </c>
      <c r="F1207" s="20">
        <f>IF('Journal'!G605="","",'Journal'!G605)</f>
        <v/>
      </c>
      <c r="G1207" s="20">
        <f>IF('Journal'!F605="","",'Journal'!F605)</f>
        <v/>
      </c>
      <c r="H1207" s="5">
        <f>IF('Journal'!I605="","",'Journal'!I605)</f>
        <v/>
      </c>
    </row>
    <row r="1208">
      <c r="A1208" s="18">
        <f>IF('Journal'!A605="","",'Journal'!A605)</f>
        <v/>
      </c>
      <c r="B1208" s="21">
        <f>IF('Journal'!B605="","",'Journal'!B605)</f>
        <v/>
      </c>
      <c r="C1208" s="5">
        <f>IF('Journal'!C605="","",'Journal'!C605)</f>
        <v/>
      </c>
      <c r="D1208" s="5">
        <f>IF('Journal'!E605="","",IFERROR(LEFT('Journal'!E605,FIND(" ",'Journal'!E605)-1),'Journal'!E605))</f>
        <v/>
      </c>
      <c r="E1208" s="5">
        <f>IF('Journal'!E605="","",IFERROR(INDEX('Kontoplan'!$B$3:$B$302,MATCH('Journal'!E605,'Kontoplan'!$H$3:$H$302,0)),""))</f>
        <v/>
      </c>
      <c r="F1208" s="20">
        <f>IF('Journal'!F605="","",'Journal'!F605)</f>
        <v/>
      </c>
      <c r="G1208" s="20">
        <f>IF('Journal'!G605="","",'Journal'!G605)</f>
        <v/>
      </c>
      <c r="H1208" s="5">
        <f>IF('Journal'!I605="","",'Journal'!I605)</f>
        <v/>
      </c>
    </row>
    <row r="1209">
      <c r="A1209" s="18">
        <f>IF('Journal'!A606="","",'Journal'!A606)</f>
        <v/>
      </c>
      <c r="B1209" s="21">
        <f>IF('Journal'!B606="","",'Journal'!B606)</f>
        <v/>
      </c>
      <c r="C1209" s="5">
        <f>IF('Journal'!C606="","",'Journal'!C606)</f>
        <v/>
      </c>
      <c r="D1209" s="5">
        <f>IF('Journal'!D606="","",IFERROR(LEFT('Journal'!D606,FIND(" ",'Journal'!D606)-1),'Journal'!D606))</f>
        <v/>
      </c>
      <c r="E1209" s="5">
        <f>IF('Journal'!D606="","",IFERROR(INDEX('Kontoplan'!$B$3:$B$302,MATCH('Journal'!D606,'Kontoplan'!$H$3:$H$302,0)),""))</f>
        <v/>
      </c>
      <c r="F1209" s="20">
        <f>IF('Journal'!G606="","",'Journal'!G606)</f>
        <v/>
      </c>
      <c r="G1209" s="20">
        <f>IF('Journal'!F606="","",'Journal'!F606)</f>
        <v/>
      </c>
      <c r="H1209" s="5">
        <f>IF('Journal'!I606="","",'Journal'!I606)</f>
        <v/>
      </c>
    </row>
    <row r="1210">
      <c r="A1210" s="18">
        <f>IF('Journal'!A606="","",'Journal'!A606)</f>
        <v/>
      </c>
      <c r="B1210" s="21">
        <f>IF('Journal'!B606="","",'Journal'!B606)</f>
        <v/>
      </c>
      <c r="C1210" s="5">
        <f>IF('Journal'!C606="","",'Journal'!C606)</f>
        <v/>
      </c>
      <c r="D1210" s="5">
        <f>IF('Journal'!E606="","",IFERROR(LEFT('Journal'!E606,FIND(" ",'Journal'!E606)-1),'Journal'!E606))</f>
        <v/>
      </c>
      <c r="E1210" s="5">
        <f>IF('Journal'!E606="","",IFERROR(INDEX('Kontoplan'!$B$3:$B$302,MATCH('Journal'!E606,'Kontoplan'!$H$3:$H$302,0)),""))</f>
        <v/>
      </c>
      <c r="F1210" s="20">
        <f>IF('Journal'!F606="","",'Journal'!F606)</f>
        <v/>
      </c>
      <c r="G1210" s="20">
        <f>IF('Journal'!G606="","",'Journal'!G606)</f>
        <v/>
      </c>
      <c r="H1210" s="5">
        <f>IF('Journal'!I606="","",'Journal'!I606)</f>
        <v/>
      </c>
    </row>
    <row r="1211">
      <c r="A1211" s="18">
        <f>IF('Journal'!A607="","",'Journal'!A607)</f>
        <v/>
      </c>
      <c r="B1211" s="21">
        <f>IF('Journal'!B607="","",'Journal'!B607)</f>
        <v/>
      </c>
      <c r="C1211" s="5">
        <f>IF('Journal'!C607="","",'Journal'!C607)</f>
        <v/>
      </c>
      <c r="D1211" s="5">
        <f>IF('Journal'!D607="","",IFERROR(LEFT('Journal'!D607,FIND(" ",'Journal'!D607)-1),'Journal'!D607))</f>
        <v/>
      </c>
      <c r="E1211" s="5">
        <f>IF('Journal'!D607="","",IFERROR(INDEX('Kontoplan'!$B$3:$B$302,MATCH('Journal'!D607,'Kontoplan'!$H$3:$H$302,0)),""))</f>
        <v/>
      </c>
      <c r="F1211" s="20">
        <f>IF('Journal'!G607="","",'Journal'!G607)</f>
        <v/>
      </c>
      <c r="G1211" s="20">
        <f>IF('Journal'!F607="","",'Journal'!F607)</f>
        <v/>
      </c>
      <c r="H1211" s="5">
        <f>IF('Journal'!I607="","",'Journal'!I607)</f>
        <v/>
      </c>
    </row>
    <row r="1212">
      <c r="A1212" s="18">
        <f>IF('Journal'!A607="","",'Journal'!A607)</f>
        <v/>
      </c>
      <c r="B1212" s="21">
        <f>IF('Journal'!B607="","",'Journal'!B607)</f>
        <v/>
      </c>
      <c r="C1212" s="5">
        <f>IF('Journal'!C607="","",'Journal'!C607)</f>
        <v/>
      </c>
      <c r="D1212" s="5">
        <f>IF('Journal'!E607="","",IFERROR(LEFT('Journal'!E607,FIND(" ",'Journal'!E607)-1),'Journal'!E607))</f>
        <v/>
      </c>
      <c r="E1212" s="5">
        <f>IF('Journal'!E607="","",IFERROR(INDEX('Kontoplan'!$B$3:$B$302,MATCH('Journal'!E607,'Kontoplan'!$H$3:$H$302,0)),""))</f>
        <v/>
      </c>
      <c r="F1212" s="20">
        <f>IF('Journal'!F607="","",'Journal'!F607)</f>
        <v/>
      </c>
      <c r="G1212" s="20">
        <f>IF('Journal'!G607="","",'Journal'!G607)</f>
        <v/>
      </c>
      <c r="H1212" s="5">
        <f>IF('Journal'!I607="","",'Journal'!I607)</f>
        <v/>
      </c>
    </row>
    <row r="1213">
      <c r="A1213" s="18">
        <f>IF('Journal'!A608="","",'Journal'!A608)</f>
        <v/>
      </c>
      <c r="B1213" s="21">
        <f>IF('Journal'!B608="","",'Journal'!B608)</f>
        <v/>
      </c>
      <c r="C1213" s="5">
        <f>IF('Journal'!C608="","",'Journal'!C608)</f>
        <v/>
      </c>
      <c r="D1213" s="5">
        <f>IF('Journal'!D608="","",IFERROR(LEFT('Journal'!D608,FIND(" ",'Journal'!D608)-1),'Journal'!D608))</f>
        <v/>
      </c>
      <c r="E1213" s="5">
        <f>IF('Journal'!D608="","",IFERROR(INDEX('Kontoplan'!$B$3:$B$302,MATCH('Journal'!D608,'Kontoplan'!$H$3:$H$302,0)),""))</f>
        <v/>
      </c>
      <c r="F1213" s="20">
        <f>IF('Journal'!G608="","",'Journal'!G608)</f>
        <v/>
      </c>
      <c r="G1213" s="20">
        <f>IF('Journal'!F608="","",'Journal'!F608)</f>
        <v/>
      </c>
      <c r="H1213" s="5">
        <f>IF('Journal'!I608="","",'Journal'!I608)</f>
        <v/>
      </c>
    </row>
    <row r="1214">
      <c r="A1214" s="18">
        <f>IF('Journal'!A608="","",'Journal'!A608)</f>
        <v/>
      </c>
      <c r="B1214" s="21">
        <f>IF('Journal'!B608="","",'Journal'!B608)</f>
        <v/>
      </c>
      <c r="C1214" s="5">
        <f>IF('Journal'!C608="","",'Journal'!C608)</f>
        <v/>
      </c>
      <c r="D1214" s="5">
        <f>IF('Journal'!E608="","",IFERROR(LEFT('Journal'!E608,FIND(" ",'Journal'!E608)-1),'Journal'!E608))</f>
        <v/>
      </c>
      <c r="E1214" s="5">
        <f>IF('Journal'!E608="","",IFERROR(INDEX('Kontoplan'!$B$3:$B$302,MATCH('Journal'!E608,'Kontoplan'!$H$3:$H$302,0)),""))</f>
        <v/>
      </c>
      <c r="F1214" s="20">
        <f>IF('Journal'!F608="","",'Journal'!F608)</f>
        <v/>
      </c>
      <c r="G1214" s="20">
        <f>IF('Journal'!G608="","",'Journal'!G608)</f>
        <v/>
      </c>
      <c r="H1214" s="5">
        <f>IF('Journal'!I608="","",'Journal'!I608)</f>
        <v/>
      </c>
    </row>
    <row r="1215">
      <c r="A1215" s="18">
        <f>IF('Journal'!A609="","",'Journal'!A609)</f>
        <v/>
      </c>
      <c r="B1215" s="21">
        <f>IF('Journal'!B609="","",'Journal'!B609)</f>
        <v/>
      </c>
      <c r="C1215" s="5">
        <f>IF('Journal'!C609="","",'Journal'!C609)</f>
        <v/>
      </c>
      <c r="D1215" s="5">
        <f>IF('Journal'!D609="","",IFERROR(LEFT('Journal'!D609,FIND(" ",'Journal'!D609)-1),'Journal'!D609))</f>
        <v/>
      </c>
      <c r="E1215" s="5">
        <f>IF('Journal'!D609="","",IFERROR(INDEX('Kontoplan'!$B$3:$B$302,MATCH('Journal'!D609,'Kontoplan'!$H$3:$H$302,0)),""))</f>
        <v/>
      </c>
      <c r="F1215" s="20">
        <f>IF('Journal'!G609="","",'Journal'!G609)</f>
        <v/>
      </c>
      <c r="G1215" s="20">
        <f>IF('Journal'!F609="","",'Journal'!F609)</f>
        <v/>
      </c>
      <c r="H1215" s="5">
        <f>IF('Journal'!I609="","",'Journal'!I609)</f>
        <v/>
      </c>
    </row>
    <row r="1216">
      <c r="A1216" s="18">
        <f>IF('Journal'!A609="","",'Journal'!A609)</f>
        <v/>
      </c>
      <c r="B1216" s="21">
        <f>IF('Journal'!B609="","",'Journal'!B609)</f>
        <v/>
      </c>
      <c r="C1216" s="5">
        <f>IF('Journal'!C609="","",'Journal'!C609)</f>
        <v/>
      </c>
      <c r="D1216" s="5">
        <f>IF('Journal'!E609="","",IFERROR(LEFT('Journal'!E609,FIND(" ",'Journal'!E609)-1),'Journal'!E609))</f>
        <v/>
      </c>
      <c r="E1216" s="5">
        <f>IF('Journal'!E609="","",IFERROR(INDEX('Kontoplan'!$B$3:$B$302,MATCH('Journal'!E609,'Kontoplan'!$H$3:$H$302,0)),""))</f>
        <v/>
      </c>
      <c r="F1216" s="20">
        <f>IF('Journal'!F609="","",'Journal'!F609)</f>
        <v/>
      </c>
      <c r="G1216" s="20">
        <f>IF('Journal'!G609="","",'Journal'!G609)</f>
        <v/>
      </c>
      <c r="H1216" s="5">
        <f>IF('Journal'!I609="","",'Journal'!I609)</f>
        <v/>
      </c>
    </row>
    <row r="1217">
      <c r="A1217" s="18">
        <f>IF('Journal'!A610="","",'Journal'!A610)</f>
        <v/>
      </c>
      <c r="B1217" s="21">
        <f>IF('Journal'!B610="","",'Journal'!B610)</f>
        <v/>
      </c>
      <c r="C1217" s="5">
        <f>IF('Journal'!C610="","",'Journal'!C610)</f>
        <v/>
      </c>
      <c r="D1217" s="5">
        <f>IF('Journal'!D610="","",IFERROR(LEFT('Journal'!D610,FIND(" ",'Journal'!D610)-1),'Journal'!D610))</f>
        <v/>
      </c>
      <c r="E1217" s="5">
        <f>IF('Journal'!D610="","",IFERROR(INDEX('Kontoplan'!$B$3:$B$302,MATCH('Journal'!D610,'Kontoplan'!$H$3:$H$302,0)),""))</f>
        <v/>
      </c>
      <c r="F1217" s="20">
        <f>IF('Journal'!G610="","",'Journal'!G610)</f>
        <v/>
      </c>
      <c r="G1217" s="20">
        <f>IF('Journal'!F610="","",'Journal'!F610)</f>
        <v/>
      </c>
      <c r="H1217" s="5">
        <f>IF('Journal'!I610="","",'Journal'!I610)</f>
        <v/>
      </c>
    </row>
    <row r="1218">
      <c r="A1218" s="18">
        <f>IF('Journal'!A610="","",'Journal'!A610)</f>
        <v/>
      </c>
      <c r="B1218" s="21">
        <f>IF('Journal'!B610="","",'Journal'!B610)</f>
        <v/>
      </c>
      <c r="C1218" s="5">
        <f>IF('Journal'!C610="","",'Journal'!C610)</f>
        <v/>
      </c>
      <c r="D1218" s="5">
        <f>IF('Journal'!E610="","",IFERROR(LEFT('Journal'!E610,FIND(" ",'Journal'!E610)-1),'Journal'!E610))</f>
        <v/>
      </c>
      <c r="E1218" s="5">
        <f>IF('Journal'!E610="","",IFERROR(INDEX('Kontoplan'!$B$3:$B$302,MATCH('Journal'!E610,'Kontoplan'!$H$3:$H$302,0)),""))</f>
        <v/>
      </c>
      <c r="F1218" s="20">
        <f>IF('Journal'!F610="","",'Journal'!F610)</f>
        <v/>
      </c>
      <c r="G1218" s="20">
        <f>IF('Journal'!G610="","",'Journal'!G610)</f>
        <v/>
      </c>
      <c r="H1218" s="5">
        <f>IF('Journal'!I610="","",'Journal'!I610)</f>
        <v/>
      </c>
    </row>
    <row r="1219">
      <c r="A1219" s="18">
        <f>IF('Journal'!A611="","",'Journal'!A611)</f>
        <v/>
      </c>
      <c r="B1219" s="21">
        <f>IF('Journal'!B611="","",'Journal'!B611)</f>
        <v/>
      </c>
      <c r="C1219" s="5">
        <f>IF('Journal'!C611="","",'Journal'!C611)</f>
        <v/>
      </c>
      <c r="D1219" s="5">
        <f>IF('Journal'!D611="","",IFERROR(LEFT('Journal'!D611,FIND(" ",'Journal'!D611)-1),'Journal'!D611))</f>
        <v/>
      </c>
      <c r="E1219" s="5">
        <f>IF('Journal'!D611="","",IFERROR(INDEX('Kontoplan'!$B$3:$B$302,MATCH('Journal'!D611,'Kontoplan'!$H$3:$H$302,0)),""))</f>
        <v/>
      </c>
      <c r="F1219" s="20">
        <f>IF('Journal'!G611="","",'Journal'!G611)</f>
        <v/>
      </c>
      <c r="G1219" s="20">
        <f>IF('Journal'!F611="","",'Journal'!F611)</f>
        <v/>
      </c>
      <c r="H1219" s="5">
        <f>IF('Journal'!I611="","",'Journal'!I611)</f>
        <v/>
      </c>
    </row>
    <row r="1220">
      <c r="A1220" s="18">
        <f>IF('Journal'!A611="","",'Journal'!A611)</f>
        <v/>
      </c>
      <c r="B1220" s="21">
        <f>IF('Journal'!B611="","",'Journal'!B611)</f>
        <v/>
      </c>
      <c r="C1220" s="5">
        <f>IF('Journal'!C611="","",'Journal'!C611)</f>
        <v/>
      </c>
      <c r="D1220" s="5">
        <f>IF('Journal'!E611="","",IFERROR(LEFT('Journal'!E611,FIND(" ",'Journal'!E611)-1),'Journal'!E611))</f>
        <v/>
      </c>
      <c r="E1220" s="5">
        <f>IF('Journal'!E611="","",IFERROR(INDEX('Kontoplan'!$B$3:$B$302,MATCH('Journal'!E611,'Kontoplan'!$H$3:$H$302,0)),""))</f>
        <v/>
      </c>
      <c r="F1220" s="20">
        <f>IF('Journal'!F611="","",'Journal'!F611)</f>
        <v/>
      </c>
      <c r="G1220" s="20">
        <f>IF('Journal'!G611="","",'Journal'!G611)</f>
        <v/>
      </c>
      <c r="H1220" s="5">
        <f>IF('Journal'!I611="","",'Journal'!I611)</f>
        <v/>
      </c>
    </row>
    <row r="1221">
      <c r="A1221" s="18">
        <f>IF('Journal'!A612="","",'Journal'!A612)</f>
        <v/>
      </c>
      <c r="B1221" s="21">
        <f>IF('Journal'!B612="","",'Journal'!B612)</f>
        <v/>
      </c>
      <c r="C1221" s="5">
        <f>IF('Journal'!C612="","",'Journal'!C612)</f>
        <v/>
      </c>
      <c r="D1221" s="5">
        <f>IF('Journal'!D612="","",IFERROR(LEFT('Journal'!D612,FIND(" ",'Journal'!D612)-1),'Journal'!D612))</f>
        <v/>
      </c>
      <c r="E1221" s="5">
        <f>IF('Journal'!D612="","",IFERROR(INDEX('Kontoplan'!$B$3:$B$302,MATCH('Journal'!D612,'Kontoplan'!$H$3:$H$302,0)),""))</f>
        <v/>
      </c>
      <c r="F1221" s="20">
        <f>IF('Journal'!G612="","",'Journal'!G612)</f>
        <v/>
      </c>
      <c r="G1221" s="20">
        <f>IF('Journal'!F612="","",'Journal'!F612)</f>
        <v/>
      </c>
      <c r="H1221" s="5">
        <f>IF('Journal'!I612="","",'Journal'!I612)</f>
        <v/>
      </c>
    </row>
    <row r="1222">
      <c r="A1222" s="18">
        <f>IF('Journal'!A612="","",'Journal'!A612)</f>
        <v/>
      </c>
      <c r="B1222" s="21">
        <f>IF('Journal'!B612="","",'Journal'!B612)</f>
        <v/>
      </c>
      <c r="C1222" s="5">
        <f>IF('Journal'!C612="","",'Journal'!C612)</f>
        <v/>
      </c>
      <c r="D1222" s="5">
        <f>IF('Journal'!E612="","",IFERROR(LEFT('Journal'!E612,FIND(" ",'Journal'!E612)-1),'Journal'!E612))</f>
        <v/>
      </c>
      <c r="E1222" s="5">
        <f>IF('Journal'!E612="","",IFERROR(INDEX('Kontoplan'!$B$3:$B$302,MATCH('Journal'!E612,'Kontoplan'!$H$3:$H$302,0)),""))</f>
        <v/>
      </c>
      <c r="F1222" s="20">
        <f>IF('Journal'!F612="","",'Journal'!F612)</f>
        <v/>
      </c>
      <c r="G1222" s="20">
        <f>IF('Journal'!G612="","",'Journal'!G612)</f>
        <v/>
      </c>
      <c r="H1222" s="5">
        <f>IF('Journal'!I612="","",'Journal'!I612)</f>
        <v/>
      </c>
    </row>
    <row r="1223">
      <c r="A1223" s="18">
        <f>IF('Journal'!A613="","",'Journal'!A613)</f>
        <v/>
      </c>
      <c r="B1223" s="21">
        <f>IF('Journal'!B613="","",'Journal'!B613)</f>
        <v/>
      </c>
      <c r="C1223" s="5">
        <f>IF('Journal'!C613="","",'Journal'!C613)</f>
        <v/>
      </c>
      <c r="D1223" s="5">
        <f>IF('Journal'!D613="","",IFERROR(LEFT('Journal'!D613,FIND(" ",'Journal'!D613)-1),'Journal'!D613))</f>
        <v/>
      </c>
      <c r="E1223" s="5">
        <f>IF('Journal'!D613="","",IFERROR(INDEX('Kontoplan'!$B$3:$B$302,MATCH('Journal'!D613,'Kontoplan'!$H$3:$H$302,0)),""))</f>
        <v/>
      </c>
      <c r="F1223" s="20">
        <f>IF('Journal'!G613="","",'Journal'!G613)</f>
        <v/>
      </c>
      <c r="G1223" s="20">
        <f>IF('Journal'!F613="","",'Journal'!F613)</f>
        <v/>
      </c>
      <c r="H1223" s="5">
        <f>IF('Journal'!I613="","",'Journal'!I613)</f>
        <v/>
      </c>
    </row>
    <row r="1224">
      <c r="A1224" s="18">
        <f>IF('Journal'!A613="","",'Journal'!A613)</f>
        <v/>
      </c>
      <c r="B1224" s="21">
        <f>IF('Journal'!B613="","",'Journal'!B613)</f>
        <v/>
      </c>
      <c r="C1224" s="5">
        <f>IF('Journal'!C613="","",'Journal'!C613)</f>
        <v/>
      </c>
      <c r="D1224" s="5">
        <f>IF('Journal'!E613="","",IFERROR(LEFT('Journal'!E613,FIND(" ",'Journal'!E613)-1),'Journal'!E613))</f>
        <v/>
      </c>
      <c r="E1224" s="5">
        <f>IF('Journal'!E613="","",IFERROR(INDEX('Kontoplan'!$B$3:$B$302,MATCH('Journal'!E613,'Kontoplan'!$H$3:$H$302,0)),""))</f>
        <v/>
      </c>
      <c r="F1224" s="20">
        <f>IF('Journal'!F613="","",'Journal'!F613)</f>
        <v/>
      </c>
      <c r="G1224" s="20">
        <f>IF('Journal'!G613="","",'Journal'!G613)</f>
        <v/>
      </c>
      <c r="H1224" s="5">
        <f>IF('Journal'!I613="","",'Journal'!I613)</f>
        <v/>
      </c>
    </row>
    <row r="1225">
      <c r="A1225" s="18">
        <f>IF('Journal'!A614="","",'Journal'!A614)</f>
        <v/>
      </c>
      <c r="B1225" s="21">
        <f>IF('Journal'!B614="","",'Journal'!B614)</f>
        <v/>
      </c>
      <c r="C1225" s="5">
        <f>IF('Journal'!C614="","",'Journal'!C614)</f>
        <v/>
      </c>
      <c r="D1225" s="5">
        <f>IF('Journal'!D614="","",IFERROR(LEFT('Journal'!D614,FIND(" ",'Journal'!D614)-1),'Journal'!D614))</f>
        <v/>
      </c>
      <c r="E1225" s="5">
        <f>IF('Journal'!D614="","",IFERROR(INDEX('Kontoplan'!$B$3:$B$302,MATCH('Journal'!D614,'Kontoplan'!$H$3:$H$302,0)),""))</f>
        <v/>
      </c>
      <c r="F1225" s="20">
        <f>IF('Journal'!G614="","",'Journal'!G614)</f>
        <v/>
      </c>
      <c r="G1225" s="20">
        <f>IF('Journal'!F614="","",'Journal'!F614)</f>
        <v/>
      </c>
      <c r="H1225" s="5">
        <f>IF('Journal'!I614="","",'Journal'!I614)</f>
        <v/>
      </c>
    </row>
    <row r="1226">
      <c r="A1226" s="18">
        <f>IF('Journal'!A614="","",'Journal'!A614)</f>
        <v/>
      </c>
      <c r="B1226" s="21">
        <f>IF('Journal'!B614="","",'Journal'!B614)</f>
        <v/>
      </c>
      <c r="C1226" s="5">
        <f>IF('Journal'!C614="","",'Journal'!C614)</f>
        <v/>
      </c>
      <c r="D1226" s="5">
        <f>IF('Journal'!E614="","",IFERROR(LEFT('Journal'!E614,FIND(" ",'Journal'!E614)-1),'Journal'!E614))</f>
        <v/>
      </c>
      <c r="E1226" s="5">
        <f>IF('Journal'!E614="","",IFERROR(INDEX('Kontoplan'!$B$3:$B$302,MATCH('Journal'!E614,'Kontoplan'!$H$3:$H$302,0)),""))</f>
        <v/>
      </c>
      <c r="F1226" s="20">
        <f>IF('Journal'!F614="","",'Journal'!F614)</f>
        <v/>
      </c>
      <c r="G1226" s="20">
        <f>IF('Journal'!G614="","",'Journal'!G614)</f>
        <v/>
      </c>
      <c r="H1226" s="5">
        <f>IF('Journal'!I614="","",'Journal'!I614)</f>
        <v/>
      </c>
    </row>
    <row r="1227">
      <c r="A1227" s="18">
        <f>IF('Journal'!A615="","",'Journal'!A615)</f>
        <v/>
      </c>
      <c r="B1227" s="21">
        <f>IF('Journal'!B615="","",'Journal'!B615)</f>
        <v/>
      </c>
      <c r="C1227" s="5">
        <f>IF('Journal'!C615="","",'Journal'!C615)</f>
        <v/>
      </c>
      <c r="D1227" s="5">
        <f>IF('Journal'!D615="","",IFERROR(LEFT('Journal'!D615,FIND(" ",'Journal'!D615)-1),'Journal'!D615))</f>
        <v/>
      </c>
      <c r="E1227" s="5">
        <f>IF('Journal'!D615="","",IFERROR(INDEX('Kontoplan'!$B$3:$B$302,MATCH('Journal'!D615,'Kontoplan'!$H$3:$H$302,0)),""))</f>
        <v/>
      </c>
      <c r="F1227" s="20">
        <f>IF('Journal'!G615="","",'Journal'!G615)</f>
        <v/>
      </c>
      <c r="G1227" s="20">
        <f>IF('Journal'!F615="","",'Journal'!F615)</f>
        <v/>
      </c>
      <c r="H1227" s="5">
        <f>IF('Journal'!I615="","",'Journal'!I615)</f>
        <v/>
      </c>
    </row>
    <row r="1228">
      <c r="A1228" s="18">
        <f>IF('Journal'!A615="","",'Journal'!A615)</f>
        <v/>
      </c>
      <c r="B1228" s="21">
        <f>IF('Journal'!B615="","",'Journal'!B615)</f>
        <v/>
      </c>
      <c r="C1228" s="5">
        <f>IF('Journal'!C615="","",'Journal'!C615)</f>
        <v/>
      </c>
      <c r="D1228" s="5">
        <f>IF('Journal'!E615="","",IFERROR(LEFT('Journal'!E615,FIND(" ",'Journal'!E615)-1),'Journal'!E615))</f>
        <v/>
      </c>
      <c r="E1228" s="5">
        <f>IF('Journal'!E615="","",IFERROR(INDEX('Kontoplan'!$B$3:$B$302,MATCH('Journal'!E615,'Kontoplan'!$H$3:$H$302,0)),""))</f>
        <v/>
      </c>
      <c r="F1228" s="20">
        <f>IF('Journal'!F615="","",'Journal'!F615)</f>
        <v/>
      </c>
      <c r="G1228" s="20">
        <f>IF('Journal'!G615="","",'Journal'!G615)</f>
        <v/>
      </c>
      <c r="H1228" s="5">
        <f>IF('Journal'!I615="","",'Journal'!I615)</f>
        <v/>
      </c>
    </row>
    <row r="1229">
      <c r="A1229" s="18">
        <f>IF('Journal'!A616="","",'Journal'!A616)</f>
        <v/>
      </c>
      <c r="B1229" s="21">
        <f>IF('Journal'!B616="","",'Journal'!B616)</f>
        <v/>
      </c>
      <c r="C1229" s="5">
        <f>IF('Journal'!C616="","",'Journal'!C616)</f>
        <v/>
      </c>
      <c r="D1229" s="5">
        <f>IF('Journal'!D616="","",IFERROR(LEFT('Journal'!D616,FIND(" ",'Journal'!D616)-1),'Journal'!D616))</f>
        <v/>
      </c>
      <c r="E1229" s="5">
        <f>IF('Journal'!D616="","",IFERROR(INDEX('Kontoplan'!$B$3:$B$302,MATCH('Journal'!D616,'Kontoplan'!$H$3:$H$302,0)),""))</f>
        <v/>
      </c>
      <c r="F1229" s="20">
        <f>IF('Journal'!G616="","",'Journal'!G616)</f>
        <v/>
      </c>
      <c r="G1229" s="20">
        <f>IF('Journal'!F616="","",'Journal'!F616)</f>
        <v/>
      </c>
      <c r="H1229" s="5">
        <f>IF('Journal'!I616="","",'Journal'!I616)</f>
        <v/>
      </c>
    </row>
    <row r="1230">
      <c r="A1230" s="18">
        <f>IF('Journal'!A616="","",'Journal'!A616)</f>
        <v/>
      </c>
      <c r="B1230" s="21">
        <f>IF('Journal'!B616="","",'Journal'!B616)</f>
        <v/>
      </c>
      <c r="C1230" s="5">
        <f>IF('Journal'!C616="","",'Journal'!C616)</f>
        <v/>
      </c>
      <c r="D1230" s="5">
        <f>IF('Journal'!E616="","",IFERROR(LEFT('Journal'!E616,FIND(" ",'Journal'!E616)-1),'Journal'!E616))</f>
        <v/>
      </c>
      <c r="E1230" s="5">
        <f>IF('Journal'!E616="","",IFERROR(INDEX('Kontoplan'!$B$3:$B$302,MATCH('Journal'!E616,'Kontoplan'!$H$3:$H$302,0)),""))</f>
        <v/>
      </c>
      <c r="F1230" s="20">
        <f>IF('Journal'!F616="","",'Journal'!F616)</f>
        <v/>
      </c>
      <c r="G1230" s="20">
        <f>IF('Journal'!G616="","",'Journal'!G616)</f>
        <v/>
      </c>
      <c r="H1230" s="5">
        <f>IF('Journal'!I616="","",'Journal'!I616)</f>
        <v/>
      </c>
    </row>
    <row r="1231">
      <c r="A1231" s="18">
        <f>IF('Journal'!A617="","",'Journal'!A617)</f>
        <v/>
      </c>
      <c r="B1231" s="21">
        <f>IF('Journal'!B617="","",'Journal'!B617)</f>
        <v/>
      </c>
      <c r="C1231" s="5">
        <f>IF('Journal'!C617="","",'Journal'!C617)</f>
        <v/>
      </c>
      <c r="D1231" s="5">
        <f>IF('Journal'!D617="","",IFERROR(LEFT('Journal'!D617,FIND(" ",'Journal'!D617)-1),'Journal'!D617))</f>
        <v/>
      </c>
      <c r="E1231" s="5">
        <f>IF('Journal'!D617="","",IFERROR(INDEX('Kontoplan'!$B$3:$B$302,MATCH('Journal'!D617,'Kontoplan'!$H$3:$H$302,0)),""))</f>
        <v/>
      </c>
      <c r="F1231" s="20">
        <f>IF('Journal'!G617="","",'Journal'!G617)</f>
        <v/>
      </c>
      <c r="G1231" s="20">
        <f>IF('Journal'!F617="","",'Journal'!F617)</f>
        <v/>
      </c>
      <c r="H1231" s="5">
        <f>IF('Journal'!I617="","",'Journal'!I617)</f>
        <v/>
      </c>
    </row>
    <row r="1232">
      <c r="A1232" s="18">
        <f>IF('Journal'!A617="","",'Journal'!A617)</f>
        <v/>
      </c>
      <c r="B1232" s="21">
        <f>IF('Journal'!B617="","",'Journal'!B617)</f>
        <v/>
      </c>
      <c r="C1232" s="5">
        <f>IF('Journal'!C617="","",'Journal'!C617)</f>
        <v/>
      </c>
      <c r="D1232" s="5">
        <f>IF('Journal'!E617="","",IFERROR(LEFT('Journal'!E617,FIND(" ",'Journal'!E617)-1),'Journal'!E617))</f>
        <v/>
      </c>
      <c r="E1232" s="5">
        <f>IF('Journal'!E617="","",IFERROR(INDEX('Kontoplan'!$B$3:$B$302,MATCH('Journal'!E617,'Kontoplan'!$H$3:$H$302,0)),""))</f>
        <v/>
      </c>
      <c r="F1232" s="20">
        <f>IF('Journal'!F617="","",'Journal'!F617)</f>
        <v/>
      </c>
      <c r="G1232" s="20">
        <f>IF('Journal'!G617="","",'Journal'!G617)</f>
        <v/>
      </c>
      <c r="H1232" s="5">
        <f>IF('Journal'!I617="","",'Journal'!I617)</f>
        <v/>
      </c>
    </row>
    <row r="1233">
      <c r="A1233" s="18">
        <f>IF('Journal'!A618="","",'Journal'!A618)</f>
        <v/>
      </c>
      <c r="B1233" s="21">
        <f>IF('Journal'!B618="","",'Journal'!B618)</f>
        <v/>
      </c>
      <c r="C1233" s="5">
        <f>IF('Journal'!C618="","",'Journal'!C618)</f>
        <v/>
      </c>
      <c r="D1233" s="5">
        <f>IF('Journal'!D618="","",IFERROR(LEFT('Journal'!D618,FIND(" ",'Journal'!D618)-1),'Journal'!D618))</f>
        <v/>
      </c>
      <c r="E1233" s="5">
        <f>IF('Journal'!D618="","",IFERROR(INDEX('Kontoplan'!$B$3:$B$302,MATCH('Journal'!D618,'Kontoplan'!$H$3:$H$302,0)),""))</f>
        <v/>
      </c>
      <c r="F1233" s="20">
        <f>IF('Journal'!G618="","",'Journal'!G618)</f>
        <v/>
      </c>
      <c r="G1233" s="20">
        <f>IF('Journal'!F618="","",'Journal'!F618)</f>
        <v/>
      </c>
      <c r="H1233" s="5">
        <f>IF('Journal'!I618="","",'Journal'!I618)</f>
        <v/>
      </c>
    </row>
    <row r="1234">
      <c r="A1234" s="18">
        <f>IF('Journal'!A618="","",'Journal'!A618)</f>
        <v/>
      </c>
      <c r="B1234" s="21">
        <f>IF('Journal'!B618="","",'Journal'!B618)</f>
        <v/>
      </c>
      <c r="C1234" s="5">
        <f>IF('Journal'!C618="","",'Journal'!C618)</f>
        <v/>
      </c>
      <c r="D1234" s="5">
        <f>IF('Journal'!E618="","",IFERROR(LEFT('Journal'!E618,FIND(" ",'Journal'!E618)-1),'Journal'!E618))</f>
        <v/>
      </c>
      <c r="E1234" s="5">
        <f>IF('Journal'!E618="","",IFERROR(INDEX('Kontoplan'!$B$3:$B$302,MATCH('Journal'!E618,'Kontoplan'!$H$3:$H$302,0)),""))</f>
        <v/>
      </c>
      <c r="F1234" s="20">
        <f>IF('Journal'!F618="","",'Journal'!F618)</f>
        <v/>
      </c>
      <c r="G1234" s="20">
        <f>IF('Journal'!G618="","",'Journal'!G618)</f>
        <v/>
      </c>
      <c r="H1234" s="5">
        <f>IF('Journal'!I618="","",'Journal'!I618)</f>
        <v/>
      </c>
    </row>
    <row r="1235">
      <c r="A1235" s="18">
        <f>IF('Journal'!A619="","",'Journal'!A619)</f>
        <v/>
      </c>
      <c r="B1235" s="21">
        <f>IF('Journal'!B619="","",'Journal'!B619)</f>
        <v/>
      </c>
      <c r="C1235" s="5">
        <f>IF('Journal'!C619="","",'Journal'!C619)</f>
        <v/>
      </c>
      <c r="D1235" s="5">
        <f>IF('Journal'!D619="","",IFERROR(LEFT('Journal'!D619,FIND(" ",'Journal'!D619)-1),'Journal'!D619))</f>
        <v/>
      </c>
      <c r="E1235" s="5">
        <f>IF('Journal'!D619="","",IFERROR(INDEX('Kontoplan'!$B$3:$B$302,MATCH('Journal'!D619,'Kontoplan'!$H$3:$H$302,0)),""))</f>
        <v/>
      </c>
      <c r="F1235" s="20">
        <f>IF('Journal'!G619="","",'Journal'!G619)</f>
        <v/>
      </c>
      <c r="G1235" s="20">
        <f>IF('Journal'!F619="","",'Journal'!F619)</f>
        <v/>
      </c>
      <c r="H1235" s="5">
        <f>IF('Journal'!I619="","",'Journal'!I619)</f>
        <v/>
      </c>
    </row>
    <row r="1236">
      <c r="A1236" s="18">
        <f>IF('Journal'!A619="","",'Journal'!A619)</f>
        <v/>
      </c>
      <c r="B1236" s="21">
        <f>IF('Journal'!B619="","",'Journal'!B619)</f>
        <v/>
      </c>
      <c r="C1236" s="5">
        <f>IF('Journal'!C619="","",'Journal'!C619)</f>
        <v/>
      </c>
      <c r="D1236" s="5">
        <f>IF('Journal'!E619="","",IFERROR(LEFT('Journal'!E619,FIND(" ",'Journal'!E619)-1),'Journal'!E619))</f>
        <v/>
      </c>
      <c r="E1236" s="5">
        <f>IF('Journal'!E619="","",IFERROR(INDEX('Kontoplan'!$B$3:$B$302,MATCH('Journal'!E619,'Kontoplan'!$H$3:$H$302,0)),""))</f>
        <v/>
      </c>
      <c r="F1236" s="20">
        <f>IF('Journal'!F619="","",'Journal'!F619)</f>
        <v/>
      </c>
      <c r="G1236" s="20">
        <f>IF('Journal'!G619="","",'Journal'!G619)</f>
        <v/>
      </c>
      <c r="H1236" s="5">
        <f>IF('Journal'!I619="","",'Journal'!I619)</f>
        <v/>
      </c>
    </row>
    <row r="1237">
      <c r="A1237" s="18">
        <f>IF('Journal'!A620="","",'Journal'!A620)</f>
        <v/>
      </c>
      <c r="B1237" s="21">
        <f>IF('Journal'!B620="","",'Journal'!B620)</f>
        <v/>
      </c>
      <c r="C1237" s="5">
        <f>IF('Journal'!C620="","",'Journal'!C620)</f>
        <v/>
      </c>
      <c r="D1237" s="5">
        <f>IF('Journal'!D620="","",IFERROR(LEFT('Journal'!D620,FIND(" ",'Journal'!D620)-1),'Journal'!D620))</f>
        <v/>
      </c>
      <c r="E1237" s="5">
        <f>IF('Journal'!D620="","",IFERROR(INDEX('Kontoplan'!$B$3:$B$302,MATCH('Journal'!D620,'Kontoplan'!$H$3:$H$302,0)),""))</f>
        <v/>
      </c>
      <c r="F1237" s="20">
        <f>IF('Journal'!G620="","",'Journal'!G620)</f>
        <v/>
      </c>
      <c r="G1237" s="20">
        <f>IF('Journal'!F620="","",'Journal'!F620)</f>
        <v/>
      </c>
      <c r="H1237" s="5">
        <f>IF('Journal'!I620="","",'Journal'!I620)</f>
        <v/>
      </c>
    </row>
    <row r="1238">
      <c r="A1238" s="18">
        <f>IF('Journal'!A620="","",'Journal'!A620)</f>
        <v/>
      </c>
      <c r="B1238" s="21">
        <f>IF('Journal'!B620="","",'Journal'!B620)</f>
        <v/>
      </c>
      <c r="C1238" s="5">
        <f>IF('Journal'!C620="","",'Journal'!C620)</f>
        <v/>
      </c>
      <c r="D1238" s="5">
        <f>IF('Journal'!E620="","",IFERROR(LEFT('Journal'!E620,FIND(" ",'Journal'!E620)-1),'Journal'!E620))</f>
        <v/>
      </c>
      <c r="E1238" s="5">
        <f>IF('Journal'!E620="","",IFERROR(INDEX('Kontoplan'!$B$3:$B$302,MATCH('Journal'!E620,'Kontoplan'!$H$3:$H$302,0)),""))</f>
        <v/>
      </c>
      <c r="F1238" s="20">
        <f>IF('Journal'!F620="","",'Journal'!F620)</f>
        <v/>
      </c>
      <c r="G1238" s="20">
        <f>IF('Journal'!G620="","",'Journal'!G620)</f>
        <v/>
      </c>
      <c r="H1238" s="5">
        <f>IF('Journal'!I620="","",'Journal'!I620)</f>
        <v/>
      </c>
    </row>
    <row r="1239">
      <c r="A1239" s="18">
        <f>IF('Journal'!A621="","",'Journal'!A621)</f>
        <v/>
      </c>
      <c r="B1239" s="21">
        <f>IF('Journal'!B621="","",'Journal'!B621)</f>
        <v/>
      </c>
      <c r="C1239" s="5">
        <f>IF('Journal'!C621="","",'Journal'!C621)</f>
        <v/>
      </c>
      <c r="D1239" s="5">
        <f>IF('Journal'!D621="","",IFERROR(LEFT('Journal'!D621,FIND(" ",'Journal'!D621)-1),'Journal'!D621))</f>
        <v/>
      </c>
      <c r="E1239" s="5">
        <f>IF('Journal'!D621="","",IFERROR(INDEX('Kontoplan'!$B$3:$B$302,MATCH('Journal'!D621,'Kontoplan'!$H$3:$H$302,0)),""))</f>
        <v/>
      </c>
      <c r="F1239" s="20">
        <f>IF('Journal'!G621="","",'Journal'!G621)</f>
        <v/>
      </c>
      <c r="G1239" s="20">
        <f>IF('Journal'!F621="","",'Journal'!F621)</f>
        <v/>
      </c>
      <c r="H1239" s="5">
        <f>IF('Journal'!I621="","",'Journal'!I621)</f>
        <v/>
      </c>
    </row>
    <row r="1240">
      <c r="A1240" s="18">
        <f>IF('Journal'!A621="","",'Journal'!A621)</f>
        <v/>
      </c>
      <c r="B1240" s="21">
        <f>IF('Journal'!B621="","",'Journal'!B621)</f>
        <v/>
      </c>
      <c r="C1240" s="5">
        <f>IF('Journal'!C621="","",'Journal'!C621)</f>
        <v/>
      </c>
      <c r="D1240" s="5">
        <f>IF('Journal'!E621="","",IFERROR(LEFT('Journal'!E621,FIND(" ",'Journal'!E621)-1),'Journal'!E621))</f>
        <v/>
      </c>
      <c r="E1240" s="5">
        <f>IF('Journal'!E621="","",IFERROR(INDEX('Kontoplan'!$B$3:$B$302,MATCH('Journal'!E621,'Kontoplan'!$H$3:$H$302,0)),""))</f>
        <v/>
      </c>
      <c r="F1240" s="20">
        <f>IF('Journal'!F621="","",'Journal'!F621)</f>
        <v/>
      </c>
      <c r="G1240" s="20">
        <f>IF('Journal'!G621="","",'Journal'!G621)</f>
        <v/>
      </c>
      <c r="H1240" s="5">
        <f>IF('Journal'!I621="","",'Journal'!I621)</f>
        <v/>
      </c>
    </row>
    <row r="1241">
      <c r="A1241" s="18">
        <f>IF('Journal'!A622="","",'Journal'!A622)</f>
        <v/>
      </c>
      <c r="B1241" s="21">
        <f>IF('Journal'!B622="","",'Journal'!B622)</f>
        <v/>
      </c>
      <c r="C1241" s="5">
        <f>IF('Journal'!C622="","",'Journal'!C622)</f>
        <v/>
      </c>
      <c r="D1241" s="5">
        <f>IF('Journal'!D622="","",IFERROR(LEFT('Journal'!D622,FIND(" ",'Journal'!D622)-1),'Journal'!D622))</f>
        <v/>
      </c>
      <c r="E1241" s="5">
        <f>IF('Journal'!D622="","",IFERROR(INDEX('Kontoplan'!$B$3:$B$302,MATCH('Journal'!D622,'Kontoplan'!$H$3:$H$302,0)),""))</f>
        <v/>
      </c>
      <c r="F1241" s="20">
        <f>IF('Journal'!G622="","",'Journal'!G622)</f>
        <v/>
      </c>
      <c r="G1241" s="20">
        <f>IF('Journal'!F622="","",'Journal'!F622)</f>
        <v/>
      </c>
      <c r="H1241" s="5">
        <f>IF('Journal'!I622="","",'Journal'!I622)</f>
        <v/>
      </c>
    </row>
    <row r="1242">
      <c r="A1242" s="18">
        <f>IF('Journal'!A622="","",'Journal'!A622)</f>
        <v/>
      </c>
      <c r="B1242" s="21">
        <f>IF('Journal'!B622="","",'Journal'!B622)</f>
        <v/>
      </c>
      <c r="C1242" s="5">
        <f>IF('Journal'!C622="","",'Journal'!C622)</f>
        <v/>
      </c>
      <c r="D1242" s="5">
        <f>IF('Journal'!E622="","",IFERROR(LEFT('Journal'!E622,FIND(" ",'Journal'!E622)-1),'Journal'!E622))</f>
        <v/>
      </c>
      <c r="E1242" s="5">
        <f>IF('Journal'!E622="","",IFERROR(INDEX('Kontoplan'!$B$3:$B$302,MATCH('Journal'!E622,'Kontoplan'!$H$3:$H$302,0)),""))</f>
        <v/>
      </c>
      <c r="F1242" s="20">
        <f>IF('Journal'!F622="","",'Journal'!F622)</f>
        <v/>
      </c>
      <c r="G1242" s="20">
        <f>IF('Journal'!G622="","",'Journal'!G622)</f>
        <v/>
      </c>
      <c r="H1242" s="5">
        <f>IF('Journal'!I622="","",'Journal'!I622)</f>
        <v/>
      </c>
    </row>
    <row r="1243">
      <c r="A1243" s="18">
        <f>IF('Journal'!A623="","",'Journal'!A623)</f>
        <v/>
      </c>
      <c r="B1243" s="21">
        <f>IF('Journal'!B623="","",'Journal'!B623)</f>
        <v/>
      </c>
      <c r="C1243" s="5">
        <f>IF('Journal'!C623="","",'Journal'!C623)</f>
        <v/>
      </c>
      <c r="D1243" s="5">
        <f>IF('Journal'!D623="","",IFERROR(LEFT('Journal'!D623,FIND(" ",'Journal'!D623)-1),'Journal'!D623))</f>
        <v/>
      </c>
      <c r="E1243" s="5">
        <f>IF('Journal'!D623="","",IFERROR(INDEX('Kontoplan'!$B$3:$B$302,MATCH('Journal'!D623,'Kontoplan'!$H$3:$H$302,0)),""))</f>
        <v/>
      </c>
      <c r="F1243" s="20">
        <f>IF('Journal'!G623="","",'Journal'!G623)</f>
        <v/>
      </c>
      <c r="G1243" s="20">
        <f>IF('Journal'!F623="","",'Journal'!F623)</f>
        <v/>
      </c>
      <c r="H1243" s="5">
        <f>IF('Journal'!I623="","",'Journal'!I623)</f>
        <v/>
      </c>
    </row>
    <row r="1244">
      <c r="A1244" s="18">
        <f>IF('Journal'!A623="","",'Journal'!A623)</f>
        <v/>
      </c>
      <c r="B1244" s="21">
        <f>IF('Journal'!B623="","",'Journal'!B623)</f>
        <v/>
      </c>
      <c r="C1244" s="5">
        <f>IF('Journal'!C623="","",'Journal'!C623)</f>
        <v/>
      </c>
      <c r="D1244" s="5">
        <f>IF('Journal'!E623="","",IFERROR(LEFT('Journal'!E623,FIND(" ",'Journal'!E623)-1),'Journal'!E623))</f>
        <v/>
      </c>
      <c r="E1244" s="5">
        <f>IF('Journal'!E623="","",IFERROR(INDEX('Kontoplan'!$B$3:$B$302,MATCH('Journal'!E623,'Kontoplan'!$H$3:$H$302,0)),""))</f>
        <v/>
      </c>
      <c r="F1244" s="20">
        <f>IF('Journal'!F623="","",'Journal'!F623)</f>
        <v/>
      </c>
      <c r="G1244" s="20">
        <f>IF('Journal'!G623="","",'Journal'!G623)</f>
        <v/>
      </c>
      <c r="H1244" s="5">
        <f>IF('Journal'!I623="","",'Journal'!I623)</f>
        <v/>
      </c>
    </row>
    <row r="1245">
      <c r="A1245" s="18">
        <f>IF('Journal'!A624="","",'Journal'!A624)</f>
        <v/>
      </c>
      <c r="B1245" s="21">
        <f>IF('Journal'!B624="","",'Journal'!B624)</f>
        <v/>
      </c>
      <c r="C1245" s="5">
        <f>IF('Journal'!C624="","",'Journal'!C624)</f>
        <v/>
      </c>
      <c r="D1245" s="5">
        <f>IF('Journal'!D624="","",IFERROR(LEFT('Journal'!D624,FIND(" ",'Journal'!D624)-1),'Journal'!D624))</f>
        <v/>
      </c>
      <c r="E1245" s="5">
        <f>IF('Journal'!D624="","",IFERROR(INDEX('Kontoplan'!$B$3:$B$302,MATCH('Journal'!D624,'Kontoplan'!$H$3:$H$302,0)),""))</f>
        <v/>
      </c>
      <c r="F1245" s="20">
        <f>IF('Journal'!G624="","",'Journal'!G624)</f>
        <v/>
      </c>
      <c r="G1245" s="20">
        <f>IF('Journal'!F624="","",'Journal'!F624)</f>
        <v/>
      </c>
      <c r="H1245" s="5">
        <f>IF('Journal'!I624="","",'Journal'!I624)</f>
        <v/>
      </c>
    </row>
    <row r="1246">
      <c r="A1246" s="18">
        <f>IF('Journal'!A624="","",'Journal'!A624)</f>
        <v/>
      </c>
      <c r="B1246" s="21">
        <f>IF('Journal'!B624="","",'Journal'!B624)</f>
        <v/>
      </c>
      <c r="C1246" s="5">
        <f>IF('Journal'!C624="","",'Journal'!C624)</f>
        <v/>
      </c>
      <c r="D1246" s="5">
        <f>IF('Journal'!E624="","",IFERROR(LEFT('Journal'!E624,FIND(" ",'Journal'!E624)-1),'Journal'!E624))</f>
        <v/>
      </c>
      <c r="E1246" s="5">
        <f>IF('Journal'!E624="","",IFERROR(INDEX('Kontoplan'!$B$3:$B$302,MATCH('Journal'!E624,'Kontoplan'!$H$3:$H$302,0)),""))</f>
        <v/>
      </c>
      <c r="F1246" s="20">
        <f>IF('Journal'!F624="","",'Journal'!F624)</f>
        <v/>
      </c>
      <c r="G1246" s="20">
        <f>IF('Journal'!G624="","",'Journal'!G624)</f>
        <v/>
      </c>
      <c r="H1246" s="5">
        <f>IF('Journal'!I624="","",'Journal'!I624)</f>
        <v/>
      </c>
    </row>
    <row r="1247">
      <c r="A1247" s="18">
        <f>IF('Journal'!A625="","",'Journal'!A625)</f>
        <v/>
      </c>
      <c r="B1247" s="21">
        <f>IF('Journal'!B625="","",'Journal'!B625)</f>
        <v/>
      </c>
      <c r="C1247" s="5">
        <f>IF('Journal'!C625="","",'Journal'!C625)</f>
        <v/>
      </c>
      <c r="D1247" s="5">
        <f>IF('Journal'!D625="","",IFERROR(LEFT('Journal'!D625,FIND(" ",'Journal'!D625)-1),'Journal'!D625))</f>
        <v/>
      </c>
      <c r="E1247" s="5">
        <f>IF('Journal'!D625="","",IFERROR(INDEX('Kontoplan'!$B$3:$B$302,MATCH('Journal'!D625,'Kontoplan'!$H$3:$H$302,0)),""))</f>
        <v/>
      </c>
      <c r="F1247" s="20">
        <f>IF('Journal'!G625="","",'Journal'!G625)</f>
        <v/>
      </c>
      <c r="G1247" s="20">
        <f>IF('Journal'!F625="","",'Journal'!F625)</f>
        <v/>
      </c>
      <c r="H1247" s="5">
        <f>IF('Journal'!I625="","",'Journal'!I625)</f>
        <v/>
      </c>
    </row>
    <row r="1248">
      <c r="A1248" s="18">
        <f>IF('Journal'!A625="","",'Journal'!A625)</f>
        <v/>
      </c>
      <c r="B1248" s="21">
        <f>IF('Journal'!B625="","",'Journal'!B625)</f>
        <v/>
      </c>
      <c r="C1248" s="5">
        <f>IF('Journal'!C625="","",'Journal'!C625)</f>
        <v/>
      </c>
      <c r="D1248" s="5">
        <f>IF('Journal'!E625="","",IFERROR(LEFT('Journal'!E625,FIND(" ",'Journal'!E625)-1),'Journal'!E625))</f>
        <v/>
      </c>
      <c r="E1248" s="5">
        <f>IF('Journal'!E625="","",IFERROR(INDEX('Kontoplan'!$B$3:$B$302,MATCH('Journal'!E625,'Kontoplan'!$H$3:$H$302,0)),""))</f>
        <v/>
      </c>
      <c r="F1248" s="20">
        <f>IF('Journal'!F625="","",'Journal'!F625)</f>
        <v/>
      </c>
      <c r="G1248" s="20">
        <f>IF('Journal'!G625="","",'Journal'!G625)</f>
        <v/>
      </c>
      <c r="H1248" s="5">
        <f>IF('Journal'!I625="","",'Journal'!I625)</f>
        <v/>
      </c>
    </row>
    <row r="1249">
      <c r="A1249" s="18">
        <f>IF('Journal'!A626="","",'Journal'!A626)</f>
        <v/>
      </c>
      <c r="B1249" s="21">
        <f>IF('Journal'!B626="","",'Journal'!B626)</f>
        <v/>
      </c>
      <c r="C1249" s="5">
        <f>IF('Journal'!C626="","",'Journal'!C626)</f>
        <v/>
      </c>
      <c r="D1249" s="5">
        <f>IF('Journal'!D626="","",IFERROR(LEFT('Journal'!D626,FIND(" ",'Journal'!D626)-1),'Journal'!D626))</f>
        <v/>
      </c>
      <c r="E1249" s="5">
        <f>IF('Journal'!D626="","",IFERROR(INDEX('Kontoplan'!$B$3:$B$302,MATCH('Journal'!D626,'Kontoplan'!$H$3:$H$302,0)),""))</f>
        <v/>
      </c>
      <c r="F1249" s="20">
        <f>IF('Journal'!G626="","",'Journal'!G626)</f>
        <v/>
      </c>
      <c r="G1249" s="20">
        <f>IF('Journal'!F626="","",'Journal'!F626)</f>
        <v/>
      </c>
      <c r="H1249" s="5">
        <f>IF('Journal'!I626="","",'Journal'!I626)</f>
        <v/>
      </c>
    </row>
    <row r="1250">
      <c r="A1250" s="18">
        <f>IF('Journal'!A626="","",'Journal'!A626)</f>
        <v/>
      </c>
      <c r="B1250" s="21">
        <f>IF('Journal'!B626="","",'Journal'!B626)</f>
        <v/>
      </c>
      <c r="C1250" s="5">
        <f>IF('Journal'!C626="","",'Journal'!C626)</f>
        <v/>
      </c>
      <c r="D1250" s="5">
        <f>IF('Journal'!E626="","",IFERROR(LEFT('Journal'!E626,FIND(" ",'Journal'!E626)-1),'Journal'!E626))</f>
        <v/>
      </c>
      <c r="E1250" s="5">
        <f>IF('Journal'!E626="","",IFERROR(INDEX('Kontoplan'!$B$3:$B$302,MATCH('Journal'!E626,'Kontoplan'!$H$3:$H$302,0)),""))</f>
        <v/>
      </c>
      <c r="F1250" s="20">
        <f>IF('Journal'!F626="","",'Journal'!F626)</f>
        <v/>
      </c>
      <c r="G1250" s="20">
        <f>IF('Journal'!G626="","",'Journal'!G626)</f>
        <v/>
      </c>
      <c r="H1250" s="5">
        <f>IF('Journal'!I626="","",'Journal'!I626)</f>
        <v/>
      </c>
    </row>
    <row r="1251">
      <c r="A1251" s="18">
        <f>IF('Journal'!A627="","",'Journal'!A627)</f>
        <v/>
      </c>
      <c r="B1251" s="21">
        <f>IF('Journal'!B627="","",'Journal'!B627)</f>
        <v/>
      </c>
      <c r="C1251" s="5">
        <f>IF('Journal'!C627="","",'Journal'!C627)</f>
        <v/>
      </c>
      <c r="D1251" s="5">
        <f>IF('Journal'!D627="","",IFERROR(LEFT('Journal'!D627,FIND(" ",'Journal'!D627)-1),'Journal'!D627))</f>
        <v/>
      </c>
      <c r="E1251" s="5">
        <f>IF('Journal'!D627="","",IFERROR(INDEX('Kontoplan'!$B$3:$B$302,MATCH('Journal'!D627,'Kontoplan'!$H$3:$H$302,0)),""))</f>
        <v/>
      </c>
      <c r="F1251" s="20">
        <f>IF('Journal'!G627="","",'Journal'!G627)</f>
        <v/>
      </c>
      <c r="G1251" s="20">
        <f>IF('Journal'!F627="","",'Journal'!F627)</f>
        <v/>
      </c>
      <c r="H1251" s="5">
        <f>IF('Journal'!I627="","",'Journal'!I627)</f>
        <v/>
      </c>
    </row>
    <row r="1252">
      <c r="A1252" s="18">
        <f>IF('Journal'!A627="","",'Journal'!A627)</f>
        <v/>
      </c>
      <c r="B1252" s="21">
        <f>IF('Journal'!B627="","",'Journal'!B627)</f>
        <v/>
      </c>
      <c r="C1252" s="5">
        <f>IF('Journal'!C627="","",'Journal'!C627)</f>
        <v/>
      </c>
      <c r="D1252" s="5">
        <f>IF('Journal'!E627="","",IFERROR(LEFT('Journal'!E627,FIND(" ",'Journal'!E627)-1),'Journal'!E627))</f>
        <v/>
      </c>
      <c r="E1252" s="5">
        <f>IF('Journal'!E627="","",IFERROR(INDEX('Kontoplan'!$B$3:$B$302,MATCH('Journal'!E627,'Kontoplan'!$H$3:$H$302,0)),""))</f>
        <v/>
      </c>
      <c r="F1252" s="20">
        <f>IF('Journal'!F627="","",'Journal'!F627)</f>
        <v/>
      </c>
      <c r="G1252" s="20">
        <f>IF('Journal'!G627="","",'Journal'!G627)</f>
        <v/>
      </c>
      <c r="H1252" s="5">
        <f>IF('Journal'!I627="","",'Journal'!I627)</f>
        <v/>
      </c>
    </row>
    <row r="1253">
      <c r="A1253" s="18">
        <f>IF('Journal'!A628="","",'Journal'!A628)</f>
        <v/>
      </c>
      <c r="B1253" s="21">
        <f>IF('Journal'!B628="","",'Journal'!B628)</f>
        <v/>
      </c>
      <c r="C1253" s="5">
        <f>IF('Journal'!C628="","",'Journal'!C628)</f>
        <v/>
      </c>
      <c r="D1253" s="5">
        <f>IF('Journal'!D628="","",IFERROR(LEFT('Journal'!D628,FIND(" ",'Journal'!D628)-1),'Journal'!D628))</f>
        <v/>
      </c>
      <c r="E1253" s="5">
        <f>IF('Journal'!D628="","",IFERROR(INDEX('Kontoplan'!$B$3:$B$302,MATCH('Journal'!D628,'Kontoplan'!$H$3:$H$302,0)),""))</f>
        <v/>
      </c>
      <c r="F1253" s="20">
        <f>IF('Journal'!G628="","",'Journal'!G628)</f>
        <v/>
      </c>
      <c r="G1253" s="20">
        <f>IF('Journal'!F628="","",'Journal'!F628)</f>
        <v/>
      </c>
      <c r="H1253" s="5">
        <f>IF('Journal'!I628="","",'Journal'!I628)</f>
        <v/>
      </c>
    </row>
    <row r="1254">
      <c r="A1254" s="18">
        <f>IF('Journal'!A628="","",'Journal'!A628)</f>
        <v/>
      </c>
      <c r="B1254" s="21">
        <f>IF('Journal'!B628="","",'Journal'!B628)</f>
        <v/>
      </c>
      <c r="C1254" s="5">
        <f>IF('Journal'!C628="","",'Journal'!C628)</f>
        <v/>
      </c>
      <c r="D1254" s="5">
        <f>IF('Journal'!E628="","",IFERROR(LEFT('Journal'!E628,FIND(" ",'Journal'!E628)-1),'Journal'!E628))</f>
        <v/>
      </c>
      <c r="E1254" s="5">
        <f>IF('Journal'!E628="","",IFERROR(INDEX('Kontoplan'!$B$3:$B$302,MATCH('Journal'!E628,'Kontoplan'!$H$3:$H$302,0)),""))</f>
        <v/>
      </c>
      <c r="F1254" s="20">
        <f>IF('Journal'!F628="","",'Journal'!F628)</f>
        <v/>
      </c>
      <c r="G1254" s="20">
        <f>IF('Journal'!G628="","",'Journal'!G628)</f>
        <v/>
      </c>
      <c r="H1254" s="5">
        <f>IF('Journal'!I628="","",'Journal'!I628)</f>
        <v/>
      </c>
    </row>
    <row r="1255">
      <c r="A1255" s="18">
        <f>IF('Journal'!A629="","",'Journal'!A629)</f>
        <v/>
      </c>
      <c r="B1255" s="21">
        <f>IF('Journal'!B629="","",'Journal'!B629)</f>
        <v/>
      </c>
      <c r="C1255" s="5">
        <f>IF('Journal'!C629="","",'Journal'!C629)</f>
        <v/>
      </c>
      <c r="D1255" s="5">
        <f>IF('Journal'!D629="","",IFERROR(LEFT('Journal'!D629,FIND(" ",'Journal'!D629)-1),'Journal'!D629))</f>
        <v/>
      </c>
      <c r="E1255" s="5">
        <f>IF('Journal'!D629="","",IFERROR(INDEX('Kontoplan'!$B$3:$B$302,MATCH('Journal'!D629,'Kontoplan'!$H$3:$H$302,0)),""))</f>
        <v/>
      </c>
      <c r="F1255" s="20">
        <f>IF('Journal'!G629="","",'Journal'!G629)</f>
        <v/>
      </c>
      <c r="G1255" s="20">
        <f>IF('Journal'!F629="","",'Journal'!F629)</f>
        <v/>
      </c>
      <c r="H1255" s="5">
        <f>IF('Journal'!I629="","",'Journal'!I629)</f>
        <v/>
      </c>
    </row>
    <row r="1256">
      <c r="A1256" s="18">
        <f>IF('Journal'!A629="","",'Journal'!A629)</f>
        <v/>
      </c>
      <c r="B1256" s="21">
        <f>IF('Journal'!B629="","",'Journal'!B629)</f>
        <v/>
      </c>
      <c r="C1256" s="5">
        <f>IF('Journal'!C629="","",'Journal'!C629)</f>
        <v/>
      </c>
      <c r="D1256" s="5">
        <f>IF('Journal'!E629="","",IFERROR(LEFT('Journal'!E629,FIND(" ",'Journal'!E629)-1),'Journal'!E629))</f>
        <v/>
      </c>
      <c r="E1256" s="5">
        <f>IF('Journal'!E629="","",IFERROR(INDEX('Kontoplan'!$B$3:$B$302,MATCH('Journal'!E629,'Kontoplan'!$H$3:$H$302,0)),""))</f>
        <v/>
      </c>
      <c r="F1256" s="20">
        <f>IF('Journal'!F629="","",'Journal'!F629)</f>
        <v/>
      </c>
      <c r="G1256" s="20">
        <f>IF('Journal'!G629="","",'Journal'!G629)</f>
        <v/>
      </c>
      <c r="H1256" s="5">
        <f>IF('Journal'!I629="","",'Journal'!I629)</f>
        <v/>
      </c>
    </row>
    <row r="1257">
      <c r="A1257" s="18">
        <f>IF('Journal'!A630="","",'Journal'!A630)</f>
        <v/>
      </c>
      <c r="B1257" s="21">
        <f>IF('Journal'!B630="","",'Journal'!B630)</f>
        <v/>
      </c>
      <c r="C1257" s="5">
        <f>IF('Journal'!C630="","",'Journal'!C630)</f>
        <v/>
      </c>
      <c r="D1257" s="5">
        <f>IF('Journal'!D630="","",IFERROR(LEFT('Journal'!D630,FIND(" ",'Journal'!D630)-1),'Journal'!D630))</f>
        <v/>
      </c>
      <c r="E1257" s="5">
        <f>IF('Journal'!D630="","",IFERROR(INDEX('Kontoplan'!$B$3:$B$302,MATCH('Journal'!D630,'Kontoplan'!$H$3:$H$302,0)),""))</f>
        <v/>
      </c>
      <c r="F1257" s="20">
        <f>IF('Journal'!G630="","",'Journal'!G630)</f>
        <v/>
      </c>
      <c r="G1257" s="20">
        <f>IF('Journal'!F630="","",'Journal'!F630)</f>
        <v/>
      </c>
      <c r="H1257" s="5">
        <f>IF('Journal'!I630="","",'Journal'!I630)</f>
        <v/>
      </c>
    </row>
    <row r="1258">
      <c r="A1258" s="18">
        <f>IF('Journal'!A630="","",'Journal'!A630)</f>
        <v/>
      </c>
      <c r="B1258" s="21">
        <f>IF('Journal'!B630="","",'Journal'!B630)</f>
        <v/>
      </c>
      <c r="C1258" s="5">
        <f>IF('Journal'!C630="","",'Journal'!C630)</f>
        <v/>
      </c>
      <c r="D1258" s="5">
        <f>IF('Journal'!E630="","",IFERROR(LEFT('Journal'!E630,FIND(" ",'Journal'!E630)-1),'Journal'!E630))</f>
        <v/>
      </c>
      <c r="E1258" s="5">
        <f>IF('Journal'!E630="","",IFERROR(INDEX('Kontoplan'!$B$3:$B$302,MATCH('Journal'!E630,'Kontoplan'!$H$3:$H$302,0)),""))</f>
        <v/>
      </c>
      <c r="F1258" s="20">
        <f>IF('Journal'!F630="","",'Journal'!F630)</f>
        <v/>
      </c>
      <c r="G1258" s="20">
        <f>IF('Journal'!G630="","",'Journal'!G630)</f>
        <v/>
      </c>
      <c r="H1258" s="5">
        <f>IF('Journal'!I630="","",'Journal'!I630)</f>
        <v/>
      </c>
    </row>
    <row r="1259">
      <c r="A1259" s="18">
        <f>IF('Journal'!A631="","",'Journal'!A631)</f>
        <v/>
      </c>
      <c r="B1259" s="21">
        <f>IF('Journal'!B631="","",'Journal'!B631)</f>
        <v/>
      </c>
      <c r="C1259" s="5">
        <f>IF('Journal'!C631="","",'Journal'!C631)</f>
        <v/>
      </c>
      <c r="D1259" s="5">
        <f>IF('Journal'!D631="","",IFERROR(LEFT('Journal'!D631,FIND(" ",'Journal'!D631)-1),'Journal'!D631))</f>
        <v/>
      </c>
      <c r="E1259" s="5">
        <f>IF('Journal'!D631="","",IFERROR(INDEX('Kontoplan'!$B$3:$B$302,MATCH('Journal'!D631,'Kontoplan'!$H$3:$H$302,0)),""))</f>
        <v/>
      </c>
      <c r="F1259" s="20">
        <f>IF('Journal'!G631="","",'Journal'!G631)</f>
        <v/>
      </c>
      <c r="G1259" s="20">
        <f>IF('Journal'!F631="","",'Journal'!F631)</f>
        <v/>
      </c>
      <c r="H1259" s="5">
        <f>IF('Journal'!I631="","",'Journal'!I631)</f>
        <v/>
      </c>
    </row>
    <row r="1260">
      <c r="A1260" s="18">
        <f>IF('Journal'!A631="","",'Journal'!A631)</f>
        <v/>
      </c>
      <c r="B1260" s="21">
        <f>IF('Journal'!B631="","",'Journal'!B631)</f>
        <v/>
      </c>
      <c r="C1260" s="5">
        <f>IF('Journal'!C631="","",'Journal'!C631)</f>
        <v/>
      </c>
      <c r="D1260" s="5">
        <f>IF('Journal'!E631="","",IFERROR(LEFT('Journal'!E631,FIND(" ",'Journal'!E631)-1),'Journal'!E631))</f>
        <v/>
      </c>
      <c r="E1260" s="5">
        <f>IF('Journal'!E631="","",IFERROR(INDEX('Kontoplan'!$B$3:$B$302,MATCH('Journal'!E631,'Kontoplan'!$H$3:$H$302,0)),""))</f>
        <v/>
      </c>
      <c r="F1260" s="20">
        <f>IF('Journal'!F631="","",'Journal'!F631)</f>
        <v/>
      </c>
      <c r="G1260" s="20">
        <f>IF('Journal'!G631="","",'Journal'!G631)</f>
        <v/>
      </c>
      <c r="H1260" s="5">
        <f>IF('Journal'!I631="","",'Journal'!I631)</f>
        <v/>
      </c>
    </row>
    <row r="1261">
      <c r="A1261" s="18">
        <f>IF('Journal'!A632="","",'Journal'!A632)</f>
        <v/>
      </c>
      <c r="B1261" s="21">
        <f>IF('Journal'!B632="","",'Journal'!B632)</f>
        <v/>
      </c>
      <c r="C1261" s="5">
        <f>IF('Journal'!C632="","",'Journal'!C632)</f>
        <v/>
      </c>
      <c r="D1261" s="5">
        <f>IF('Journal'!D632="","",IFERROR(LEFT('Journal'!D632,FIND(" ",'Journal'!D632)-1),'Journal'!D632))</f>
        <v/>
      </c>
      <c r="E1261" s="5">
        <f>IF('Journal'!D632="","",IFERROR(INDEX('Kontoplan'!$B$3:$B$302,MATCH('Journal'!D632,'Kontoplan'!$H$3:$H$302,0)),""))</f>
        <v/>
      </c>
      <c r="F1261" s="20">
        <f>IF('Journal'!G632="","",'Journal'!G632)</f>
        <v/>
      </c>
      <c r="G1261" s="20">
        <f>IF('Journal'!F632="","",'Journal'!F632)</f>
        <v/>
      </c>
      <c r="H1261" s="5">
        <f>IF('Journal'!I632="","",'Journal'!I632)</f>
        <v/>
      </c>
    </row>
    <row r="1262">
      <c r="A1262" s="18">
        <f>IF('Journal'!A632="","",'Journal'!A632)</f>
        <v/>
      </c>
      <c r="B1262" s="21">
        <f>IF('Journal'!B632="","",'Journal'!B632)</f>
        <v/>
      </c>
      <c r="C1262" s="5">
        <f>IF('Journal'!C632="","",'Journal'!C632)</f>
        <v/>
      </c>
      <c r="D1262" s="5">
        <f>IF('Journal'!E632="","",IFERROR(LEFT('Journal'!E632,FIND(" ",'Journal'!E632)-1),'Journal'!E632))</f>
        <v/>
      </c>
      <c r="E1262" s="5">
        <f>IF('Journal'!E632="","",IFERROR(INDEX('Kontoplan'!$B$3:$B$302,MATCH('Journal'!E632,'Kontoplan'!$H$3:$H$302,0)),""))</f>
        <v/>
      </c>
      <c r="F1262" s="20">
        <f>IF('Journal'!F632="","",'Journal'!F632)</f>
        <v/>
      </c>
      <c r="G1262" s="20">
        <f>IF('Journal'!G632="","",'Journal'!G632)</f>
        <v/>
      </c>
      <c r="H1262" s="5">
        <f>IF('Journal'!I632="","",'Journal'!I632)</f>
        <v/>
      </c>
    </row>
    <row r="1263">
      <c r="A1263" s="18">
        <f>IF('Journal'!A633="","",'Journal'!A633)</f>
        <v/>
      </c>
      <c r="B1263" s="21">
        <f>IF('Journal'!B633="","",'Journal'!B633)</f>
        <v/>
      </c>
      <c r="C1263" s="5">
        <f>IF('Journal'!C633="","",'Journal'!C633)</f>
        <v/>
      </c>
      <c r="D1263" s="5">
        <f>IF('Journal'!D633="","",IFERROR(LEFT('Journal'!D633,FIND(" ",'Journal'!D633)-1),'Journal'!D633))</f>
        <v/>
      </c>
      <c r="E1263" s="5">
        <f>IF('Journal'!D633="","",IFERROR(INDEX('Kontoplan'!$B$3:$B$302,MATCH('Journal'!D633,'Kontoplan'!$H$3:$H$302,0)),""))</f>
        <v/>
      </c>
      <c r="F1263" s="20">
        <f>IF('Journal'!G633="","",'Journal'!G633)</f>
        <v/>
      </c>
      <c r="G1263" s="20">
        <f>IF('Journal'!F633="","",'Journal'!F633)</f>
        <v/>
      </c>
      <c r="H1263" s="5">
        <f>IF('Journal'!I633="","",'Journal'!I633)</f>
        <v/>
      </c>
    </row>
    <row r="1264">
      <c r="A1264" s="18">
        <f>IF('Journal'!A633="","",'Journal'!A633)</f>
        <v/>
      </c>
      <c r="B1264" s="21">
        <f>IF('Journal'!B633="","",'Journal'!B633)</f>
        <v/>
      </c>
      <c r="C1264" s="5">
        <f>IF('Journal'!C633="","",'Journal'!C633)</f>
        <v/>
      </c>
      <c r="D1264" s="5">
        <f>IF('Journal'!E633="","",IFERROR(LEFT('Journal'!E633,FIND(" ",'Journal'!E633)-1),'Journal'!E633))</f>
        <v/>
      </c>
      <c r="E1264" s="5">
        <f>IF('Journal'!E633="","",IFERROR(INDEX('Kontoplan'!$B$3:$B$302,MATCH('Journal'!E633,'Kontoplan'!$H$3:$H$302,0)),""))</f>
        <v/>
      </c>
      <c r="F1264" s="20">
        <f>IF('Journal'!F633="","",'Journal'!F633)</f>
        <v/>
      </c>
      <c r="G1264" s="20">
        <f>IF('Journal'!G633="","",'Journal'!G633)</f>
        <v/>
      </c>
      <c r="H1264" s="5">
        <f>IF('Journal'!I633="","",'Journal'!I633)</f>
        <v/>
      </c>
    </row>
    <row r="1265">
      <c r="A1265" s="18">
        <f>IF('Journal'!A634="","",'Journal'!A634)</f>
        <v/>
      </c>
      <c r="B1265" s="21">
        <f>IF('Journal'!B634="","",'Journal'!B634)</f>
        <v/>
      </c>
      <c r="C1265" s="5">
        <f>IF('Journal'!C634="","",'Journal'!C634)</f>
        <v/>
      </c>
      <c r="D1265" s="5">
        <f>IF('Journal'!D634="","",IFERROR(LEFT('Journal'!D634,FIND(" ",'Journal'!D634)-1),'Journal'!D634))</f>
        <v/>
      </c>
      <c r="E1265" s="5">
        <f>IF('Journal'!D634="","",IFERROR(INDEX('Kontoplan'!$B$3:$B$302,MATCH('Journal'!D634,'Kontoplan'!$H$3:$H$302,0)),""))</f>
        <v/>
      </c>
      <c r="F1265" s="20">
        <f>IF('Journal'!G634="","",'Journal'!G634)</f>
        <v/>
      </c>
      <c r="G1265" s="20">
        <f>IF('Journal'!F634="","",'Journal'!F634)</f>
        <v/>
      </c>
      <c r="H1265" s="5">
        <f>IF('Journal'!I634="","",'Journal'!I634)</f>
        <v/>
      </c>
    </row>
    <row r="1266">
      <c r="A1266" s="18">
        <f>IF('Journal'!A634="","",'Journal'!A634)</f>
        <v/>
      </c>
      <c r="B1266" s="21">
        <f>IF('Journal'!B634="","",'Journal'!B634)</f>
        <v/>
      </c>
      <c r="C1266" s="5">
        <f>IF('Journal'!C634="","",'Journal'!C634)</f>
        <v/>
      </c>
      <c r="D1266" s="5">
        <f>IF('Journal'!E634="","",IFERROR(LEFT('Journal'!E634,FIND(" ",'Journal'!E634)-1),'Journal'!E634))</f>
        <v/>
      </c>
      <c r="E1266" s="5">
        <f>IF('Journal'!E634="","",IFERROR(INDEX('Kontoplan'!$B$3:$B$302,MATCH('Journal'!E634,'Kontoplan'!$H$3:$H$302,0)),""))</f>
        <v/>
      </c>
      <c r="F1266" s="20">
        <f>IF('Journal'!F634="","",'Journal'!F634)</f>
        <v/>
      </c>
      <c r="G1266" s="20">
        <f>IF('Journal'!G634="","",'Journal'!G634)</f>
        <v/>
      </c>
      <c r="H1266" s="5">
        <f>IF('Journal'!I634="","",'Journal'!I634)</f>
        <v/>
      </c>
    </row>
    <row r="1267">
      <c r="A1267" s="18">
        <f>IF('Journal'!A635="","",'Journal'!A635)</f>
        <v/>
      </c>
      <c r="B1267" s="21">
        <f>IF('Journal'!B635="","",'Journal'!B635)</f>
        <v/>
      </c>
      <c r="C1267" s="5">
        <f>IF('Journal'!C635="","",'Journal'!C635)</f>
        <v/>
      </c>
      <c r="D1267" s="5">
        <f>IF('Journal'!D635="","",IFERROR(LEFT('Journal'!D635,FIND(" ",'Journal'!D635)-1),'Journal'!D635))</f>
        <v/>
      </c>
      <c r="E1267" s="5">
        <f>IF('Journal'!D635="","",IFERROR(INDEX('Kontoplan'!$B$3:$B$302,MATCH('Journal'!D635,'Kontoplan'!$H$3:$H$302,0)),""))</f>
        <v/>
      </c>
      <c r="F1267" s="20">
        <f>IF('Journal'!G635="","",'Journal'!G635)</f>
        <v/>
      </c>
      <c r="G1267" s="20">
        <f>IF('Journal'!F635="","",'Journal'!F635)</f>
        <v/>
      </c>
      <c r="H1267" s="5">
        <f>IF('Journal'!I635="","",'Journal'!I635)</f>
        <v/>
      </c>
    </row>
    <row r="1268">
      <c r="A1268" s="18">
        <f>IF('Journal'!A635="","",'Journal'!A635)</f>
        <v/>
      </c>
      <c r="B1268" s="21">
        <f>IF('Journal'!B635="","",'Journal'!B635)</f>
        <v/>
      </c>
      <c r="C1268" s="5">
        <f>IF('Journal'!C635="","",'Journal'!C635)</f>
        <v/>
      </c>
      <c r="D1268" s="5">
        <f>IF('Journal'!E635="","",IFERROR(LEFT('Journal'!E635,FIND(" ",'Journal'!E635)-1),'Journal'!E635))</f>
        <v/>
      </c>
      <c r="E1268" s="5">
        <f>IF('Journal'!E635="","",IFERROR(INDEX('Kontoplan'!$B$3:$B$302,MATCH('Journal'!E635,'Kontoplan'!$H$3:$H$302,0)),""))</f>
        <v/>
      </c>
      <c r="F1268" s="20">
        <f>IF('Journal'!F635="","",'Journal'!F635)</f>
        <v/>
      </c>
      <c r="G1268" s="20">
        <f>IF('Journal'!G635="","",'Journal'!G635)</f>
        <v/>
      </c>
      <c r="H1268" s="5">
        <f>IF('Journal'!I635="","",'Journal'!I635)</f>
        <v/>
      </c>
    </row>
    <row r="1269">
      <c r="A1269" s="18">
        <f>IF('Journal'!A636="","",'Journal'!A636)</f>
        <v/>
      </c>
      <c r="B1269" s="21">
        <f>IF('Journal'!B636="","",'Journal'!B636)</f>
        <v/>
      </c>
      <c r="C1269" s="5">
        <f>IF('Journal'!C636="","",'Journal'!C636)</f>
        <v/>
      </c>
      <c r="D1269" s="5">
        <f>IF('Journal'!D636="","",IFERROR(LEFT('Journal'!D636,FIND(" ",'Journal'!D636)-1),'Journal'!D636))</f>
        <v/>
      </c>
      <c r="E1269" s="5">
        <f>IF('Journal'!D636="","",IFERROR(INDEX('Kontoplan'!$B$3:$B$302,MATCH('Journal'!D636,'Kontoplan'!$H$3:$H$302,0)),""))</f>
        <v/>
      </c>
      <c r="F1269" s="20">
        <f>IF('Journal'!G636="","",'Journal'!G636)</f>
        <v/>
      </c>
      <c r="G1269" s="20">
        <f>IF('Journal'!F636="","",'Journal'!F636)</f>
        <v/>
      </c>
      <c r="H1269" s="5">
        <f>IF('Journal'!I636="","",'Journal'!I636)</f>
        <v/>
      </c>
    </row>
    <row r="1270">
      <c r="A1270" s="18">
        <f>IF('Journal'!A636="","",'Journal'!A636)</f>
        <v/>
      </c>
      <c r="B1270" s="21">
        <f>IF('Journal'!B636="","",'Journal'!B636)</f>
        <v/>
      </c>
      <c r="C1270" s="5">
        <f>IF('Journal'!C636="","",'Journal'!C636)</f>
        <v/>
      </c>
      <c r="D1270" s="5">
        <f>IF('Journal'!E636="","",IFERROR(LEFT('Journal'!E636,FIND(" ",'Journal'!E636)-1),'Journal'!E636))</f>
        <v/>
      </c>
      <c r="E1270" s="5">
        <f>IF('Journal'!E636="","",IFERROR(INDEX('Kontoplan'!$B$3:$B$302,MATCH('Journal'!E636,'Kontoplan'!$H$3:$H$302,0)),""))</f>
        <v/>
      </c>
      <c r="F1270" s="20">
        <f>IF('Journal'!F636="","",'Journal'!F636)</f>
        <v/>
      </c>
      <c r="G1270" s="20">
        <f>IF('Journal'!G636="","",'Journal'!G636)</f>
        <v/>
      </c>
      <c r="H1270" s="5">
        <f>IF('Journal'!I636="","",'Journal'!I636)</f>
        <v/>
      </c>
    </row>
    <row r="1271">
      <c r="A1271" s="18">
        <f>IF('Journal'!A637="","",'Journal'!A637)</f>
        <v/>
      </c>
      <c r="B1271" s="21">
        <f>IF('Journal'!B637="","",'Journal'!B637)</f>
        <v/>
      </c>
      <c r="C1271" s="5">
        <f>IF('Journal'!C637="","",'Journal'!C637)</f>
        <v/>
      </c>
      <c r="D1271" s="5">
        <f>IF('Journal'!D637="","",IFERROR(LEFT('Journal'!D637,FIND(" ",'Journal'!D637)-1),'Journal'!D637))</f>
        <v/>
      </c>
      <c r="E1271" s="5">
        <f>IF('Journal'!D637="","",IFERROR(INDEX('Kontoplan'!$B$3:$B$302,MATCH('Journal'!D637,'Kontoplan'!$H$3:$H$302,0)),""))</f>
        <v/>
      </c>
      <c r="F1271" s="20">
        <f>IF('Journal'!G637="","",'Journal'!G637)</f>
        <v/>
      </c>
      <c r="G1271" s="20">
        <f>IF('Journal'!F637="","",'Journal'!F637)</f>
        <v/>
      </c>
      <c r="H1271" s="5">
        <f>IF('Journal'!I637="","",'Journal'!I637)</f>
        <v/>
      </c>
    </row>
    <row r="1272">
      <c r="A1272" s="18">
        <f>IF('Journal'!A637="","",'Journal'!A637)</f>
        <v/>
      </c>
      <c r="B1272" s="21">
        <f>IF('Journal'!B637="","",'Journal'!B637)</f>
        <v/>
      </c>
      <c r="C1272" s="5">
        <f>IF('Journal'!C637="","",'Journal'!C637)</f>
        <v/>
      </c>
      <c r="D1272" s="5">
        <f>IF('Journal'!E637="","",IFERROR(LEFT('Journal'!E637,FIND(" ",'Journal'!E637)-1),'Journal'!E637))</f>
        <v/>
      </c>
      <c r="E1272" s="5">
        <f>IF('Journal'!E637="","",IFERROR(INDEX('Kontoplan'!$B$3:$B$302,MATCH('Journal'!E637,'Kontoplan'!$H$3:$H$302,0)),""))</f>
        <v/>
      </c>
      <c r="F1272" s="20">
        <f>IF('Journal'!F637="","",'Journal'!F637)</f>
        <v/>
      </c>
      <c r="G1272" s="20">
        <f>IF('Journal'!G637="","",'Journal'!G637)</f>
        <v/>
      </c>
      <c r="H1272" s="5">
        <f>IF('Journal'!I637="","",'Journal'!I637)</f>
        <v/>
      </c>
    </row>
    <row r="1273">
      <c r="A1273" s="18">
        <f>IF('Journal'!A638="","",'Journal'!A638)</f>
        <v/>
      </c>
      <c r="B1273" s="21">
        <f>IF('Journal'!B638="","",'Journal'!B638)</f>
        <v/>
      </c>
      <c r="C1273" s="5">
        <f>IF('Journal'!C638="","",'Journal'!C638)</f>
        <v/>
      </c>
      <c r="D1273" s="5">
        <f>IF('Journal'!D638="","",IFERROR(LEFT('Journal'!D638,FIND(" ",'Journal'!D638)-1),'Journal'!D638))</f>
        <v/>
      </c>
      <c r="E1273" s="5">
        <f>IF('Journal'!D638="","",IFERROR(INDEX('Kontoplan'!$B$3:$B$302,MATCH('Journal'!D638,'Kontoplan'!$H$3:$H$302,0)),""))</f>
        <v/>
      </c>
      <c r="F1273" s="20">
        <f>IF('Journal'!G638="","",'Journal'!G638)</f>
        <v/>
      </c>
      <c r="G1273" s="20">
        <f>IF('Journal'!F638="","",'Journal'!F638)</f>
        <v/>
      </c>
      <c r="H1273" s="5">
        <f>IF('Journal'!I638="","",'Journal'!I638)</f>
        <v/>
      </c>
    </row>
    <row r="1274">
      <c r="A1274" s="18">
        <f>IF('Journal'!A638="","",'Journal'!A638)</f>
        <v/>
      </c>
      <c r="B1274" s="21">
        <f>IF('Journal'!B638="","",'Journal'!B638)</f>
        <v/>
      </c>
      <c r="C1274" s="5">
        <f>IF('Journal'!C638="","",'Journal'!C638)</f>
        <v/>
      </c>
      <c r="D1274" s="5">
        <f>IF('Journal'!E638="","",IFERROR(LEFT('Journal'!E638,FIND(" ",'Journal'!E638)-1),'Journal'!E638))</f>
        <v/>
      </c>
      <c r="E1274" s="5">
        <f>IF('Journal'!E638="","",IFERROR(INDEX('Kontoplan'!$B$3:$B$302,MATCH('Journal'!E638,'Kontoplan'!$H$3:$H$302,0)),""))</f>
        <v/>
      </c>
      <c r="F1274" s="20">
        <f>IF('Journal'!F638="","",'Journal'!F638)</f>
        <v/>
      </c>
      <c r="G1274" s="20">
        <f>IF('Journal'!G638="","",'Journal'!G638)</f>
        <v/>
      </c>
      <c r="H1274" s="5">
        <f>IF('Journal'!I638="","",'Journal'!I638)</f>
        <v/>
      </c>
    </row>
    <row r="1275">
      <c r="A1275" s="18">
        <f>IF('Journal'!A639="","",'Journal'!A639)</f>
        <v/>
      </c>
      <c r="B1275" s="21">
        <f>IF('Journal'!B639="","",'Journal'!B639)</f>
        <v/>
      </c>
      <c r="C1275" s="5">
        <f>IF('Journal'!C639="","",'Journal'!C639)</f>
        <v/>
      </c>
      <c r="D1275" s="5">
        <f>IF('Journal'!D639="","",IFERROR(LEFT('Journal'!D639,FIND(" ",'Journal'!D639)-1),'Journal'!D639))</f>
        <v/>
      </c>
      <c r="E1275" s="5">
        <f>IF('Journal'!D639="","",IFERROR(INDEX('Kontoplan'!$B$3:$B$302,MATCH('Journal'!D639,'Kontoplan'!$H$3:$H$302,0)),""))</f>
        <v/>
      </c>
      <c r="F1275" s="20">
        <f>IF('Journal'!G639="","",'Journal'!G639)</f>
        <v/>
      </c>
      <c r="G1275" s="20">
        <f>IF('Journal'!F639="","",'Journal'!F639)</f>
        <v/>
      </c>
      <c r="H1275" s="5">
        <f>IF('Journal'!I639="","",'Journal'!I639)</f>
        <v/>
      </c>
    </row>
    <row r="1276">
      <c r="A1276" s="18">
        <f>IF('Journal'!A639="","",'Journal'!A639)</f>
        <v/>
      </c>
      <c r="B1276" s="21">
        <f>IF('Journal'!B639="","",'Journal'!B639)</f>
        <v/>
      </c>
      <c r="C1276" s="5">
        <f>IF('Journal'!C639="","",'Journal'!C639)</f>
        <v/>
      </c>
      <c r="D1276" s="5">
        <f>IF('Journal'!E639="","",IFERROR(LEFT('Journal'!E639,FIND(" ",'Journal'!E639)-1),'Journal'!E639))</f>
        <v/>
      </c>
      <c r="E1276" s="5">
        <f>IF('Journal'!E639="","",IFERROR(INDEX('Kontoplan'!$B$3:$B$302,MATCH('Journal'!E639,'Kontoplan'!$H$3:$H$302,0)),""))</f>
        <v/>
      </c>
      <c r="F1276" s="20">
        <f>IF('Journal'!F639="","",'Journal'!F639)</f>
        <v/>
      </c>
      <c r="G1276" s="20">
        <f>IF('Journal'!G639="","",'Journal'!G639)</f>
        <v/>
      </c>
      <c r="H1276" s="5">
        <f>IF('Journal'!I639="","",'Journal'!I639)</f>
        <v/>
      </c>
    </row>
    <row r="1277">
      <c r="A1277" s="18">
        <f>IF('Journal'!A640="","",'Journal'!A640)</f>
        <v/>
      </c>
      <c r="B1277" s="21">
        <f>IF('Journal'!B640="","",'Journal'!B640)</f>
        <v/>
      </c>
      <c r="C1277" s="5">
        <f>IF('Journal'!C640="","",'Journal'!C640)</f>
        <v/>
      </c>
      <c r="D1277" s="5">
        <f>IF('Journal'!D640="","",IFERROR(LEFT('Journal'!D640,FIND(" ",'Journal'!D640)-1),'Journal'!D640))</f>
        <v/>
      </c>
      <c r="E1277" s="5">
        <f>IF('Journal'!D640="","",IFERROR(INDEX('Kontoplan'!$B$3:$B$302,MATCH('Journal'!D640,'Kontoplan'!$H$3:$H$302,0)),""))</f>
        <v/>
      </c>
      <c r="F1277" s="20">
        <f>IF('Journal'!G640="","",'Journal'!G640)</f>
        <v/>
      </c>
      <c r="G1277" s="20">
        <f>IF('Journal'!F640="","",'Journal'!F640)</f>
        <v/>
      </c>
      <c r="H1277" s="5">
        <f>IF('Journal'!I640="","",'Journal'!I640)</f>
        <v/>
      </c>
    </row>
    <row r="1278">
      <c r="A1278" s="18">
        <f>IF('Journal'!A640="","",'Journal'!A640)</f>
        <v/>
      </c>
      <c r="B1278" s="21">
        <f>IF('Journal'!B640="","",'Journal'!B640)</f>
        <v/>
      </c>
      <c r="C1278" s="5">
        <f>IF('Journal'!C640="","",'Journal'!C640)</f>
        <v/>
      </c>
      <c r="D1278" s="5">
        <f>IF('Journal'!E640="","",IFERROR(LEFT('Journal'!E640,FIND(" ",'Journal'!E640)-1),'Journal'!E640))</f>
        <v/>
      </c>
      <c r="E1278" s="5">
        <f>IF('Journal'!E640="","",IFERROR(INDEX('Kontoplan'!$B$3:$B$302,MATCH('Journal'!E640,'Kontoplan'!$H$3:$H$302,0)),""))</f>
        <v/>
      </c>
      <c r="F1278" s="20">
        <f>IF('Journal'!F640="","",'Journal'!F640)</f>
        <v/>
      </c>
      <c r="G1278" s="20">
        <f>IF('Journal'!G640="","",'Journal'!G640)</f>
        <v/>
      </c>
      <c r="H1278" s="5">
        <f>IF('Journal'!I640="","",'Journal'!I640)</f>
        <v/>
      </c>
    </row>
    <row r="1279">
      <c r="A1279" s="18">
        <f>IF('Journal'!A641="","",'Journal'!A641)</f>
        <v/>
      </c>
      <c r="B1279" s="21">
        <f>IF('Journal'!B641="","",'Journal'!B641)</f>
        <v/>
      </c>
      <c r="C1279" s="5">
        <f>IF('Journal'!C641="","",'Journal'!C641)</f>
        <v/>
      </c>
      <c r="D1279" s="5">
        <f>IF('Journal'!D641="","",IFERROR(LEFT('Journal'!D641,FIND(" ",'Journal'!D641)-1),'Journal'!D641))</f>
        <v/>
      </c>
      <c r="E1279" s="5">
        <f>IF('Journal'!D641="","",IFERROR(INDEX('Kontoplan'!$B$3:$B$302,MATCH('Journal'!D641,'Kontoplan'!$H$3:$H$302,0)),""))</f>
        <v/>
      </c>
      <c r="F1279" s="20">
        <f>IF('Journal'!G641="","",'Journal'!G641)</f>
        <v/>
      </c>
      <c r="G1279" s="20">
        <f>IF('Journal'!F641="","",'Journal'!F641)</f>
        <v/>
      </c>
      <c r="H1279" s="5">
        <f>IF('Journal'!I641="","",'Journal'!I641)</f>
        <v/>
      </c>
    </row>
    <row r="1280">
      <c r="A1280" s="18">
        <f>IF('Journal'!A641="","",'Journal'!A641)</f>
        <v/>
      </c>
      <c r="B1280" s="21">
        <f>IF('Journal'!B641="","",'Journal'!B641)</f>
        <v/>
      </c>
      <c r="C1280" s="5">
        <f>IF('Journal'!C641="","",'Journal'!C641)</f>
        <v/>
      </c>
      <c r="D1280" s="5">
        <f>IF('Journal'!E641="","",IFERROR(LEFT('Journal'!E641,FIND(" ",'Journal'!E641)-1),'Journal'!E641))</f>
        <v/>
      </c>
      <c r="E1280" s="5">
        <f>IF('Journal'!E641="","",IFERROR(INDEX('Kontoplan'!$B$3:$B$302,MATCH('Journal'!E641,'Kontoplan'!$H$3:$H$302,0)),""))</f>
        <v/>
      </c>
      <c r="F1280" s="20">
        <f>IF('Journal'!F641="","",'Journal'!F641)</f>
        <v/>
      </c>
      <c r="G1280" s="20">
        <f>IF('Journal'!G641="","",'Journal'!G641)</f>
        <v/>
      </c>
      <c r="H1280" s="5">
        <f>IF('Journal'!I641="","",'Journal'!I641)</f>
        <v/>
      </c>
    </row>
    <row r="1281">
      <c r="A1281" s="18">
        <f>IF('Journal'!A642="","",'Journal'!A642)</f>
        <v/>
      </c>
      <c r="B1281" s="21">
        <f>IF('Journal'!B642="","",'Journal'!B642)</f>
        <v/>
      </c>
      <c r="C1281" s="5">
        <f>IF('Journal'!C642="","",'Journal'!C642)</f>
        <v/>
      </c>
      <c r="D1281" s="5">
        <f>IF('Journal'!D642="","",IFERROR(LEFT('Journal'!D642,FIND(" ",'Journal'!D642)-1),'Journal'!D642))</f>
        <v/>
      </c>
      <c r="E1281" s="5">
        <f>IF('Journal'!D642="","",IFERROR(INDEX('Kontoplan'!$B$3:$B$302,MATCH('Journal'!D642,'Kontoplan'!$H$3:$H$302,0)),""))</f>
        <v/>
      </c>
      <c r="F1281" s="20">
        <f>IF('Journal'!G642="","",'Journal'!G642)</f>
        <v/>
      </c>
      <c r="G1281" s="20">
        <f>IF('Journal'!F642="","",'Journal'!F642)</f>
        <v/>
      </c>
      <c r="H1281" s="5">
        <f>IF('Journal'!I642="","",'Journal'!I642)</f>
        <v/>
      </c>
    </row>
    <row r="1282">
      <c r="A1282" s="18">
        <f>IF('Journal'!A642="","",'Journal'!A642)</f>
        <v/>
      </c>
      <c r="B1282" s="21">
        <f>IF('Journal'!B642="","",'Journal'!B642)</f>
        <v/>
      </c>
      <c r="C1282" s="5">
        <f>IF('Journal'!C642="","",'Journal'!C642)</f>
        <v/>
      </c>
      <c r="D1282" s="5">
        <f>IF('Journal'!E642="","",IFERROR(LEFT('Journal'!E642,FIND(" ",'Journal'!E642)-1),'Journal'!E642))</f>
        <v/>
      </c>
      <c r="E1282" s="5">
        <f>IF('Journal'!E642="","",IFERROR(INDEX('Kontoplan'!$B$3:$B$302,MATCH('Journal'!E642,'Kontoplan'!$H$3:$H$302,0)),""))</f>
        <v/>
      </c>
      <c r="F1282" s="20">
        <f>IF('Journal'!F642="","",'Journal'!F642)</f>
        <v/>
      </c>
      <c r="G1282" s="20">
        <f>IF('Journal'!G642="","",'Journal'!G642)</f>
        <v/>
      </c>
      <c r="H1282" s="5">
        <f>IF('Journal'!I642="","",'Journal'!I642)</f>
        <v/>
      </c>
    </row>
    <row r="1283">
      <c r="A1283" s="18">
        <f>IF('Journal'!A643="","",'Journal'!A643)</f>
        <v/>
      </c>
      <c r="B1283" s="21">
        <f>IF('Journal'!B643="","",'Journal'!B643)</f>
        <v/>
      </c>
      <c r="C1283" s="5">
        <f>IF('Journal'!C643="","",'Journal'!C643)</f>
        <v/>
      </c>
      <c r="D1283" s="5">
        <f>IF('Journal'!D643="","",IFERROR(LEFT('Journal'!D643,FIND(" ",'Journal'!D643)-1),'Journal'!D643))</f>
        <v/>
      </c>
      <c r="E1283" s="5">
        <f>IF('Journal'!D643="","",IFERROR(INDEX('Kontoplan'!$B$3:$B$302,MATCH('Journal'!D643,'Kontoplan'!$H$3:$H$302,0)),""))</f>
        <v/>
      </c>
      <c r="F1283" s="20">
        <f>IF('Journal'!G643="","",'Journal'!G643)</f>
        <v/>
      </c>
      <c r="G1283" s="20">
        <f>IF('Journal'!F643="","",'Journal'!F643)</f>
        <v/>
      </c>
      <c r="H1283" s="5">
        <f>IF('Journal'!I643="","",'Journal'!I643)</f>
        <v/>
      </c>
    </row>
    <row r="1284">
      <c r="A1284" s="18">
        <f>IF('Journal'!A643="","",'Journal'!A643)</f>
        <v/>
      </c>
      <c r="B1284" s="21">
        <f>IF('Journal'!B643="","",'Journal'!B643)</f>
        <v/>
      </c>
      <c r="C1284" s="5">
        <f>IF('Journal'!C643="","",'Journal'!C643)</f>
        <v/>
      </c>
      <c r="D1284" s="5">
        <f>IF('Journal'!E643="","",IFERROR(LEFT('Journal'!E643,FIND(" ",'Journal'!E643)-1),'Journal'!E643))</f>
        <v/>
      </c>
      <c r="E1284" s="5">
        <f>IF('Journal'!E643="","",IFERROR(INDEX('Kontoplan'!$B$3:$B$302,MATCH('Journal'!E643,'Kontoplan'!$H$3:$H$302,0)),""))</f>
        <v/>
      </c>
      <c r="F1284" s="20">
        <f>IF('Journal'!F643="","",'Journal'!F643)</f>
        <v/>
      </c>
      <c r="G1284" s="20">
        <f>IF('Journal'!G643="","",'Journal'!G643)</f>
        <v/>
      </c>
      <c r="H1284" s="5">
        <f>IF('Journal'!I643="","",'Journal'!I643)</f>
        <v/>
      </c>
    </row>
    <row r="1285">
      <c r="A1285" s="18">
        <f>IF('Journal'!A644="","",'Journal'!A644)</f>
        <v/>
      </c>
      <c r="B1285" s="21">
        <f>IF('Journal'!B644="","",'Journal'!B644)</f>
        <v/>
      </c>
      <c r="C1285" s="5">
        <f>IF('Journal'!C644="","",'Journal'!C644)</f>
        <v/>
      </c>
      <c r="D1285" s="5">
        <f>IF('Journal'!D644="","",IFERROR(LEFT('Journal'!D644,FIND(" ",'Journal'!D644)-1),'Journal'!D644))</f>
        <v/>
      </c>
      <c r="E1285" s="5">
        <f>IF('Journal'!D644="","",IFERROR(INDEX('Kontoplan'!$B$3:$B$302,MATCH('Journal'!D644,'Kontoplan'!$H$3:$H$302,0)),""))</f>
        <v/>
      </c>
      <c r="F1285" s="20">
        <f>IF('Journal'!G644="","",'Journal'!G644)</f>
        <v/>
      </c>
      <c r="G1285" s="20">
        <f>IF('Journal'!F644="","",'Journal'!F644)</f>
        <v/>
      </c>
      <c r="H1285" s="5">
        <f>IF('Journal'!I644="","",'Journal'!I644)</f>
        <v/>
      </c>
    </row>
    <row r="1286">
      <c r="A1286" s="18">
        <f>IF('Journal'!A644="","",'Journal'!A644)</f>
        <v/>
      </c>
      <c r="B1286" s="21">
        <f>IF('Journal'!B644="","",'Journal'!B644)</f>
        <v/>
      </c>
      <c r="C1286" s="5">
        <f>IF('Journal'!C644="","",'Journal'!C644)</f>
        <v/>
      </c>
      <c r="D1286" s="5">
        <f>IF('Journal'!E644="","",IFERROR(LEFT('Journal'!E644,FIND(" ",'Journal'!E644)-1),'Journal'!E644))</f>
        <v/>
      </c>
      <c r="E1286" s="5">
        <f>IF('Journal'!E644="","",IFERROR(INDEX('Kontoplan'!$B$3:$B$302,MATCH('Journal'!E644,'Kontoplan'!$H$3:$H$302,0)),""))</f>
        <v/>
      </c>
      <c r="F1286" s="20">
        <f>IF('Journal'!F644="","",'Journal'!F644)</f>
        <v/>
      </c>
      <c r="G1286" s="20">
        <f>IF('Journal'!G644="","",'Journal'!G644)</f>
        <v/>
      </c>
      <c r="H1286" s="5">
        <f>IF('Journal'!I644="","",'Journal'!I644)</f>
        <v/>
      </c>
    </row>
    <row r="1287">
      <c r="A1287" s="18">
        <f>IF('Journal'!A645="","",'Journal'!A645)</f>
        <v/>
      </c>
      <c r="B1287" s="21">
        <f>IF('Journal'!B645="","",'Journal'!B645)</f>
        <v/>
      </c>
      <c r="C1287" s="5">
        <f>IF('Journal'!C645="","",'Journal'!C645)</f>
        <v/>
      </c>
      <c r="D1287" s="5">
        <f>IF('Journal'!D645="","",IFERROR(LEFT('Journal'!D645,FIND(" ",'Journal'!D645)-1),'Journal'!D645))</f>
        <v/>
      </c>
      <c r="E1287" s="5">
        <f>IF('Journal'!D645="","",IFERROR(INDEX('Kontoplan'!$B$3:$B$302,MATCH('Journal'!D645,'Kontoplan'!$H$3:$H$302,0)),""))</f>
        <v/>
      </c>
      <c r="F1287" s="20">
        <f>IF('Journal'!G645="","",'Journal'!G645)</f>
        <v/>
      </c>
      <c r="G1287" s="20">
        <f>IF('Journal'!F645="","",'Journal'!F645)</f>
        <v/>
      </c>
      <c r="H1287" s="5">
        <f>IF('Journal'!I645="","",'Journal'!I645)</f>
        <v/>
      </c>
    </row>
    <row r="1288">
      <c r="A1288" s="18">
        <f>IF('Journal'!A645="","",'Journal'!A645)</f>
        <v/>
      </c>
      <c r="B1288" s="21">
        <f>IF('Journal'!B645="","",'Journal'!B645)</f>
        <v/>
      </c>
      <c r="C1288" s="5">
        <f>IF('Journal'!C645="","",'Journal'!C645)</f>
        <v/>
      </c>
      <c r="D1288" s="5">
        <f>IF('Journal'!E645="","",IFERROR(LEFT('Journal'!E645,FIND(" ",'Journal'!E645)-1),'Journal'!E645))</f>
        <v/>
      </c>
      <c r="E1288" s="5">
        <f>IF('Journal'!E645="","",IFERROR(INDEX('Kontoplan'!$B$3:$B$302,MATCH('Journal'!E645,'Kontoplan'!$H$3:$H$302,0)),""))</f>
        <v/>
      </c>
      <c r="F1288" s="20">
        <f>IF('Journal'!F645="","",'Journal'!F645)</f>
        <v/>
      </c>
      <c r="G1288" s="20">
        <f>IF('Journal'!G645="","",'Journal'!G645)</f>
        <v/>
      </c>
      <c r="H1288" s="5">
        <f>IF('Journal'!I645="","",'Journal'!I645)</f>
        <v/>
      </c>
    </row>
    <row r="1289">
      <c r="A1289" s="18">
        <f>IF('Journal'!A646="","",'Journal'!A646)</f>
        <v/>
      </c>
      <c r="B1289" s="21">
        <f>IF('Journal'!B646="","",'Journal'!B646)</f>
        <v/>
      </c>
      <c r="C1289" s="5">
        <f>IF('Journal'!C646="","",'Journal'!C646)</f>
        <v/>
      </c>
      <c r="D1289" s="5">
        <f>IF('Journal'!D646="","",IFERROR(LEFT('Journal'!D646,FIND(" ",'Journal'!D646)-1),'Journal'!D646))</f>
        <v/>
      </c>
      <c r="E1289" s="5">
        <f>IF('Journal'!D646="","",IFERROR(INDEX('Kontoplan'!$B$3:$B$302,MATCH('Journal'!D646,'Kontoplan'!$H$3:$H$302,0)),""))</f>
        <v/>
      </c>
      <c r="F1289" s="20">
        <f>IF('Journal'!G646="","",'Journal'!G646)</f>
        <v/>
      </c>
      <c r="G1289" s="20">
        <f>IF('Journal'!F646="","",'Journal'!F646)</f>
        <v/>
      </c>
      <c r="H1289" s="5">
        <f>IF('Journal'!I646="","",'Journal'!I646)</f>
        <v/>
      </c>
    </row>
    <row r="1290">
      <c r="A1290" s="18">
        <f>IF('Journal'!A646="","",'Journal'!A646)</f>
        <v/>
      </c>
      <c r="B1290" s="21">
        <f>IF('Journal'!B646="","",'Journal'!B646)</f>
        <v/>
      </c>
      <c r="C1290" s="5">
        <f>IF('Journal'!C646="","",'Journal'!C646)</f>
        <v/>
      </c>
      <c r="D1290" s="5">
        <f>IF('Journal'!E646="","",IFERROR(LEFT('Journal'!E646,FIND(" ",'Journal'!E646)-1),'Journal'!E646))</f>
        <v/>
      </c>
      <c r="E1290" s="5">
        <f>IF('Journal'!E646="","",IFERROR(INDEX('Kontoplan'!$B$3:$B$302,MATCH('Journal'!E646,'Kontoplan'!$H$3:$H$302,0)),""))</f>
        <v/>
      </c>
      <c r="F1290" s="20">
        <f>IF('Journal'!F646="","",'Journal'!F646)</f>
        <v/>
      </c>
      <c r="G1290" s="20">
        <f>IF('Journal'!G646="","",'Journal'!G646)</f>
        <v/>
      </c>
      <c r="H1290" s="5">
        <f>IF('Journal'!I646="","",'Journal'!I646)</f>
        <v/>
      </c>
    </row>
    <row r="1291">
      <c r="A1291" s="18">
        <f>IF('Journal'!A647="","",'Journal'!A647)</f>
        <v/>
      </c>
      <c r="B1291" s="21">
        <f>IF('Journal'!B647="","",'Journal'!B647)</f>
        <v/>
      </c>
      <c r="C1291" s="5">
        <f>IF('Journal'!C647="","",'Journal'!C647)</f>
        <v/>
      </c>
      <c r="D1291" s="5">
        <f>IF('Journal'!D647="","",IFERROR(LEFT('Journal'!D647,FIND(" ",'Journal'!D647)-1),'Journal'!D647))</f>
        <v/>
      </c>
      <c r="E1291" s="5">
        <f>IF('Journal'!D647="","",IFERROR(INDEX('Kontoplan'!$B$3:$B$302,MATCH('Journal'!D647,'Kontoplan'!$H$3:$H$302,0)),""))</f>
        <v/>
      </c>
      <c r="F1291" s="20">
        <f>IF('Journal'!G647="","",'Journal'!G647)</f>
        <v/>
      </c>
      <c r="G1291" s="20">
        <f>IF('Journal'!F647="","",'Journal'!F647)</f>
        <v/>
      </c>
      <c r="H1291" s="5">
        <f>IF('Journal'!I647="","",'Journal'!I647)</f>
        <v/>
      </c>
    </row>
    <row r="1292">
      <c r="A1292" s="18">
        <f>IF('Journal'!A647="","",'Journal'!A647)</f>
        <v/>
      </c>
      <c r="B1292" s="21">
        <f>IF('Journal'!B647="","",'Journal'!B647)</f>
        <v/>
      </c>
      <c r="C1292" s="5">
        <f>IF('Journal'!C647="","",'Journal'!C647)</f>
        <v/>
      </c>
      <c r="D1292" s="5">
        <f>IF('Journal'!E647="","",IFERROR(LEFT('Journal'!E647,FIND(" ",'Journal'!E647)-1),'Journal'!E647))</f>
        <v/>
      </c>
      <c r="E1292" s="5">
        <f>IF('Journal'!E647="","",IFERROR(INDEX('Kontoplan'!$B$3:$B$302,MATCH('Journal'!E647,'Kontoplan'!$H$3:$H$302,0)),""))</f>
        <v/>
      </c>
      <c r="F1292" s="20">
        <f>IF('Journal'!F647="","",'Journal'!F647)</f>
        <v/>
      </c>
      <c r="G1292" s="20">
        <f>IF('Journal'!G647="","",'Journal'!G647)</f>
        <v/>
      </c>
      <c r="H1292" s="5">
        <f>IF('Journal'!I647="","",'Journal'!I647)</f>
        <v/>
      </c>
    </row>
    <row r="1293">
      <c r="A1293" s="18">
        <f>IF('Journal'!A648="","",'Journal'!A648)</f>
        <v/>
      </c>
      <c r="B1293" s="21">
        <f>IF('Journal'!B648="","",'Journal'!B648)</f>
        <v/>
      </c>
      <c r="C1293" s="5">
        <f>IF('Journal'!C648="","",'Journal'!C648)</f>
        <v/>
      </c>
      <c r="D1293" s="5">
        <f>IF('Journal'!D648="","",IFERROR(LEFT('Journal'!D648,FIND(" ",'Journal'!D648)-1),'Journal'!D648))</f>
        <v/>
      </c>
      <c r="E1293" s="5">
        <f>IF('Journal'!D648="","",IFERROR(INDEX('Kontoplan'!$B$3:$B$302,MATCH('Journal'!D648,'Kontoplan'!$H$3:$H$302,0)),""))</f>
        <v/>
      </c>
      <c r="F1293" s="20">
        <f>IF('Journal'!G648="","",'Journal'!G648)</f>
        <v/>
      </c>
      <c r="G1293" s="20">
        <f>IF('Journal'!F648="","",'Journal'!F648)</f>
        <v/>
      </c>
      <c r="H1293" s="5">
        <f>IF('Journal'!I648="","",'Journal'!I648)</f>
        <v/>
      </c>
    </row>
    <row r="1294">
      <c r="A1294" s="18">
        <f>IF('Journal'!A648="","",'Journal'!A648)</f>
        <v/>
      </c>
      <c r="B1294" s="21">
        <f>IF('Journal'!B648="","",'Journal'!B648)</f>
        <v/>
      </c>
      <c r="C1294" s="5">
        <f>IF('Journal'!C648="","",'Journal'!C648)</f>
        <v/>
      </c>
      <c r="D1294" s="5">
        <f>IF('Journal'!E648="","",IFERROR(LEFT('Journal'!E648,FIND(" ",'Journal'!E648)-1),'Journal'!E648))</f>
        <v/>
      </c>
      <c r="E1294" s="5">
        <f>IF('Journal'!E648="","",IFERROR(INDEX('Kontoplan'!$B$3:$B$302,MATCH('Journal'!E648,'Kontoplan'!$H$3:$H$302,0)),""))</f>
        <v/>
      </c>
      <c r="F1294" s="20">
        <f>IF('Journal'!F648="","",'Journal'!F648)</f>
        <v/>
      </c>
      <c r="G1294" s="20">
        <f>IF('Journal'!G648="","",'Journal'!G648)</f>
        <v/>
      </c>
      <c r="H1294" s="5">
        <f>IF('Journal'!I648="","",'Journal'!I648)</f>
        <v/>
      </c>
    </row>
    <row r="1295">
      <c r="A1295" s="18">
        <f>IF('Journal'!A649="","",'Journal'!A649)</f>
        <v/>
      </c>
      <c r="B1295" s="21">
        <f>IF('Journal'!B649="","",'Journal'!B649)</f>
        <v/>
      </c>
      <c r="C1295" s="5">
        <f>IF('Journal'!C649="","",'Journal'!C649)</f>
        <v/>
      </c>
      <c r="D1295" s="5">
        <f>IF('Journal'!D649="","",IFERROR(LEFT('Journal'!D649,FIND(" ",'Journal'!D649)-1),'Journal'!D649))</f>
        <v/>
      </c>
      <c r="E1295" s="5">
        <f>IF('Journal'!D649="","",IFERROR(INDEX('Kontoplan'!$B$3:$B$302,MATCH('Journal'!D649,'Kontoplan'!$H$3:$H$302,0)),""))</f>
        <v/>
      </c>
      <c r="F1295" s="20">
        <f>IF('Journal'!G649="","",'Journal'!G649)</f>
        <v/>
      </c>
      <c r="G1295" s="20">
        <f>IF('Journal'!F649="","",'Journal'!F649)</f>
        <v/>
      </c>
      <c r="H1295" s="5">
        <f>IF('Journal'!I649="","",'Journal'!I649)</f>
        <v/>
      </c>
    </row>
    <row r="1296">
      <c r="A1296" s="18">
        <f>IF('Journal'!A649="","",'Journal'!A649)</f>
        <v/>
      </c>
      <c r="B1296" s="21">
        <f>IF('Journal'!B649="","",'Journal'!B649)</f>
        <v/>
      </c>
      <c r="C1296" s="5">
        <f>IF('Journal'!C649="","",'Journal'!C649)</f>
        <v/>
      </c>
      <c r="D1296" s="5">
        <f>IF('Journal'!E649="","",IFERROR(LEFT('Journal'!E649,FIND(" ",'Journal'!E649)-1),'Journal'!E649))</f>
        <v/>
      </c>
      <c r="E1296" s="5">
        <f>IF('Journal'!E649="","",IFERROR(INDEX('Kontoplan'!$B$3:$B$302,MATCH('Journal'!E649,'Kontoplan'!$H$3:$H$302,0)),""))</f>
        <v/>
      </c>
      <c r="F1296" s="20">
        <f>IF('Journal'!F649="","",'Journal'!F649)</f>
        <v/>
      </c>
      <c r="G1296" s="20">
        <f>IF('Journal'!G649="","",'Journal'!G649)</f>
        <v/>
      </c>
      <c r="H1296" s="5">
        <f>IF('Journal'!I649="","",'Journal'!I649)</f>
        <v/>
      </c>
    </row>
    <row r="1297">
      <c r="A1297" s="18">
        <f>IF('Journal'!A650="","",'Journal'!A650)</f>
        <v/>
      </c>
      <c r="B1297" s="21">
        <f>IF('Journal'!B650="","",'Journal'!B650)</f>
        <v/>
      </c>
      <c r="C1297" s="5">
        <f>IF('Journal'!C650="","",'Journal'!C650)</f>
        <v/>
      </c>
      <c r="D1297" s="5">
        <f>IF('Journal'!D650="","",IFERROR(LEFT('Journal'!D650,FIND(" ",'Journal'!D650)-1),'Journal'!D650))</f>
        <v/>
      </c>
      <c r="E1297" s="5">
        <f>IF('Journal'!D650="","",IFERROR(INDEX('Kontoplan'!$B$3:$B$302,MATCH('Journal'!D650,'Kontoplan'!$H$3:$H$302,0)),""))</f>
        <v/>
      </c>
      <c r="F1297" s="20">
        <f>IF('Journal'!G650="","",'Journal'!G650)</f>
        <v/>
      </c>
      <c r="G1297" s="20">
        <f>IF('Journal'!F650="","",'Journal'!F650)</f>
        <v/>
      </c>
      <c r="H1297" s="5">
        <f>IF('Journal'!I650="","",'Journal'!I650)</f>
        <v/>
      </c>
    </row>
    <row r="1298">
      <c r="A1298" s="18">
        <f>IF('Journal'!A650="","",'Journal'!A650)</f>
        <v/>
      </c>
      <c r="B1298" s="21">
        <f>IF('Journal'!B650="","",'Journal'!B650)</f>
        <v/>
      </c>
      <c r="C1298" s="5">
        <f>IF('Journal'!C650="","",'Journal'!C650)</f>
        <v/>
      </c>
      <c r="D1298" s="5">
        <f>IF('Journal'!E650="","",IFERROR(LEFT('Journal'!E650,FIND(" ",'Journal'!E650)-1),'Journal'!E650))</f>
        <v/>
      </c>
      <c r="E1298" s="5">
        <f>IF('Journal'!E650="","",IFERROR(INDEX('Kontoplan'!$B$3:$B$302,MATCH('Journal'!E650,'Kontoplan'!$H$3:$H$302,0)),""))</f>
        <v/>
      </c>
      <c r="F1298" s="20">
        <f>IF('Journal'!F650="","",'Journal'!F650)</f>
        <v/>
      </c>
      <c r="G1298" s="20">
        <f>IF('Journal'!G650="","",'Journal'!G650)</f>
        <v/>
      </c>
      <c r="H1298" s="5">
        <f>IF('Journal'!I650="","",'Journal'!I650)</f>
        <v/>
      </c>
    </row>
    <row r="1299">
      <c r="A1299" s="18">
        <f>IF('Journal'!A651="","",'Journal'!A651)</f>
        <v/>
      </c>
      <c r="B1299" s="21">
        <f>IF('Journal'!B651="","",'Journal'!B651)</f>
        <v/>
      </c>
      <c r="C1299" s="5">
        <f>IF('Journal'!C651="","",'Journal'!C651)</f>
        <v/>
      </c>
      <c r="D1299" s="5">
        <f>IF('Journal'!D651="","",IFERROR(LEFT('Journal'!D651,FIND(" ",'Journal'!D651)-1),'Journal'!D651))</f>
        <v/>
      </c>
      <c r="E1299" s="5">
        <f>IF('Journal'!D651="","",IFERROR(INDEX('Kontoplan'!$B$3:$B$302,MATCH('Journal'!D651,'Kontoplan'!$H$3:$H$302,0)),""))</f>
        <v/>
      </c>
      <c r="F1299" s="20">
        <f>IF('Journal'!G651="","",'Journal'!G651)</f>
        <v/>
      </c>
      <c r="G1299" s="20">
        <f>IF('Journal'!F651="","",'Journal'!F651)</f>
        <v/>
      </c>
      <c r="H1299" s="5">
        <f>IF('Journal'!I651="","",'Journal'!I651)</f>
        <v/>
      </c>
    </row>
    <row r="1300">
      <c r="A1300" s="18">
        <f>IF('Journal'!A651="","",'Journal'!A651)</f>
        <v/>
      </c>
      <c r="B1300" s="21">
        <f>IF('Journal'!B651="","",'Journal'!B651)</f>
        <v/>
      </c>
      <c r="C1300" s="5">
        <f>IF('Journal'!C651="","",'Journal'!C651)</f>
        <v/>
      </c>
      <c r="D1300" s="5">
        <f>IF('Journal'!E651="","",IFERROR(LEFT('Journal'!E651,FIND(" ",'Journal'!E651)-1),'Journal'!E651))</f>
        <v/>
      </c>
      <c r="E1300" s="5">
        <f>IF('Journal'!E651="","",IFERROR(INDEX('Kontoplan'!$B$3:$B$302,MATCH('Journal'!E651,'Kontoplan'!$H$3:$H$302,0)),""))</f>
        <v/>
      </c>
      <c r="F1300" s="20">
        <f>IF('Journal'!F651="","",'Journal'!F651)</f>
        <v/>
      </c>
      <c r="G1300" s="20">
        <f>IF('Journal'!G651="","",'Journal'!G651)</f>
        <v/>
      </c>
      <c r="H1300" s="5">
        <f>IF('Journal'!I651="","",'Journal'!I651)</f>
        <v/>
      </c>
    </row>
    <row r="1301">
      <c r="A1301" s="18">
        <f>IF('Journal'!A652="","",'Journal'!A652)</f>
        <v/>
      </c>
      <c r="B1301" s="21">
        <f>IF('Journal'!B652="","",'Journal'!B652)</f>
        <v/>
      </c>
      <c r="C1301" s="5">
        <f>IF('Journal'!C652="","",'Journal'!C652)</f>
        <v/>
      </c>
      <c r="D1301" s="5">
        <f>IF('Journal'!D652="","",IFERROR(LEFT('Journal'!D652,FIND(" ",'Journal'!D652)-1),'Journal'!D652))</f>
        <v/>
      </c>
      <c r="E1301" s="5">
        <f>IF('Journal'!D652="","",IFERROR(INDEX('Kontoplan'!$B$3:$B$302,MATCH('Journal'!D652,'Kontoplan'!$H$3:$H$302,0)),""))</f>
        <v/>
      </c>
      <c r="F1301" s="20">
        <f>IF('Journal'!G652="","",'Journal'!G652)</f>
        <v/>
      </c>
      <c r="G1301" s="20">
        <f>IF('Journal'!F652="","",'Journal'!F652)</f>
        <v/>
      </c>
      <c r="H1301" s="5">
        <f>IF('Journal'!I652="","",'Journal'!I652)</f>
        <v/>
      </c>
    </row>
    <row r="1302">
      <c r="A1302" s="18">
        <f>IF('Journal'!A652="","",'Journal'!A652)</f>
        <v/>
      </c>
      <c r="B1302" s="21">
        <f>IF('Journal'!B652="","",'Journal'!B652)</f>
        <v/>
      </c>
      <c r="C1302" s="5">
        <f>IF('Journal'!C652="","",'Journal'!C652)</f>
        <v/>
      </c>
      <c r="D1302" s="5">
        <f>IF('Journal'!E652="","",IFERROR(LEFT('Journal'!E652,FIND(" ",'Journal'!E652)-1),'Journal'!E652))</f>
        <v/>
      </c>
      <c r="E1302" s="5">
        <f>IF('Journal'!E652="","",IFERROR(INDEX('Kontoplan'!$B$3:$B$302,MATCH('Journal'!E652,'Kontoplan'!$H$3:$H$302,0)),""))</f>
        <v/>
      </c>
      <c r="F1302" s="20">
        <f>IF('Journal'!F652="","",'Journal'!F652)</f>
        <v/>
      </c>
      <c r="G1302" s="20">
        <f>IF('Journal'!G652="","",'Journal'!G652)</f>
        <v/>
      </c>
      <c r="H1302" s="5">
        <f>IF('Journal'!I652="","",'Journal'!I652)</f>
        <v/>
      </c>
    </row>
    <row r="1303">
      <c r="A1303" s="18">
        <f>IF('Journal'!A653="","",'Journal'!A653)</f>
        <v/>
      </c>
      <c r="B1303" s="21">
        <f>IF('Journal'!B653="","",'Journal'!B653)</f>
        <v/>
      </c>
      <c r="C1303" s="5">
        <f>IF('Journal'!C653="","",'Journal'!C653)</f>
        <v/>
      </c>
      <c r="D1303" s="5">
        <f>IF('Journal'!D653="","",IFERROR(LEFT('Journal'!D653,FIND(" ",'Journal'!D653)-1),'Journal'!D653))</f>
        <v/>
      </c>
      <c r="E1303" s="5">
        <f>IF('Journal'!D653="","",IFERROR(INDEX('Kontoplan'!$B$3:$B$302,MATCH('Journal'!D653,'Kontoplan'!$H$3:$H$302,0)),""))</f>
        <v/>
      </c>
      <c r="F1303" s="20">
        <f>IF('Journal'!G653="","",'Journal'!G653)</f>
        <v/>
      </c>
      <c r="G1303" s="20">
        <f>IF('Journal'!F653="","",'Journal'!F653)</f>
        <v/>
      </c>
      <c r="H1303" s="5">
        <f>IF('Journal'!I653="","",'Journal'!I653)</f>
        <v/>
      </c>
    </row>
    <row r="1304">
      <c r="A1304" s="18">
        <f>IF('Journal'!A653="","",'Journal'!A653)</f>
        <v/>
      </c>
      <c r="B1304" s="21">
        <f>IF('Journal'!B653="","",'Journal'!B653)</f>
        <v/>
      </c>
      <c r="C1304" s="5">
        <f>IF('Journal'!C653="","",'Journal'!C653)</f>
        <v/>
      </c>
      <c r="D1304" s="5">
        <f>IF('Journal'!E653="","",IFERROR(LEFT('Journal'!E653,FIND(" ",'Journal'!E653)-1),'Journal'!E653))</f>
        <v/>
      </c>
      <c r="E1304" s="5">
        <f>IF('Journal'!E653="","",IFERROR(INDEX('Kontoplan'!$B$3:$B$302,MATCH('Journal'!E653,'Kontoplan'!$H$3:$H$302,0)),""))</f>
        <v/>
      </c>
      <c r="F1304" s="20">
        <f>IF('Journal'!F653="","",'Journal'!F653)</f>
        <v/>
      </c>
      <c r="G1304" s="20">
        <f>IF('Journal'!G653="","",'Journal'!G653)</f>
        <v/>
      </c>
      <c r="H1304" s="5">
        <f>IF('Journal'!I653="","",'Journal'!I653)</f>
        <v/>
      </c>
    </row>
    <row r="1305">
      <c r="A1305" s="18">
        <f>IF('Journal'!A654="","",'Journal'!A654)</f>
        <v/>
      </c>
      <c r="B1305" s="21">
        <f>IF('Journal'!B654="","",'Journal'!B654)</f>
        <v/>
      </c>
      <c r="C1305" s="5">
        <f>IF('Journal'!C654="","",'Journal'!C654)</f>
        <v/>
      </c>
      <c r="D1305" s="5">
        <f>IF('Journal'!D654="","",IFERROR(LEFT('Journal'!D654,FIND(" ",'Journal'!D654)-1),'Journal'!D654))</f>
        <v/>
      </c>
      <c r="E1305" s="5">
        <f>IF('Journal'!D654="","",IFERROR(INDEX('Kontoplan'!$B$3:$B$302,MATCH('Journal'!D654,'Kontoplan'!$H$3:$H$302,0)),""))</f>
        <v/>
      </c>
      <c r="F1305" s="20">
        <f>IF('Journal'!G654="","",'Journal'!G654)</f>
        <v/>
      </c>
      <c r="G1305" s="20">
        <f>IF('Journal'!F654="","",'Journal'!F654)</f>
        <v/>
      </c>
      <c r="H1305" s="5">
        <f>IF('Journal'!I654="","",'Journal'!I654)</f>
        <v/>
      </c>
    </row>
    <row r="1306">
      <c r="A1306" s="18">
        <f>IF('Journal'!A654="","",'Journal'!A654)</f>
        <v/>
      </c>
      <c r="B1306" s="21">
        <f>IF('Journal'!B654="","",'Journal'!B654)</f>
        <v/>
      </c>
      <c r="C1306" s="5">
        <f>IF('Journal'!C654="","",'Journal'!C654)</f>
        <v/>
      </c>
      <c r="D1306" s="5">
        <f>IF('Journal'!E654="","",IFERROR(LEFT('Journal'!E654,FIND(" ",'Journal'!E654)-1),'Journal'!E654))</f>
        <v/>
      </c>
      <c r="E1306" s="5">
        <f>IF('Journal'!E654="","",IFERROR(INDEX('Kontoplan'!$B$3:$B$302,MATCH('Journal'!E654,'Kontoplan'!$H$3:$H$302,0)),""))</f>
        <v/>
      </c>
      <c r="F1306" s="20">
        <f>IF('Journal'!F654="","",'Journal'!F654)</f>
        <v/>
      </c>
      <c r="G1306" s="20">
        <f>IF('Journal'!G654="","",'Journal'!G654)</f>
        <v/>
      </c>
      <c r="H1306" s="5">
        <f>IF('Journal'!I654="","",'Journal'!I654)</f>
        <v/>
      </c>
    </row>
    <row r="1307">
      <c r="A1307" s="18">
        <f>IF('Journal'!A655="","",'Journal'!A655)</f>
        <v/>
      </c>
      <c r="B1307" s="21">
        <f>IF('Journal'!B655="","",'Journal'!B655)</f>
        <v/>
      </c>
      <c r="C1307" s="5">
        <f>IF('Journal'!C655="","",'Journal'!C655)</f>
        <v/>
      </c>
      <c r="D1307" s="5">
        <f>IF('Journal'!D655="","",IFERROR(LEFT('Journal'!D655,FIND(" ",'Journal'!D655)-1),'Journal'!D655))</f>
        <v/>
      </c>
      <c r="E1307" s="5">
        <f>IF('Journal'!D655="","",IFERROR(INDEX('Kontoplan'!$B$3:$B$302,MATCH('Journal'!D655,'Kontoplan'!$H$3:$H$302,0)),""))</f>
        <v/>
      </c>
      <c r="F1307" s="20">
        <f>IF('Journal'!G655="","",'Journal'!G655)</f>
        <v/>
      </c>
      <c r="G1307" s="20">
        <f>IF('Journal'!F655="","",'Journal'!F655)</f>
        <v/>
      </c>
      <c r="H1307" s="5">
        <f>IF('Journal'!I655="","",'Journal'!I655)</f>
        <v/>
      </c>
    </row>
    <row r="1308">
      <c r="A1308" s="18">
        <f>IF('Journal'!A655="","",'Journal'!A655)</f>
        <v/>
      </c>
      <c r="B1308" s="21">
        <f>IF('Journal'!B655="","",'Journal'!B655)</f>
        <v/>
      </c>
      <c r="C1308" s="5">
        <f>IF('Journal'!C655="","",'Journal'!C655)</f>
        <v/>
      </c>
      <c r="D1308" s="5">
        <f>IF('Journal'!E655="","",IFERROR(LEFT('Journal'!E655,FIND(" ",'Journal'!E655)-1),'Journal'!E655))</f>
        <v/>
      </c>
      <c r="E1308" s="5">
        <f>IF('Journal'!E655="","",IFERROR(INDEX('Kontoplan'!$B$3:$B$302,MATCH('Journal'!E655,'Kontoplan'!$H$3:$H$302,0)),""))</f>
        <v/>
      </c>
      <c r="F1308" s="20">
        <f>IF('Journal'!F655="","",'Journal'!F655)</f>
        <v/>
      </c>
      <c r="G1308" s="20">
        <f>IF('Journal'!G655="","",'Journal'!G655)</f>
        <v/>
      </c>
      <c r="H1308" s="5">
        <f>IF('Journal'!I655="","",'Journal'!I655)</f>
        <v/>
      </c>
    </row>
    <row r="1309">
      <c r="A1309" s="18">
        <f>IF('Journal'!A656="","",'Journal'!A656)</f>
        <v/>
      </c>
      <c r="B1309" s="21">
        <f>IF('Journal'!B656="","",'Journal'!B656)</f>
        <v/>
      </c>
      <c r="C1309" s="5">
        <f>IF('Journal'!C656="","",'Journal'!C656)</f>
        <v/>
      </c>
      <c r="D1309" s="5">
        <f>IF('Journal'!D656="","",IFERROR(LEFT('Journal'!D656,FIND(" ",'Journal'!D656)-1),'Journal'!D656))</f>
        <v/>
      </c>
      <c r="E1309" s="5">
        <f>IF('Journal'!D656="","",IFERROR(INDEX('Kontoplan'!$B$3:$B$302,MATCH('Journal'!D656,'Kontoplan'!$H$3:$H$302,0)),""))</f>
        <v/>
      </c>
      <c r="F1309" s="20">
        <f>IF('Journal'!G656="","",'Journal'!G656)</f>
        <v/>
      </c>
      <c r="G1309" s="20">
        <f>IF('Journal'!F656="","",'Journal'!F656)</f>
        <v/>
      </c>
      <c r="H1309" s="5">
        <f>IF('Journal'!I656="","",'Journal'!I656)</f>
        <v/>
      </c>
    </row>
    <row r="1310">
      <c r="A1310" s="18">
        <f>IF('Journal'!A656="","",'Journal'!A656)</f>
        <v/>
      </c>
      <c r="B1310" s="21">
        <f>IF('Journal'!B656="","",'Journal'!B656)</f>
        <v/>
      </c>
      <c r="C1310" s="5">
        <f>IF('Journal'!C656="","",'Journal'!C656)</f>
        <v/>
      </c>
      <c r="D1310" s="5">
        <f>IF('Journal'!E656="","",IFERROR(LEFT('Journal'!E656,FIND(" ",'Journal'!E656)-1),'Journal'!E656))</f>
        <v/>
      </c>
      <c r="E1310" s="5">
        <f>IF('Journal'!E656="","",IFERROR(INDEX('Kontoplan'!$B$3:$B$302,MATCH('Journal'!E656,'Kontoplan'!$H$3:$H$302,0)),""))</f>
        <v/>
      </c>
      <c r="F1310" s="20">
        <f>IF('Journal'!F656="","",'Journal'!F656)</f>
        <v/>
      </c>
      <c r="G1310" s="20">
        <f>IF('Journal'!G656="","",'Journal'!G656)</f>
        <v/>
      </c>
      <c r="H1310" s="5">
        <f>IF('Journal'!I656="","",'Journal'!I656)</f>
        <v/>
      </c>
    </row>
    <row r="1311">
      <c r="A1311" s="18">
        <f>IF('Journal'!A657="","",'Journal'!A657)</f>
        <v/>
      </c>
      <c r="B1311" s="21">
        <f>IF('Journal'!B657="","",'Journal'!B657)</f>
        <v/>
      </c>
      <c r="C1311" s="5">
        <f>IF('Journal'!C657="","",'Journal'!C657)</f>
        <v/>
      </c>
      <c r="D1311" s="5">
        <f>IF('Journal'!D657="","",IFERROR(LEFT('Journal'!D657,FIND(" ",'Journal'!D657)-1),'Journal'!D657))</f>
        <v/>
      </c>
      <c r="E1311" s="5">
        <f>IF('Journal'!D657="","",IFERROR(INDEX('Kontoplan'!$B$3:$B$302,MATCH('Journal'!D657,'Kontoplan'!$H$3:$H$302,0)),""))</f>
        <v/>
      </c>
      <c r="F1311" s="20">
        <f>IF('Journal'!G657="","",'Journal'!G657)</f>
        <v/>
      </c>
      <c r="G1311" s="20">
        <f>IF('Journal'!F657="","",'Journal'!F657)</f>
        <v/>
      </c>
      <c r="H1311" s="5">
        <f>IF('Journal'!I657="","",'Journal'!I657)</f>
        <v/>
      </c>
    </row>
    <row r="1312">
      <c r="A1312" s="18">
        <f>IF('Journal'!A657="","",'Journal'!A657)</f>
        <v/>
      </c>
      <c r="B1312" s="21">
        <f>IF('Journal'!B657="","",'Journal'!B657)</f>
        <v/>
      </c>
      <c r="C1312" s="5">
        <f>IF('Journal'!C657="","",'Journal'!C657)</f>
        <v/>
      </c>
      <c r="D1312" s="5">
        <f>IF('Journal'!E657="","",IFERROR(LEFT('Journal'!E657,FIND(" ",'Journal'!E657)-1),'Journal'!E657))</f>
        <v/>
      </c>
      <c r="E1312" s="5">
        <f>IF('Journal'!E657="","",IFERROR(INDEX('Kontoplan'!$B$3:$B$302,MATCH('Journal'!E657,'Kontoplan'!$H$3:$H$302,0)),""))</f>
        <v/>
      </c>
      <c r="F1312" s="20">
        <f>IF('Journal'!F657="","",'Journal'!F657)</f>
        <v/>
      </c>
      <c r="G1312" s="20">
        <f>IF('Journal'!G657="","",'Journal'!G657)</f>
        <v/>
      </c>
      <c r="H1312" s="5">
        <f>IF('Journal'!I657="","",'Journal'!I657)</f>
        <v/>
      </c>
    </row>
    <row r="1313">
      <c r="A1313" s="18">
        <f>IF('Journal'!A658="","",'Journal'!A658)</f>
        <v/>
      </c>
      <c r="B1313" s="21">
        <f>IF('Journal'!B658="","",'Journal'!B658)</f>
        <v/>
      </c>
      <c r="C1313" s="5">
        <f>IF('Journal'!C658="","",'Journal'!C658)</f>
        <v/>
      </c>
      <c r="D1313" s="5">
        <f>IF('Journal'!D658="","",IFERROR(LEFT('Journal'!D658,FIND(" ",'Journal'!D658)-1),'Journal'!D658))</f>
        <v/>
      </c>
      <c r="E1313" s="5">
        <f>IF('Journal'!D658="","",IFERROR(INDEX('Kontoplan'!$B$3:$B$302,MATCH('Journal'!D658,'Kontoplan'!$H$3:$H$302,0)),""))</f>
        <v/>
      </c>
      <c r="F1313" s="20">
        <f>IF('Journal'!G658="","",'Journal'!G658)</f>
        <v/>
      </c>
      <c r="G1313" s="20">
        <f>IF('Journal'!F658="","",'Journal'!F658)</f>
        <v/>
      </c>
      <c r="H1313" s="5">
        <f>IF('Journal'!I658="","",'Journal'!I658)</f>
        <v/>
      </c>
    </row>
    <row r="1314">
      <c r="A1314" s="18">
        <f>IF('Journal'!A658="","",'Journal'!A658)</f>
        <v/>
      </c>
      <c r="B1314" s="21">
        <f>IF('Journal'!B658="","",'Journal'!B658)</f>
        <v/>
      </c>
      <c r="C1314" s="5">
        <f>IF('Journal'!C658="","",'Journal'!C658)</f>
        <v/>
      </c>
      <c r="D1314" s="5">
        <f>IF('Journal'!E658="","",IFERROR(LEFT('Journal'!E658,FIND(" ",'Journal'!E658)-1),'Journal'!E658))</f>
        <v/>
      </c>
      <c r="E1314" s="5">
        <f>IF('Journal'!E658="","",IFERROR(INDEX('Kontoplan'!$B$3:$B$302,MATCH('Journal'!E658,'Kontoplan'!$H$3:$H$302,0)),""))</f>
        <v/>
      </c>
      <c r="F1314" s="20">
        <f>IF('Journal'!F658="","",'Journal'!F658)</f>
        <v/>
      </c>
      <c r="G1314" s="20">
        <f>IF('Journal'!G658="","",'Journal'!G658)</f>
        <v/>
      </c>
      <c r="H1314" s="5">
        <f>IF('Journal'!I658="","",'Journal'!I658)</f>
        <v/>
      </c>
    </row>
    <row r="1315">
      <c r="A1315" s="18">
        <f>IF('Journal'!A659="","",'Journal'!A659)</f>
        <v/>
      </c>
      <c r="B1315" s="21">
        <f>IF('Journal'!B659="","",'Journal'!B659)</f>
        <v/>
      </c>
      <c r="C1315" s="5">
        <f>IF('Journal'!C659="","",'Journal'!C659)</f>
        <v/>
      </c>
      <c r="D1315" s="5">
        <f>IF('Journal'!D659="","",IFERROR(LEFT('Journal'!D659,FIND(" ",'Journal'!D659)-1),'Journal'!D659))</f>
        <v/>
      </c>
      <c r="E1315" s="5">
        <f>IF('Journal'!D659="","",IFERROR(INDEX('Kontoplan'!$B$3:$B$302,MATCH('Journal'!D659,'Kontoplan'!$H$3:$H$302,0)),""))</f>
        <v/>
      </c>
      <c r="F1315" s="20">
        <f>IF('Journal'!G659="","",'Journal'!G659)</f>
        <v/>
      </c>
      <c r="G1315" s="20">
        <f>IF('Journal'!F659="","",'Journal'!F659)</f>
        <v/>
      </c>
      <c r="H1315" s="5">
        <f>IF('Journal'!I659="","",'Journal'!I659)</f>
        <v/>
      </c>
    </row>
    <row r="1316">
      <c r="A1316" s="18">
        <f>IF('Journal'!A659="","",'Journal'!A659)</f>
        <v/>
      </c>
      <c r="B1316" s="21">
        <f>IF('Journal'!B659="","",'Journal'!B659)</f>
        <v/>
      </c>
      <c r="C1316" s="5">
        <f>IF('Journal'!C659="","",'Journal'!C659)</f>
        <v/>
      </c>
      <c r="D1316" s="5">
        <f>IF('Journal'!E659="","",IFERROR(LEFT('Journal'!E659,FIND(" ",'Journal'!E659)-1),'Journal'!E659))</f>
        <v/>
      </c>
      <c r="E1316" s="5">
        <f>IF('Journal'!E659="","",IFERROR(INDEX('Kontoplan'!$B$3:$B$302,MATCH('Journal'!E659,'Kontoplan'!$H$3:$H$302,0)),""))</f>
        <v/>
      </c>
      <c r="F1316" s="20">
        <f>IF('Journal'!F659="","",'Journal'!F659)</f>
        <v/>
      </c>
      <c r="G1316" s="20">
        <f>IF('Journal'!G659="","",'Journal'!G659)</f>
        <v/>
      </c>
      <c r="H1316" s="5">
        <f>IF('Journal'!I659="","",'Journal'!I659)</f>
        <v/>
      </c>
    </row>
    <row r="1317">
      <c r="A1317" s="18">
        <f>IF('Journal'!A660="","",'Journal'!A660)</f>
        <v/>
      </c>
      <c r="B1317" s="21">
        <f>IF('Journal'!B660="","",'Journal'!B660)</f>
        <v/>
      </c>
      <c r="C1317" s="5">
        <f>IF('Journal'!C660="","",'Journal'!C660)</f>
        <v/>
      </c>
      <c r="D1317" s="5">
        <f>IF('Journal'!D660="","",IFERROR(LEFT('Journal'!D660,FIND(" ",'Journal'!D660)-1),'Journal'!D660))</f>
        <v/>
      </c>
      <c r="E1317" s="5">
        <f>IF('Journal'!D660="","",IFERROR(INDEX('Kontoplan'!$B$3:$B$302,MATCH('Journal'!D660,'Kontoplan'!$H$3:$H$302,0)),""))</f>
        <v/>
      </c>
      <c r="F1317" s="20">
        <f>IF('Journal'!G660="","",'Journal'!G660)</f>
        <v/>
      </c>
      <c r="G1317" s="20">
        <f>IF('Journal'!F660="","",'Journal'!F660)</f>
        <v/>
      </c>
      <c r="H1317" s="5">
        <f>IF('Journal'!I660="","",'Journal'!I660)</f>
        <v/>
      </c>
    </row>
    <row r="1318">
      <c r="A1318" s="18">
        <f>IF('Journal'!A660="","",'Journal'!A660)</f>
        <v/>
      </c>
      <c r="B1318" s="21">
        <f>IF('Journal'!B660="","",'Journal'!B660)</f>
        <v/>
      </c>
      <c r="C1318" s="5">
        <f>IF('Journal'!C660="","",'Journal'!C660)</f>
        <v/>
      </c>
      <c r="D1318" s="5">
        <f>IF('Journal'!E660="","",IFERROR(LEFT('Journal'!E660,FIND(" ",'Journal'!E660)-1),'Journal'!E660))</f>
        <v/>
      </c>
      <c r="E1318" s="5">
        <f>IF('Journal'!E660="","",IFERROR(INDEX('Kontoplan'!$B$3:$B$302,MATCH('Journal'!E660,'Kontoplan'!$H$3:$H$302,0)),""))</f>
        <v/>
      </c>
      <c r="F1318" s="20">
        <f>IF('Journal'!F660="","",'Journal'!F660)</f>
        <v/>
      </c>
      <c r="G1318" s="20">
        <f>IF('Journal'!G660="","",'Journal'!G660)</f>
        <v/>
      </c>
      <c r="H1318" s="5">
        <f>IF('Journal'!I660="","",'Journal'!I660)</f>
        <v/>
      </c>
    </row>
    <row r="1319">
      <c r="A1319" s="18">
        <f>IF('Journal'!A661="","",'Journal'!A661)</f>
        <v/>
      </c>
      <c r="B1319" s="21">
        <f>IF('Journal'!B661="","",'Journal'!B661)</f>
        <v/>
      </c>
      <c r="C1319" s="5">
        <f>IF('Journal'!C661="","",'Journal'!C661)</f>
        <v/>
      </c>
      <c r="D1319" s="5">
        <f>IF('Journal'!D661="","",IFERROR(LEFT('Journal'!D661,FIND(" ",'Journal'!D661)-1),'Journal'!D661))</f>
        <v/>
      </c>
      <c r="E1319" s="5">
        <f>IF('Journal'!D661="","",IFERROR(INDEX('Kontoplan'!$B$3:$B$302,MATCH('Journal'!D661,'Kontoplan'!$H$3:$H$302,0)),""))</f>
        <v/>
      </c>
      <c r="F1319" s="20">
        <f>IF('Journal'!G661="","",'Journal'!G661)</f>
        <v/>
      </c>
      <c r="G1319" s="20">
        <f>IF('Journal'!F661="","",'Journal'!F661)</f>
        <v/>
      </c>
      <c r="H1319" s="5">
        <f>IF('Journal'!I661="","",'Journal'!I661)</f>
        <v/>
      </c>
    </row>
    <row r="1320">
      <c r="A1320" s="18">
        <f>IF('Journal'!A661="","",'Journal'!A661)</f>
        <v/>
      </c>
      <c r="B1320" s="21">
        <f>IF('Journal'!B661="","",'Journal'!B661)</f>
        <v/>
      </c>
      <c r="C1320" s="5">
        <f>IF('Journal'!C661="","",'Journal'!C661)</f>
        <v/>
      </c>
      <c r="D1320" s="5">
        <f>IF('Journal'!E661="","",IFERROR(LEFT('Journal'!E661,FIND(" ",'Journal'!E661)-1),'Journal'!E661))</f>
        <v/>
      </c>
      <c r="E1320" s="5">
        <f>IF('Journal'!E661="","",IFERROR(INDEX('Kontoplan'!$B$3:$B$302,MATCH('Journal'!E661,'Kontoplan'!$H$3:$H$302,0)),""))</f>
        <v/>
      </c>
      <c r="F1320" s="20">
        <f>IF('Journal'!F661="","",'Journal'!F661)</f>
        <v/>
      </c>
      <c r="G1320" s="20">
        <f>IF('Journal'!G661="","",'Journal'!G661)</f>
        <v/>
      </c>
      <c r="H1320" s="5">
        <f>IF('Journal'!I661="","",'Journal'!I661)</f>
        <v/>
      </c>
    </row>
    <row r="1321">
      <c r="A1321" s="18">
        <f>IF('Journal'!A662="","",'Journal'!A662)</f>
        <v/>
      </c>
      <c r="B1321" s="21">
        <f>IF('Journal'!B662="","",'Journal'!B662)</f>
        <v/>
      </c>
      <c r="C1321" s="5">
        <f>IF('Journal'!C662="","",'Journal'!C662)</f>
        <v/>
      </c>
      <c r="D1321" s="5">
        <f>IF('Journal'!D662="","",IFERROR(LEFT('Journal'!D662,FIND(" ",'Journal'!D662)-1),'Journal'!D662))</f>
        <v/>
      </c>
      <c r="E1321" s="5">
        <f>IF('Journal'!D662="","",IFERROR(INDEX('Kontoplan'!$B$3:$B$302,MATCH('Journal'!D662,'Kontoplan'!$H$3:$H$302,0)),""))</f>
        <v/>
      </c>
      <c r="F1321" s="20">
        <f>IF('Journal'!G662="","",'Journal'!G662)</f>
        <v/>
      </c>
      <c r="G1321" s="20">
        <f>IF('Journal'!F662="","",'Journal'!F662)</f>
        <v/>
      </c>
      <c r="H1321" s="5">
        <f>IF('Journal'!I662="","",'Journal'!I662)</f>
        <v/>
      </c>
    </row>
    <row r="1322">
      <c r="A1322" s="18">
        <f>IF('Journal'!A662="","",'Journal'!A662)</f>
        <v/>
      </c>
      <c r="B1322" s="21">
        <f>IF('Journal'!B662="","",'Journal'!B662)</f>
        <v/>
      </c>
      <c r="C1322" s="5">
        <f>IF('Journal'!C662="","",'Journal'!C662)</f>
        <v/>
      </c>
      <c r="D1322" s="5">
        <f>IF('Journal'!E662="","",IFERROR(LEFT('Journal'!E662,FIND(" ",'Journal'!E662)-1),'Journal'!E662))</f>
        <v/>
      </c>
      <c r="E1322" s="5">
        <f>IF('Journal'!E662="","",IFERROR(INDEX('Kontoplan'!$B$3:$B$302,MATCH('Journal'!E662,'Kontoplan'!$H$3:$H$302,0)),""))</f>
        <v/>
      </c>
      <c r="F1322" s="20">
        <f>IF('Journal'!F662="","",'Journal'!F662)</f>
        <v/>
      </c>
      <c r="G1322" s="20">
        <f>IF('Journal'!G662="","",'Journal'!G662)</f>
        <v/>
      </c>
      <c r="H1322" s="5">
        <f>IF('Journal'!I662="","",'Journal'!I662)</f>
        <v/>
      </c>
    </row>
    <row r="1323">
      <c r="A1323" s="18">
        <f>IF('Journal'!A663="","",'Journal'!A663)</f>
        <v/>
      </c>
      <c r="B1323" s="21">
        <f>IF('Journal'!B663="","",'Journal'!B663)</f>
        <v/>
      </c>
      <c r="C1323" s="5">
        <f>IF('Journal'!C663="","",'Journal'!C663)</f>
        <v/>
      </c>
      <c r="D1323" s="5">
        <f>IF('Journal'!D663="","",IFERROR(LEFT('Journal'!D663,FIND(" ",'Journal'!D663)-1),'Journal'!D663))</f>
        <v/>
      </c>
      <c r="E1323" s="5">
        <f>IF('Journal'!D663="","",IFERROR(INDEX('Kontoplan'!$B$3:$B$302,MATCH('Journal'!D663,'Kontoplan'!$H$3:$H$302,0)),""))</f>
        <v/>
      </c>
      <c r="F1323" s="20">
        <f>IF('Journal'!G663="","",'Journal'!G663)</f>
        <v/>
      </c>
      <c r="G1323" s="20">
        <f>IF('Journal'!F663="","",'Journal'!F663)</f>
        <v/>
      </c>
      <c r="H1323" s="5">
        <f>IF('Journal'!I663="","",'Journal'!I663)</f>
        <v/>
      </c>
    </row>
    <row r="1324">
      <c r="A1324" s="18">
        <f>IF('Journal'!A663="","",'Journal'!A663)</f>
        <v/>
      </c>
      <c r="B1324" s="21">
        <f>IF('Journal'!B663="","",'Journal'!B663)</f>
        <v/>
      </c>
      <c r="C1324" s="5">
        <f>IF('Journal'!C663="","",'Journal'!C663)</f>
        <v/>
      </c>
      <c r="D1324" s="5">
        <f>IF('Journal'!E663="","",IFERROR(LEFT('Journal'!E663,FIND(" ",'Journal'!E663)-1),'Journal'!E663))</f>
        <v/>
      </c>
      <c r="E1324" s="5">
        <f>IF('Journal'!E663="","",IFERROR(INDEX('Kontoplan'!$B$3:$B$302,MATCH('Journal'!E663,'Kontoplan'!$H$3:$H$302,0)),""))</f>
        <v/>
      </c>
      <c r="F1324" s="20">
        <f>IF('Journal'!F663="","",'Journal'!F663)</f>
        <v/>
      </c>
      <c r="G1324" s="20">
        <f>IF('Journal'!G663="","",'Journal'!G663)</f>
        <v/>
      </c>
      <c r="H1324" s="5">
        <f>IF('Journal'!I663="","",'Journal'!I663)</f>
        <v/>
      </c>
    </row>
    <row r="1325">
      <c r="A1325" s="18">
        <f>IF('Journal'!A664="","",'Journal'!A664)</f>
        <v/>
      </c>
      <c r="B1325" s="21">
        <f>IF('Journal'!B664="","",'Journal'!B664)</f>
        <v/>
      </c>
      <c r="C1325" s="5">
        <f>IF('Journal'!C664="","",'Journal'!C664)</f>
        <v/>
      </c>
      <c r="D1325" s="5">
        <f>IF('Journal'!D664="","",IFERROR(LEFT('Journal'!D664,FIND(" ",'Journal'!D664)-1),'Journal'!D664))</f>
        <v/>
      </c>
      <c r="E1325" s="5">
        <f>IF('Journal'!D664="","",IFERROR(INDEX('Kontoplan'!$B$3:$B$302,MATCH('Journal'!D664,'Kontoplan'!$H$3:$H$302,0)),""))</f>
        <v/>
      </c>
      <c r="F1325" s="20">
        <f>IF('Journal'!G664="","",'Journal'!G664)</f>
        <v/>
      </c>
      <c r="G1325" s="20">
        <f>IF('Journal'!F664="","",'Journal'!F664)</f>
        <v/>
      </c>
      <c r="H1325" s="5">
        <f>IF('Journal'!I664="","",'Journal'!I664)</f>
        <v/>
      </c>
    </row>
    <row r="1326">
      <c r="A1326" s="18">
        <f>IF('Journal'!A664="","",'Journal'!A664)</f>
        <v/>
      </c>
      <c r="B1326" s="21">
        <f>IF('Journal'!B664="","",'Journal'!B664)</f>
        <v/>
      </c>
      <c r="C1326" s="5">
        <f>IF('Journal'!C664="","",'Journal'!C664)</f>
        <v/>
      </c>
      <c r="D1326" s="5">
        <f>IF('Journal'!E664="","",IFERROR(LEFT('Journal'!E664,FIND(" ",'Journal'!E664)-1),'Journal'!E664))</f>
        <v/>
      </c>
      <c r="E1326" s="5">
        <f>IF('Journal'!E664="","",IFERROR(INDEX('Kontoplan'!$B$3:$B$302,MATCH('Journal'!E664,'Kontoplan'!$H$3:$H$302,0)),""))</f>
        <v/>
      </c>
      <c r="F1326" s="20">
        <f>IF('Journal'!F664="","",'Journal'!F664)</f>
        <v/>
      </c>
      <c r="G1326" s="20">
        <f>IF('Journal'!G664="","",'Journal'!G664)</f>
        <v/>
      </c>
      <c r="H1326" s="5">
        <f>IF('Journal'!I664="","",'Journal'!I664)</f>
        <v/>
      </c>
    </row>
    <row r="1327">
      <c r="A1327" s="18">
        <f>IF('Journal'!A665="","",'Journal'!A665)</f>
        <v/>
      </c>
      <c r="B1327" s="21">
        <f>IF('Journal'!B665="","",'Journal'!B665)</f>
        <v/>
      </c>
      <c r="C1327" s="5">
        <f>IF('Journal'!C665="","",'Journal'!C665)</f>
        <v/>
      </c>
      <c r="D1327" s="5">
        <f>IF('Journal'!D665="","",IFERROR(LEFT('Journal'!D665,FIND(" ",'Journal'!D665)-1),'Journal'!D665))</f>
        <v/>
      </c>
      <c r="E1327" s="5">
        <f>IF('Journal'!D665="","",IFERROR(INDEX('Kontoplan'!$B$3:$B$302,MATCH('Journal'!D665,'Kontoplan'!$H$3:$H$302,0)),""))</f>
        <v/>
      </c>
      <c r="F1327" s="20">
        <f>IF('Journal'!G665="","",'Journal'!G665)</f>
        <v/>
      </c>
      <c r="G1327" s="20">
        <f>IF('Journal'!F665="","",'Journal'!F665)</f>
        <v/>
      </c>
      <c r="H1327" s="5">
        <f>IF('Journal'!I665="","",'Journal'!I665)</f>
        <v/>
      </c>
    </row>
    <row r="1328">
      <c r="A1328" s="18">
        <f>IF('Journal'!A665="","",'Journal'!A665)</f>
        <v/>
      </c>
      <c r="B1328" s="21">
        <f>IF('Journal'!B665="","",'Journal'!B665)</f>
        <v/>
      </c>
      <c r="C1328" s="5">
        <f>IF('Journal'!C665="","",'Journal'!C665)</f>
        <v/>
      </c>
      <c r="D1328" s="5">
        <f>IF('Journal'!E665="","",IFERROR(LEFT('Journal'!E665,FIND(" ",'Journal'!E665)-1),'Journal'!E665))</f>
        <v/>
      </c>
      <c r="E1328" s="5">
        <f>IF('Journal'!E665="","",IFERROR(INDEX('Kontoplan'!$B$3:$B$302,MATCH('Journal'!E665,'Kontoplan'!$H$3:$H$302,0)),""))</f>
        <v/>
      </c>
      <c r="F1328" s="20">
        <f>IF('Journal'!F665="","",'Journal'!F665)</f>
        <v/>
      </c>
      <c r="G1328" s="20">
        <f>IF('Journal'!G665="","",'Journal'!G665)</f>
        <v/>
      </c>
      <c r="H1328" s="5">
        <f>IF('Journal'!I665="","",'Journal'!I665)</f>
        <v/>
      </c>
    </row>
    <row r="1329">
      <c r="A1329" s="18">
        <f>IF('Journal'!A666="","",'Journal'!A666)</f>
        <v/>
      </c>
      <c r="B1329" s="21">
        <f>IF('Journal'!B666="","",'Journal'!B666)</f>
        <v/>
      </c>
      <c r="C1329" s="5">
        <f>IF('Journal'!C666="","",'Journal'!C666)</f>
        <v/>
      </c>
      <c r="D1329" s="5">
        <f>IF('Journal'!D666="","",IFERROR(LEFT('Journal'!D666,FIND(" ",'Journal'!D666)-1),'Journal'!D666))</f>
        <v/>
      </c>
      <c r="E1329" s="5">
        <f>IF('Journal'!D666="","",IFERROR(INDEX('Kontoplan'!$B$3:$B$302,MATCH('Journal'!D666,'Kontoplan'!$H$3:$H$302,0)),""))</f>
        <v/>
      </c>
      <c r="F1329" s="20">
        <f>IF('Journal'!G666="","",'Journal'!G666)</f>
        <v/>
      </c>
      <c r="G1329" s="20">
        <f>IF('Journal'!F666="","",'Journal'!F666)</f>
        <v/>
      </c>
      <c r="H1329" s="5">
        <f>IF('Journal'!I666="","",'Journal'!I666)</f>
        <v/>
      </c>
    </row>
    <row r="1330">
      <c r="A1330" s="18">
        <f>IF('Journal'!A666="","",'Journal'!A666)</f>
        <v/>
      </c>
      <c r="B1330" s="21">
        <f>IF('Journal'!B666="","",'Journal'!B666)</f>
        <v/>
      </c>
      <c r="C1330" s="5">
        <f>IF('Journal'!C666="","",'Journal'!C666)</f>
        <v/>
      </c>
      <c r="D1330" s="5">
        <f>IF('Journal'!E666="","",IFERROR(LEFT('Journal'!E666,FIND(" ",'Journal'!E666)-1),'Journal'!E666))</f>
        <v/>
      </c>
      <c r="E1330" s="5">
        <f>IF('Journal'!E666="","",IFERROR(INDEX('Kontoplan'!$B$3:$B$302,MATCH('Journal'!E666,'Kontoplan'!$H$3:$H$302,0)),""))</f>
        <v/>
      </c>
      <c r="F1330" s="20">
        <f>IF('Journal'!F666="","",'Journal'!F666)</f>
        <v/>
      </c>
      <c r="G1330" s="20">
        <f>IF('Journal'!G666="","",'Journal'!G666)</f>
        <v/>
      </c>
      <c r="H1330" s="5">
        <f>IF('Journal'!I666="","",'Journal'!I666)</f>
        <v/>
      </c>
    </row>
    <row r="1331">
      <c r="A1331" s="18">
        <f>IF('Journal'!A667="","",'Journal'!A667)</f>
        <v/>
      </c>
      <c r="B1331" s="21">
        <f>IF('Journal'!B667="","",'Journal'!B667)</f>
        <v/>
      </c>
      <c r="C1331" s="5">
        <f>IF('Journal'!C667="","",'Journal'!C667)</f>
        <v/>
      </c>
      <c r="D1331" s="5">
        <f>IF('Journal'!D667="","",IFERROR(LEFT('Journal'!D667,FIND(" ",'Journal'!D667)-1),'Journal'!D667))</f>
        <v/>
      </c>
      <c r="E1331" s="5">
        <f>IF('Journal'!D667="","",IFERROR(INDEX('Kontoplan'!$B$3:$B$302,MATCH('Journal'!D667,'Kontoplan'!$H$3:$H$302,0)),""))</f>
        <v/>
      </c>
      <c r="F1331" s="20">
        <f>IF('Journal'!G667="","",'Journal'!G667)</f>
        <v/>
      </c>
      <c r="G1331" s="20">
        <f>IF('Journal'!F667="","",'Journal'!F667)</f>
        <v/>
      </c>
      <c r="H1331" s="5">
        <f>IF('Journal'!I667="","",'Journal'!I667)</f>
        <v/>
      </c>
    </row>
    <row r="1332">
      <c r="A1332" s="18">
        <f>IF('Journal'!A667="","",'Journal'!A667)</f>
        <v/>
      </c>
      <c r="B1332" s="21">
        <f>IF('Journal'!B667="","",'Journal'!B667)</f>
        <v/>
      </c>
      <c r="C1332" s="5">
        <f>IF('Journal'!C667="","",'Journal'!C667)</f>
        <v/>
      </c>
      <c r="D1332" s="5">
        <f>IF('Journal'!E667="","",IFERROR(LEFT('Journal'!E667,FIND(" ",'Journal'!E667)-1),'Journal'!E667))</f>
        <v/>
      </c>
      <c r="E1332" s="5">
        <f>IF('Journal'!E667="","",IFERROR(INDEX('Kontoplan'!$B$3:$B$302,MATCH('Journal'!E667,'Kontoplan'!$H$3:$H$302,0)),""))</f>
        <v/>
      </c>
      <c r="F1332" s="20">
        <f>IF('Journal'!F667="","",'Journal'!F667)</f>
        <v/>
      </c>
      <c r="G1332" s="20">
        <f>IF('Journal'!G667="","",'Journal'!G667)</f>
        <v/>
      </c>
      <c r="H1332" s="5">
        <f>IF('Journal'!I667="","",'Journal'!I667)</f>
        <v/>
      </c>
    </row>
    <row r="1333">
      <c r="A1333" s="18">
        <f>IF('Journal'!A668="","",'Journal'!A668)</f>
        <v/>
      </c>
      <c r="B1333" s="21">
        <f>IF('Journal'!B668="","",'Journal'!B668)</f>
        <v/>
      </c>
      <c r="C1333" s="5">
        <f>IF('Journal'!C668="","",'Journal'!C668)</f>
        <v/>
      </c>
      <c r="D1333" s="5">
        <f>IF('Journal'!D668="","",IFERROR(LEFT('Journal'!D668,FIND(" ",'Journal'!D668)-1),'Journal'!D668))</f>
        <v/>
      </c>
      <c r="E1333" s="5">
        <f>IF('Journal'!D668="","",IFERROR(INDEX('Kontoplan'!$B$3:$B$302,MATCH('Journal'!D668,'Kontoplan'!$H$3:$H$302,0)),""))</f>
        <v/>
      </c>
      <c r="F1333" s="20">
        <f>IF('Journal'!G668="","",'Journal'!G668)</f>
        <v/>
      </c>
      <c r="G1333" s="20">
        <f>IF('Journal'!F668="","",'Journal'!F668)</f>
        <v/>
      </c>
      <c r="H1333" s="5">
        <f>IF('Journal'!I668="","",'Journal'!I668)</f>
        <v/>
      </c>
    </row>
    <row r="1334">
      <c r="A1334" s="18">
        <f>IF('Journal'!A668="","",'Journal'!A668)</f>
        <v/>
      </c>
      <c r="B1334" s="21">
        <f>IF('Journal'!B668="","",'Journal'!B668)</f>
        <v/>
      </c>
      <c r="C1334" s="5">
        <f>IF('Journal'!C668="","",'Journal'!C668)</f>
        <v/>
      </c>
      <c r="D1334" s="5">
        <f>IF('Journal'!E668="","",IFERROR(LEFT('Journal'!E668,FIND(" ",'Journal'!E668)-1),'Journal'!E668))</f>
        <v/>
      </c>
      <c r="E1334" s="5">
        <f>IF('Journal'!E668="","",IFERROR(INDEX('Kontoplan'!$B$3:$B$302,MATCH('Journal'!E668,'Kontoplan'!$H$3:$H$302,0)),""))</f>
        <v/>
      </c>
      <c r="F1334" s="20">
        <f>IF('Journal'!F668="","",'Journal'!F668)</f>
        <v/>
      </c>
      <c r="G1334" s="20">
        <f>IF('Journal'!G668="","",'Journal'!G668)</f>
        <v/>
      </c>
      <c r="H1334" s="5">
        <f>IF('Journal'!I668="","",'Journal'!I668)</f>
        <v/>
      </c>
    </row>
    <row r="1335">
      <c r="A1335" s="18">
        <f>IF('Journal'!A669="","",'Journal'!A669)</f>
        <v/>
      </c>
      <c r="B1335" s="21">
        <f>IF('Journal'!B669="","",'Journal'!B669)</f>
        <v/>
      </c>
      <c r="C1335" s="5">
        <f>IF('Journal'!C669="","",'Journal'!C669)</f>
        <v/>
      </c>
      <c r="D1335" s="5">
        <f>IF('Journal'!D669="","",IFERROR(LEFT('Journal'!D669,FIND(" ",'Journal'!D669)-1),'Journal'!D669))</f>
        <v/>
      </c>
      <c r="E1335" s="5">
        <f>IF('Journal'!D669="","",IFERROR(INDEX('Kontoplan'!$B$3:$B$302,MATCH('Journal'!D669,'Kontoplan'!$H$3:$H$302,0)),""))</f>
        <v/>
      </c>
      <c r="F1335" s="20">
        <f>IF('Journal'!G669="","",'Journal'!G669)</f>
        <v/>
      </c>
      <c r="G1335" s="20">
        <f>IF('Journal'!F669="","",'Journal'!F669)</f>
        <v/>
      </c>
      <c r="H1335" s="5">
        <f>IF('Journal'!I669="","",'Journal'!I669)</f>
        <v/>
      </c>
    </row>
    <row r="1336">
      <c r="A1336" s="18">
        <f>IF('Journal'!A669="","",'Journal'!A669)</f>
        <v/>
      </c>
      <c r="B1336" s="21">
        <f>IF('Journal'!B669="","",'Journal'!B669)</f>
        <v/>
      </c>
      <c r="C1336" s="5">
        <f>IF('Journal'!C669="","",'Journal'!C669)</f>
        <v/>
      </c>
      <c r="D1336" s="5">
        <f>IF('Journal'!E669="","",IFERROR(LEFT('Journal'!E669,FIND(" ",'Journal'!E669)-1),'Journal'!E669))</f>
        <v/>
      </c>
      <c r="E1336" s="5">
        <f>IF('Journal'!E669="","",IFERROR(INDEX('Kontoplan'!$B$3:$B$302,MATCH('Journal'!E669,'Kontoplan'!$H$3:$H$302,0)),""))</f>
        <v/>
      </c>
      <c r="F1336" s="20">
        <f>IF('Journal'!F669="","",'Journal'!F669)</f>
        <v/>
      </c>
      <c r="G1336" s="20">
        <f>IF('Journal'!G669="","",'Journal'!G669)</f>
        <v/>
      </c>
      <c r="H1336" s="5">
        <f>IF('Journal'!I669="","",'Journal'!I669)</f>
        <v/>
      </c>
    </row>
    <row r="1337">
      <c r="A1337" s="18">
        <f>IF('Journal'!A670="","",'Journal'!A670)</f>
        <v/>
      </c>
      <c r="B1337" s="21">
        <f>IF('Journal'!B670="","",'Journal'!B670)</f>
        <v/>
      </c>
      <c r="C1337" s="5">
        <f>IF('Journal'!C670="","",'Journal'!C670)</f>
        <v/>
      </c>
      <c r="D1337" s="5">
        <f>IF('Journal'!D670="","",IFERROR(LEFT('Journal'!D670,FIND(" ",'Journal'!D670)-1),'Journal'!D670))</f>
        <v/>
      </c>
      <c r="E1337" s="5">
        <f>IF('Journal'!D670="","",IFERROR(INDEX('Kontoplan'!$B$3:$B$302,MATCH('Journal'!D670,'Kontoplan'!$H$3:$H$302,0)),""))</f>
        <v/>
      </c>
      <c r="F1337" s="20">
        <f>IF('Journal'!G670="","",'Journal'!G670)</f>
        <v/>
      </c>
      <c r="G1337" s="20">
        <f>IF('Journal'!F670="","",'Journal'!F670)</f>
        <v/>
      </c>
      <c r="H1337" s="5">
        <f>IF('Journal'!I670="","",'Journal'!I670)</f>
        <v/>
      </c>
    </row>
    <row r="1338">
      <c r="A1338" s="18">
        <f>IF('Journal'!A670="","",'Journal'!A670)</f>
        <v/>
      </c>
      <c r="B1338" s="21">
        <f>IF('Journal'!B670="","",'Journal'!B670)</f>
        <v/>
      </c>
      <c r="C1338" s="5">
        <f>IF('Journal'!C670="","",'Journal'!C670)</f>
        <v/>
      </c>
      <c r="D1338" s="5">
        <f>IF('Journal'!E670="","",IFERROR(LEFT('Journal'!E670,FIND(" ",'Journal'!E670)-1),'Journal'!E670))</f>
        <v/>
      </c>
      <c r="E1338" s="5">
        <f>IF('Journal'!E670="","",IFERROR(INDEX('Kontoplan'!$B$3:$B$302,MATCH('Journal'!E670,'Kontoplan'!$H$3:$H$302,0)),""))</f>
        <v/>
      </c>
      <c r="F1338" s="20">
        <f>IF('Journal'!F670="","",'Journal'!F670)</f>
        <v/>
      </c>
      <c r="G1338" s="20">
        <f>IF('Journal'!G670="","",'Journal'!G670)</f>
        <v/>
      </c>
      <c r="H1338" s="5">
        <f>IF('Journal'!I670="","",'Journal'!I670)</f>
        <v/>
      </c>
    </row>
    <row r="1339">
      <c r="A1339" s="18">
        <f>IF('Journal'!A671="","",'Journal'!A671)</f>
        <v/>
      </c>
      <c r="B1339" s="21">
        <f>IF('Journal'!B671="","",'Journal'!B671)</f>
        <v/>
      </c>
      <c r="C1339" s="5">
        <f>IF('Journal'!C671="","",'Journal'!C671)</f>
        <v/>
      </c>
      <c r="D1339" s="5">
        <f>IF('Journal'!D671="","",IFERROR(LEFT('Journal'!D671,FIND(" ",'Journal'!D671)-1),'Journal'!D671))</f>
        <v/>
      </c>
      <c r="E1339" s="5">
        <f>IF('Journal'!D671="","",IFERROR(INDEX('Kontoplan'!$B$3:$B$302,MATCH('Journal'!D671,'Kontoplan'!$H$3:$H$302,0)),""))</f>
        <v/>
      </c>
      <c r="F1339" s="20">
        <f>IF('Journal'!G671="","",'Journal'!G671)</f>
        <v/>
      </c>
      <c r="G1339" s="20">
        <f>IF('Journal'!F671="","",'Journal'!F671)</f>
        <v/>
      </c>
      <c r="H1339" s="5">
        <f>IF('Journal'!I671="","",'Journal'!I671)</f>
        <v/>
      </c>
    </row>
    <row r="1340">
      <c r="A1340" s="18">
        <f>IF('Journal'!A671="","",'Journal'!A671)</f>
        <v/>
      </c>
      <c r="B1340" s="21">
        <f>IF('Journal'!B671="","",'Journal'!B671)</f>
        <v/>
      </c>
      <c r="C1340" s="5">
        <f>IF('Journal'!C671="","",'Journal'!C671)</f>
        <v/>
      </c>
      <c r="D1340" s="5">
        <f>IF('Journal'!E671="","",IFERROR(LEFT('Journal'!E671,FIND(" ",'Journal'!E671)-1),'Journal'!E671))</f>
        <v/>
      </c>
      <c r="E1340" s="5">
        <f>IF('Journal'!E671="","",IFERROR(INDEX('Kontoplan'!$B$3:$B$302,MATCH('Journal'!E671,'Kontoplan'!$H$3:$H$302,0)),""))</f>
        <v/>
      </c>
      <c r="F1340" s="20">
        <f>IF('Journal'!F671="","",'Journal'!F671)</f>
        <v/>
      </c>
      <c r="G1340" s="20">
        <f>IF('Journal'!G671="","",'Journal'!G671)</f>
        <v/>
      </c>
      <c r="H1340" s="5">
        <f>IF('Journal'!I671="","",'Journal'!I671)</f>
        <v/>
      </c>
    </row>
    <row r="1341">
      <c r="A1341" s="18">
        <f>IF('Journal'!A672="","",'Journal'!A672)</f>
        <v/>
      </c>
      <c r="B1341" s="21">
        <f>IF('Journal'!B672="","",'Journal'!B672)</f>
        <v/>
      </c>
      <c r="C1341" s="5">
        <f>IF('Journal'!C672="","",'Journal'!C672)</f>
        <v/>
      </c>
      <c r="D1341" s="5">
        <f>IF('Journal'!D672="","",IFERROR(LEFT('Journal'!D672,FIND(" ",'Journal'!D672)-1),'Journal'!D672))</f>
        <v/>
      </c>
      <c r="E1341" s="5">
        <f>IF('Journal'!D672="","",IFERROR(INDEX('Kontoplan'!$B$3:$B$302,MATCH('Journal'!D672,'Kontoplan'!$H$3:$H$302,0)),""))</f>
        <v/>
      </c>
      <c r="F1341" s="20">
        <f>IF('Journal'!G672="","",'Journal'!G672)</f>
        <v/>
      </c>
      <c r="G1341" s="20">
        <f>IF('Journal'!F672="","",'Journal'!F672)</f>
        <v/>
      </c>
      <c r="H1341" s="5">
        <f>IF('Journal'!I672="","",'Journal'!I672)</f>
        <v/>
      </c>
    </row>
    <row r="1342">
      <c r="A1342" s="18">
        <f>IF('Journal'!A672="","",'Journal'!A672)</f>
        <v/>
      </c>
      <c r="B1342" s="21">
        <f>IF('Journal'!B672="","",'Journal'!B672)</f>
        <v/>
      </c>
      <c r="C1342" s="5">
        <f>IF('Journal'!C672="","",'Journal'!C672)</f>
        <v/>
      </c>
      <c r="D1342" s="5">
        <f>IF('Journal'!E672="","",IFERROR(LEFT('Journal'!E672,FIND(" ",'Journal'!E672)-1),'Journal'!E672))</f>
        <v/>
      </c>
      <c r="E1342" s="5">
        <f>IF('Journal'!E672="","",IFERROR(INDEX('Kontoplan'!$B$3:$B$302,MATCH('Journal'!E672,'Kontoplan'!$H$3:$H$302,0)),""))</f>
        <v/>
      </c>
      <c r="F1342" s="20">
        <f>IF('Journal'!F672="","",'Journal'!F672)</f>
        <v/>
      </c>
      <c r="G1342" s="20">
        <f>IF('Journal'!G672="","",'Journal'!G672)</f>
        <v/>
      </c>
      <c r="H1342" s="5">
        <f>IF('Journal'!I672="","",'Journal'!I672)</f>
        <v/>
      </c>
    </row>
    <row r="1343">
      <c r="A1343" s="18">
        <f>IF('Journal'!A673="","",'Journal'!A673)</f>
        <v/>
      </c>
      <c r="B1343" s="21">
        <f>IF('Journal'!B673="","",'Journal'!B673)</f>
        <v/>
      </c>
      <c r="C1343" s="5">
        <f>IF('Journal'!C673="","",'Journal'!C673)</f>
        <v/>
      </c>
      <c r="D1343" s="5">
        <f>IF('Journal'!D673="","",IFERROR(LEFT('Journal'!D673,FIND(" ",'Journal'!D673)-1),'Journal'!D673))</f>
        <v/>
      </c>
      <c r="E1343" s="5">
        <f>IF('Journal'!D673="","",IFERROR(INDEX('Kontoplan'!$B$3:$B$302,MATCH('Journal'!D673,'Kontoplan'!$H$3:$H$302,0)),""))</f>
        <v/>
      </c>
      <c r="F1343" s="20">
        <f>IF('Journal'!G673="","",'Journal'!G673)</f>
        <v/>
      </c>
      <c r="G1343" s="20">
        <f>IF('Journal'!F673="","",'Journal'!F673)</f>
        <v/>
      </c>
      <c r="H1343" s="5">
        <f>IF('Journal'!I673="","",'Journal'!I673)</f>
        <v/>
      </c>
    </row>
    <row r="1344">
      <c r="A1344" s="18">
        <f>IF('Journal'!A673="","",'Journal'!A673)</f>
        <v/>
      </c>
      <c r="B1344" s="21">
        <f>IF('Journal'!B673="","",'Journal'!B673)</f>
        <v/>
      </c>
      <c r="C1344" s="5">
        <f>IF('Journal'!C673="","",'Journal'!C673)</f>
        <v/>
      </c>
      <c r="D1344" s="5">
        <f>IF('Journal'!E673="","",IFERROR(LEFT('Journal'!E673,FIND(" ",'Journal'!E673)-1),'Journal'!E673))</f>
        <v/>
      </c>
      <c r="E1344" s="5">
        <f>IF('Journal'!E673="","",IFERROR(INDEX('Kontoplan'!$B$3:$B$302,MATCH('Journal'!E673,'Kontoplan'!$H$3:$H$302,0)),""))</f>
        <v/>
      </c>
      <c r="F1344" s="20">
        <f>IF('Journal'!F673="","",'Journal'!F673)</f>
        <v/>
      </c>
      <c r="G1344" s="20">
        <f>IF('Journal'!G673="","",'Journal'!G673)</f>
        <v/>
      </c>
      <c r="H1344" s="5">
        <f>IF('Journal'!I673="","",'Journal'!I673)</f>
        <v/>
      </c>
    </row>
    <row r="1345">
      <c r="A1345" s="18">
        <f>IF('Journal'!A674="","",'Journal'!A674)</f>
        <v/>
      </c>
      <c r="B1345" s="21">
        <f>IF('Journal'!B674="","",'Journal'!B674)</f>
        <v/>
      </c>
      <c r="C1345" s="5">
        <f>IF('Journal'!C674="","",'Journal'!C674)</f>
        <v/>
      </c>
      <c r="D1345" s="5">
        <f>IF('Journal'!D674="","",IFERROR(LEFT('Journal'!D674,FIND(" ",'Journal'!D674)-1),'Journal'!D674))</f>
        <v/>
      </c>
      <c r="E1345" s="5">
        <f>IF('Journal'!D674="","",IFERROR(INDEX('Kontoplan'!$B$3:$B$302,MATCH('Journal'!D674,'Kontoplan'!$H$3:$H$302,0)),""))</f>
        <v/>
      </c>
      <c r="F1345" s="20">
        <f>IF('Journal'!G674="","",'Journal'!G674)</f>
        <v/>
      </c>
      <c r="G1345" s="20">
        <f>IF('Journal'!F674="","",'Journal'!F674)</f>
        <v/>
      </c>
      <c r="H1345" s="5">
        <f>IF('Journal'!I674="","",'Journal'!I674)</f>
        <v/>
      </c>
    </row>
    <row r="1346">
      <c r="A1346" s="18">
        <f>IF('Journal'!A674="","",'Journal'!A674)</f>
        <v/>
      </c>
      <c r="B1346" s="21">
        <f>IF('Journal'!B674="","",'Journal'!B674)</f>
        <v/>
      </c>
      <c r="C1346" s="5">
        <f>IF('Journal'!C674="","",'Journal'!C674)</f>
        <v/>
      </c>
      <c r="D1346" s="5">
        <f>IF('Journal'!E674="","",IFERROR(LEFT('Journal'!E674,FIND(" ",'Journal'!E674)-1),'Journal'!E674))</f>
        <v/>
      </c>
      <c r="E1346" s="5">
        <f>IF('Journal'!E674="","",IFERROR(INDEX('Kontoplan'!$B$3:$B$302,MATCH('Journal'!E674,'Kontoplan'!$H$3:$H$302,0)),""))</f>
        <v/>
      </c>
      <c r="F1346" s="20">
        <f>IF('Journal'!F674="","",'Journal'!F674)</f>
        <v/>
      </c>
      <c r="G1346" s="20">
        <f>IF('Journal'!G674="","",'Journal'!G674)</f>
        <v/>
      </c>
      <c r="H1346" s="5">
        <f>IF('Journal'!I674="","",'Journal'!I674)</f>
        <v/>
      </c>
    </row>
    <row r="1347">
      <c r="A1347" s="18">
        <f>IF('Journal'!A675="","",'Journal'!A675)</f>
        <v/>
      </c>
      <c r="B1347" s="21">
        <f>IF('Journal'!B675="","",'Journal'!B675)</f>
        <v/>
      </c>
      <c r="C1347" s="5">
        <f>IF('Journal'!C675="","",'Journal'!C675)</f>
        <v/>
      </c>
      <c r="D1347" s="5">
        <f>IF('Journal'!D675="","",IFERROR(LEFT('Journal'!D675,FIND(" ",'Journal'!D675)-1),'Journal'!D675))</f>
        <v/>
      </c>
      <c r="E1347" s="5">
        <f>IF('Journal'!D675="","",IFERROR(INDEX('Kontoplan'!$B$3:$B$302,MATCH('Journal'!D675,'Kontoplan'!$H$3:$H$302,0)),""))</f>
        <v/>
      </c>
      <c r="F1347" s="20">
        <f>IF('Journal'!G675="","",'Journal'!G675)</f>
        <v/>
      </c>
      <c r="G1347" s="20">
        <f>IF('Journal'!F675="","",'Journal'!F675)</f>
        <v/>
      </c>
      <c r="H1347" s="5">
        <f>IF('Journal'!I675="","",'Journal'!I675)</f>
        <v/>
      </c>
    </row>
    <row r="1348">
      <c r="A1348" s="18">
        <f>IF('Journal'!A675="","",'Journal'!A675)</f>
        <v/>
      </c>
      <c r="B1348" s="21">
        <f>IF('Journal'!B675="","",'Journal'!B675)</f>
        <v/>
      </c>
      <c r="C1348" s="5">
        <f>IF('Journal'!C675="","",'Journal'!C675)</f>
        <v/>
      </c>
      <c r="D1348" s="5">
        <f>IF('Journal'!E675="","",IFERROR(LEFT('Journal'!E675,FIND(" ",'Journal'!E675)-1),'Journal'!E675))</f>
        <v/>
      </c>
      <c r="E1348" s="5">
        <f>IF('Journal'!E675="","",IFERROR(INDEX('Kontoplan'!$B$3:$B$302,MATCH('Journal'!E675,'Kontoplan'!$H$3:$H$302,0)),""))</f>
        <v/>
      </c>
      <c r="F1348" s="20">
        <f>IF('Journal'!F675="","",'Journal'!F675)</f>
        <v/>
      </c>
      <c r="G1348" s="20">
        <f>IF('Journal'!G675="","",'Journal'!G675)</f>
        <v/>
      </c>
      <c r="H1348" s="5">
        <f>IF('Journal'!I675="","",'Journal'!I675)</f>
        <v/>
      </c>
    </row>
    <row r="1349">
      <c r="A1349" s="18">
        <f>IF('Journal'!A676="","",'Journal'!A676)</f>
        <v/>
      </c>
      <c r="B1349" s="21">
        <f>IF('Journal'!B676="","",'Journal'!B676)</f>
        <v/>
      </c>
      <c r="C1349" s="5">
        <f>IF('Journal'!C676="","",'Journal'!C676)</f>
        <v/>
      </c>
      <c r="D1349" s="5">
        <f>IF('Journal'!D676="","",IFERROR(LEFT('Journal'!D676,FIND(" ",'Journal'!D676)-1),'Journal'!D676))</f>
        <v/>
      </c>
      <c r="E1349" s="5">
        <f>IF('Journal'!D676="","",IFERROR(INDEX('Kontoplan'!$B$3:$B$302,MATCH('Journal'!D676,'Kontoplan'!$H$3:$H$302,0)),""))</f>
        <v/>
      </c>
      <c r="F1349" s="20">
        <f>IF('Journal'!G676="","",'Journal'!G676)</f>
        <v/>
      </c>
      <c r="G1349" s="20">
        <f>IF('Journal'!F676="","",'Journal'!F676)</f>
        <v/>
      </c>
      <c r="H1349" s="5">
        <f>IF('Journal'!I676="","",'Journal'!I676)</f>
        <v/>
      </c>
    </row>
    <row r="1350">
      <c r="A1350" s="18">
        <f>IF('Journal'!A676="","",'Journal'!A676)</f>
        <v/>
      </c>
      <c r="B1350" s="21">
        <f>IF('Journal'!B676="","",'Journal'!B676)</f>
        <v/>
      </c>
      <c r="C1350" s="5">
        <f>IF('Journal'!C676="","",'Journal'!C676)</f>
        <v/>
      </c>
      <c r="D1350" s="5">
        <f>IF('Journal'!E676="","",IFERROR(LEFT('Journal'!E676,FIND(" ",'Journal'!E676)-1),'Journal'!E676))</f>
        <v/>
      </c>
      <c r="E1350" s="5">
        <f>IF('Journal'!E676="","",IFERROR(INDEX('Kontoplan'!$B$3:$B$302,MATCH('Journal'!E676,'Kontoplan'!$H$3:$H$302,0)),""))</f>
        <v/>
      </c>
      <c r="F1350" s="20">
        <f>IF('Journal'!F676="","",'Journal'!F676)</f>
        <v/>
      </c>
      <c r="G1350" s="20">
        <f>IF('Journal'!G676="","",'Journal'!G676)</f>
        <v/>
      </c>
      <c r="H1350" s="5">
        <f>IF('Journal'!I676="","",'Journal'!I676)</f>
        <v/>
      </c>
    </row>
    <row r="1351">
      <c r="A1351" s="18">
        <f>IF('Journal'!A677="","",'Journal'!A677)</f>
        <v/>
      </c>
      <c r="B1351" s="21">
        <f>IF('Journal'!B677="","",'Journal'!B677)</f>
        <v/>
      </c>
      <c r="C1351" s="5">
        <f>IF('Journal'!C677="","",'Journal'!C677)</f>
        <v/>
      </c>
      <c r="D1351" s="5">
        <f>IF('Journal'!D677="","",IFERROR(LEFT('Journal'!D677,FIND(" ",'Journal'!D677)-1),'Journal'!D677))</f>
        <v/>
      </c>
      <c r="E1351" s="5">
        <f>IF('Journal'!D677="","",IFERROR(INDEX('Kontoplan'!$B$3:$B$302,MATCH('Journal'!D677,'Kontoplan'!$H$3:$H$302,0)),""))</f>
        <v/>
      </c>
      <c r="F1351" s="20">
        <f>IF('Journal'!G677="","",'Journal'!G677)</f>
        <v/>
      </c>
      <c r="G1351" s="20">
        <f>IF('Journal'!F677="","",'Journal'!F677)</f>
        <v/>
      </c>
      <c r="H1351" s="5">
        <f>IF('Journal'!I677="","",'Journal'!I677)</f>
        <v/>
      </c>
    </row>
    <row r="1352">
      <c r="A1352" s="18">
        <f>IF('Journal'!A677="","",'Journal'!A677)</f>
        <v/>
      </c>
      <c r="B1352" s="21">
        <f>IF('Journal'!B677="","",'Journal'!B677)</f>
        <v/>
      </c>
      <c r="C1352" s="5">
        <f>IF('Journal'!C677="","",'Journal'!C677)</f>
        <v/>
      </c>
      <c r="D1352" s="5">
        <f>IF('Journal'!E677="","",IFERROR(LEFT('Journal'!E677,FIND(" ",'Journal'!E677)-1),'Journal'!E677))</f>
        <v/>
      </c>
      <c r="E1352" s="5">
        <f>IF('Journal'!E677="","",IFERROR(INDEX('Kontoplan'!$B$3:$B$302,MATCH('Journal'!E677,'Kontoplan'!$H$3:$H$302,0)),""))</f>
        <v/>
      </c>
      <c r="F1352" s="20">
        <f>IF('Journal'!F677="","",'Journal'!F677)</f>
        <v/>
      </c>
      <c r="G1352" s="20">
        <f>IF('Journal'!G677="","",'Journal'!G677)</f>
        <v/>
      </c>
      <c r="H1352" s="5">
        <f>IF('Journal'!I677="","",'Journal'!I677)</f>
        <v/>
      </c>
    </row>
    <row r="1353">
      <c r="A1353" s="18">
        <f>IF('Journal'!A678="","",'Journal'!A678)</f>
        <v/>
      </c>
      <c r="B1353" s="21">
        <f>IF('Journal'!B678="","",'Journal'!B678)</f>
        <v/>
      </c>
      <c r="C1353" s="5">
        <f>IF('Journal'!C678="","",'Journal'!C678)</f>
        <v/>
      </c>
      <c r="D1353" s="5">
        <f>IF('Journal'!D678="","",IFERROR(LEFT('Journal'!D678,FIND(" ",'Journal'!D678)-1),'Journal'!D678))</f>
        <v/>
      </c>
      <c r="E1353" s="5">
        <f>IF('Journal'!D678="","",IFERROR(INDEX('Kontoplan'!$B$3:$B$302,MATCH('Journal'!D678,'Kontoplan'!$H$3:$H$302,0)),""))</f>
        <v/>
      </c>
      <c r="F1353" s="20">
        <f>IF('Journal'!G678="","",'Journal'!G678)</f>
        <v/>
      </c>
      <c r="G1353" s="20">
        <f>IF('Journal'!F678="","",'Journal'!F678)</f>
        <v/>
      </c>
      <c r="H1353" s="5">
        <f>IF('Journal'!I678="","",'Journal'!I678)</f>
        <v/>
      </c>
    </row>
    <row r="1354">
      <c r="A1354" s="18">
        <f>IF('Journal'!A678="","",'Journal'!A678)</f>
        <v/>
      </c>
      <c r="B1354" s="21">
        <f>IF('Journal'!B678="","",'Journal'!B678)</f>
        <v/>
      </c>
      <c r="C1354" s="5">
        <f>IF('Journal'!C678="","",'Journal'!C678)</f>
        <v/>
      </c>
      <c r="D1354" s="5">
        <f>IF('Journal'!E678="","",IFERROR(LEFT('Journal'!E678,FIND(" ",'Journal'!E678)-1),'Journal'!E678))</f>
        <v/>
      </c>
      <c r="E1354" s="5">
        <f>IF('Journal'!E678="","",IFERROR(INDEX('Kontoplan'!$B$3:$B$302,MATCH('Journal'!E678,'Kontoplan'!$H$3:$H$302,0)),""))</f>
        <v/>
      </c>
      <c r="F1354" s="20">
        <f>IF('Journal'!F678="","",'Journal'!F678)</f>
        <v/>
      </c>
      <c r="G1354" s="20">
        <f>IF('Journal'!G678="","",'Journal'!G678)</f>
        <v/>
      </c>
      <c r="H1354" s="5">
        <f>IF('Journal'!I678="","",'Journal'!I678)</f>
        <v/>
      </c>
    </row>
    <row r="1355">
      <c r="A1355" s="18">
        <f>IF('Journal'!A679="","",'Journal'!A679)</f>
        <v/>
      </c>
      <c r="B1355" s="21">
        <f>IF('Journal'!B679="","",'Journal'!B679)</f>
        <v/>
      </c>
      <c r="C1355" s="5">
        <f>IF('Journal'!C679="","",'Journal'!C679)</f>
        <v/>
      </c>
      <c r="D1355" s="5">
        <f>IF('Journal'!D679="","",IFERROR(LEFT('Journal'!D679,FIND(" ",'Journal'!D679)-1),'Journal'!D679))</f>
        <v/>
      </c>
      <c r="E1355" s="5">
        <f>IF('Journal'!D679="","",IFERROR(INDEX('Kontoplan'!$B$3:$B$302,MATCH('Journal'!D679,'Kontoplan'!$H$3:$H$302,0)),""))</f>
        <v/>
      </c>
      <c r="F1355" s="20">
        <f>IF('Journal'!G679="","",'Journal'!G679)</f>
        <v/>
      </c>
      <c r="G1355" s="20">
        <f>IF('Journal'!F679="","",'Journal'!F679)</f>
        <v/>
      </c>
      <c r="H1355" s="5">
        <f>IF('Journal'!I679="","",'Journal'!I679)</f>
        <v/>
      </c>
    </row>
    <row r="1356">
      <c r="A1356" s="18">
        <f>IF('Journal'!A679="","",'Journal'!A679)</f>
        <v/>
      </c>
      <c r="B1356" s="21">
        <f>IF('Journal'!B679="","",'Journal'!B679)</f>
        <v/>
      </c>
      <c r="C1356" s="5">
        <f>IF('Journal'!C679="","",'Journal'!C679)</f>
        <v/>
      </c>
      <c r="D1356" s="5">
        <f>IF('Journal'!E679="","",IFERROR(LEFT('Journal'!E679,FIND(" ",'Journal'!E679)-1),'Journal'!E679))</f>
        <v/>
      </c>
      <c r="E1356" s="5">
        <f>IF('Journal'!E679="","",IFERROR(INDEX('Kontoplan'!$B$3:$B$302,MATCH('Journal'!E679,'Kontoplan'!$H$3:$H$302,0)),""))</f>
        <v/>
      </c>
      <c r="F1356" s="20">
        <f>IF('Journal'!F679="","",'Journal'!F679)</f>
        <v/>
      </c>
      <c r="G1356" s="20">
        <f>IF('Journal'!G679="","",'Journal'!G679)</f>
        <v/>
      </c>
      <c r="H1356" s="5">
        <f>IF('Journal'!I679="","",'Journal'!I679)</f>
        <v/>
      </c>
    </row>
    <row r="1357">
      <c r="A1357" s="18">
        <f>IF('Journal'!A680="","",'Journal'!A680)</f>
        <v/>
      </c>
      <c r="B1357" s="21">
        <f>IF('Journal'!B680="","",'Journal'!B680)</f>
        <v/>
      </c>
      <c r="C1357" s="5">
        <f>IF('Journal'!C680="","",'Journal'!C680)</f>
        <v/>
      </c>
      <c r="D1357" s="5">
        <f>IF('Journal'!D680="","",IFERROR(LEFT('Journal'!D680,FIND(" ",'Journal'!D680)-1),'Journal'!D680))</f>
        <v/>
      </c>
      <c r="E1357" s="5">
        <f>IF('Journal'!D680="","",IFERROR(INDEX('Kontoplan'!$B$3:$B$302,MATCH('Journal'!D680,'Kontoplan'!$H$3:$H$302,0)),""))</f>
        <v/>
      </c>
      <c r="F1357" s="20">
        <f>IF('Journal'!G680="","",'Journal'!G680)</f>
        <v/>
      </c>
      <c r="G1357" s="20">
        <f>IF('Journal'!F680="","",'Journal'!F680)</f>
        <v/>
      </c>
      <c r="H1357" s="5">
        <f>IF('Journal'!I680="","",'Journal'!I680)</f>
        <v/>
      </c>
    </row>
    <row r="1358">
      <c r="A1358" s="18">
        <f>IF('Journal'!A680="","",'Journal'!A680)</f>
        <v/>
      </c>
      <c r="B1358" s="21">
        <f>IF('Journal'!B680="","",'Journal'!B680)</f>
        <v/>
      </c>
      <c r="C1358" s="5">
        <f>IF('Journal'!C680="","",'Journal'!C680)</f>
        <v/>
      </c>
      <c r="D1358" s="5">
        <f>IF('Journal'!E680="","",IFERROR(LEFT('Journal'!E680,FIND(" ",'Journal'!E680)-1),'Journal'!E680))</f>
        <v/>
      </c>
      <c r="E1358" s="5">
        <f>IF('Journal'!E680="","",IFERROR(INDEX('Kontoplan'!$B$3:$B$302,MATCH('Journal'!E680,'Kontoplan'!$H$3:$H$302,0)),""))</f>
        <v/>
      </c>
      <c r="F1358" s="20">
        <f>IF('Journal'!F680="","",'Journal'!F680)</f>
        <v/>
      </c>
      <c r="G1358" s="20">
        <f>IF('Journal'!G680="","",'Journal'!G680)</f>
        <v/>
      </c>
      <c r="H1358" s="5">
        <f>IF('Journal'!I680="","",'Journal'!I680)</f>
        <v/>
      </c>
    </row>
    <row r="1359">
      <c r="A1359" s="18">
        <f>IF('Journal'!A681="","",'Journal'!A681)</f>
        <v/>
      </c>
      <c r="B1359" s="21">
        <f>IF('Journal'!B681="","",'Journal'!B681)</f>
        <v/>
      </c>
      <c r="C1359" s="5">
        <f>IF('Journal'!C681="","",'Journal'!C681)</f>
        <v/>
      </c>
      <c r="D1359" s="5">
        <f>IF('Journal'!D681="","",IFERROR(LEFT('Journal'!D681,FIND(" ",'Journal'!D681)-1),'Journal'!D681))</f>
        <v/>
      </c>
      <c r="E1359" s="5">
        <f>IF('Journal'!D681="","",IFERROR(INDEX('Kontoplan'!$B$3:$B$302,MATCH('Journal'!D681,'Kontoplan'!$H$3:$H$302,0)),""))</f>
        <v/>
      </c>
      <c r="F1359" s="20">
        <f>IF('Journal'!G681="","",'Journal'!G681)</f>
        <v/>
      </c>
      <c r="G1359" s="20">
        <f>IF('Journal'!F681="","",'Journal'!F681)</f>
        <v/>
      </c>
      <c r="H1359" s="5">
        <f>IF('Journal'!I681="","",'Journal'!I681)</f>
        <v/>
      </c>
    </row>
    <row r="1360">
      <c r="A1360" s="18">
        <f>IF('Journal'!A681="","",'Journal'!A681)</f>
        <v/>
      </c>
      <c r="B1360" s="21">
        <f>IF('Journal'!B681="","",'Journal'!B681)</f>
        <v/>
      </c>
      <c r="C1360" s="5">
        <f>IF('Journal'!C681="","",'Journal'!C681)</f>
        <v/>
      </c>
      <c r="D1360" s="5">
        <f>IF('Journal'!E681="","",IFERROR(LEFT('Journal'!E681,FIND(" ",'Journal'!E681)-1),'Journal'!E681))</f>
        <v/>
      </c>
      <c r="E1360" s="5">
        <f>IF('Journal'!E681="","",IFERROR(INDEX('Kontoplan'!$B$3:$B$302,MATCH('Journal'!E681,'Kontoplan'!$H$3:$H$302,0)),""))</f>
        <v/>
      </c>
      <c r="F1360" s="20">
        <f>IF('Journal'!F681="","",'Journal'!F681)</f>
        <v/>
      </c>
      <c r="G1360" s="20">
        <f>IF('Journal'!G681="","",'Journal'!G681)</f>
        <v/>
      </c>
      <c r="H1360" s="5">
        <f>IF('Journal'!I681="","",'Journal'!I681)</f>
        <v/>
      </c>
    </row>
    <row r="1361">
      <c r="A1361" s="18">
        <f>IF('Journal'!A682="","",'Journal'!A682)</f>
        <v/>
      </c>
      <c r="B1361" s="21">
        <f>IF('Journal'!B682="","",'Journal'!B682)</f>
        <v/>
      </c>
      <c r="C1361" s="5">
        <f>IF('Journal'!C682="","",'Journal'!C682)</f>
        <v/>
      </c>
      <c r="D1361" s="5">
        <f>IF('Journal'!D682="","",IFERROR(LEFT('Journal'!D682,FIND(" ",'Journal'!D682)-1),'Journal'!D682))</f>
        <v/>
      </c>
      <c r="E1361" s="5">
        <f>IF('Journal'!D682="","",IFERROR(INDEX('Kontoplan'!$B$3:$B$302,MATCH('Journal'!D682,'Kontoplan'!$H$3:$H$302,0)),""))</f>
        <v/>
      </c>
      <c r="F1361" s="20">
        <f>IF('Journal'!G682="","",'Journal'!G682)</f>
        <v/>
      </c>
      <c r="G1361" s="20">
        <f>IF('Journal'!F682="","",'Journal'!F682)</f>
        <v/>
      </c>
      <c r="H1361" s="5">
        <f>IF('Journal'!I682="","",'Journal'!I682)</f>
        <v/>
      </c>
    </row>
    <row r="1362">
      <c r="A1362" s="18">
        <f>IF('Journal'!A682="","",'Journal'!A682)</f>
        <v/>
      </c>
      <c r="B1362" s="21">
        <f>IF('Journal'!B682="","",'Journal'!B682)</f>
        <v/>
      </c>
      <c r="C1362" s="5">
        <f>IF('Journal'!C682="","",'Journal'!C682)</f>
        <v/>
      </c>
      <c r="D1362" s="5">
        <f>IF('Journal'!E682="","",IFERROR(LEFT('Journal'!E682,FIND(" ",'Journal'!E682)-1),'Journal'!E682))</f>
        <v/>
      </c>
      <c r="E1362" s="5">
        <f>IF('Journal'!E682="","",IFERROR(INDEX('Kontoplan'!$B$3:$B$302,MATCH('Journal'!E682,'Kontoplan'!$H$3:$H$302,0)),""))</f>
        <v/>
      </c>
      <c r="F1362" s="20">
        <f>IF('Journal'!F682="","",'Journal'!F682)</f>
        <v/>
      </c>
      <c r="G1362" s="20">
        <f>IF('Journal'!G682="","",'Journal'!G682)</f>
        <v/>
      </c>
      <c r="H1362" s="5">
        <f>IF('Journal'!I682="","",'Journal'!I682)</f>
        <v/>
      </c>
    </row>
    <row r="1363">
      <c r="A1363" s="18">
        <f>IF('Journal'!A683="","",'Journal'!A683)</f>
        <v/>
      </c>
      <c r="B1363" s="21">
        <f>IF('Journal'!B683="","",'Journal'!B683)</f>
        <v/>
      </c>
      <c r="C1363" s="5">
        <f>IF('Journal'!C683="","",'Journal'!C683)</f>
        <v/>
      </c>
      <c r="D1363" s="5">
        <f>IF('Journal'!D683="","",IFERROR(LEFT('Journal'!D683,FIND(" ",'Journal'!D683)-1),'Journal'!D683))</f>
        <v/>
      </c>
      <c r="E1363" s="5">
        <f>IF('Journal'!D683="","",IFERROR(INDEX('Kontoplan'!$B$3:$B$302,MATCH('Journal'!D683,'Kontoplan'!$H$3:$H$302,0)),""))</f>
        <v/>
      </c>
      <c r="F1363" s="20">
        <f>IF('Journal'!G683="","",'Journal'!G683)</f>
        <v/>
      </c>
      <c r="G1363" s="20">
        <f>IF('Journal'!F683="","",'Journal'!F683)</f>
        <v/>
      </c>
      <c r="H1363" s="5">
        <f>IF('Journal'!I683="","",'Journal'!I683)</f>
        <v/>
      </c>
    </row>
    <row r="1364">
      <c r="A1364" s="18">
        <f>IF('Journal'!A683="","",'Journal'!A683)</f>
        <v/>
      </c>
      <c r="B1364" s="21">
        <f>IF('Journal'!B683="","",'Journal'!B683)</f>
        <v/>
      </c>
      <c r="C1364" s="5">
        <f>IF('Journal'!C683="","",'Journal'!C683)</f>
        <v/>
      </c>
      <c r="D1364" s="5">
        <f>IF('Journal'!E683="","",IFERROR(LEFT('Journal'!E683,FIND(" ",'Journal'!E683)-1),'Journal'!E683))</f>
        <v/>
      </c>
      <c r="E1364" s="5">
        <f>IF('Journal'!E683="","",IFERROR(INDEX('Kontoplan'!$B$3:$B$302,MATCH('Journal'!E683,'Kontoplan'!$H$3:$H$302,0)),""))</f>
        <v/>
      </c>
      <c r="F1364" s="20">
        <f>IF('Journal'!F683="","",'Journal'!F683)</f>
        <v/>
      </c>
      <c r="G1364" s="20">
        <f>IF('Journal'!G683="","",'Journal'!G683)</f>
        <v/>
      </c>
      <c r="H1364" s="5">
        <f>IF('Journal'!I683="","",'Journal'!I683)</f>
        <v/>
      </c>
    </row>
    <row r="1365">
      <c r="A1365" s="18">
        <f>IF('Journal'!A684="","",'Journal'!A684)</f>
        <v/>
      </c>
      <c r="B1365" s="21">
        <f>IF('Journal'!B684="","",'Journal'!B684)</f>
        <v/>
      </c>
      <c r="C1365" s="5">
        <f>IF('Journal'!C684="","",'Journal'!C684)</f>
        <v/>
      </c>
      <c r="D1365" s="5">
        <f>IF('Journal'!D684="","",IFERROR(LEFT('Journal'!D684,FIND(" ",'Journal'!D684)-1),'Journal'!D684))</f>
        <v/>
      </c>
      <c r="E1365" s="5">
        <f>IF('Journal'!D684="","",IFERROR(INDEX('Kontoplan'!$B$3:$B$302,MATCH('Journal'!D684,'Kontoplan'!$H$3:$H$302,0)),""))</f>
        <v/>
      </c>
      <c r="F1365" s="20">
        <f>IF('Journal'!G684="","",'Journal'!G684)</f>
        <v/>
      </c>
      <c r="G1365" s="20">
        <f>IF('Journal'!F684="","",'Journal'!F684)</f>
        <v/>
      </c>
      <c r="H1365" s="5">
        <f>IF('Journal'!I684="","",'Journal'!I684)</f>
        <v/>
      </c>
    </row>
    <row r="1366">
      <c r="A1366" s="18">
        <f>IF('Journal'!A684="","",'Journal'!A684)</f>
        <v/>
      </c>
      <c r="B1366" s="21">
        <f>IF('Journal'!B684="","",'Journal'!B684)</f>
        <v/>
      </c>
      <c r="C1366" s="5">
        <f>IF('Journal'!C684="","",'Journal'!C684)</f>
        <v/>
      </c>
      <c r="D1366" s="5">
        <f>IF('Journal'!E684="","",IFERROR(LEFT('Journal'!E684,FIND(" ",'Journal'!E684)-1),'Journal'!E684))</f>
        <v/>
      </c>
      <c r="E1366" s="5">
        <f>IF('Journal'!E684="","",IFERROR(INDEX('Kontoplan'!$B$3:$B$302,MATCH('Journal'!E684,'Kontoplan'!$H$3:$H$302,0)),""))</f>
        <v/>
      </c>
      <c r="F1366" s="20">
        <f>IF('Journal'!F684="","",'Journal'!F684)</f>
        <v/>
      </c>
      <c r="G1366" s="20">
        <f>IF('Journal'!G684="","",'Journal'!G684)</f>
        <v/>
      </c>
      <c r="H1366" s="5">
        <f>IF('Journal'!I684="","",'Journal'!I684)</f>
        <v/>
      </c>
    </row>
    <row r="1367">
      <c r="A1367" s="18">
        <f>IF('Journal'!A685="","",'Journal'!A685)</f>
        <v/>
      </c>
      <c r="B1367" s="21">
        <f>IF('Journal'!B685="","",'Journal'!B685)</f>
        <v/>
      </c>
      <c r="C1367" s="5">
        <f>IF('Journal'!C685="","",'Journal'!C685)</f>
        <v/>
      </c>
      <c r="D1367" s="5">
        <f>IF('Journal'!D685="","",IFERROR(LEFT('Journal'!D685,FIND(" ",'Journal'!D685)-1),'Journal'!D685))</f>
        <v/>
      </c>
      <c r="E1367" s="5">
        <f>IF('Journal'!D685="","",IFERROR(INDEX('Kontoplan'!$B$3:$B$302,MATCH('Journal'!D685,'Kontoplan'!$H$3:$H$302,0)),""))</f>
        <v/>
      </c>
      <c r="F1367" s="20">
        <f>IF('Journal'!G685="","",'Journal'!G685)</f>
        <v/>
      </c>
      <c r="G1367" s="20">
        <f>IF('Journal'!F685="","",'Journal'!F685)</f>
        <v/>
      </c>
      <c r="H1367" s="5">
        <f>IF('Journal'!I685="","",'Journal'!I685)</f>
        <v/>
      </c>
    </row>
    <row r="1368">
      <c r="A1368" s="18">
        <f>IF('Journal'!A685="","",'Journal'!A685)</f>
        <v/>
      </c>
      <c r="B1368" s="21">
        <f>IF('Journal'!B685="","",'Journal'!B685)</f>
        <v/>
      </c>
      <c r="C1368" s="5">
        <f>IF('Journal'!C685="","",'Journal'!C685)</f>
        <v/>
      </c>
      <c r="D1368" s="5">
        <f>IF('Journal'!E685="","",IFERROR(LEFT('Journal'!E685,FIND(" ",'Journal'!E685)-1),'Journal'!E685))</f>
        <v/>
      </c>
      <c r="E1368" s="5">
        <f>IF('Journal'!E685="","",IFERROR(INDEX('Kontoplan'!$B$3:$B$302,MATCH('Journal'!E685,'Kontoplan'!$H$3:$H$302,0)),""))</f>
        <v/>
      </c>
      <c r="F1368" s="20">
        <f>IF('Journal'!F685="","",'Journal'!F685)</f>
        <v/>
      </c>
      <c r="G1368" s="20">
        <f>IF('Journal'!G685="","",'Journal'!G685)</f>
        <v/>
      </c>
      <c r="H1368" s="5">
        <f>IF('Journal'!I685="","",'Journal'!I685)</f>
        <v/>
      </c>
    </row>
    <row r="1369">
      <c r="A1369" s="18">
        <f>IF('Journal'!A686="","",'Journal'!A686)</f>
        <v/>
      </c>
      <c r="B1369" s="21">
        <f>IF('Journal'!B686="","",'Journal'!B686)</f>
        <v/>
      </c>
      <c r="C1369" s="5">
        <f>IF('Journal'!C686="","",'Journal'!C686)</f>
        <v/>
      </c>
      <c r="D1369" s="5">
        <f>IF('Journal'!D686="","",IFERROR(LEFT('Journal'!D686,FIND(" ",'Journal'!D686)-1),'Journal'!D686))</f>
        <v/>
      </c>
      <c r="E1369" s="5">
        <f>IF('Journal'!D686="","",IFERROR(INDEX('Kontoplan'!$B$3:$B$302,MATCH('Journal'!D686,'Kontoplan'!$H$3:$H$302,0)),""))</f>
        <v/>
      </c>
      <c r="F1369" s="20">
        <f>IF('Journal'!G686="","",'Journal'!G686)</f>
        <v/>
      </c>
      <c r="G1369" s="20">
        <f>IF('Journal'!F686="","",'Journal'!F686)</f>
        <v/>
      </c>
      <c r="H1369" s="5">
        <f>IF('Journal'!I686="","",'Journal'!I686)</f>
        <v/>
      </c>
    </row>
    <row r="1370">
      <c r="A1370" s="18">
        <f>IF('Journal'!A686="","",'Journal'!A686)</f>
        <v/>
      </c>
      <c r="B1370" s="21">
        <f>IF('Journal'!B686="","",'Journal'!B686)</f>
        <v/>
      </c>
      <c r="C1370" s="5">
        <f>IF('Journal'!C686="","",'Journal'!C686)</f>
        <v/>
      </c>
      <c r="D1370" s="5">
        <f>IF('Journal'!E686="","",IFERROR(LEFT('Journal'!E686,FIND(" ",'Journal'!E686)-1),'Journal'!E686))</f>
        <v/>
      </c>
      <c r="E1370" s="5">
        <f>IF('Journal'!E686="","",IFERROR(INDEX('Kontoplan'!$B$3:$B$302,MATCH('Journal'!E686,'Kontoplan'!$H$3:$H$302,0)),""))</f>
        <v/>
      </c>
      <c r="F1370" s="20">
        <f>IF('Journal'!F686="","",'Journal'!F686)</f>
        <v/>
      </c>
      <c r="G1370" s="20">
        <f>IF('Journal'!G686="","",'Journal'!G686)</f>
        <v/>
      </c>
      <c r="H1370" s="5">
        <f>IF('Journal'!I686="","",'Journal'!I686)</f>
        <v/>
      </c>
    </row>
    <row r="1371">
      <c r="A1371" s="18">
        <f>IF('Journal'!A687="","",'Journal'!A687)</f>
        <v/>
      </c>
      <c r="B1371" s="21">
        <f>IF('Journal'!B687="","",'Journal'!B687)</f>
        <v/>
      </c>
      <c r="C1371" s="5">
        <f>IF('Journal'!C687="","",'Journal'!C687)</f>
        <v/>
      </c>
      <c r="D1371" s="5">
        <f>IF('Journal'!D687="","",IFERROR(LEFT('Journal'!D687,FIND(" ",'Journal'!D687)-1),'Journal'!D687))</f>
        <v/>
      </c>
      <c r="E1371" s="5">
        <f>IF('Journal'!D687="","",IFERROR(INDEX('Kontoplan'!$B$3:$B$302,MATCH('Journal'!D687,'Kontoplan'!$H$3:$H$302,0)),""))</f>
        <v/>
      </c>
      <c r="F1371" s="20">
        <f>IF('Journal'!G687="","",'Journal'!G687)</f>
        <v/>
      </c>
      <c r="G1371" s="20">
        <f>IF('Journal'!F687="","",'Journal'!F687)</f>
        <v/>
      </c>
      <c r="H1371" s="5">
        <f>IF('Journal'!I687="","",'Journal'!I687)</f>
        <v/>
      </c>
    </row>
    <row r="1372">
      <c r="A1372" s="18">
        <f>IF('Journal'!A687="","",'Journal'!A687)</f>
        <v/>
      </c>
      <c r="B1372" s="21">
        <f>IF('Journal'!B687="","",'Journal'!B687)</f>
        <v/>
      </c>
      <c r="C1372" s="5">
        <f>IF('Journal'!C687="","",'Journal'!C687)</f>
        <v/>
      </c>
      <c r="D1372" s="5">
        <f>IF('Journal'!E687="","",IFERROR(LEFT('Journal'!E687,FIND(" ",'Journal'!E687)-1),'Journal'!E687))</f>
        <v/>
      </c>
      <c r="E1372" s="5">
        <f>IF('Journal'!E687="","",IFERROR(INDEX('Kontoplan'!$B$3:$B$302,MATCH('Journal'!E687,'Kontoplan'!$H$3:$H$302,0)),""))</f>
        <v/>
      </c>
      <c r="F1372" s="20">
        <f>IF('Journal'!F687="","",'Journal'!F687)</f>
        <v/>
      </c>
      <c r="G1372" s="20">
        <f>IF('Journal'!G687="","",'Journal'!G687)</f>
        <v/>
      </c>
      <c r="H1372" s="5">
        <f>IF('Journal'!I687="","",'Journal'!I687)</f>
        <v/>
      </c>
    </row>
    <row r="1373">
      <c r="A1373" s="18">
        <f>IF('Journal'!A688="","",'Journal'!A688)</f>
        <v/>
      </c>
      <c r="B1373" s="21">
        <f>IF('Journal'!B688="","",'Journal'!B688)</f>
        <v/>
      </c>
      <c r="C1373" s="5">
        <f>IF('Journal'!C688="","",'Journal'!C688)</f>
        <v/>
      </c>
      <c r="D1373" s="5">
        <f>IF('Journal'!D688="","",IFERROR(LEFT('Journal'!D688,FIND(" ",'Journal'!D688)-1),'Journal'!D688))</f>
        <v/>
      </c>
      <c r="E1373" s="5">
        <f>IF('Journal'!D688="","",IFERROR(INDEX('Kontoplan'!$B$3:$B$302,MATCH('Journal'!D688,'Kontoplan'!$H$3:$H$302,0)),""))</f>
        <v/>
      </c>
      <c r="F1373" s="20">
        <f>IF('Journal'!G688="","",'Journal'!G688)</f>
        <v/>
      </c>
      <c r="G1373" s="20">
        <f>IF('Journal'!F688="","",'Journal'!F688)</f>
        <v/>
      </c>
      <c r="H1373" s="5">
        <f>IF('Journal'!I688="","",'Journal'!I688)</f>
        <v/>
      </c>
    </row>
    <row r="1374">
      <c r="A1374" s="18">
        <f>IF('Journal'!A688="","",'Journal'!A688)</f>
        <v/>
      </c>
      <c r="B1374" s="21">
        <f>IF('Journal'!B688="","",'Journal'!B688)</f>
        <v/>
      </c>
      <c r="C1374" s="5">
        <f>IF('Journal'!C688="","",'Journal'!C688)</f>
        <v/>
      </c>
      <c r="D1374" s="5">
        <f>IF('Journal'!E688="","",IFERROR(LEFT('Journal'!E688,FIND(" ",'Journal'!E688)-1),'Journal'!E688))</f>
        <v/>
      </c>
      <c r="E1374" s="5">
        <f>IF('Journal'!E688="","",IFERROR(INDEX('Kontoplan'!$B$3:$B$302,MATCH('Journal'!E688,'Kontoplan'!$H$3:$H$302,0)),""))</f>
        <v/>
      </c>
      <c r="F1374" s="20">
        <f>IF('Journal'!F688="","",'Journal'!F688)</f>
        <v/>
      </c>
      <c r="G1374" s="20">
        <f>IF('Journal'!G688="","",'Journal'!G688)</f>
        <v/>
      </c>
      <c r="H1374" s="5">
        <f>IF('Journal'!I688="","",'Journal'!I688)</f>
        <v/>
      </c>
    </row>
    <row r="1375">
      <c r="A1375" s="18">
        <f>IF('Journal'!A689="","",'Journal'!A689)</f>
        <v/>
      </c>
      <c r="B1375" s="21">
        <f>IF('Journal'!B689="","",'Journal'!B689)</f>
        <v/>
      </c>
      <c r="C1375" s="5">
        <f>IF('Journal'!C689="","",'Journal'!C689)</f>
        <v/>
      </c>
      <c r="D1375" s="5">
        <f>IF('Journal'!D689="","",IFERROR(LEFT('Journal'!D689,FIND(" ",'Journal'!D689)-1),'Journal'!D689))</f>
        <v/>
      </c>
      <c r="E1375" s="5">
        <f>IF('Journal'!D689="","",IFERROR(INDEX('Kontoplan'!$B$3:$B$302,MATCH('Journal'!D689,'Kontoplan'!$H$3:$H$302,0)),""))</f>
        <v/>
      </c>
      <c r="F1375" s="20">
        <f>IF('Journal'!G689="","",'Journal'!G689)</f>
        <v/>
      </c>
      <c r="G1375" s="20">
        <f>IF('Journal'!F689="","",'Journal'!F689)</f>
        <v/>
      </c>
      <c r="H1375" s="5">
        <f>IF('Journal'!I689="","",'Journal'!I689)</f>
        <v/>
      </c>
    </row>
    <row r="1376">
      <c r="A1376" s="18">
        <f>IF('Journal'!A689="","",'Journal'!A689)</f>
        <v/>
      </c>
      <c r="B1376" s="21">
        <f>IF('Journal'!B689="","",'Journal'!B689)</f>
        <v/>
      </c>
      <c r="C1376" s="5">
        <f>IF('Journal'!C689="","",'Journal'!C689)</f>
        <v/>
      </c>
      <c r="D1376" s="5">
        <f>IF('Journal'!E689="","",IFERROR(LEFT('Journal'!E689,FIND(" ",'Journal'!E689)-1),'Journal'!E689))</f>
        <v/>
      </c>
      <c r="E1376" s="5">
        <f>IF('Journal'!E689="","",IFERROR(INDEX('Kontoplan'!$B$3:$B$302,MATCH('Journal'!E689,'Kontoplan'!$H$3:$H$302,0)),""))</f>
        <v/>
      </c>
      <c r="F1376" s="20">
        <f>IF('Journal'!F689="","",'Journal'!F689)</f>
        <v/>
      </c>
      <c r="G1376" s="20">
        <f>IF('Journal'!G689="","",'Journal'!G689)</f>
        <v/>
      </c>
      <c r="H1376" s="5">
        <f>IF('Journal'!I689="","",'Journal'!I689)</f>
        <v/>
      </c>
    </row>
    <row r="1377">
      <c r="A1377" s="18">
        <f>IF('Journal'!A690="","",'Journal'!A690)</f>
        <v/>
      </c>
      <c r="B1377" s="21">
        <f>IF('Journal'!B690="","",'Journal'!B690)</f>
        <v/>
      </c>
      <c r="C1377" s="5">
        <f>IF('Journal'!C690="","",'Journal'!C690)</f>
        <v/>
      </c>
      <c r="D1377" s="5">
        <f>IF('Journal'!D690="","",IFERROR(LEFT('Journal'!D690,FIND(" ",'Journal'!D690)-1),'Journal'!D690))</f>
        <v/>
      </c>
      <c r="E1377" s="5">
        <f>IF('Journal'!D690="","",IFERROR(INDEX('Kontoplan'!$B$3:$B$302,MATCH('Journal'!D690,'Kontoplan'!$H$3:$H$302,0)),""))</f>
        <v/>
      </c>
      <c r="F1377" s="20">
        <f>IF('Journal'!G690="","",'Journal'!G690)</f>
        <v/>
      </c>
      <c r="G1377" s="20">
        <f>IF('Journal'!F690="","",'Journal'!F690)</f>
        <v/>
      </c>
      <c r="H1377" s="5">
        <f>IF('Journal'!I690="","",'Journal'!I690)</f>
        <v/>
      </c>
    </row>
    <row r="1378">
      <c r="A1378" s="18">
        <f>IF('Journal'!A690="","",'Journal'!A690)</f>
        <v/>
      </c>
      <c r="B1378" s="21">
        <f>IF('Journal'!B690="","",'Journal'!B690)</f>
        <v/>
      </c>
      <c r="C1378" s="5">
        <f>IF('Journal'!C690="","",'Journal'!C690)</f>
        <v/>
      </c>
      <c r="D1378" s="5">
        <f>IF('Journal'!E690="","",IFERROR(LEFT('Journal'!E690,FIND(" ",'Journal'!E690)-1),'Journal'!E690))</f>
        <v/>
      </c>
      <c r="E1378" s="5">
        <f>IF('Journal'!E690="","",IFERROR(INDEX('Kontoplan'!$B$3:$B$302,MATCH('Journal'!E690,'Kontoplan'!$H$3:$H$302,0)),""))</f>
        <v/>
      </c>
      <c r="F1378" s="20">
        <f>IF('Journal'!F690="","",'Journal'!F690)</f>
        <v/>
      </c>
      <c r="G1378" s="20">
        <f>IF('Journal'!G690="","",'Journal'!G690)</f>
        <v/>
      </c>
      <c r="H1378" s="5">
        <f>IF('Journal'!I690="","",'Journal'!I690)</f>
        <v/>
      </c>
    </row>
    <row r="1379">
      <c r="A1379" s="18">
        <f>IF('Journal'!A691="","",'Journal'!A691)</f>
        <v/>
      </c>
      <c r="B1379" s="21">
        <f>IF('Journal'!B691="","",'Journal'!B691)</f>
        <v/>
      </c>
      <c r="C1379" s="5">
        <f>IF('Journal'!C691="","",'Journal'!C691)</f>
        <v/>
      </c>
      <c r="D1379" s="5">
        <f>IF('Journal'!D691="","",IFERROR(LEFT('Journal'!D691,FIND(" ",'Journal'!D691)-1),'Journal'!D691))</f>
        <v/>
      </c>
      <c r="E1379" s="5">
        <f>IF('Journal'!D691="","",IFERROR(INDEX('Kontoplan'!$B$3:$B$302,MATCH('Journal'!D691,'Kontoplan'!$H$3:$H$302,0)),""))</f>
        <v/>
      </c>
      <c r="F1379" s="20">
        <f>IF('Journal'!G691="","",'Journal'!G691)</f>
        <v/>
      </c>
      <c r="G1379" s="20">
        <f>IF('Journal'!F691="","",'Journal'!F691)</f>
        <v/>
      </c>
      <c r="H1379" s="5">
        <f>IF('Journal'!I691="","",'Journal'!I691)</f>
        <v/>
      </c>
    </row>
    <row r="1380">
      <c r="A1380" s="18">
        <f>IF('Journal'!A691="","",'Journal'!A691)</f>
        <v/>
      </c>
      <c r="B1380" s="21">
        <f>IF('Journal'!B691="","",'Journal'!B691)</f>
        <v/>
      </c>
      <c r="C1380" s="5">
        <f>IF('Journal'!C691="","",'Journal'!C691)</f>
        <v/>
      </c>
      <c r="D1380" s="5">
        <f>IF('Journal'!E691="","",IFERROR(LEFT('Journal'!E691,FIND(" ",'Journal'!E691)-1),'Journal'!E691))</f>
        <v/>
      </c>
      <c r="E1380" s="5">
        <f>IF('Journal'!E691="","",IFERROR(INDEX('Kontoplan'!$B$3:$B$302,MATCH('Journal'!E691,'Kontoplan'!$H$3:$H$302,0)),""))</f>
        <v/>
      </c>
      <c r="F1380" s="20">
        <f>IF('Journal'!F691="","",'Journal'!F691)</f>
        <v/>
      </c>
      <c r="G1380" s="20">
        <f>IF('Journal'!G691="","",'Journal'!G691)</f>
        <v/>
      </c>
      <c r="H1380" s="5">
        <f>IF('Journal'!I691="","",'Journal'!I691)</f>
        <v/>
      </c>
    </row>
    <row r="1381">
      <c r="A1381" s="18">
        <f>IF('Journal'!A692="","",'Journal'!A692)</f>
        <v/>
      </c>
      <c r="B1381" s="21">
        <f>IF('Journal'!B692="","",'Journal'!B692)</f>
        <v/>
      </c>
      <c r="C1381" s="5">
        <f>IF('Journal'!C692="","",'Journal'!C692)</f>
        <v/>
      </c>
      <c r="D1381" s="5">
        <f>IF('Journal'!D692="","",IFERROR(LEFT('Journal'!D692,FIND(" ",'Journal'!D692)-1),'Journal'!D692))</f>
        <v/>
      </c>
      <c r="E1381" s="5">
        <f>IF('Journal'!D692="","",IFERROR(INDEX('Kontoplan'!$B$3:$B$302,MATCH('Journal'!D692,'Kontoplan'!$H$3:$H$302,0)),""))</f>
        <v/>
      </c>
      <c r="F1381" s="20">
        <f>IF('Journal'!G692="","",'Journal'!G692)</f>
        <v/>
      </c>
      <c r="G1381" s="20">
        <f>IF('Journal'!F692="","",'Journal'!F692)</f>
        <v/>
      </c>
      <c r="H1381" s="5">
        <f>IF('Journal'!I692="","",'Journal'!I692)</f>
        <v/>
      </c>
    </row>
    <row r="1382">
      <c r="A1382" s="18">
        <f>IF('Journal'!A692="","",'Journal'!A692)</f>
        <v/>
      </c>
      <c r="B1382" s="21">
        <f>IF('Journal'!B692="","",'Journal'!B692)</f>
        <v/>
      </c>
      <c r="C1382" s="5">
        <f>IF('Journal'!C692="","",'Journal'!C692)</f>
        <v/>
      </c>
      <c r="D1382" s="5">
        <f>IF('Journal'!E692="","",IFERROR(LEFT('Journal'!E692,FIND(" ",'Journal'!E692)-1),'Journal'!E692))</f>
        <v/>
      </c>
      <c r="E1382" s="5">
        <f>IF('Journal'!E692="","",IFERROR(INDEX('Kontoplan'!$B$3:$B$302,MATCH('Journal'!E692,'Kontoplan'!$H$3:$H$302,0)),""))</f>
        <v/>
      </c>
      <c r="F1382" s="20">
        <f>IF('Journal'!F692="","",'Journal'!F692)</f>
        <v/>
      </c>
      <c r="G1382" s="20">
        <f>IF('Journal'!G692="","",'Journal'!G692)</f>
        <v/>
      </c>
      <c r="H1382" s="5">
        <f>IF('Journal'!I692="","",'Journal'!I692)</f>
        <v/>
      </c>
    </row>
    <row r="1383">
      <c r="A1383" s="18">
        <f>IF('Journal'!A693="","",'Journal'!A693)</f>
        <v/>
      </c>
      <c r="B1383" s="21">
        <f>IF('Journal'!B693="","",'Journal'!B693)</f>
        <v/>
      </c>
      <c r="C1383" s="5">
        <f>IF('Journal'!C693="","",'Journal'!C693)</f>
        <v/>
      </c>
      <c r="D1383" s="5">
        <f>IF('Journal'!D693="","",IFERROR(LEFT('Journal'!D693,FIND(" ",'Journal'!D693)-1),'Journal'!D693))</f>
        <v/>
      </c>
      <c r="E1383" s="5">
        <f>IF('Journal'!D693="","",IFERROR(INDEX('Kontoplan'!$B$3:$B$302,MATCH('Journal'!D693,'Kontoplan'!$H$3:$H$302,0)),""))</f>
        <v/>
      </c>
      <c r="F1383" s="20">
        <f>IF('Journal'!G693="","",'Journal'!G693)</f>
        <v/>
      </c>
      <c r="G1383" s="20">
        <f>IF('Journal'!F693="","",'Journal'!F693)</f>
        <v/>
      </c>
      <c r="H1383" s="5">
        <f>IF('Journal'!I693="","",'Journal'!I693)</f>
        <v/>
      </c>
    </row>
    <row r="1384">
      <c r="A1384" s="18">
        <f>IF('Journal'!A693="","",'Journal'!A693)</f>
        <v/>
      </c>
      <c r="B1384" s="21">
        <f>IF('Journal'!B693="","",'Journal'!B693)</f>
        <v/>
      </c>
      <c r="C1384" s="5">
        <f>IF('Journal'!C693="","",'Journal'!C693)</f>
        <v/>
      </c>
      <c r="D1384" s="5">
        <f>IF('Journal'!E693="","",IFERROR(LEFT('Journal'!E693,FIND(" ",'Journal'!E693)-1),'Journal'!E693))</f>
        <v/>
      </c>
      <c r="E1384" s="5">
        <f>IF('Journal'!E693="","",IFERROR(INDEX('Kontoplan'!$B$3:$B$302,MATCH('Journal'!E693,'Kontoplan'!$H$3:$H$302,0)),""))</f>
        <v/>
      </c>
      <c r="F1384" s="20">
        <f>IF('Journal'!F693="","",'Journal'!F693)</f>
        <v/>
      </c>
      <c r="G1384" s="20">
        <f>IF('Journal'!G693="","",'Journal'!G693)</f>
        <v/>
      </c>
      <c r="H1384" s="5">
        <f>IF('Journal'!I693="","",'Journal'!I693)</f>
        <v/>
      </c>
    </row>
    <row r="1385">
      <c r="A1385" s="18">
        <f>IF('Journal'!A694="","",'Journal'!A694)</f>
        <v/>
      </c>
      <c r="B1385" s="21">
        <f>IF('Journal'!B694="","",'Journal'!B694)</f>
        <v/>
      </c>
      <c r="C1385" s="5">
        <f>IF('Journal'!C694="","",'Journal'!C694)</f>
        <v/>
      </c>
      <c r="D1385" s="5">
        <f>IF('Journal'!D694="","",IFERROR(LEFT('Journal'!D694,FIND(" ",'Journal'!D694)-1),'Journal'!D694))</f>
        <v/>
      </c>
      <c r="E1385" s="5">
        <f>IF('Journal'!D694="","",IFERROR(INDEX('Kontoplan'!$B$3:$B$302,MATCH('Journal'!D694,'Kontoplan'!$H$3:$H$302,0)),""))</f>
        <v/>
      </c>
      <c r="F1385" s="20">
        <f>IF('Journal'!G694="","",'Journal'!G694)</f>
        <v/>
      </c>
      <c r="G1385" s="20">
        <f>IF('Journal'!F694="","",'Journal'!F694)</f>
        <v/>
      </c>
      <c r="H1385" s="5">
        <f>IF('Journal'!I694="","",'Journal'!I694)</f>
        <v/>
      </c>
    </row>
    <row r="1386">
      <c r="A1386" s="18">
        <f>IF('Journal'!A694="","",'Journal'!A694)</f>
        <v/>
      </c>
      <c r="B1386" s="21">
        <f>IF('Journal'!B694="","",'Journal'!B694)</f>
        <v/>
      </c>
      <c r="C1386" s="5">
        <f>IF('Journal'!C694="","",'Journal'!C694)</f>
        <v/>
      </c>
      <c r="D1386" s="5">
        <f>IF('Journal'!E694="","",IFERROR(LEFT('Journal'!E694,FIND(" ",'Journal'!E694)-1),'Journal'!E694))</f>
        <v/>
      </c>
      <c r="E1386" s="5">
        <f>IF('Journal'!E694="","",IFERROR(INDEX('Kontoplan'!$B$3:$B$302,MATCH('Journal'!E694,'Kontoplan'!$H$3:$H$302,0)),""))</f>
        <v/>
      </c>
      <c r="F1386" s="20">
        <f>IF('Journal'!F694="","",'Journal'!F694)</f>
        <v/>
      </c>
      <c r="G1386" s="20">
        <f>IF('Journal'!G694="","",'Journal'!G694)</f>
        <v/>
      </c>
      <c r="H1386" s="5">
        <f>IF('Journal'!I694="","",'Journal'!I694)</f>
        <v/>
      </c>
    </row>
    <row r="1387">
      <c r="A1387" s="18">
        <f>IF('Journal'!A695="","",'Journal'!A695)</f>
        <v/>
      </c>
      <c r="B1387" s="21">
        <f>IF('Journal'!B695="","",'Journal'!B695)</f>
        <v/>
      </c>
      <c r="C1387" s="5">
        <f>IF('Journal'!C695="","",'Journal'!C695)</f>
        <v/>
      </c>
      <c r="D1387" s="5">
        <f>IF('Journal'!D695="","",IFERROR(LEFT('Journal'!D695,FIND(" ",'Journal'!D695)-1),'Journal'!D695))</f>
        <v/>
      </c>
      <c r="E1387" s="5">
        <f>IF('Journal'!D695="","",IFERROR(INDEX('Kontoplan'!$B$3:$B$302,MATCH('Journal'!D695,'Kontoplan'!$H$3:$H$302,0)),""))</f>
        <v/>
      </c>
      <c r="F1387" s="20">
        <f>IF('Journal'!G695="","",'Journal'!G695)</f>
        <v/>
      </c>
      <c r="G1387" s="20">
        <f>IF('Journal'!F695="","",'Journal'!F695)</f>
        <v/>
      </c>
      <c r="H1387" s="5">
        <f>IF('Journal'!I695="","",'Journal'!I695)</f>
        <v/>
      </c>
    </row>
    <row r="1388">
      <c r="A1388" s="18">
        <f>IF('Journal'!A695="","",'Journal'!A695)</f>
        <v/>
      </c>
      <c r="B1388" s="21">
        <f>IF('Journal'!B695="","",'Journal'!B695)</f>
        <v/>
      </c>
      <c r="C1388" s="5">
        <f>IF('Journal'!C695="","",'Journal'!C695)</f>
        <v/>
      </c>
      <c r="D1388" s="5">
        <f>IF('Journal'!E695="","",IFERROR(LEFT('Journal'!E695,FIND(" ",'Journal'!E695)-1),'Journal'!E695))</f>
        <v/>
      </c>
      <c r="E1388" s="5">
        <f>IF('Journal'!E695="","",IFERROR(INDEX('Kontoplan'!$B$3:$B$302,MATCH('Journal'!E695,'Kontoplan'!$H$3:$H$302,0)),""))</f>
        <v/>
      </c>
      <c r="F1388" s="20">
        <f>IF('Journal'!F695="","",'Journal'!F695)</f>
        <v/>
      </c>
      <c r="G1388" s="20">
        <f>IF('Journal'!G695="","",'Journal'!G695)</f>
        <v/>
      </c>
      <c r="H1388" s="5">
        <f>IF('Journal'!I695="","",'Journal'!I695)</f>
        <v/>
      </c>
    </row>
    <row r="1389">
      <c r="A1389" s="18">
        <f>IF('Journal'!A696="","",'Journal'!A696)</f>
        <v/>
      </c>
      <c r="B1389" s="21">
        <f>IF('Journal'!B696="","",'Journal'!B696)</f>
        <v/>
      </c>
      <c r="C1389" s="5">
        <f>IF('Journal'!C696="","",'Journal'!C696)</f>
        <v/>
      </c>
      <c r="D1389" s="5">
        <f>IF('Journal'!D696="","",IFERROR(LEFT('Journal'!D696,FIND(" ",'Journal'!D696)-1),'Journal'!D696))</f>
        <v/>
      </c>
      <c r="E1389" s="5">
        <f>IF('Journal'!D696="","",IFERROR(INDEX('Kontoplan'!$B$3:$B$302,MATCH('Journal'!D696,'Kontoplan'!$H$3:$H$302,0)),""))</f>
        <v/>
      </c>
      <c r="F1389" s="20">
        <f>IF('Journal'!G696="","",'Journal'!G696)</f>
        <v/>
      </c>
      <c r="G1389" s="20">
        <f>IF('Journal'!F696="","",'Journal'!F696)</f>
        <v/>
      </c>
      <c r="H1389" s="5">
        <f>IF('Journal'!I696="","",'Journal'!I696)</f>
        <v/>
      </c>
    </row>
    <row r="1390">
      <c r="A1390" s="18">
        <f>IF('Journal'!A696="","",'Journal'!A696)</f>
        <v/>
      </c>
      <c r="B1390" s="21">
        <f>IF('Journal'!B696="","",'Journal'!B696)</f>
        <v/>
      </c>
      <c r="C1390" s="5">
        <f>IF('Journal'!C696="","",'Journal'!C696)</f>
        <v/>
      </c>
      <c r="D1390" s="5">
        <f>IF('Journal'!E696="","",IFERROR(LEFT('Journal'!E696,FIND(" ",'Journal'!E696)-1),'Journal'!E696))</f>
        <v/>
      </c>
      <c r="E1390" s="5">
        <f>IF('Journal'!E696="","",IFERROR(INDEX('Kontoplan'!$B$3:$B$302,MATCH('Journal'!E696,'Kontoplan'!$H$3:$H$302,0)),""))</f>
        <v/>
      </c>
      <c r="F1390" s="20">
        <f>IF('Journal'!F696="","",'Journal'!F696)</f>
        <v/>
      </c>
      <c r="G1390" s="20">
        <f>IF('Journal'!G696="","",'Journal'!G696)</f>
        <v/>
      </c>
      <c r="H1390" s="5">
        <f>IF('Journal'!I696="","",'Journal'!I696)</f>
        <v/>
      </c>
    </row>
    <row r="1391">
      <c r="A1391" s="18">
        <f>IF('Journal'!A697="","",'Journal'!A697)</f>
        <v/>
      </c>
      <c r="B1391" s="21">
        <f>IF('Journal'!B697="","",'Journal'!B697)</f>
        <v/>
      </c>
      <c r="C1391" s="5">
        <f>IF('Journal'!C697="","",'Journal'!C697)</f>
        <v/>
      </c>
      <c r="D1391" s="5">
        <f>IF('Journal'!D697="","",IFERROR(LEFT('Journal'!D697,FIND(" ",'Journal'!D697)-1),'Journal'!D697))</f>
        <v/>
      </c>
      <c r="E1391" s="5">
        <f>IF('Journal'!D697="","",IFERROR(INDEX('Kontoplan'!$B$3:$B$302,MATCH('Journal'!D697,'Kontoplan'!$H$3:$H$302,0)),""))</f>
        <v/>
      </c>
      <c r="F1391" s="20">
        <f>IF('Journal'!G697="","",'Journal'!G697)</f>
        <v/>
      </c>
      <c r="G1391" s="20">
        <f>IF('Journal'!F697="","",'Journal'!F697)</f>
        <v/>
      </c>
      <c r="H1391" s="5">
        <f>IF('Journal'!I697="","",'Journal'!I697)</f>
        <v/>
      </c>
    </row>
    <row r="1392">
      <c r="A1392" s="18">
        <f>IF('Journal'!A697="","",'Journal'!A697)</f>
        <v/>
      </c>
      <c r="B1392" s="21">
        <f>IF('Journal'!B697="","",'Journal'!B697)</f>
        <v/>
      </c>
      <c r="C1392" s="5">
        <f>IF('Journal'!C697="","",'Journal'!C697)</f>
        <v/>
      </c>
      <c r="D1392" s="5">
        <f>IF('Journal'!E697="","",IFERROR(LEFT('Journal'!E697,FIND(" ",'Journal'!E697)-1),'Journal'!E697))</f>
        <v/>
      </c>
      <c r="E1392" s="5">
        <f>IF('Journal'!E697="","",IFERROR(INDEX('Kontoplan'!$B$3:$B$302,MATCH('Journal'!E697,'Kontoplan'!$H$3:$H$302,0)),""))</f>
        <v/>
      </c>
      <c r="F1392" s="20">
        <f>IF('Journal'!F697="","",'Journal'!F697)</f>
        <v/>
      </c>
      <c r="G1392" s="20">
        <f>IF('Journal'!G697="","",'Journal'!G697)</f>
        <v/>
      </c>
      <c r="H1392" s="5">
        <f>IF('Journal'!I697="","",'Journal'!I697)</f>
        <v/>
      </c>
    </row>
    <row r="1393">
      <c r="A1393" s="18">
        <f>IF('Journal'!A698="","",'Journal'!A698)</f>
        <v/>
      </c>
      <c r="B1393" s="21">
        <f>IF('Journal'!B698="","",'Journal'!B698)</f>
        <v/>
      </c>
      <c r="C1393" s="5">
        <f>IF('Journal'!C698="","",'Journal'!C698)</f>
        <v/>
      </c>
      <c r="D1393" s="5">
        <f>IF('Journal'!D698="","",IFERROR(LEFT('Journal'!D698,FIND(" ",'Journal'!D698)-1),'Journal'!D698))</f>
        <v/>
      </c>
      <c r="E1393" s="5">
        <f>IF('Journal'!D698="","",IFERROR(INDEX('Kontoplan'!$B$3:$B$302,MATCH('Journal'!D698,'Kontoplan'!$H$3:$H$302,0)),""))</f>
        <v/>
      </c>
      <c r="F1393" s="20">
        <f>IF('Journal'!G698="","",'Journal'!G698)</f>
        <v/>
      </c>
      <c r="G1393" s="20">
        <f>IF('Journal'!F698="","",'Journal'!F698)</f>
        <v/>
      </c>
      <c r="H1393" s="5">
        <f>IF('Journal'!I698="","",'Journal'!I698)</f>
        <v/>
      </c>
    </row>
    <row r="1394">
      <c r="A1394" s="18">
        <f>IF('Journal'!A698="","",'Journal'!A698)</f>
        <v/>
      </c>
      <c r="B1394" s="21">
        <f>IF('Journal'!B698="","",'Journal'!B698)</f>
        <v/>
      </c>
      <c r="C1394" s="5">
        <f>IF('Journal'!C698="","",'Journal'!C698)</f>
        <v/>
      </c>
      <c r="D1394" s="5">
        <f>IF('Journal'!E698="","",IFERROR(LEFT('Journal'!E698,FIND(" ",'Journal'!E698)-1),'Journal'!E698))</f>
        <v/>
      </c>
      <c r="E1394" s="5">
        <f>IF('Journal'!E698="","",IFERROR(INDEX('Kontoplan'!$B$3:$B$302,MATCH('Journal'!E698,'Kontoplan'!$H$3:$H$302,0)),""))</f>
        <v/>
      </c>
      <c r="F1394" s="20">
        <f>IF('Journal'!F698="","",'Journal'!F698)</f>
        <v/>
      </c>
      <c r="G1394" s="20">
        <f>IF('Journal'!G698="","",'Journal'!G698)</f>
        <v/>
      </c>
      <c r="H1394" s="5">
        <f>IF('Journal'!I698="","",'Journal'!I698)</f>
        <v/>
      </c>
    </row>
    <row r="1395">
      <c r="A1395" s="18">
        <f>IF('Journal'!A699="","",'Journal'!A699)</f>
        <v/>
      </c>
      <c r="B1395" s="21">
        <f>IF('Journal'!B699="","",'Journal'!B699)</f>
        <v/>
      </c>
      <c r="C1395" s="5">
        <f>IF('Journal'!C699="","",'Journal'!C699)</f>
        <v/>
      </c>
      <c r="D1395" s="5">
        <f>IF('Journal'!D699="","",IFERROR(LEFT('Journal'!D699,FIND(" ",'Journal'!D699)-1),'Journal'!D699))</f>
        <v/>
      </c>
      <c r="E1395" s="5">
        <f>IF('Journal'!D699="","",IFERROR(INDEX('Kontoplan'!$B$3:$B$302,MATCH('Journal'!D699,'Kontoplan'!$H$3:$H$302,0)),""))</f>
        <v/>
      </c>
      <c r="F1395" s="20">
        <f>IF('Journal'!G699="","",'Journal'!G699)</f>
        <v/>
      </c>
      <c r="G1395" s="20">
        <f>IF('Journal'!F699="","",'Journal'!F699)</f>
        <v/>
      </c>
      <c r="H1395" s="5">
        <f>IF('Journal'!I699="","",'Journal'!I699)</f>
        <v/>
      </c>
    </row>
    <row r="1396">
      <c r="A1396" s="18">
        <f>IF('Journal'!A699="","",'Journal'!A699)</f>
        <v/>
      </c>
      <c r="B1396" s="21">
        <f>IF('Journal'!B699="","",'Journal'!B699)</f>
        <v/>
      </c>
      <c r="C1396" s="5">
        <f>IF('Journal'!C699="","",'Journal'!C699)</f>
        <v/>
      </c>
      <c r="D1396" s="5">
        <f>IF('Journal'!E699="","",IFERROR(LEFT('Journal'!E699,FIND(" ",'Journal'!E699)-1),'Journal'!E699))</f>
        <v/>
      </c>
      <c r="E1396" s="5">
        <f>IF('Journal'!E699="","",IFERROR(INDEX('Kontoplan'!$B$3:$B$302,MATCH('Journal'!E699,'Kontoplan'!$H$3:$H$302,0)),""))</f>
        <v/>
      </c>
      <c r="F1396" s="20">
        <f>IF('Journal'!F699="","",'Journal'!F699)</f>
        <v/>
      </c>
      <c r="G1396" s="20">
        <f>IF('Journal'!G699="","",'Journal'!G699)</f>
        <v/>
      </c>
      <c r="H1396" s="5">
        <f>IF('Journal'!I699="","",'Journal'!I699)</f>
        <v/>
      </c>
    </row>
    <row r="1397">
      <c r="A1397" s="18">
        <f>IF('Journal'!A700="","",'Journal'!A700)</f>
        <v/>
      </c>
      <c r="B1397" s="21">
        <f>IF('Journal'!B700="","",'Journal'!B700)</f>
        <v/>
      </c>
      <c r="C1397" s="5">
        <f>IF('Journal'!C700="","",'Journal'!C700)</f>
        <v/>
      </c>
      <c r="D1397" s="5">
        <f>IF('Journal'!D700="","",IFERROR(LEFT('Journal'!D700,FIND(" ",'Journal'!D700)-1),'Journal'!D700))</f>
        <v/>
      </c>
      <c r="E1397" s="5">
        <f>IF('Journal'!D700="","",IFERROR(INDEX('Kontoplan'!$B$3:$B$302,MATCH('Journal'!D700,'Kontoplan'!$H$3:$H$302,0)),""))</f>
        <v/>
      </c>
      <c r="F1397" s="20">
        <f>IF('Journal'!G700="","",'Journal'!G700)</f>
        <v/>
      </c>
      <c r="G1397" s="20">
        <f>IF('Journal'!F700="","",'Journal'!F700)</f>
        <v/>
      </c>
      <c r="H1397" s="5">
        <f>IF('Journal'!I700="","",'Journal'!I700)</f>
        <v/>
      </c>
    </row>
    <row r="1398">
      <c r="A1398" s="18">
        <f>IF('Journal'!A700="","",'Journal'!A700)</f>
        <v/>
      </c>
      <c r="B1398" s="21">
        <f>IF('Journal'!B700="","",'Journal'!B700)</f>
        <v/>
      </c>
      <c r="C1398" s="5">
        <f>IF('Journal'!C700="","",'Journal'!C700)</f>
        <v/>
      </c>
      <c r="D1398" s="5">
        <f>IF('Journal'!E700="","",IFERROR(LEFT('Journal'!E700,FIND(" ",'Journal'!E700)-1),'Journal'!E700))</f>
        <v/>
      </c>
      <c r="E1398" s="5">
        <f>IF('Journal'!E700="","",IFERROR(INDEX('Kontoplan'!$B$3:$B$302,MATCH('Journal'!E700,'Kontoplan'!$H$3:$H$302,0)),""))</f>
        <v/>
      </c>
      <c r="F1398" s="20">
        <f>IF('Journal'!F700="","",'Journal'!F700)</f>
        <v/>
      </c>
      <c r="G1398" s="20">
        <f>IF('Journal'!G700="","",'Journal'!G700)</f>
        <v/>
      </c>
      <c r="H1398" s="5">
        <f>IF('Journal'!I700="","",'Journal'!I700)</f>
        <v/>
      </c>
    </row>
    <row r="1399">
      <c r="A1399" s="18">
        <f>IF('Journal'!A701="","",'Journal'!A701)</f>
        <v/>
      </c>
      <c r="B1399" s="21">
        <f>IF('Journal'!B701="","",'Journal'!B701)</f>
        <v/>
      </c>
      <c r="C1399" s="5">
        <f>IF('Journal'!C701="","",'Journal'!C701)</f>
        <v/>
      </c>
      <c r="D1399" s="5">
        <f>IF('Journal'!D701="","",IFERROR(LEFT('Journal'!D701,FIND(" ",'Journal'!D701)-1),'Journal'!D701))</f>
        <v/>
      </c>
      <c r="E1399" s="5">
        <f>IF('Journal'!D701="","",IFERROR(INDEX('Kontoplan'!$B$3:$B$302,MATCH('Journal'!D701,'Kontoplan'!$H$3:$H$302,0)),""))</f>
        <v/>
      </c>
      <c r="F1399" s="20">
        <f>IF('Journal'!G701="","",'Journal'!G701)</f>
        <v/>
      </c>
      <c r="G1399" s="20">
        <f>IF('Journal'!F701="","",'Journal'!F701)</f>
        <v/>
      </c>
      <c r="H1399" s="5">
        <f>IF('Journal'!I701="","",'Journal'!I701)</f>
        <v/>
      </c>
    </row>
    <row r="1400">
      <c r="A1400" s="18">
        <f>IF('Journal'!A701="","",'Journal'!A701)</f>
        <v/>
      </c>
      <c r="B1400" s="21">
        <f>IF('Journal'!B701="","",'Journal'!B701)</f>
        <v/>
      </c>
      <c r="C1400" s="5">
        <f>IF('Journal'!C701="","",'Journal'!C701)</f>
        <v/>
      </c>
      <c r="D1400" s="5">
        <f>IF('Journal'!E701="","",IFERROR(LEFT('Journal'!E701,FIND(" ",'Journal'!E701)-1),'Journal'!E701))</f>
        <v/>
      </c>
      <c r="E1400" s="5">
        <f>IF('Journal'!E701="","",IFERROR(INDEX('Kontoplan'!$B$3:$B$302,MATCH('Journal'!E701,'Kontoplan'!$H$3:$H$302,0)),""))</f>
        <v/>
      </c>
      <c r="F1400" s="20">
        <f>IF('Journal'!F701="","",'Journal'!F701)</f>
        <v/>
      </c>
      <c r="G1400" s="20">
        <f>IF('Journal'!G701="","",'Journal'!G701)</f>
        <v/>
      </c>
      <c r="H1400" s="5">
        <f>IF('Journal'!I701="","",'Journal'!I701)</f>
        <v/>
      </c>
    </row>
    <row r="1401">
      <c r="A1401" s="18">
        <f>IF('Journal'!A702="","",'Journal'!A702)</f>
        <v/>
      </c>
      <c r="B1401" s="21">
        <f>IF('Journal'!B702="","",'Journal'!B702)</f>
        <v/>
      </c>
      <c r="C1401" s="5">
        <f>IF('Journal'!C702="","",'Journal'!C702)</f>
        <v/>
      </c>
      <c r="D1401" s="5">
        <f>IF('Journal'!D702="","",IFERROR(LEFT('Journal'!D702,FIND(" ",'Journal'!D702)-1),'Journal'!D702))</f>
        <v/>
      </c>
      <c r="E1401" s="5">
        <f>IF('Journal'!D702="","",IFERROR(INDEX('Kontoplan'!$B$3:$B$302,MATCH('Journal'!D702,'Kontoplan'!$H$3:$H$302,0)),""))</f>
        <v/>
      </c>
      <c r="F1401" s="20">
        <f>IF('Journal'!G702="","",'Journal'!G702)</f>
        <v/>
      </c>
      <c r="G1401" s="20">
        <f>IF('Journal'!F702="","",'Journal'!F702)</f>
        <v/>
      </c>
      <c r="H1401" s="5">
        <f>IF('Journal'!I702="","",'Journal'!I702)</f>
        <v/>
      </c>
    </row>
    <row r="1402">
      <c r="A1402" s="18">
        <f>IF('Journal'!A702="","",'Journal'!A702)</f>
        <v/>
      </c>
      <c r="B1402" s="21">
        <f>IF('Journal'!B702="","",'Journal'!B702)</f>
        <v/>
      </c>
      <c r="C1402" s="5">
        <f>IF('Journal'!C702="","",'Journal'!C702)</f>
        <v/>
      </c>
      <c r="D1402" s="5">
        <f>IF('Journal'!E702="","",IFERROR(LEFT('Journal'!E702,FIND(" ",'Journal'!E702)-1),'Journal'!E702))</f>
        <v/>
      </c>
      <c r="E1402" s="5">
        <f>IF('Journal'!E702="","",IFERROR(INDEX('Kontoplan'!$B$3:$B$302,MATCH('Journal'!E702,'Kontoplan'!$H$3:$H$302,0)),""))</f>
        <v/>
      </c>
      <c r="F1402" s="20">
        <f>IF('Journal'!F702="","",'Journal'!F702)</f>
        <v/>
      </c>
      <c r="G1402" s="20">
        <f>IF('Journal'!G702="","",'Journal'!G702)</f>
        <v/>
      </c>
      <c r="H1402" s="5">
        <f>IF('Journal'!I702="","",'Journal'!I702)</f>
        <v/>
      </c>
    </row>
    <row r="1403">
      <c r="A1403" s="18">
        <f>IF('Journal'!A703="","",'Journal'!A703)</f>
        <v/>
      </c>
      <c r="B1403" s="21">
        <f>IF('Journal'!B703="","",'Journal'!B703)</f>
        <v/>
      </c>
      <c r="C1403" s="5">
        <f>IF('Journal'!C703="","",'Journal'!C703)</f>
        <v/>
      </c>
      <c r="D1403" s="5">
        <f>IF('Journal'!D703="","",IFERROR(LEFT('Journal'!D703,FIND(" ",'Journal'!D703)-1),'Journal'!D703))</f>
        <v/>
      </c>
      <c r="E1403" s="5">
        <f>IF('Journal'!D703="","",IFERROR(INDEX('Kontoplan'!$B$3:$B$302,MATCH('Journal'!D703,'Kontoplan'!$H$3:$H$302,0)),""))</f>
        <v/>
      </c>
      <c r="F1403" s="20">
        <f>IF('Journal'!G703="","",'Journal'!G703)</f>
        <v/>
      </c>
      <c r="G1403" s="20">
        <f>IF('Journal'!F703="","",'Journal'!F703)</f>
        <v/>
      </c>
      <c r="H1403" s="5">
        <f>IF('Journal'!I703="","",'Journal'!I703)</f>
        <v/>
      </c>
    </row>
    <row r="1404">
      <c r="A1404" s="18">
        <f>IF('Journal'!A703="","",'Journal'!A703)</f>
        <v/>
      </c>
      <c r="B1404" s="21">
        <f>IF('Journal'!B703="","",'Journal'!B703)</f>
        <v/>
      </c>
      <c r="C1404" s="5">
        <f>IF('Journal'!C703="","",'Journal'!C703)</f>
        <v/>
      </c>
      <c r="D1404" s="5">
        <f>IF('Journal'!E703="","",IFERROR(LEFT('Journal'!E703,FIND(" ",'Journal'!E703)-1),'Journal'!E703))</f>
        <v/>
      </c>
      <c r="E1404" s="5">
        <f>IF('Journal'!E703="","",IFERROR(INDEX('Kontoplan'!$B$3:$B$302,MATCH('Journal'!E703,'Kontoplan'!$H$3:$H$302,0)),""))</f>
        <v/>
      </c>
      <c r="F1404" s="20">
        <f>IF('Journal'!F703="","",'Journal'!F703)</f>
        <v/>
      </c>
      <c r="G1404" s="20">
        <f>IF('Journal'!G703="","",'Journal'!G703)</f>
        <v/>
      </c>
      <c r="H1404" s="5">
        <f>IF('Journal'!I703="","",'Journal'!I703)</f>
        <v/>
      </c>
    </row>
    <row r="1405">
      <c r="A1405" s="18">
        <f>IF('Journal'!A704="","",'Journal'!A704)</f>
        <v/>
      </c>
      <c r="B1405" s="21">
        <f>IF('Journal'!B704="","",'Journal'!B704)</f>
        <v/>
      </c>
      <c r="C1405" s="5">
        <f>IF('Journal'!C704="","",'Journal'!C704)</f>
        <v/>
      </c>
      <c r="D1405" s="5">
        <f>IF('Journal'!D704="","",IFERROR(LEFT('Journal'!D704,FIND(" ",'Journal'!D704)-1),'Journal'!D704))</f>
        <v/>
      </c>
      <c r="E1405" s="5">
        <f>IF('Journal'!D704="","",IFERROR(INDEX('Kontoplan'!$B$3:$B$302,MATCH('Journal'!D704,'Kontoplan'!$H$3:$H$302,0)),""))</f>
        <v/>
      </c>
      <c r="F1405" s="20">
        <f>IF('Journal'!G704="","",'Journal'!G704)</f>
        <v/>
      </c>
      <c r="G1405" s="20">
        <f>IF('Journal'!F704="","",'Journal'!F704)</f>
        <v/>
      </c>
      <c r="H1405" s="5">
        <f>IF('Journal'!I704="","",'Journal'!I704)</f>
        <v/>
      </c>
    </row>
    <row r="1406">
      <c r="A1406" s="18">
        <f>IF('Journal'!A704="","",'Journal'!A704)</f>
        <v/>
      </c>
      <c r="B1406" s="21">
        <f>IF('Journal'!B704="","",'Journal'!B704)</f>
        <v/>
      </c>
      <c r="C1406" s="5">
        <f>IF('Journal'!C704="","",'Journal'!C704)</f>
        <v/>
      </c>
      <c r="D1406" s="5">
        <f>IF('Journal'!E704="","",IFERROR(LEFT('Journal'!E704,FIND(" ",'Journal'!E704)-1),'Journal'!E704))</f>
        <v/>
      </c>
      <c r="E1406" s="5">
        <f>IF('Journal'!E704="","",IFERROR(INDEX('Kontoplan'!$B$3:$B$302,MATCH('Journal'!E704,'Kontoplan'!$H$3:$H$302,0)),""))</f>
        <v/>
      </c>
      <c r="F1406" s="20">
        <f>IF('Journal'!F704="","",'Journal'!F704)</f>
        <v/>
      </c>
      <c r="G1406" s="20">
        <f>IF('Journal'!G704="","",'Journal'!G704)</f>
        <v/>
      </c>
      <c r="H1406" s="5">
        <f>IF('Journal'!I704="","",'Journal'!I704)</f>
        <v/>
      </c>
    </row>
    <row r="1407">
      <c r="A1407" s="18">
        <f>IF('Journal'!A705="","",'Journal'!A705)</f>
        <v/>
      </c>
      <c r="B1407" s="21">
        <f>IF('Journal'!B705="","",'Journal'!B705)</f>
        <v/>
      </c>
      <c r="C1407" s="5">
        <f>IF('Journal'!C705="","",'Journal'!C705)</f>
        <v/>
      </c>
      <c r="D1407" s="5">
        <f>IF('Journal'!D705="","",IFERROR(LEFT('Journal'!D705,FIND(" ",'Journal'!D705)-1),'Journal'!D705))</f>
        <v/>
      </c>
      <c r="E1407" s="5">
        <f>IF('Journal'!D705="","",IFERROR(INDEX('Kontoplan'!$B$3:$B$302,MATCH('Journal'!D705,'Kontoplan'!$H$3:$H$302,0)),""))</f>
        <v/>
      </c>
      <c r="F1407" s="20">
        <f>IF('Journal'!G705="","",'Journal'!G705)</f>
        <v/>
      </c>
      <c r="G1407" s="20">
        <f>IF('Journal'!F705="","",'Journal'!F705)</f>
        <v/>
      </c>
      <c r="H1407" s="5">
        <f>IF('Journal'!I705="","",'Journal'!I705)</f>
        <v/>
      </c>
    </row>
    <row r="1408">
      <c r="A1408" s="18">
        <f>IF('Journal'!A705="","",'Journal'!A705)</f>
        <v/>
      </c>
      <c r="B1408" s="21">
        <f>IF('Journal'!B705="","",'Journal'!B705)</f>
        <v/>
      </c>
      <c r="C1408" s="5">
        <f>IF('Journal'!C705="","",'Journal'!C705)</f>
        <v/>
      </c>
      <c r="D1408" s="5">
        <f>IF('Journal'!E705="","",IFERROR(LEFT('Journal'!E705,FIND(" ",'Journal'!E705)-1),'Journal'!E705))</f>
        <v/>
      </c>
      <c r="E1408" s="5">
        <f>IF('Journal'!E705="","",IFERROR(INDEX('Kontoplan'!$B$3:$B$302,MATCH('Journal'!E705,'Kontoplan'!$H$3:$H$302,0)),""))</f>
        <v/>
      </c>
      <c r="F1408" s="20">
        <f>IF('Journal'!F705="","",'Journal'!F705)</f>
        <v/>
      </c>
      <c r="G1408" s="20">
        <f>IF('Journal'!G705="","",'Journal'!G705)</f>
        <v/>
      </c>
      <c r="H1408" s="5">
        <f>IF('Journal'!I705="","",'Journal'!I705)</f>
        <v/>
      </c>
    </row>
    <row r="1409">
      <c r="A1409" s="18">
        <f>IF('Journal'!A706="","",'Journal'!A706)</f>
        <v/>
      </c>
      <c r="B1409" s="21">
        <f>IF('Journal'!B706="","",'Journal'!B706)</f>
        <v/>
      </c>
      <c r="C1409" s="5">
        <f>IF('Journal'!C706="","",'Journal'!C706)</f>
        <v/>
      </c>
      <c r="D1409" s="5">
        <f>IF('Journal'!D706="","",IFERROR(LEFT('Journal'!D706,FIND(" ",'Journal'!D706)-1),'Journal'!D706))</f>
        <v/>
      </c>
      <c r="E1409" s="5">
        <f>IF('Journal'!D706="","",IFERROR(INDEX('Kontoplan'!$B$3:$B$302,MATCH('Journal'!D706,'Kontoplan'!$H$3:$H$302,0)),""))</f>
        <v/>
      </c>
      <c r="F1409" s="20">
        <f>IF('Journal'!G706="","",'Journal'!G706)</f>
        <v/>
      </c>
      <c r="G1409" s="20">
        <f>IF('Journal'!F706="","",'Journal'!F706)</f>
        <v/>
      </c>
      <c r="H1409" s="5">
        <f>IF('Journal'!I706="","",'Journal'!I706)</f>
        <v/>
      </c>
    </row>
    <row r="1410">
      <c r="A1410" s="18">
        <f>IF('Journal'!A706="","",'Journal'!A706)</f>
        <v/>
      </c>
      <c r="B1410" s="21">
        <f>IF('Journal'!B706="","",'Journal'!B706)</f>
        <v/>
      </c>
      <c r="C1410" s="5">
        <f>IF('Journal'!C706="","",'Journal'!C706)</f>
        <v/>
      </c>
      <c r="D1410" s="5">
        <f>IF('Journal'!E706="","",IFERROR(LEFT('Journal'!E706,FIND(" ",'Journal'!E706)-1),'Journal'!E706))</f>
        <v/>
      </c>
      <c r="E1410" s="5">
        <f>IF('Journal'!E706="","",IFERROR(INDEX('Kontoplan'!$B$3:$B$302,MATCH('Journal'!E706,'Kontoplan'!$H$3:$H$302,0)),""))</f>
        <v/>
      </c>
      <c r="F1410" s="20">
        <f>IF('Journal'!F706="","",'Journal'!F706)</f>
        <v/>
      </c>
      <c r="G1410" s="20">
        <f>IF('Journal'!G706="","",'Journal'!G706)</f>
        <v/>
      </c>
      <c r="H1410" s="5">
        <f>IF('Journal'!I706="","",'Journal'!I706)</f>
        <v/>
      </c>
    </row>
    <row r="1411">
      <c r="A1411" s="18">
        <f>IF('Journal'!A707="","",'Journal'!A707)</f>
        <v/>
      </c>
      <c r="B1411" s="21">
        <f>IF('Journal'!B707="","",'Journal'!B707)</f>
        <v/>
      </c>
      <c r="C1411" s="5">
        <f>IF('Journal'!C707="","",'Journal'!C707)</f>
        <v/>
      </c>
      <c r="D1411" s="5">
        <f>IF('Journal'!D707="","",IFERROR(LEFT('Journal'!D707,FIND(" ",'Journal'!D707)-1),'Journal'!D707))</f>
        <v/>
      </c>
      <c r="E1411" s="5">
        <f>IF('Journal'!D707="","",IFERROR(INDEX('Kontoplan'!$B$3:$B$302,MATCH('Journal'!D707,'Kontoplan'!$H$3:$H$302,0)),""))</f>
        <v/>
      </c>
      <c r="F1411" s="20">
        <f>IF('Journal'!G707="","",'Journal'!G707)</f>
        <v/>
      </c>
      <c r="G1411" s="20">
        <f>IF('Journal'!F707="","",'Journal'!F707)</f>
        <v/>
      </c>
      <c r="H1411" s="5">
        <f>IF('Journal'!I707="","",'Journal'!I707)</f>
        <v/>
      </c>
    </row>
    <row r="1412">
      <c r="A1412" s="18">
        <f>IF('Journal'!A707="","",'Journal'!A707)</f>
        <v/>
      </c>
      <c r="B1412" s="21">
        <f>IF('Journal'!B707="","",'Journal'!B707)</f>
        <v/>
      </c>
      <c r="C1412" s="5">
        <f>IF('Journal'!C707="","",'Journal'!C707)</f>
        <v/>
      </c>
      <c r="D1412" s="5">
        <f>IF('Journal'!E707="","",IFERROR(LEFT('Journal'!E707,FIND(" ",'Journal'!E707)-1),'Journal'!E707))</f>
        <v/>
      </c>
      <c r="E1412" s="5">
        <f>IF('Journal'!E707="","",IFERROR(INDEX('Kontoplan'!$B$3:$B$302,MATCH('Journal'!E707,'Kontoplan'!$H$3:$H$302,0)),""))</f>
        <v/>
      </c>
      <c r="F1412" s="20">
        <f>IF('Journal'!F707="","",'Journal'!F707)</f>
        <v/>
      </c>
      <c r="G1412" s="20">
        <f>IF('Journal'!G707="","",'Journal'!G707)</f>
        <v/>
      </c>
      <c r="H1412" s="5">
        <f>IF('Journal'!I707="","",'Journal'!I707)</f>
        <v/>
      </c>
    </row>
    <row r="1413">
      <c r="A1413" s="18">
        <f>IF('Journal'!A708="","",'Journal'!A708)</f>
        <v/>
      </c>
      <c r="B1413" s="21">
        <f>IF('Journal'!B708="","",'Journal'!B708)</f>
        <v/>
      </c>
      <c r="C1413" s="5">
        <f>IF('Journal'!C708="","",'Journal'!C708)</f>
        <v/>
      </c>
      <c r="D1413" s="5">
        <f>IF('Journal'!D708="","",IFERROR(LEFT('Journal'!D708,FIND(" ",'Journal'!D708)-1),'Journal'!D708))</f>
        <v/>
      </c>
      <c r="E1413" s="5">
        <f>IF('Journal'!D708="","",IFERROR(INDEX('Kontoplan'!$B$3:$B$302,MATCH('Journal'!D708,'Kontoplan'!$H$3:$H$302,0)),""))</f>
        <v/>
      </c>
      <c r="F1413" s="20">
        <f>IF('Journal'!G708="","",'Journal'!G708)</f>
        <v/>
      </c>
      <c r="G1413" s="20">
        <f>IF('Journal'!F708="","",'Journal'!F708)</f>
        <v/>
      </c>
      <c r="H1413" s="5">
        <f>IF('Journal'!I708="","",'Journal'!I708)</f>
        <v/>
      </c>
    </row>
    <row r="1414">
      <c r="A1414" s="18">
        <f>IF('Journal'!A708="","",'Journal'!A708)</f>
        <v/>
      </c>
      <c r="B1414" s="21">
        <f>IF('Journal'!B708="","",'Journal'!B708)</f>
        <v/>
      </c>
      <c r="C1414" s="5">
        <f>IF('Journal'!C708="","",'Journal'!C708)</f>
        <v/>
      </c>
      <c r="D1414" s="5">
        <f>IF('Journal'!E708="","",IFERROR(LEFT('Journal'!E708,FIND(" ",'Journal'!E708)-1),'Journal'!E708))</f>
        <v/>
      </c>
      <c r="E1414" s="5">
        <f>IF('Journal'!E708="","",IFERROR(INDEX('Kontoplan'!$B$3:$B$302,MATCH('Journal'!E708,'Kontoplan'!$H$3:$H$302,0)),""))</f>
        <v/>
      </c>
      <c r="F1414" s="20">
        <f>IF('Journal'!F708="","",'Journal'!F708)</f>
        <v/>
      </c>
      <c r="G1414" s="20">
        <f>IF('Journal'!G708="","",'Journal'!G708)</f>
        <v/>
      </c>
      <c r="H1414" s="5">
        <f>IF('Journal'!I708="","",'Journal'!I708)</f>
        <v/>
      </c>
    </row>
    <row r="1415">
      <c r="A1415" s="18">
        <f>IF('Journal'!A709="","",'Journal'!A709)</f>
        <v/>
      </c>
      <c r="B1415" s="21">
        <f>IF('Journal'!B709="","",'Journal'!B709)</f>
        <v/>
      </c>
      <c r="C1415" s="5">
        <f>IF('Journal'!C709="","",'Journal'!C709)</f>
        <v/>
      </c>
      <c r="D1415" s="5">
        <f>IF('Journal'!D709="","",IFERROR(LEFT('Journal'!D709,FIND(" ",'Journal'!D709)-1),'Journal'!D709))</f>
        <v/>
      </c>
      <c r="E1415" s="5">
        <f>IF('Journal'!D709="","",IFERROR(INDEX('Kontoplan'!$B$3:$B$302,MATCH('Journal'!D709,'Kontoplan'!$H$3:$H$302,0)),""))</f>
        <v/>
      </c>
      <c r="F1415" s="20">
        <f>IF('Journal'!G709="","",'Journal'!G709)</f>
        <v/>
      </c>
      <c r="G1415" s="20">
        <f>IF('Journal'!F709="","",'Journal'!F709)</f>
        <v/>
      </c>
      <c r="H1415" s="5">
        <f>IF('Journal'!I709="","",'Journal'!I709)</f>
        <v/>
      </c>
    </row>
    <row r="1416">
      <c r="A1416" s="18">
        <f>IF('Journal'!A709="","",'Journal'!A709)</f>
        <v/>
      </c>
      <c r="B1416" s="21">
        <f>IF('Journal'!B709="","",'Journal'!B709)</f>
        <v/>
      </c>
      <c r="C1416" s="5">
        <f>IF('Journal'!C709="","",'Journal'!C709)</f>
        <v/>
      </c>
      <c r="D1416" s="5">
        <f>IF('Journal'!E709="","",IFERROR(LEFT('Journal'!E709,FIND(" ",'Journal'!E709)-1),'Journal'!E709))</f>
        <v/>
      </c>
      <c r="E1416" s="5">
        <f>IF('Journal'!E709="","",IFERROR(INDEX('Kontoplan'!$B$3:$B$302,MATCH('Journal'!E709,'Kontoplan'!$H$3:$H$302,0)),""))</f>
        <v/>
      </c>
      <c r="F1416" s="20">
        <f>IF('Journal'!F709="","",'Journal'!F709)</f>
        <v/>
      </c>
      <c r="G1416" s="20">
        <f>IF('Journal'!G709="","",'Journal'!G709)</f>
        <v/>
      </c>
      <c r="H1416" s="5">
        <f>IF('Journal'!I709="","",'Journal'!I709)</f>
        <v/>
      </c>
    </row>
    <row r="1417">
      <c r="A1417" s="18">
        <f>IF('Journal'!A710="","",'Journal'!A710)</f>
        <v/>
      </c>
      <c r="B1417" s="21">
        <f>IF('Journal'!B710="","",'Journal'!B710)</f>
        <v/>
      </c>
      <c r="C1417" s="5">
        <f>IF('Journal'!C710="","",'Journal'!C710)</f>
        <v/>
      </c>
      <c r="D1417" s="5">
        <f>IF('Journal'!D710="","",IFERROR(LEFT('Journal'!D710,FIND(" ",'Journal'!D710)-1),'Journal'!D710))</f>
        <v/>
      </c>
      <c r="E1417" s="5">
        <f>IF('Journal'!D710="","",IFERROR(INDEX('Kontoplan'!$B$3:$B$302,MATCH('Journal'!D710,'Kontoplan'!$H$3:$H$302,0)),""))</f>
        <v/>
      </c>
      <c r="F1417" s="20">
        <f>IF('Journal'!G710="","",'Journal'!G710)</f>
        <v/>
      </c>
      <c r="G1417" s="20">
        <f>IF('Journal'!F710="","",'Journal'!F710)</f>
        <v/>
      </c>
      <c r="H1417" s="5">
        <f>IF('Journal'!I710="","",'Journal'!I710)</f>
        <v/>
      </c>
    </row>
    <row r="1418">
      <c r="A1418" s="18">
        <f>IF('Journal'!A710="","",'Journal'!A710)</f>
        <v/>
      </c>
      <c r="B1418" s="21">
        <f>IF('Journal'!B710="","",'Journal'!B710)</f>
        <v/>
      </c>
      <c r="C1418" s="5">
        <f>IF('Journal'!C710="","",'Journal'!C710)</f>
        <v/>
      </c>
      <c r="D1418" s="5">
        <f>IF('Journal'!E710="","",IFERROR(LEFT('Journal'!E710,FIND(" ",'Journal'!E710)-1),'Journal'!E710))</f>
        <v/>
      </c>
      <c r="E1418" s="5">
        <f>IF('Journal'!E710="","",IFERROR(INDEX('Kontoplan'!$B$3:$B$302,MATCH('Journal'!E710,'Kontoplan'!$H$3:$H$302,0)),""))</f>
        <v/>
      </c>
      <c r="F1418" s="20">
        <f>IF('Journal'!F710="","",'Journal'!F710)</f>
        <v/>
      </c>
      <c r="G1418" s="20">
        <f>IF('Journal'!G710="","",'Journal'!G710)</f>
        <v/>
      </c>
      <c r="H1418" s="5">
        <f>IF('Journal'!I710="","",'Journal'!I710)</f>
        <v/>
      </c>
    </row>
    <row r="1419">
      <c r="A1419" s="18">
        <f>IF('Journal'!A711="","",'Journal'!A711)</f>
        <v/>
      </c>
      <c r="B1419" s="21">
        <f>IF('Journal'!B711="","",'Journal'!B711)</f>
        <v/>
      </c>
      <c r="C1419" s="5">
        <f>IF('Journal'!C711="","",'Journal'!C711)</f>
        <v/>
      </c>
      <c r="D1419" s="5">
        <f>IF('Journal'!D711="","",IFERROR(LEFT('Journal'!D711,FIND(" ",'Journal'!D711)-1),'Journal'!D711))</f>
        <v/>
      </c>
      <c r="E1419" s="5">
        <f>IF('Journal'!D711="","",IFERROR(INDEX('Kontoplan'!$B$3:$B$302,MATCH('Journal'!D711,'Kontoplan'!$H$3:$H$302,0)),""))</f>
        <v/>
      </c>
      <c r="F1419" s="20">
        <f>IF('Journal'!G711="","",'Journal'!G711)</f>
        <v/>
      </c>
      <c r="G1419" s="20">
        <f>IF('Journal'!F711="","",'Journal'!F711)</f>
        <v/>
      </c>
      <c r="H1419" s="5">
        <f>IF('Journal'!I711="","",'Journal'!I711)</f>
        <v/>
      </c>
    </row>
    <row r="1420">
      <c r="A1420" s="18">
        <f>IF('Journal'!A711="","",'Journal'!A711)</f>
        <v/>
      </c>
      <c r="B1420" s="21">
        <f>IF('Journal'!B711="","",'Journal'!B711)</f>
        <v/>
      </c>
      <c r="C1420" s="5">
        <f>IF('Journal'!C711="","",'Journal'!C711)</f>
        <v/>
      </c>
      <c r="D1420" s="5">
        <f>IF('Journal'!E711="","",IFERROR(LEFT('Journal'!E711,FIND(" ",'Journal'!E711)-1),'Journal'!E711))</f>
        <v/>
      </c>
      <c r="E1420" s="5">
        <f>IF('Journal'!E711="","",IFERROR(INDEX('Kontoplan'!$B$3:$B$302,MATCH('Journal'!E711,'Kontoplan'!$H$3:$H$302,0)),""))</f>
        <v/>
      </c>
      <c r="F1420" s="20">
        <f>IF('Journal'!F711="","",'Journal'!F711)</f>
        <v/>
      </c>
      <c r="G1420" s="20">
        <f>IF('Journal'!G711="","",'Journal'!G711)</f>
        <v/>
      </c>
      <c r="H1420" s="5">
        <f>IF('Journal'!I711="","",'Journal'!I711)</f>
        <v/>
      </c>
    </row>
    <row r="1421">
      <c r="A1421" s="18">
        <f>IF('Journal'!A712="","",'Journal'!A712)</f>
        <v/>
      </c>
      <c r="B1421" s="21">
        <f>IF('Journal'!B712="","",'Journal'!B712)</f>
        <v/>
      </c>
      <c r="C1421" s="5">
        <f>IF('Journal'!C712="","",'Journal'!C712)</f>
        <v/>
      </c>
      <c r="D1421" s="5">
        <f>IF('Journal'!D712="","",IFERROR(LEFT('Journal'!D712,FIND(" ",'Journal'!D712)-1),'Journal'!D712))</f>
        <v/>
      </c>
      <c r="E1421" s="5">
        <f>IF('Journal'!D712="","",IFERROR(INDEX('Kontoplan'!$B$3:$B$302,MATCH('Journal'!D712,'Kontoplan'!$H$3:$H$302,0)),""))</f>
        <v/>
      </c>
      <c r="F1421" s="20">
        <f>IF('Journal'!G712="","",'Journal'!G712)</f>
        <v/>
      </c>
      <c r="G1421" s="20">
        <f>IF('Journal'!F712="","",'Journal'!F712)</f>
        <v/>
      </c>
      <c r="H1421" s="5">
        <f>IF('Journal'!I712="","",'Journal'!I712)</f>
        <v/>
      </c>
    </row>
    <row r="1422">
      <c r="A1422" s="18">
        <f>IF('Journal'!A712="","",'Journal'!A712)</f>
        <v/>
      </c>
      <c r="B1422" s="21">
        <f>IF('Journal'!B712="","",'Journal'!B712)</f>
        <v/>
      </c>
      <c r="C1422" s="5">
        <f>IF('Journal'!C712="","",'Journal'!C712)</f>
        <v/>
      </c>
      <c r="D1422" s="5">
        <f>IF('Journal'!E712="","",IFERROR(LEFT('Journal'!E712,FIND(" ",'Journal'!E712)-1),'Journal'!E712))</f>
        <v/>
      </c>
      <c r="E1422" s="5">
        <f>IF('Journal'!E712="","",IFERROR(INDEX('Kontoplan'!$B$3:$B$302,MATCH('Journal'!E712,'Kontoplan'!$H$3:$H$302,0)),""))</f>
        <v/>
      </c>
      <c r="F1422" s="20">
        <f>IF('Journal'!F712="","",'Journal'!F712)</f>
        <v/>
      </c>
      <c r="G1422" s="20">
        <f>IF('Journal'!G712="","",'Journal'!G712)</f>
        <v/>
      </c>
      <c r="H1422" s="5">
        <f>IF('Journal'!I712="","",'Journal'!I712)</f>
        <v/>
      </c>
    </row>
    <row r="1423">
      <c r="A1423" s="18">
        <f>IF('Journal'!A713="","",'Journal'!A713)</f>
        <v/>
      </c>
      <c r="B1423" s="21">
        <f>IF('Journal'!B713="","",'Journal'!B713)</f>
        <v/>
      </c>
      <c r="C1423" s="5">
        <f>IF('Journal'!C713="","",'Journal'!C713)</f>
        <v/>
      </c>
      <c r="D1423" s="5">
        <f>IF('Journal'!D713="","",IFERROR(LEFT('Journal'!D713,FIND(" ",'Journal'!D713)-1),'Journal'!D713))</f>
        <v/>
      </c>
      <c r="E1423" s="5">
        <f>IF('Journal'!D713="","",IFERROR(INDEX('Kontoplan'!$B$3:$B$302,MATCH('Journal'!D713,'Kontoplan'!$H$3:$H$302,0)),""))</f>
        <v/>
      </c>
      <c r="F1423" s="20">
        <f>IF('Journal'!G713="","",'Journal'!G713)</f>
        <v/>
      </c>
      <c r="G1423" s="20">
        <f>IF('Journal'!F713="","",'Journal'!F713)</f>
        <v/>
      </c>
      <c r="H1423" s="5">
        <f>IF('Journal'!I713="","",'Journal'!I713)</f>
        <v/>
      </c>
    </row>
    <row r="1424">
      <c r="A1424" s="18">
        <f>IF('Journal'!A713="","",'Journal'!A713)</f>
        <v/>
      </c>
      <c r="B1424" s="21">
        <f>IF('Journal'!B713="","",'Journal'!B713)</f>
        <v/>
      </c>
      <c r="C1424" s="5">
        <f>IF('Journal'!C713="","",'Journal'!C713)</f>
        <v/>
      </c>
      <c r="D1424" s="5">
        <f>IF('Journal'!E713="","",IFERROR(LEFT('Journal'!E713,FIND(" ",'Journal'!E713)-1),'Journal'!E713))</f>
        <v/>
      </c>
      <c r="E1424" s="5">
        <f>IF('Journal'!E713="","",IFERROR(INDEX('Kontoplan'!$B$3:$B$302,MATCH('Journal'!E713,'Kontoplan'!$H$3:$H$302,0)),""))</f>
        <v/>
      </c>
      <c r="F1424" s="20">
        <f>IF('Journal'!F713="","",'Journal'!F713)</f>
        <v/>
      </c>
      <c r="G1424" s="20">
        <f>IF('Journal'!G713="","",'Journal'!G713)</f>
        <v/>
      </c>
      <c r="H1424" s="5">
        <f>IF('Journal'!I713="","",'Journal'!I713)</f>
        <v/>
      </c>
    </row>
    <row r="1425">
      <c r="A1425" s="18">
        <f>IF('Journal'!A714="","",'Journal'!A714)</f>
        <v/>
      </c>
      <c r="B1425" s="21">
        <f>IF('Journal'!B714="","",'Journal'!B714)</f>
        <v/>
      </c>
      <c r="C1425" s="5">
        <f>IF('Journal'!C714="","",'Journal'!C714)</f>
        <v/>
      </c>
      <c r="D1425" s="5">
        <f>IF('Journal'!D714="","",IFERROR(LEFT('Journal'!D714,FIND(" ",'Journal'!D714)-1),'Journal'!D714))</f>
        <v/>
      </c>
      <c r="E1425" s="5">
        <f>IF('Journal'!D714="","",IFERROR(INDEX('Kontoplan'!$B$3:$B$302,MATCH('Journal'!D714,'Kontoplan'!$H$3:$H$302,0)),""))</f>
        <v/>
      </c>
      <c r="F1425" s="20">
        <f>IF('Journal'!G714="","",'Journal'!G714)</f>
        <v/>
      </c>
      <c r="G1425" s="20">
        <f>IF('Journal'!F714="","",'Journal'!F714)</f>
        <v/>
      </c>
      <c r="H1425" s="5">
        <f>IF('Journal'!I714="","",'Journal'!I714)</f>
        <v/>
      </c>
    </row>
    <row r="1426">
      <c r="A1426" s="18">
        <f>IF('Journal'!A714="","",'Journal'!A714)</f>
        <v/>
      </c>
      <c r="B1426" s="21">
        <f>IF('Journal'!B714="","",'Journal'!B714)</f>
        <v/>
      </c>
      <c r="C1426" s="5">
        <f>IF('Journal'!C714="","",'Journal'!C714)</f>
        <v/>
      </c>
      <c r="D1426" s="5">
        <f>IF('Journal'!E714="","",IFERROR(LEFT('Journal'!E714,FIND(" ",'Journal'!E714)-1),'Journal'!E714))</f>
        <v/>
      </c>
      <c r="E1426" s="5">
        <f>IF('Journal'!E714="","",IFERROR(INDEX('Kontoplan'!$B$3:$B$302,MATCH('Journal'!E714,'Kontoplan'!$H$3:$H$302,0)),""))</f>
        <v/>
      </c>
      <c r="F1426" s="20">
        <f>IF('Journal'!F714="","",'Journal'!F714)</f>
        <v/>
      </c>
      <c r="G1426" s="20">
        <f>IF('Journal'!G714="","",'Journal'!G714)</f>
        <v/>
      </c>
      <c r="H1426" s="5">
        <f>IF('Journal'!I714="","",'Journal'!I714)</f>
        <v/>
      </c>
    </row>
    <row r="1427">
      <c r="A1427" s="18">
        <f>IF('Journal'!A715="","",'Journal'!A715)</f>
        <v/>
      </c>
      <c r="B1427" s="21">
        <f>IF('Journal'!B715="","",'Journal'!B715)</f>
        <v/>
      </c>
      <c r="C1427" s="5">
        <f>IF('Journal'!C715="","",'Journal'!C715)</f>
        <v/>
      </c>
      <c r="D1427" s="5">
        <f>IF('Journal'!D715="","",IFERROR(LEFT('Journal'!D715,FIND(" ",'Journal'!D715)-1),'Journal'!D715))</f>
        <v/>
      </c>
      <c r="E1427" s="5">
        <f>IF('Journal'!D715="","",IFERROR(INDEX('Kontoplan'!$B$3:$B$302,MATCH('Journal'!D715,'Kontoplan'!$H$3:$H$302,0)),""))</f>
        <v/>
      </c>
      <c r="F1427" s="20">
        <f>IF('Journal'!G715="","",'Journal'!G715)</f>
        <v/>
      </c>
      <c r="G1427" s="20">
        <f>IF('Journal'!F715="","",'Journal'!F715)</f>
        <v/>
      </c>
      <c r="H1427" s="5">
        <f>IF('Journal'!I715="","",'Journal'!I715)</f>
        <v/>
      </c>
    </row>
    <row r="1428">
      <c r="A1428" s="18">
        <f>IF('Journal'!A715="","",'Journal'!A715)</f>
        <v/>
      </c>
      <c r="B1428" s="21">
        <f>IF('Journal'!B715="","",'Journal'!B715)</f>
        <v/>
      </c>
      <c r="C1428" s="5">
        <f>IF('Journal'!C715="","",'Journal'!C715)</f>
        <v/>
      </c>
      <c r="D1428" s="5">
        <f>IF('Journal'!E715="","",IFERROR(LEFT('Journal'!E715,FIND(" ",'Journal'!E715)-1),'Journal'!E715))</f>
        <v/>
      </c>
      <c r="E1428" s="5">
        <f>IF('Journal'!E715="","",IFERROR(INDEX('Kontoplan'!$B$3:$B$302,MATCH('Journal'!E715,'Kontoplan'!$H$3:$H$302,0)),""))</f>
        <v/>
      </c>
      <c r="F1428" s="20">
        <f>IF('Journal'!F715="","",'Journal'!F715)</f>
        <v/>
      </c>
      <c r="G1428" s="20">
        <f>IF('Journal'!G715="","",'Journal'!G715)</f>
        <v/>
      </c>
      <c r="H1428" s="5">
        <f>IF('Journal'!I715="","",'Journal'!I715)</f>
        <v/>
      </c>
    </row>
    <row r="1429">
      <c r="A1429" s="18">
        <f>IF('Journal'!A716="","",'Journal'!A716)</f>
        <v/>
      </c>
      <c r="B1429" s="21">
        <f>IF('Journal'!B716="","",'Journal'!B716)</f>
        <v/>
      </c>
      <c r="C1429" s="5">
        <f>IF('Journal'!C716="","",'Journal'!C716)</f>
        <v/>
      </c>
      <c r="D1429" s="5">
        <f>IF('Journal'!D716="","",IFERROR(LEFT('Journal'!D716,FIND(" ",'Journal'!D716)-1),'Journal'!D716))</f>
        <v/>
      </c>
      <c r="E1429" s="5">
        <f>IF('Journal'!D716="","",IFERROR(INDEX('Kontoplan'!$B$3:$B$302,MATCH('Journal'!D716,'Kontoplan'!$H$3:$H$302,0)),""))</f>
        <v/>
      </c>
      <c r="F1429" s="20">
        <f>IF('Journal'!G716="","",'Journal'!G716)</f>
        <v/>
      </c>
      <c r="G1429" s="20">
        <f>IF('Journal'!F716="","",'Journal'!F716)</f>
        <v/>
      </c>
      <c r="H1429" s="5">
        <f>IF('Journal'!I716="","",'Journal'!I716)</f>
        <v/>
      </c>
    </row>
    <row r="1430">
      <c r="A1430" s="18">
        <f>IF('Journal'!A716="","",'Journal'!A716)</f>
        <v/>
      </c>
      <c r="B1430" s="21">
        <f>IF('Journal'!B716="","",'Journal'!B716)</f>
        <v/>
      </c>
      <c r="C1430" s="5">
        <f>IF('Journal'!C716="","",'Journal'!C716)</f>
        <v/>
      </c>
      <c r="D1430" s="5">
        <f>IF('Journal'!E716="","",IFERROR(LEFT('Journal'!E716,FIND(" ",'Journal'!E716)-1),'Journal'!E716))</f>
        <v/>
      </c>
      <c r="E1430" s="5">
        <f>IF('Journal'!E716="","",IFERROR(INDEX('Kontoplan'!$B$3:$B$302,MATCH('Journal'!E716,'Kontoplan'!$H$3:$H$302,0)),""))</f>
        <v/>
      </c>
      <c r="F1430" s="20">
        <f>IF('Journal'!F716="","",'Journal'!F716)</f>
        <v/>
      </c>
      <c r="G1430" s="20">
        <f>IF('Journal'!G716="","",'Journal'!G716)</f>
        <v/>
      </c>
      <c r="H1430" s="5">
        <f>IF('Journal'!I716="","",'Journal'!I716)</f>
        <v/>
      </c>
    </row>
    <row r="1431">
      <c r="A1431" s="18">
        <f>IF('Journal'!A717="","",'Journal'!A717)</f>
        <v/>
      </c>
      <c r="B1431" s="21">
        <f>IF('Journal'!B717="","",'Journal'!B717)</f>
        <v/>
      </c>
      <c r="C1431" s="5">
        <f>IF('Journal'!C717="","",'Journal'!C717)</f>
        <v/>
      </c>
      <c r="D1431" s="5">
        <f>IF('Journal'!D717="","",IFERROR(LEFT('Journal'!D717,FIND(" ",'Journal'!D717)-1),'Journal'!D717))</f>
        <v/>
      </c>
      <c r="E1431" s="5">
        <f>IF('Journal'!D717="","",IFERROR(INDEX('Kontoplan'!$B$3:$B$302,MATCH('Journal'!D717,'Kontoplan'!$H$3:$H$302,0)),""))</f>
        <v/>
      </c>
      <c r="F1431" s="20">
        <f>IF('Journal'!G717="","",'Journal'!G717)</f>
        <v/>
      </c>
      <c r="G1431" s="20">
        <f>IF('Journal'!F717="","",'Journal'!F717)</f>
        <v/>
      </c>
      <c r="H1431" s="5">
        <f>IF('Journal'!I717="","",'Journal'!I717)</f>
        <v/>
      </c>
    </row>
    <row r="1432">
      <c r="A1432" s="18">
        <f>IF('Journal'!A717="","",'Journal'!A717)</f>
        <v/>
      </c>
      <c r="B1432" s="21">
        <f>IF('Journal'!B717="","",'Journal'!B717)</f>
        <v/>
      </c>
      <c r="C1432" s="5">
        <f>IF('Journal'!C717="","",'Journal'!C717)</f>
        <v/>
      </c>
      <c r="D1432" s="5">
        <f>IF('Journal'!E717="","",IFERROR(LEFT('Journal'!E717,FIND(" ",'Journal'!E717)-1),'Journal'!E717))</f>
        <v/>
      </c>
      <c r="E1432" s="5">
        <f>IF('Journal'!E717="","",IFERROR(INDEX('Kontoplan'!$B$3:$B$302,MATCH('Journal'!E717,'Kontoplan'!$H$3:$H$302,0)),""))</f>
        <v/>
      </c>
      <c r="F1432" s="20">
        <f>IF('Journal'!F717="","",'Journal'!F717)</f>
        <v/>
      </c>
      <c r="G1432" s="20">
        <f>IF('Journal'!G717="","",'Journal'!G717)</f>
        <v/>
      </c>
      <c r="H1432" s="5">
        <f>IF('Journal'!I717="","",'Journal'!I717)</f>
        <v/>
      </c>
    </row>
    <row r="1433">
      <c r="A1433" s="18">
        <f>IF('Journal'!A718="","",'Journal'!A718)</f>
        <v/>
      </c>
      <c r="B1433" s="21">
        <f>IF('Journal'!B718="","",'Journal'!B718)</f>
        <v/>
      </c>
      <c r="C1433" s="5">
        <f>IF('Journal'!C718="","",'Journal'!C718)</f>
        <v/>
      </c>
      <c r="D1433" s="5">
        <f>IF('Journal'!D718="","",IFERROR(LEFT('Journal'!D718,FIND(" ",'Journal'!D718)-1),'Journal'!D718))</f>
        <v/>
      </c>
      <c r="E1433" s="5">
        <f>IF('Journal'!D718="","",IFERROR(INDEX('Kontoplan'!$B$3:$B$302,MATCH('Journal'!D718,'Kontoplan'!$H$3:$H$302,0)),""))</f>
        <v/>
      </c>
      <c r="F1433" s="20">
        <f>IF('Journal'!G718="","",'Journal'!G718)</f>
        <v/>
      </c>
      <c r="G1433" s="20">
        <f>IF('Journal'!F718="","",'Journal'!F718)</f>
        <v/>
      </c>
      <c r="H1433" s="5">
        <f>IF('Journal'!I718="","",'Journal'!I718)</f>
        <v/>
      </c>
    </row>
    <row r="1434">
      <c r="A1434" s="18">
        <f>IF('Journal'!A718="","",'Journal'!A718)</f>
        <v/>
      </c>
      <c r="B1434" s="21">
        <f>IF('Journal'!B718="","",'Journal'!B718)</f>
        <v/>
      </c>
      <c r="C1434" s="5">
        <f>IF('Journal'!C718="","",'Journal'!C718)</f>
        <v/>
      </c>
      <c r="D1434" s="5">
        <f>IF('Journal'!E718="","",IFERROR(LEFT('Journal'!E718,FIND(" ",'Journal'!E718)-1),'Journal'!E718))</f>
        <v/>
      </c>
      <c r="E1434" s="5">
        <f>IF('Journal'!E718="","",IFERROR(INDEX('Kontoplan'!$B$3:$B$302,MATCH('Journal'!E718,'Kontoplan'!$H$3:$H$302,0)),""))</f>
        <v/>
      </c>
      <c r="F1434" s="20">
        <f>IF('Journal'!F718="","",'Journal'!F718)</f>
        <v/>
      </c>
      <c r="G1434" s="20">
        <f>IF('Journal'!G718="","",'Journal'!G718)</f>
        <v/>
      </c>
      <c r="H1434" s="5">
        <f>IF('Journal'!I718="","",'Journal'!I718)</f>
        <v/>
      </c>
    </row>
    <row r="1435">
      <c r="A1435" s="18">
        <f>IF('Journal'!A719="","",'Journal'!A719)</f>
        <v/>
      </c>
      <c r="B1435" s="21">
        <f>IF('Journal'!B719="","",'Journal'!B719)</f>
        <v/>
      </c>
      <c r="C1435" s="5">
        <f>IF('Journal'!C719="","",'Journal'!C719)</f>
        <v/>
      </c>
      <c r="D1435" s="5">
        <f>IF('Journal'!D719="","",IFERROR(LEFT('Journal'!D719,FIND(" ",'Journal'!D719)-1),'Journal'!D719))</f>
        <v/>
      </c>
      <c r="E1435" s="5">
        <f>IF('Journal'!D719="","",IFERROR(INDEX('Kontoplan'!$B$3:$B$302,MATCH('Journal'!D719,'Kontoplan'!$H$3:$H$302,0)),""))</f>
        <v/>
      </c>
      <c r="F1435" s="20">
        <f>IF('Journal'!G719="","",'Journal'!G719)</f>
        <v/>
      </c>
      <c r="G1435" s="20">
        <f>IF('Journal'!F719="","",'Journal'!F719)</f>
        <v/>
      </c>
      <c r="H1435" s="5">
        <f>IF('Journal'!I719="","",'Journal'!I719)</f>
        <v/>
      </c>
    </row>
    <row r="1436">
      <c r="A1436" s="18">
        <f>IF('Journal'!A719="","",'Journal'!A719)</f>
        <v/>
      </c>
      <c r="B1436" s="21">
        <f>IF('Journal'!B719="","",'Journal'!B719)</f>
        <v/>
      </c>
      <c r="C1436" s="5">
        <f>IF('Journal'!C719="","",'Journal'!C719)</f>
        <v/>
      </c>
      <c r="D1436" s="5">
        <f>IF('Journal'!E719="","",IFERROR(LEFT('Journal'!E719,FIND(" ",'Journal'!E719)-1),'Journal'!E719))</f>
        <v/>
      </c>
      <c r="E1436" s="5">
        <f>IF('Journal'!E719="","",IFERROR(INDEX('Kontoplan'!$B$3:$B$302,MATCH('Journal'!E719,'Kontoplan'!$H$3:$H$302,0)),""))</f>
        <v/>
      </c>
      <c r="F1436" s="20">
        <f>IF('Journal'!F719="","",'Journal'!F719)</f>
        <v/>
      </c>
      <c r="G1436" s="20">
        <f>IF('Journal'!G719="","",'Journal'!G719)</f>
        <v/>
      </c>
      <c r="H1436" s="5">
        <f>IF('Journal'!I719="","",'Journal'!I719)</f>
        <v/>
      </c>
    </row>
    <row r="1437">
      <c r="A1437" s="18">
        <f>IF('Journal'!A720="","",'Journal'!A720)</f>
        <v/>
      </c>
      <c r="B1437" s="21">
        <f>IF('Journal'!B720="","",'Journal'!B720)</f>
        <v/>
      </c>
      <c r="C1437" s="5">
        <f>IF('Journal'!C720="","",'Journal'!C720)</f>
        <v/>
      </c>
      <c r="D1437" s="5">
        <f>IF('Journal'!D720="","",IFERROR(LEFT('Journal'!D720,FIND(" ",'Journal'!D720)-1),'Journal'!D720))</f>
        <v/>
      </c>
      <c r="E1437" s="5">
        <f>IF('Journal'!D720="","",IFERROR(INDEX('Kontoplan'!$B$3:$B$302,MATCH('Journal'!D720,'Kontoplan'!$H$3:$H$302,0)),""))</f>
        <v/>
      </c>
      <c r="F1437" s="20">
        <f>IF('Journal'!G720="","",'Journal'!G720)</f>
        <v/>
      </c>
      <c r="G1437" s="20">
        <f>IF('Journal'!F720="","",'Journal'!F720)</f>
        <v/>
      </c>
      <c r="H1437" s="5">
        <f>IF('Journal'!I720="","",'Journal'!I720)</f>
        <v/>
      </c>
    </row>
    <row r="1438">
      <c r="A1438" s="18">
        <f>IF('Journal'!A720="","",'Journal'!A720)</f>
        <v/>
      </c>
      <c r="B1438" s="21">
        <f>IF('Journal'!B720="","",'Journal'!B720)</f>
        <v/>
      </c>
      <c r="C1438" s="5">
        <f>IF('Journal'!C720="","",'Journal'!C720)</f>
        <v/>
      </c>
      <c r="D1438" s="5">
        <f>IF('Journal'!E720="","",IFERROR(LEFT('Journal'!E720,FIND(" ",'Journal'!E720)-1),'Journal'!E720))</f>
        <v/>
      </c>
      <c r="E1438" s="5">
        <f>IF('Journal'!E720="","",IFERROR(INDEX('Kontoplan'!$B$3:$B$302,MATCH('Journal'!E720,'Kontoplan'!$H$3:$H$302,0)),""))</f>
        <v/>
      </c>
      <c r="F1438" s="20">
        <f>IF('Journal'!F720="","",'Journal'!F720)</f>
        <v/>
      </c>
      <c r="G1438" s="20">
        <f>IF('Journal'!G720="","",'Journal'!G720)</f>
        <v/>
      </c>
      <c r="H1438" s="5">
        <f>IF('Journal'!I720="","",'Journal'!I720)</f>
        <v/>
      </c>
    </row>
    <row r="1439">
      <c r="A1439" s="18">
        <f>IF('Journal'!A721="","",'Journal'!A721)</f>
        <v/>
      </c>
      <c r="B1439" s="21">
        <f>IF('Journal'!B721="","",'Journal'!B721)</f>
        <v/>
      </c>
      <c r="C1439" s="5">
        <f>IF('Journal'!C721="","",'Journal'!C721)</f>
        <v/>
      </c>
      <c r="D1439" s="5">
        <f>IF('Journal'!D721="","",IFERROR(LEFT('Journal'!D721,FIND(" ",'Journal'!D721)-1),'Journal'!D721))</f>
        <v/>
      </c>
      <c r="E1439" s="5">
        <f>IF('Journal'!D721="","",IFERROR(INDEX('Kontoplan'!$B$3:$B$302,MATCH('Journal'!D721,'Kontoplan'!$H$3:$H$302,0)),""))</f>
        <v/>
      </c>
      <c r="F1439" s="20">
        <f>IF('Journal'!G721="","",'Journal'!G721)</f>
        <v/>
      </c>
      <c r="G1439" s="20">
        <f>IF('Journal'!F721="","",'Journal'!F721)</f>
        <v/>
      </c>
      <c r="H1439" s="5">
        <f>IF('Journal'!I721="","",'Journal'!I721)</f>
        <v/>
      </c>
    </row>
    <row r="1440">
      <c r="A1440" s="18">
        <f>IF('Journal'!A721="","",'Journal'!A721)</f>
        <v/>
      </c>
      <c r="B1440" s="21">
        <f>IF('Journal'!B721="","",'Journal'!B721)</f>
        <v/>
      </c>
      <c r="C1440" s="5">
        <f>IF('Journal'!C721="","",'Journal'!C721)</f>
        <v/>
      </c>
      <c r="D1440" s="5">
        <f>IF('Journal'!E721="","",IFERROR(LEFT('Journal'!E721,FIND(" ",'Journal'!E721)-1),'Journal'!E721))</f>
        <v/>
      </c>
      <c r="E1440" s="5">
        <f>IF('Journal'!E721="","",IFERROR(INDEX('Kontoplan'!$B$3:$B$302,MATCH('Journal'!E721,'Kontoplan'!$H$3:$H$302,0)),""))</f>
        <v/>
      </c>
      <c r="F1440" s="20">
        <f>IF('Journal'!F721="","",'Journal'!F721)</f>
        <v/>
      </c>
      <c r="G1440" s="20">
        <f>IF('Journal'!G721="","",'Journal'!G721)</f>
        <v/>
      </c>
      <c r="H1440" s="5">
        <f>IF('Journal'!I721="","",'Journal'!I721)</f>
        <v/>
      </c>
    </row>
    <row r="1441">
      <c r="A1441" s="18">
        <f>IF('Journal'!A722="","",'Journal'!A722)</f>
        <v/>
      </c>
      <c r="B1441" s="21">
        <f>IF('Journal'!B722="","",'Journal'!B722)</f>
        <v/>
      </c>
      <c r="C1441" s="5">
        <f>IF('Journal'!C722="","",'Journal'!C722)</f>
        <v/>
      </c>
      <c r="D1441" s="5">
        <f>IF('Journal'!D722="","",IFERROR(LEFT('Journal'!D722,FIND(" ",'Journal'!D722)-1),'Journal'!D722))</f>
        <v/>
      </c>
      <c r="E1441" s="5">
        <f>IF('Journal'!D722="","",IFERROR(INDEX('Kontoplan'!$B$3:$B$302,MATCH('Journal'!D722,'Kontoplan'!$H$3:$H$302,0)),""))</f>
        <v/>
      </c>
      <c r="F1441" s="20">
        <f>IF('Journal'!G722="","",'Journal'!G722)</f>
        <v/>
      </c>
      <c r="G1441" s="20">
        <f>IF('Journal'!F722="","",'Journal'!F722)</f>
        <v/>
      </c>
      <c r="H1441" s="5">
        <f>IF('Journal'!I722="","",'Journal'!I722)</f>
        <v/>
      </c>
    </row>
    <row r="1442">
      <c r="A1442" s="18">
        <f>IF('Journal'!A722="","",'Journal'!A722)</f>
        <v/>
      </c>
      <c r="B1442" s="21">
        <f>IF('Journal'!B722="","",'Journal'!B722)</f>
        <v/>
      </c>
      <c r="C1442" s="5">
        <f>IF('Journal'!C722="","",'Journal'!C722)</f>
        <v/>
      </c>
      <c r="D1442" s="5">
        <f>IF('Journal'!E722="","",IFERROR(LEFT('Journal'!E722,FIND(" ",'Journal'!E722)-1),'Journal'!E722))</f>
        <v/>
      </c>
      <c r="E1442" s="5">
        <f>IF('Journal'!E722="","",IFERROR(INDEX('Kontoplan'!$B$3:$B$302,MATCH('Journal'!E722,'Kontoplan'!$H$3:$H$302,0)),""))</f>
        <v/>
      </c>
      <c r="F1442" s="20">
        <f>IF('Journal'!F722="","",'Journal'!F722)</f>
        <v/>
      </c>
      <c r="G1442" s="20">
        <f>IF('Journal'!G722="","",'Journal'!G722)</f>
        <v/>
      </c>
      <c r="H1442" s="5">
        <f>IF('Journal'!I722="","",'Journal'!I722)</f>
        <v/>
      </c>
    </row>
    <row r="1443">
      <c r="A1443" s="18">
        <f>IF('Journal'!A723="","",'Journal'!A723)</f>
        <v/>
      </c>
      <c r="B1443" s="21">
        <f>IF('Journal'!B723="","",'Journal'!B723)</f>
        <v/>
      </c>
      <c r="C1443" s="5">
        <f>IF('Journal'!C723="","",'Journal'!C723)</f>
        <v/>
      </c>
      <c r="D1443" s="5">
        <f>IF('Journal'!D723="","",IFERROR(LEFT('Journal'!D723,FIND(" ",'Journal'!D723)-1),'Journal'!D723))</f>
        <v/>
      </c>
      <c r="E1443" s="5">
        <f>IF('Journal'!D723="","",IFERROR(INDEX('Kontoplan'!$B$3:$B$302,MATCH('Journal'!D723,'Kontoplan'!$H$3:$H$302,0)),""))</f>
        <v/>
      </c>
      <c r="F1443" s="20">
        <f>IF('Journal'!G723="","",'Journal'!G723)</f>
        <v/>
      </c>
      <c r="G1443" s="20">
        <f>IF('Journal'!F723="","",'Journal'!F723)</f>
        <v/>
      </c>
      <c r="H1443" s="5">
        <f>IF('Journal'!I723="","",'Journal'!I723)</f>
        <v/>
      </c>
    </row>
    <row r="1444">
      <c r="A1444" s="18">
        <f>IF('Journal'!A723="","",'Journal'!A723)</f>
        <v/>
      </c>
      <c r="B1444" s="21">
        <f>IF('Journal'!B723="","",'Journal'!B723)</f>
        <v/>
      </c>
      <c r="C1444" s="5">
        <f>IF('Journal'!C723="","",'Journal'!C723)</f>
        <v/>
      </c>
      <c r="D1444" s="5">
        <f>IF('Journal'!E723="","",IFERROR(LEFT('Journal'!E723,FIND(" ",'Journal'!E723)-1),'Journal'!E723))</f>
        <v/>
      </c>
      <c r="E1444" s="5">
        <f>IF('Journal'!E723="","",IFERROR(INDEX('Kontoplan'!$B$3:$B$302,MATCH('Journal'!E723,'Kontoplan'!$H$3:$H$302,0)),""))</f>
        <v/>
      </c>
      <c r="F1444" s="20">
        <f>IF('Journal'!F723="","",'Journal'!F723)</f>
        <v/>
      </c>
      <c r="G1444" s="20">
        <f>IF('Journal'!G723="","",'Journal'!G723)</f>
        <v/>
      </c>
      <c r="H1444" s="5">
        <f>IF('Journal'!I723="","",'Journal'!I723)</f>
        <v/>
      </c>
    </row>
    <row r="1445">
      <c r="A1445" s="18">
        <f>IF('Journal'!A724="","",'Journal'!A724)</f>
        <v/>
      </c>
      <c r="B1445" s="21">
        <f>IF('Journal'!B724="","",'Journal'!B724)</f>
        <v/>
      </c>
      <c r="C1445" s="5">
        <f>IF('Journal'!C724="","",'Journal'!C724)</f>
        <v/>
      </c>
      <c r="D1445" s="5">
        <f>IF('Journal'!D724="","",IFERROR(LEFT('Journal'!D724,FIND(" ",'Journal'!D724)-1),'Journal'!D724))</f>
        <v/>
      </c>
      <c r="E1445" s="5">
        <f>IF('Journal'!D724="","",IFERROR(INDEX('Kontoplan'!$B$3:$B$302,MATCH('Journal'!D724,'Kontoplan'!$H$3:$H$302,0)),""))</f>
        <v/>
      </c>
      <c r="F1445" s="20">
        <f>IF('Journal'!G724="","",'Journal'!G724)</f>
        <v/>
      </c>
      <c r="G1445" s="20">
        <f>IF('Journal'!F724="","",'Journal'!F724)</f>
        <v/>
      </c>
      <c r="H1445" s="5">
        <f>IF('Journal'!I724="","",'Journal'!I724)</f>
        <v/>
      </c>
    </row>
    <row r="1446">
      <c r="A1446" s="18">
        <f>IF('Journal'!A724="","",'Journal'!A724)</f>
        <v/>
      </c>
      <c r="B1446" s="21">
        <f>IF('Journal'!B724="","",'Journal'!B724)</f>
        <v/>
      </c>
      <c r="C1446" s="5">
        <f>IF('Journal'!C724="","",'Journal'!C724)</f>
        <v/>
      </c>
      <c r="D1446" s="5">
        <f>IF('Journal'!E724="","",IFERROR(LEFT('Journal'!E724,FIND(" ",'Journal'!E724)-1),'Journal'!E724))</f>
        <v/>
      </c>
      <c r="E1446" s="5">
        <f>IF('Journal'!E724="","",IFERROR(INDEX('Kontoplan'!$B$3:$B$302,MATCH('Journal'!E724,'Kontoplan'!$H$3:$H$302,0)),""))</f>
        <v/>
      </c>
      <c r="F1446" s="20">
        <f>IF('Journal'!F724="","",'Journal'!F724)</f>
        <v/>
      </c>
      <c r="G1446" s="20">
        <f>IF('Journal'!G724="","",'Journal'!G724)</f>
        <v/>
      </c>
      <c r="H1446" s="5">
        <f>IF('Journal'!I724="","",'Journal'!I724)</f>
        <v/>
      </c>
    </row>
    <row r="1447">
      <c r="A1447" s="18">
        <f>IF('Journal'!A725="","",'Journal'!A725)</f>
        <v/>
      </c>
      <c r="B1447" s="21">
        <f>IF('Journal'!B725="","",'Journal'!B725)</f>
        <v/>
      </c>
      <c r="C1447" s="5">
        <f>IF('Journal'!C725="","",'Journal'!C725)</f>
        <v/>
      </c>
      <c r="D1447" s="5">
        <f>IF('Journal'!D725="","",IFERROR(LEFT('Journal'!D725,FIND(" ",'Journal'!D725)-1),'Journal'!D725))</f>
        <v/>
      </c>
      <c r="E1447" s="5">
        <f>IF('Journal'!D725="","",IFERROR(INDEX('Kontoplan'!$B$3:$B$302,MATCH('Journal'!D725,'Kontoplan'!$H$3:$H$302,0)),""))</f>
        <v/>
      </c>
      <c r="F1447" s="20">
        <f>IF('Journal'!G725="","",'Journal'!G725)</f>
        <v/>
      </c>
      <c r="G1447" s="20">
        <f>IF('Journal'!F725="","",'Journal'!F725)</f>
        <v/>
      </c>
      <c r="H1447" s="5">
        <f>IF('Journal'!I725="","",'Journal'!I725)</f>
        <v/>
      </c>
    </row>
    <row r="1448">
      <c r="A1448" s="18">
        <f>IF('Journal'!A725="","",'Journal'!A725)</f>
        <v/>
      </c>
      <c r="B1448" s="21">
        <f>IF('Journal'!B725="","",'Journal'!B725)</f>
        <v/>
      </c>
      <c r="C1448" s="5">
        <f>IF('Journal'!C725="","",'Journal'!C725)</f>
        <v/>
      </c>
      <c r="D1448" s="5">
        <f>IF('Journal'!E725="","",IFERROR(LEFT('Journal'!E725,FIND(" ",'Journal'!E725)-1),'Journal'!E725))</f>
        <v/>
      </c>
      <c r="E1448" s="5">
        <f>IF('Journal'!E725="","",IFERROR(INDEX('Kontoplan'!$B$3:$B$302,MATCH('Journal'!E725,'Kontoplan'!$H$3:$H$302,0)),""))</f>
        <v/>
      </c>
      <c r="F1448" s="20">
        <f>IF('Journal'!F725="","",'Journal'!F725)</f>
        <v/>
      </c>
      <c r="G1448" s="20">
        <f>IF('Journal'!G725="","",'Journal'!G725)</f>
        <v/>
      </c>
      <c r="H1448" s="5">
        <f>IF('Journal'!I725="","",'Journal'!I725)</f>
        <v/>
      </c>
    </row>
    <row r="1449">
      <c r="A1449" s="18">
        <f>IF('Journal'!A726="","",'Journal'!A726)</f>
        <v/>
      </c>
      <c r="B1449" s="21">
        <f>IF('Journal'!B726="","",'Journal'!B726)</f>
        <v/>
      </c>
      <c r="C1449" s="5">
        <f>IF('Journal'!C726="","",'Journal'!C726)</f>
        <v/>
      </c>
      <c r="D1449" s="5">
        <f>IF('Journal'!D726="","",IFERROR(LEFT('Journal'!D726,FIND(" ",'Journal'!D726)-1),'Journal'!D726))</f>
        <v/>
      </c>
      <c r="E1449" s="5">
        <f>IF('Journal'!D726="","",IFERROR(INDEX('Kontoplan'!$B$3:$B$302,MATCH('Journal'!D726,'Kontoplan'!$H$3:$H$302,0)),""))</f>
        <v/>
      </c>
      <c r="F1449" s="20">
        <f>IF('Journal'!G726="","",'Journal'!G726)</f>
        <v/>
      </c>
      <c r="G1449" s="20">
        <f>IF('Journal'!F726="","",'Journal'!F726)</f>
        <v/>
      </c>
      <c r="H1449" s="5">
        <f>IF('Journal'!I726="","",'Journal'!I726)</f>
        <v/>
      </c>
    </row>
    <row r="1450">
      <c r="A1450" s="18">
        <f>IF('Journal'!A726="","",'Journal'!A726)</f>
        <v/>
      </c>
      <c r="B1450" s="21">
        <f>IF('Journal'!B726="","",'Journal'!B726)</f>
        <v/>
      </c>
      <c r="C1450" s="5">
        <f>IF('Journal'!C726="","",'Journal'!C726)</f>
        <v/>
      </c>
      <c r="D1450" s="5">
        <f>IF('Journal'!E726="","",IFERROR(LEFT('Journal'!E726,FIND(" ",'Journal'!E726)-1),'Journal'!E726))</f>
        <v/>
      </c>
      <c r="E1450" s="5">
        <f>IF('Journal'!E726="","",IFERROR(INDEX('Kontoplan'!$B$3:$B$302,MATCH('Journal'!E726,'Kontoplan'!$H$3:$H$302,0)),""))</f>
        <v/>
      </c>
      <c r="F1450" s="20">
        <f>IF('Journal'!F726="","",'Journal'!F726)</f>
        <v/>
      </c>
      <c r="G1450" s="20">
        <f>IF('Journal'!G726="","",'Journal'!G726)</f>
        <v/>
      </c>
      <c r="H1450" s="5">
        <f>IF('Journal'!I726="","",'Journal'!I726)</f>
        <v/>
      </c>
    </row>
    <row r="1451">
      <c r="A1451" s="18">
        <f>IF('Journal'!A727="","",'Journal'!A727)</f>
        <v/>
      </c>
      <c r="B1451" s="21">
        <f>IF('Journal'!B727="","",'Journal'!B727)</f>
        <v/>
      </c>
      <c r="C1451" s="5">
        <f>IF('Journal'!C727="","",'Journal'!C727)</f>
        <v/>
      </c>
      <c r="D1451" s="5">
        <f>IF('Journal'!D727="","",IFERROR(LEFT('Journal'!D727,FIND(" ",'Journal'!D727)-1),'Journal'!D727))</f>
        <v/>
      </c>
      <c r="E1451" s="5">
        <f>IF('Journal'!D727="","",IFERROR(INDEX('Kontoplan'!$B$3:$B$302,MATCH('Journal'!D727,'Kontoplan'!$H$3:$H$302,0)),""))</f>
        <v/>
      </c>
      <c r="F1451" s="20">
        <f>IF('Journal'!G727="","",'Journal'!G727)</f>
        <v/>
      </c>
      <c r="G1451" s="20">
        <f>IF('Journal'!F727="","",'Journal'!F727)</f>
        <v/>
      </c>
      <c r="H1451" s="5">
        <f>IF('Journal'!I727="","",'Journal'!I727)</f>
        <v/>
      </c>
    </row>
    <row r="1452">
      <c r="A1452" s="18">
        <f>IF('Journal'!A727="","",'Journal'!A727)</f>
        <v/>
      </c>
      <c r="B1452" s="21">
        <f>IF('Journal'!B727="","",'Journal'!B727)</f>
        <v/>
      </c>
      <c r="C1452" s="5">
        <f>IF('Journal'!C727="","",'Journal'!C727)</f>
        <v/>
      </c>
      <c r="D1452" s="5">
        <f>IF('Journal'!E727="","",IFERROR(LEFT('Journal'!E727,FIND(" ",'Journal'!E727)-1),'Journal'!E727))</f>
        <v/>
      </c>
      <c r="E1452" s="5">
        <f>IF('Journal'!E727="","",IFERROR(INDEX('Kontoplan'!$B$3:$B$302,MATCH('Journal'!E727,'Kontoplan'!$H$3:$H$302,0)),""))</f>
        <v/>
      </c>
      <c r="F1452" s="20">
        <f>IF('Journal'!F727="","",'Journal'!F727)</f>
        <v/>
      </c>
      <c r="G1452" s="20">
        <f>IF('Journal'!G727="","",'Journal'!G727)</f>
        <v/>
      </c>
      <c r="H1452" s="5">
        <f>IF('Journal'!I727="","",'Journal'!I727)</f>
        <v/>
      </c>
    </row>
    <row r="1453">
      <c r="A1453" s="18">
        <f>IF('Journal'!A728="","",'Journal'!A728)</f>
        <v/>
      </c>
      <c r="B1453" s="21">
        <f>IF('Journal'!B728="","",'Journal'!B728)</f>
        <v/>
      </c>
      <c r="C1453" s="5">
        <f>IF('Journal'!C728="","",'Journal'!C728)</f>
        <v/>
      </c>
      <c r="D1453" s="5">
        <f>IF('Journal'!D728="","",IFERROR(LEFT('Journal'!D728,FIND(" ",'Journal'!D728)-1),'Journal'!D728))</f>
        <v/>
      </c>
      <c r="E1453" s="5">
        <f>IF('Journal'!D728="","",IFERROR(INDEX('Kontoplan'!$B$3:$B$302,MATCH('Journal'!D728,'Kontoplan'!$H$3:$H$302,0)),""))</f>
        <v/>
      </c>
      <c r="F1453" s="20">
        <f>IF('Journal'!G728="","",'Journal'!G728)</f>
        <v/>
      </c>
      <c r="G1453" s="20">
        <f>IF('Journal'!F728="","",'Journal'!F728)</f>
        <v/>
      </c>
      <c r="H1453" s="5">
        <f>IF('Journal'!I728="","",'Journal'!I728)</f>
        <v/>
      </c>
    </row>
    <row r="1454">
      <c r="A1454" s="18">
        <f>IF('Journal'!A728="","",'Journal'!A728)</f>
        <v/>
      </c>
      <c r="B1454" s="21">
        <f>IF('Journal'!B728="","",'Journal'!B728)</f>
        <v/>
      </c>
      <c r="C1454" s="5">
        <f>IF('Journal'!C728="","",'Journal'!C728)</f>
        <v/>
      </c>
      <c r="D1454" s="5">
        <f>IF('Journal'!E728="","",IFERROR(LEFT('Journal'!E728,FIND(" ",'Journal'!E728)-1),'Journal'!E728))</f>
        <v/>
      </c>
      <c r="E1454" s="5">
        <f>IF('Journal'!E728="","",IFERROR(INDEX('Kontoplan'!$B$3:$B$302,MATCH('Journal'!E728,'Kontoplan'!$H$3:$H$302,0)),""))</f>
        <v/>
      </c>
      <c r="F1454" s="20">
        <f>IF('Journal'!F728="","",'Journal'!F728)</f>
        <v/>
      </c>
      <c r="G1454" s="20">
        <f>IF('Journal'!G728="","",'Journal'!G728)</f>
        <v/>
      </c>
      <c r="H1454" s="5">
        <f>IF('Journal'!I728="","",'Journal'!I728)</f>
        <v/>
      </c>
    </row>
    <row r="1455">
      <c r="A1455" s="18">
        <f>IF('Journal'!A729="","",'Journal'!A729)</f>
        <v/>
      </c>
      <c r="B1455" s="21">
        <f>IF('Journal'!B729="","",'Journal'!B729)</f>
        <v/>
      </c>
      <c r="C1455" s="5">
        <f>IF('Journal'!C729="","",'Journal'!C729)</f>
        <v/>
      </c>
      <c r="D1455" s="5">
        <f>IF('Journal'!D729="","",IFERROR(LEFT('Journal'!D729,FIND(" ",'Journal'!D729)-1),'Journal'!D729))</f>
        <v/>
      </c>
      <c r="E1455" s="5">
        <f>IF('Journal'!D729="","",IFERROR(INDEX('Kontoplan'!$B$3:$B$302,MATCH('Journal'!D729,'Kontoplan'!$H$3:$H$302,0)),""))</f>
        <v/>
      </c>
      <c r="F1455" s="20">
        <f>IF('Journal'!G729="","",'Journal'!G729)</f>
        <v/>
      </c>
      <c r="G1455" s="20">
        <f>IF('Journal'!F729="","",'Journal'!F729)</f>
        <v/>
      </c>
      <c r="H1455" s="5">
        <f>IF('Journal'!I729="","",'Journal'!I729)</f>
        <v/>
      </c>
    </row>
    <row r="1456">
      <c r="A1456" s="18">
        <f>IF('Journal'!A729="","",'Journal'!A729)</f>
        <v/>
      </c>
      <c r="B1456" s="21">
        <f>IF('Journal'!B729="","",'Journal'!B729)</f>
        <v/>
      </c>
      <c r="C1456" s="5">
        <f>IF('Journal'!C729="","",'Journal'!C729)</f>
        <v/>
      </c>
      <c r="D1456" s="5">
        <f>IF('Journal'!E729="","",IFERROR(LEFT('Journal'!E729,FIND(" ",'Journal'!E729)-1),'Journal'!E729))</f>
        <v/>
      </c>
      <c r="E1456" s="5">
        <f>IF('Journal'!E729="","",IFERROR(INDEX('Kontoplan'!$B$3:$B$302,MATCH('Journal'!E729,'Kontoplan'!$H$3:$H$302,0)),""))</f>
        <v/>
      </c>
      <c r="F1456" s="20">
        <f>IF('Journal'!F729="","",'Journal'!F729)</f>
        <v/>
      </c>
      <c r="G1456" s="20">
        <f>IF('Journal'!G729="","",'Journal'!G729)</f>
        <v/>
      </c>
      <c r="H1456" s="5">
        <f>IF('Journal'!I729="","",'Journal'!I729)</f>
        <v/>
      </c>
    </row>
    <row r="1457">
      <c r="A1457" s="18">
        <f>IF('Journal'!A730="","",'Journal'!A730)</f>
        <v/>
      </c>
      <c r="B1457" s="21">
        <f>IF('Journal'!B730="","",'Journal'!B730)</f>
        <v/>
      </c>
      <c r="C1457" s="5">
        <f>IF('Journal'!C730="","",'Journal'!C730)</f>
        <v/>
      </c>
      <c r="D1457" s="5">
        <f>IF('Journal'!D730="","",IFERROR(LEFT('Journal'!D730,FIND(" ",'Journal'!D730)-1),'Journal'!D730))</f>
        <v/>
      </c>
      <c r="E1457" s="5">
        <f>IF('Journal'!D730="","",IFERROR(INDEX('Kontoplan'!$B$3:$B$302,MATCH('Journal'!D730,'Kontoplan'!$H$3:$H$302,0)),""))</f>
        <v/>
      </c>
      <c r="F1457" s="20">
        <f>IF('Journal'!G730="","",'Journal'!G730)</f>
        <v/>
      </c>
      <c r="G1457" s="20">
        <f>IF('Journal'!F730="","",'Journal'!F730)</f>
        <v/>
      </c>
      <c r="H1457" s="5">
        <f>IF('Journal'!I730="","",'Journal'!I730)</f>
        <v/>
      </c>
    </row>
    <row r="1458">
      <c r="A1458" s="18">
        <f>IF('Journal'!A730="","",'Journal'!A730)</f>
        <v/>
      </c>
      <c r="B1458" s="21">
        <f>IF('Journal'!B730="","",'Journal'!B730)</f>
        <v/>
      </c>
      <c r="C1458" s="5">
        <f>IF('Journal'!C730="","",'Journal'!C730)</f>
        <v/>
      </c>
      <c r="D1458" s="5">
        <f>IF('Journal'!E730="","",IFERROR(LEFT('Journal'!E730,FIND(" ",'Journal'!E730)-1),'Journal'!E730))</f>
        <v/>
      </c>
      <c r="E1458" s="5">
        <f>IF('Journal'!E730="","",IFERROR(INDEX('Kontoplan'!$B$3:$B$302,MATCH('Journal'!E730,'Kontoplan'!$H$3:$H$302,0)),""))</f>
        <v/>
      </c>
      <c r="F1458" s="20">
        <f>IF('Journal'!F730="","",'Journal'!F730)</f>
        <v/>
      </c>
      <c r="G1458" s="20">
        <f>IF('Journal'!G730="","",'Journal'!G730)</f>
        <v/>
      </c>
      <c r="H1458" s="5">
        <f>IF('Journal'!I730="","",'Journal'!I730)</f>
        <v/>
      </c>
    </row>
    <row r="1459">
      <c r="A1459" s="18">
        <f>IF('Journal'!A731="","",'Journal'!A731)</f>
        <v/>
      </c>
      <c r="B1459" s="21">
        <f>IF('Journal'!B731="","",'Journal'!B731)</f>
        <v/>
      </c>
      <c r="C1459" s="5">
        <f>IF('Journal'!C731="","",'Journal'!C731)</f>
        <v/>
      </c>
      <c r="D1459" s="5">
        <f>IF('Journal'!D731="","",IFERROR(LEFT('Journal'!D731,FIND(" ",'Journal'!D731)-1),'Journal'!D731))</f>
        <v/>
      </c>
      <c r="E1459" s="5">
        <f>IF('Journal'!D731="","",IFERROR(INDEX('Kontoplan'!$B$3:$B$302,MATCH('Journal'!D731,'Kontoplan'!$H$3:$H$302,0)),""))</f>
        <v/>
      </c>
      <c r="F1459" s="20">
        <f>IF('Journal'!G731="","",'Journal'!G731)</f>
        <v/>
      </c>
      <c r="G1459" s="20">
        <f>IF('Journal'!F731="","",'Journal'!F731)</f>
        <v/>
      </c>
      <c r="H1459" s="5">
        <f>IF('Journal'!I731="","",'Journal'!I731)</f>
        <v/>
      </c>
    </row>
    <row r="1460">
      <c r="A1460" s="18">
        <f>IF('Journal'!A731="","",'Journal'!A731)</f>
        <v/>
      </c>
      <c r="B1460" s="21">
        <f>IF('Journal'!B731="","",'Journal'!B731)</f>
        <v/>
      </c>
      <c r="C1460" s="5">
        <f>IF('Journal'!C731="","",'Journal'!C731)</f>
        <v/>
      </c>
      <c r="D1460" s="5">
        <f>IF('Journal'!E731="","",IFERROR(LEFT('Journal'!E731,FIND(" ",'Journal'!E731)-1),'Journal'!E731))</f>
        <v/>
      </c>
      <c r="E1460" s="5">
        <f>IF('Journal'!E731="","",IFERROR(INDEX('Kontoplan'!$B$3:$B$302,MATCH('Journal'!E731,'Kontoplan'!$H$3:$H$302,0)),""))</f>
        <v/>
      </c>
      <c r="F1460" s="20">
        <f>IF('Journal'!F731="","",'Journal'!F731)</f>
        <v/>
      </c>
      <c r="G1460" s="20">
        <f>IF('Journal'!G731="","",'Journal'!G731)</f>
        <v/>
      </c>
      <c r="H1460" s="5">
        <f>IF('Journal'!I731="","",'Journal'!I731)</f>
        <v/>
      </c>
    </row>
    <row r="1461">
      <c r="A1461" s="18">
        <f>IF('Journal'!A732="","",'Journal'!A732)</f>
        <v/>
      </c>
      <c r="B1461" s="21">
        <f>IF('Journal'!B732="","",'Journal'!B732)</f>
        <v/>
      </c>
      <c r="C1461" s="5">
        <f>IF('Journal'!C732="","",'Journal'!C732)</f>
        <v/>
      </c>
      <c r="D1461" s="5">
        <f>IF('Journal'!D732="","",IFERROR(LEFT('Journal'!D732,FIND(" ",'Journal'!D732)-1),'Journal'!D732))</f>
        <v/>
      </c>
      <c r="E1461" s="5">
        <f>IF('Journal'!D732="","",IFERROR(INDEX('Kontoplan'!$B$3:$B$302,MATCH('Journal'!D732,'Kontoplan'!$H$3:$H$302,0)),""))</f>
        <v/>
      </c>
      <c r="F1461" s="20">
        <f>IF('Journal'!G732="","",'Journal'!G732)</f>
        <v/>
      </c>
      <c r="G1461" s="20">
        <f>IF('Journal'!F732="","",'Journal'!F732)</f>
        <v/>
      </c>
      <c r="H1461" s="5">
        <f>IF('Journal'!I732="","",'Journal'!I732)</f>
        <v/>
      </c>
    </row>
    <row r="1462">
      <c r="A1462" s="18">
        <f>IF('Journal'!A732="","",'Journal'!A732)</f>
        <v/>
      </c>
      <c r="B1462" s="21">
        <f>IF('Journal'!B732="","",'Journal'!B732)</f>
        <v/>
      </c>
      <c r="C1462" s="5">
        <f>IF('Journal'!C732="","",'Journal'!C732)</f>
        <v/>
      </c>
      <c r="D1462" s="5">
        <f>IF('Journal'!E732="","",IFERROR(LEFT('Journal'!E732,FIND(" ",'Journal'!E732)-1),'Journal'!E732))</f>
        <v/>
      </c>
      <c r="E1462" s="5">
        <f>IF('Journal'!E732="","",IFERROR(INDEX('Kontoplan'!$B$3:$B$302,MATCH('Journal'!E732,'Kontoplan'!$H$3:$H$302,0)),""))</f>
        <v/>
      </c>
      <c r="F1462" s="20">
        <f>IF('Journal'!F732="","",'Journal'!F732)</f>
        <v/>
      </c>
      <c r="G1462" s="20">
        <f>IF('Journal'!G732="","",'Journal'!G732)</f>
        <v/>
      </c>
      <c r="H1462" s="5">
        <f>IF('Journal'!I732="","",'Journal'!I732)</f>
        <v/>
      </c>
    </row>
    <row r="1463">
      <c r="A1463" s="18">
        <f>IF('Journal'!A733="","",'Journal'!A733)</f>
        <v/>
      </c>
      <c r="B1463" s="21">
        <f>IF('Journal'!B733="","",'Journal'!B733)</f>
        <v/>
      </c>
      <c r="C1463" s="5">
        <f>IF('Journal'!C733="","",'Journal'!C733)</f>
        <v/>
      </c>
      <c r="D1463" s="5">
        <f>IF('Journal'!D733="","",IFERROR(LEFT('Journal'!D733,FIND(" ",'Journal'!D733)-1),'Journal'!D733))</f>
        <v/>
      </c>
      <c r="E1463" s="5">
        <f>IF('Journal'!D733="","",IFERROR(INDEX('Kontoplan'!$B$3:$B$302,MATCH('Journal'!D733,'Kontoplan'!$H$3:$H$302,0)),""))</f>
        <v/>
      </c>
      <c r="F1463" s="20">
        <f>IF('Journal'!G733="","",'Journal'!G733)</f>
        <v/>
      </c>
      <c r="G1463" s="20">
        <f>IF('Journal'!F733="","",'Journal'!F733)</f>
        <v/>
      </c>
      <c r="H1463" s="5">
        <f>IF('Journal'!I733="","",'Journal'!I733)</f>
        <v/>
      </c>
    </row>
    <row r="1464">
      <c r="A1464" s="18">
        <f>IF('Journal'!A733="","",'Journal'!A733)</f>
        <v/>
      </c>
      <c r="B1464" s="21">
        <f>IF('Journal'!B733="","",'Journal'!B733)</f>
        <v/>
      </c>
      <c r="C1464" s="5">
        <f>IF('Journal'!C733="","",'Journal'!C733)</f>
        <v/>
      </c>
      <c r="D1464" s="5">
        <f>IF('Journal'!E733="","",IFERROR(LEFT('Journal'!E733,FIND(" ",'Journal'!E733)-1),'Journal'!E733))</f>
        <v/>
      </c>
      <c r="E1464" s="5">
        <f>IF('Journal'!E733="","",IFERROR(INDEX('Kontoplan'!$B$3:$B$302,MATCH('Journal'!E733,'Kontoplan'!$H$3:$H$302,0)),""))</f>
        <v/>
      </c>
      <c r="F1464" s="20">
        <f>IF('Journal'!F733="","",'Journal'!F733)</f>
        <v/>
      </c>
      <c r="G1464" s="20">
        <f>IF('Journal'!G733="","",'Journal'!G733)</f>
        <v/>
      </c>
      <c r="H1464" s="5">
        <f>IF('Journal'!I733="","",'Journal'!I733)</f>
        <v/>
      </c>
    </row>
    <row r="1465">
      <c r="A1465" s="18">
        <f>IF('Journal'!A734="","",'Journal'!A734)</f>
        <v/>
      </c>
      <c r="B1465" s="21">
        <f>IF('Journal'!B734="","",'Journal'!B734)</f>
        <v/>
      </c>
      <c r="C1465" s="5">
        <f>IF('Journal'!C734="","",'Journal'!C734)</f>
        <v/>
      </c>
      <c r="D1465" s="5">
        <f>IF('Journal'!D734="","",IFERROR(LEFT('Journal'!D734,FIND(" ",'Journal'!D734)-1),'Journal'!D734))</f>
        <v/>
      </c>
      <c r="E1465" s="5">
        <f>IF('Journal'!D734="","",IFERROR(INDEX('Kontoplan'!$B$3:$B$302,MATCH('Journal'!D734,'Kontoplan'!$H$3:$H$302,0)),""))</f>
        <v/>
      </c>
      <c r="F1465" s="20">
        <f>IF('Journal'!G734="","",'Journal'!G734)</f>
        <v/>
      </c>
      <c r="G1465" s="20">
        <f>IF('Journal'!F734="","",'Journal'!F734)</f>
        <v/>
      </c>
      <c r="H1465" s="5">
        <f>IF('Journal'!I734="","",'Journal'!I734)</f>
        <v/>
      </c>
    </row>
    <row r="1466">
      <c r="A1466" s="18">
        <f>IF('Journal'!A734="","",'Journal'!A734)</f>
        <v/>
      </c>
      <c r="B1466" s="21">
        <f>IF('Journal'!B734="","",'Journal'!B734)</f>
        <v/>
      </c>
      <c r="C1466" s="5">
        <f>IF('Journal'!C734="","",'Journal'!C734)</f>
        <v/>
      </c>
      <c r="D1466" s="5">
        <f>IF('Journal'!E734="","",IFERROR(LEFT('Journal'!E734,FIND(" ",'Journal'!E734)-1),'Journal'!E734))</f>
        <v/>
      </c>
      <c r="E1466" s="5">
        <f>IF('Journal'!E734="","",IFERROR(INDEX('Kontoplan'!$B$3:$B$302,MATCH('Journal'!E734,'Kontoplan'!$H$3:$H$302,0)),""))</f>
        <v/>
      </c>
      <c r="F1466" s="20">
        <f>IF('Journal'!F734="","",'Journal'!F734)</f>
        <v/>
      </c>
      <c r="G1466" s="20">
        <f>IF('Journal'!G734="","",'Journal'!G734)</f>
        <v/>
      </c>
      <c r="H1466" s="5">
        <f>IF('Journal'!I734="","",'Journal'!I734)</f>
        <v/>
      </c>
    </row>
    <row r="1467">
      <c r="A1467" s="18">
        <f>IF('Journal'!A735="","",'Journal'!A735)</f>
        <v/>
      </c>
      <c r="B1467" s="21">
        <f>IF('Journal'!B735="","",'Journal'!B735)</f>
        <v/>
      </c>
      <c r="C1467" s="5">
        <f>IF('Journal'!C735="","",'Journal'!C735)</f>
        <v/>
      </c>
      <c r="D1467" s="5">
        <f>IF('Journal'!D735="","",IFERROR(LEFT('Journal'!D735,FIND(" ",'Journal'!D735)-1),'Journal'!D735))</f>
        <v/>
      </c>
      <c r="E1467" s="5">
        <f>IF('Journal'!D735="","",IFERROR(INDEX('Kontoplan'!$B$3:$B$302,MATCH('Journal'!D735,'Kontoplan'!$H$3:$H$302,0)),""))</f>
        <v/>
      </c>
      <c r="F1467" s="20">
        <f>IF('Journal'!G735="","",'Journal'!G735)</f>
        <v/>
      </c>
      <c r="G1467" s="20">
        <f>IF('Journal'!F735="","",'Journal'!F735)</f>
        <v/>
      </c>
      <c r="H1467" s="5">
        <f>IF('Journal'!I735="","",'Journal'!I735)</f>
        <v/>
      </c>
    </row>
    <row r="1468">
      <c r="A1468" s="18">
        <f>IF('Journal'!A735="","",'Journal'!A735)</f>
        <v/>
      </c>
      <c r="B1468" s="21">
        <f>IF('Journal'!B735="","",'Journal'!B735)</f>
        <v/>
      </c>
      <c r="C1468" s="5">
        <f>IF('Journal'!C735="","",'Journal'!C735)</f>
        <v/>
      </c>
      <c r="D1468" s="5">
        <f>IF('Journal'!E735="","",IFERROR(LEFT('Journal'!E735,FIND(" ",'Journal'!E735)-1),'Journal'!E735))</f>
        <v/>
      </c>
      <c r="E1468" s="5">
        <f>IF('Journal'!E735="","",IFERROR(INDEX('Kontoplan'!$B$3:$B$302,MATCH('Journal'!E735,'Kontoplan'!$H$3:$H$302,0)),""))</f>
        <v/>
      </c>
      <c r="F1468" s="20">
        <f>IF('Journal'!F735="","",'Journal'!F735)</f>
        <v/>
      </c>
      <c r="G1468" s="20">
        <f>IF('Journal'!G735="","",'Journal'!G735)</f>
        <v/>
      </c>
      <c r="H1468" s="5">
        <f>IF('Journal'!I735="","",'Journal'!I735)</f>
        <v/>
      </c>
    </row>
    <row r="1469">
      <c r="A1469" s="18">
        <f>IF('Journal'!A736="","",'Journal'!A736)</f>
        <v/>
      </c>
      <c r="B1469" s="21">
        <f>IF('Journal'!B736="","",'Journal'!B736)</f>
        <v/>
      </c>
      <c r="C1469" s="5">
        <f>IF('Journal'!C736="","",'Journal'!C736)</f>
        <v/>
      </c>
      <c r="D1469" s="5">
        <f>IF('Journal'!D736="","",IFERROR(LEFT('Journal'!D736,FIND(" ",'Journal'!D736)-1),'Journal'!D736))</f>
        <v/>
      </c>
      <c r="E1469" s="5">
        <f>IF('Journal'!D736="","",IFERROR(INDEX('Kontoplan'!$B$3:$B$302,MATCH('Journal'!D736,'Kontoplan'!$H$3:$H$302,0)),""))</f>
        <v/>
      </c>
      <c r="F1469" s="20">
        <f>IF('Journal'!G736="","",'Journal'!G736)</f>
        <v/>
      </c>
      <c r="G1469" s="20">
        <f>IF('Journal'!F736="","",'Journal'!F736)</f>
        <v/>
      </c>
      <c r="H1469" s="5">
        <f>IF('Journal'!I736="","",'Journal'!I736)</f>
        <v/>
      </c>
    </row>
    <row r="1470">
      <c r="A1470" s="18">
        <f>IF('Journal'!A736="","",'Journal'!A736)</f>
        <v/>
      </c>
      <c r="B1470" s="21">
        <f>IF('Journal'!B736="","",'Journal'!B736)</f>
        <v/>
      </c>
      <c r="C1470" s="5">
        <f>IF('Journal'!C736="","",'Journal'!C736)</f>
        <v/>
      </c>
      <c r="D1470" s="5">
        <f>IF('Journal'!E736="","",IFERROR(LEFT('Journal'!E736,FIND(" ",'Journal'!E736)-1),'Journal'!E736))</f>
        <v/>
      </c>
      <c r="E1470" s="5">
        <f>IF('Journal'!E736="","",IFERROR(INDEX('Kontoplan'!$B$3:$B$302,MATCH('Journal'!E736,'Kontoplan'!$H$3:$H$302,0)),""))</f>
        <v/>
      </c>
      <c r="F1470" s="20">
        <f>IF('Journal'!F736="","",'Journal'!F736)</f>
        <v/>
      </c>
      <c r="G1470" s="20">
        <f>IF('Journal'!G736="","",'Journal'!G736)</f>
        <v/>
      </c>
      <c r="H1470" s="5">
        <f>IF('Journal'!I736="","",'Journal'!I736)</f>
        <v/>
      </c>
    </row>
    <row r="1471">
      <c r="A1471" s="18">
        <f>IF('Journal'!A737="","",'Journal'!A737)</f>
        <v/>
      </c>
      <c r="B1471" s="21">
        <f>IF('Journal'!B737="","",'Journal'!B737)</f>
        <v/>
      </c>
      <c r="C1471" s="5">
        <f>IF('Journal'!C737="","",'Journal'!C737)</f>
        <v/>
      </c>
      <c r="D1471" s="5">
        <f>IF('Journal'!D737="","",IFERROR(LEFT('Journal'!D737,FIND(" ",'Journal'!D737)-1),'Journal'!D737))</f>
        <v/>
      </c>
      <c r="E1471" s="5">
        <f>IF('Journal'!D737="","",IFERROR(INDEX('Kontoplan'!$B$3:$B$302,MATCH('Journal'!D737,'Kontoplan'!$H$3:$H$302,0)),""))</f>
        <v/>
      </c>
      <c r="F1471" s="20">
        <f>IF('Journal'!G737="","",'Journal'!G737)</f>
        <v/>
      </c>
      <c r="G1471" s="20">
        <f>IF('Journal'!F737="","",'Journal'!F737)</f>
        <v/>
      </c>
      <c r="H1471" s="5">
        <f>IF('Journal'!I737="","",'Journal'!I737)</f>
        <v/>
      </c>
    </row>
    <row r="1472">
      <c r="A1472" s="18">
        <f>IF('Journal'!A737="","",'Journal'!A737)</f>
        <v/>
      </c>
      <c r="B1472" s="21">
        <f>IF('Journal'!B737="","",'Journal'!B737)</f>
        <v/>
      </c>
      <c r="C1472" s="5">
        <f>IF('Journal'!C737="","",'Journal'!C737)</f>
        <v/>
      </c>
      <c r="D1472" s="5">
        <f>IF('Journal'!E737="","",IFERROR(LEFT('Journal'!E737,FIND(" ",'Journal'!E737)-1),'Journal'!E737))</f>
        <v/>
      </c>
      <c r="E1472" s="5">
        <f>IF('Journal'!E737="","",IFERROR(INDEX('Kontoplan'!$B$3:$B$302,MATCH('Journal'!E737,'Kontoplan'!$H$3:$H$302,0)),""))</f>
        <v/>
      </c>
      <c r="F1472" s="20">
        <f>IF('Journal'!F737="","",'Journal'!F737)</f>
        <v/>
      </c>
      <c r="G1472" s="20">
        <f>IF('Journal'!G737="","",'Journal'!G737)</f>
        <v/>
      </c>
      <c r="H1472" s="5">
        <f>IF('Journal'!I737="","",'Journal'!I737)</f>
        <v/>
      </c>
    </row>
    <row r="1473">
      <c r="A1473" s="18">
        <f>IF('Journal'!A738="","",'Journal'!A738)</f>
        <v/>
      </c>
      <c r="B1473" s="21">
        <f>IF('Journal'!B738="","",'Journal'!B738)</f>
        <v/>
      </c>
      <c r="C1473" s="5">
        <f>IF('Journal'!C738="","",'Journal'!C738)</f>
        <v/>
      </c>
      <c r="D1473" s="5">
        <f>IF('Journal'!D738="","",IFERROR(LEFT('Journal'!D738,FIND(" ",'Journal'!D738)-1),'Journal'!D738))</f>
        <v/>
      </c>
      <c r="E1473" s="5">
        <f>IF('Journal'!D738="","",IFERROR(INDEX('Kontoplan'!$B$3:$B$302,MATCH('Journal'!D738,'Kontoplan'!$H$3:$H$302,0)),""))</f>
        <v/>
      </c>
      <c r="F1473" s="20">
        <f>IF('Journal'!G738="","",'Journal'!G738)</f>
        <v/>
      </c>
      <c r="G1473" s="20">
        <f>IF('Journal'!F738="","",'Journal'!F738)</f>
        <v/>
      </c>
      <c r="H1473" s="5">
        <f>IF('Journal'!I738="","",'Journal'!I738)</f>
        <v/>
      </c>
    </row>
    <row r="1474">
      <c r="A1474" s="18">
        <f>IF('Journal'!A738="","",'Journal'!A738)</f>
        <v/>
      </c>
      <c r="B1474" s="21">
        <f>IF('Journal'!B738="","",'Journal'!B738)</f>
        <v/>
      </c>
      <c r="C1474" s="5">
        <f>IF('Journal'!C738="","",'Journal'!C738)</f>
        <v/>
      </c>
      <c r="D1474" s="5">
        <f>IF('Journal'!E738="","",IFERROR(LEFT('Journal'!E738,FIND(" ",'Journal'!E738)-1),'Journal'!E738))</f>
        <v/>
      </c>
      <c r="E1474" s="5">
        <f>IF('Journal'!E738="","",IFERROR(INDEX('Kontoplan'!$B$3:$B$302,MATCH('Journal'!E738,'Kontoplan'!$H$3:$H$302,0)),""))</f>
        <v/>
      </c>
      <c r="F1474" s="20">
        <f>IF('Journal'!F738="","",'Journal'!F738)</f>
        <v/>
      </c>
      <c r="G1474" s="20">
        <f>IF('Journal'!G738="","",'Journal'!G738)</f>
        <v/>
      </c>
      <c r="H1474" s="5">
        <f>IF('Journal'!I738="","",'Journal'!I738)</f>
        <v/>
      </c>
    </row>
    <row r="1475">
      <c r="A1475" s="18">
        <f>IF('Journal'!A739="","",'Journal'!A739)</f>
        <v/>
      </c>
      <c r="B1475" s="21">
        <f>IF('Journal'!B739="","",'Journal'!B739)</f>
        <v/>
      </c>
      <c r="C1475" s="5">
        <f>IF('Journal'!C739="","",'Journal'!C739)</f>
        <v/>
      </c>
      <c r="D1475" s="5">
        <f>IF('Journal'!D739="","",IFERROR(LEFT('Journal'!D739,FIND(" ",'Journal'!D739)-1),'Journal'!D739))</f>
        <v/>
      </c>
      <c r="E1475" s="5">
        <f>IF('Journal'!D739="","",IFERROR(INDEX('Kontoplan'!$B$3:$B$302,MATCH('Journal'!D739,'Kontoplan'!$H$3:$H$302,0)),""))</f>
        <v/>
      </c>
      <c r="F1475" s="20">
        <f>IF('Journal'!G739="","",'Journal'!G739)</f>
        <v/>
      </c>
      <c r="G1475" s="20">
        <f>IF('Journal'!F739="","",'Journal'!F739)</f>
        <v/>
      </c>
      <c r="H1475" s="5">
        <f>IF('Journal'!I739="","",'Journal'!I739)</f>
        <v/>
      </c>
    </row>
    <row r="1476">
      <c r="A1476" s="18">
        <f>IF('Journal'!A739="","",'Journal'!A739)</f>
        <v/>
      </c>
      <c r="B1476" s="21">
        <f>IF('Journal'!B739="","",'Journal'!B739)</f>
        <v/>
      </c>
      <c r="C1476" s="5">
        <f>IF('Journal'!C739="","",'Journal'!C739)</f>
        <v/>
      </c>
      <c r="D1476" s="5">
        <f>IF('Journal'!E739="","",IFERROR(LEFT('Journal'!E739,FIND(" ",'Journal'!E739)-1),'Journal'!E739))</f>
        <v/>
      </c>
      <c r="E1476" s="5">
        <f>IF('Journal'!E739="","",IFERROR(INDEX('Kontoplan'!$B$3:$B$302,MATCH('Journal'!E739,'Kontoplan'!$H$3:$H$302,0)),""))</f>
        <v/>
      </c>
      <c r="F1476" s="20">
        <f>IF('Journal'!F739="","",'Journal'!F739)</f>
        <v/>
      </c>
      <c r="G1476" s="20">
        <f>IF('Journal'!G739="","",'Journal'!G739)</f>
        <v/>
      </c>
      <c r="H1476" s="5">
        <f>IF('Journal'!I739="","",'Journal'!I739)</f>
        <v/>
      </c>
    </row>
    <row r="1477">
      <c r="A1477" s="18">
        <f>IF('Journal'!A740="","",'Journal'!A740)</f>
        <v/>
      </c>
      <c r="B1477" s="21">
        <f>IF('Journal'!B740="","",'Journal'!B740)</f>
        <v/>
      </c>
      <c r="C1477" s="5">
        <f>IF('Journal'!C740="","",'Journal'!C740)</f>
        <v/>
      </c>
      <c r="D1477" s="5">
        <f>IF('Journal'!D740="","",IFERROR(LEFT('Journal'!D740,FIND(" ",'Journal'!D740)-1),'Journal'!D740))</f>
        <v/>
      </c>
      <c r="E1477" s="5">
        <f>IF('Journal'!D740="","",IFERROR(INDEX('Kontoplan'!$B$3:$B$302,MATCH('Journal'!D740,'Kontoplan'!$H$3:$H$302,0)),""))</f>
        <v/>
      </c>
      <c r="F1477" s="20">
        <f>IF('Journal'!G740="","",'Journal'!G740)</f>
        <v/>
      </c>
      <c r="G1477" s="20">
        <f>IF('Journal'!F740="","",'Journal'!F740)</f>
        <v/>
      </c>
      <c r="H1477" s="5">
        <f>IF('Journal'!I740="","",'Journal'!I740)</f>
        <v/>
      </c>
    </row>
    <row r="1478">
      <c r="A1478" s="18">
        <f>IF('Journal'!A740="","",'Journal'!A740)</f>
        <v/>
      </c>
      <c r="B1478" s="21">
        <f>IF('Journal'!B740="","",'Journal'!B740)</f>
        <v/>
      </c>
      <c r="C1478" s="5">
        <f>IF('Journal'!C740="","",'Journal'!C740)</f>
        <v/>
      </c>
      <c r="D1478" s="5">
        <f>IF('Journal'!E740="","",IFERROR(LEFT('Journal'!E740,FIND(" ",'Journal'!E740)-1),'Journal'!E740))</f>
        <v/>
      </c>
      <c r="E1478" s="5">
        <f>IF('Journal'!E740="","",IFERROR(INDEX('Kontoplan'!$B$3:$B$302,MATCH('Journal'!E740,'Kontoplan'!$H$3:$H$302,0)),""))</f>
        <v/>
      </c>
      <c r="F1478" s="20">
        <f>IF('Journal'!F740="","",'Journal'!F740)</f>
        <v/>
      </c>
      <c r="G1478" s="20">
        <f>IF('Journal'!G740="","",'Journal'!G740)</f>
        <v/>
      </c>
      <c r="H1478" s="5">
        <f>IF('Journal'!I740="","",'Journal'!I740)</f>
        <v/>
      </c>
    </row>
    <row r="1479">
      <c r="A1479" s="18">
        <f>IF('Journal'!A741="","",'Journal'!A741)</f>
        <v/>
      </c>
      <c r="B1479" s="21">
        <f>IF('Journal'!B741="","",'Journal'!B741)</f>
        <v/>
      </c>
      <c r="C1479" s="5">
        <f>IF('Journal'!C741="","",'Journal'!C741)</f>
        <v/>
      </c>
      <c r="D1479" s="5">
        <f>IF('Journal'!D741="","",IFERROR(LEFT('Journal'!D741,FIND(" ",'Journal'!D741)-1),'Journal'!D741))</f>
        <v/>
      </c>
      <c r="E1479" s="5">
        <f>IF('Journal'!D741="","",IFERROR(INDEX('Kontoplan'!$B$3:$B$302,MATCH('Journal'!D741,'Kontoplan'!$H$3:$H$302,0)),""))</f>
        <v/>
      </c>
      <c r="F1479" s="20">
        <f>IF('Journal'!G741="","",'Journal'!G741)</f>
        <v/>
      </c>
      <c r="G1479" s="20">
        <f>IF('Journal'!F741="","",'Journal'!F741)</f>
        <v/>
      </c>
      <c r="H1479" s="5">
        <f>IF('Journal'!I741="","",'Journal'!I741)</f>
        <v/>
      </c>
    </row>
    <row r="1480">
      <c r="A1480" s="18">
        <f>IF('Journal'!A741="","",'Journal'!A741)</f>
        <v/>
      </c>
      <c r="B1480" s="21">
        <f>IF('Journal'!B741="","",'Journal'!B741)</f>
        <v/>
      </c>
      <c r="C1480" s="5">
        <f>IF('Journal'!C741="","",'Journal'!C741)</f>
        <v/>
      </c>
      <c r="D1480" s="5">
        <f>IF('Journal'!E741="","",IFERROR(LEFT('Journal'!E741,FIND(" ",'Journal'!E741)-1),'Journal'!E741))</f>
        <v/>
      </c>
      <c r="E1480" s="5">
        <f>IF('Journal'!E741="","",IFERROR(INDEX('Kontoplan'!$B$3:$B$302,MATCH('Journal'!E741,'Kontoplan'!$H$3:$H$302,0)),""))</f>
        <v/>
      </c>
      <c r="F1480" s="20">
        <f>IF('Journal'!F741="","",'Journal'!F741)</f>
        <v/>
      </c>
      <c r="G1480" s="20">
        <f>IF('Journal'!G741="","",'Journal'!G741)</f>
        <v/>
      </c>
      <c r="H1480" s="5">
        <f>IF('Journal'!I741="","",'Journal'!I741)</f>
        <v/>
      </c>
    </row>
    <row r="1481">
      <c r="A1481" s="18">
        <f>IF('Journal'!A742="","",'Journal'!A742)</f>
        <v/>
      </c>
      <c r="B1481" s="21">
        <f>IF('Journal'!B742="","",'Journal'!B742)</f>
        <v/>
      </c>
      <c r="C1481" s="5">
        <f>IF('Journal'!C742="","",'Journal'!C742)</f>
        <v/>
      </c>
      <c r="D1481" s="5">
        <f>IF('Journal'!D742="","",IFERROR(LEFT('Journal'!D742,FIND(" ",'Journal'!D742)-1),'Journal'!D742))</f>
        <v/>
      </c>
      <c r="E1481" s="5">
        <f>IF('Journal'!D742="","",IFERROR(INDEX('Kontoplan'!$B$3:$B$302,MATCH('Journal'!D742,'Kontoplan'!$H$3:$H$302,0)),""))</f>
        <v/>
      </c>
      <c r="F1481" s="20">
        <f>IF('Journal'!G742="","",'Journal'!G742)</f>
        <v/>
      </c>
      <c r="G1481" s="20">
        <f>IF('Journal'!F742="","",'Journal'!F742)</f>
        <v/>
      </c>
      <c r="H1481" s="5">
        <f>IF('Journal'!I742="","",'Journal'!I742)</f>
        <v/>
      </c>
    </row>
    <row r="1482">
      <c r="A1482" s="18">
        <f>IF('Journal'!A742="","",'Journal'!A742)</f>
        <v/>
      </c>
      <c r="B1482" s="21">
        <f>IF('Journal'!B742="","",'Journal'!B742)</f>
        <v/>
      </c>
      <c r="C1482" s="5">
        <f>IF('Journal'!C742="","",'Journal'!C742)</f>
        <v/>
      </c>
      <c r="D1482" s="5">
        <f>IF('Journal'!E742="","",IFERROR(LEFT('Journal'!E742,FIND(" ",'Journal'!E742)-1),'Journal'!E742))</f>
        <v/>
      </c>
      <c r="E1482" s="5">
        <f>IF('Journal'!E742="","",IFERROR(INDEX('Kontoplan'!$B$3:$B$302,MATCH('Journal'!E742,'Kontoplan'!$H$3:$H$302,0)),""))</f>
        <v/>
      </c>
      <c r="F1482" s="20">
        <f>IF('Journal'!F742="","",'Journal'!F742)</f>
        <v/>
      </c>
      <c r="G1482" s="20">
        <f>IF('Journal'!G742="","",'Journal'!G742)</f>
        <v/>
      </c>
      <c r="H1482" s="5">
        <f>IF('Journal'!I742="","",'Journal'!I742)</f>
        <v/>
      </c>
    </row>
    <row r="1483">
      <c r="A1483" s="18">
        <f>IF('Journal'!A743="","",'Journal'!A743)</f>
        <v/>
      </c>
      <c r="B1483" s="21">
        <f>IF('Journal'!B743="","",'Journal'!B743)</f>
        <v/>
      </c>
      <c r="C1483" s="5">
        <f>IF('Journal'!C743="","",'Journal'!C743)</f>
        <v/>
      </c>
      <c r="D1483" s="5">
        <f>IF('Journal'!D743="","",IFERROR(LEFT('Journal'!D743,FIND(" ",'Journal'!D743)-1),'Journal'!D743))</f>
        <v/>
      </c>
      <c r="E1483" s="5">
        <f>IF('Journal'!D743="","",IFERROR(INDEX('Kontoplan'!$B$3:$B$302,MATCH('Journal'!D743,'Kontoplan'!$H$3:$H$302,0)),""))</f>
        <v/>
      </c>
      <c r="F1483" s="20">
        <f>IF('Journal'!G743="","",'Journal'!G743)</f>
        <v/>
      </c>
      <c r="G1483" s="20">
        <f>IF('Journal'!F743="","",'Journal'!F743)</f>
        <v/>
      </c>
      <c r="H1483" s="5">
        <f>IF('Journal'!I743="","",'Journal'!I743)</f>
        <v/>
      </c>
    </row>
    <row r="1484">
      <c r="A1484" s="18">
        <f>IF('Journal'!A743="","",'Journal'!A743)</f>
        <v/>
      </c>
      <c r="B1484" s="21">
        <f>IF('Journal'!B743="","",'Journal'!B743)</f>
        <v/>
      </c>
      <c r="C1484" s="5">
        <f>IF('Journal'!C743="","",'Journal'!C743)</f>
        <v/>
      </c>
      <c r="D1484" s="5">
        <f>IF('Journal'!E743="","",IFERROR(LEFT('Journal'!E743,FIND(" ",'Journal'!E743)-1),'Journal'!E743))</f>
        <v/>
      </c>
      <c r="E1484" s="5">
        <f>IF('Journal'!E743="","",IFERROR(INDEX('Kontoplan'!$B$3:$B$302,MATCH('Journal'!E743,'Kontoplan'!$H$3:$H$302,0)),""))</f>
        <v/>
      </c>
      <c r="F1484" s="20">
        <f>IF('Journal'!F743="","",'Journal'!F743)</f>
        <v/>
      </c>
      <c r="G1484" s="20">
        <f>IF('Journal'!G743="","",'Journal'!G743)</f>
        <v/>
      </c>
      <c r="H1484" s="5">
        <f>IF('Journal'!I743="","",'Journal'!I743)</f>
        <v/>
      </c>
    </row>
    <row r="1485">
      <c r="A1485" s="18">
        <f>IF('Journal'!A744="","",'Journal'!A744)</f>
        <v/>
      </c>
      <c r="B1485" s="21">
        <f>IF('Journal'!B744="","",'Journal'!B744)</f>
        <v/>
      </c>
      <c r="C1485" s="5">
        <f>IF('Journal'!C744="","",'Journal'!C744)</f>
        <v/>
      </c>
      <c r="D1485" s="5">
        <f>IF('Journal'!D744="","",IFERROR(LEFT('Journal'!D744,FIND(" ",'Journal'!D744)-1),'Journal'!D744))</f>
        <v/>
      </c>
      <c r="E1485" s="5">
        <f>IF('Journal'!D744="","",IFERROR(INDEX('Kontoplan'!$B$3:$B$302,MATCH('Journal'!D744,'Kontoplan'!$H$3:$H$302,0)),""))</f>
        <v/>
      </c>
      <c r="F1485" s="20">
        <f>IF('Journal'!G744="","",'Journal'!G744)</f>
        <v/>
      </c>
      <c r="G1485" s="20">
        <f>IF('Journal'!F744="","",'Journal'!F744)</f>
        <v/>
      </c>
      <c r="H1485" s="5">
        <f>IF('Journal'!I744="","",'Journal'!I744)</f>
        <v/>
      </c>
    </row>
    <row r="1486">
      <c r="A1486" s="18">
        <f>IF('Journal'!A744="","",'Journal'!A744)</f>
        <v/>
      </c>
      <c r="B1486" s="21">
        <f>IF('Journal'!B744="","",'Journal'!B744)</f>
        <v/>
      </c>
      <c r="C1486" s="5">
        <f>IF('Journal'!C744="","",'Journal'!C744)</f>
        <v/>
      </c>
      <c r="D1486" s="5">
        <f>IF('Journal'!E744="","",IFERROR(LEFT('Journal'!E744,FIND(" ",'Journal'!E744)-1),'Journal'!E744))</f>
        <v/>
      </c>
      <c r="E1486" s="5">
        <f>IF('Journal'!E744="","",IFERROR(INDEX('Kontoplan'!$B$3:$B$302,MATCH('Journal'!E744,'Kontoplan'!$H$3:$H$302,0)),""))</f>
        <v/>
      </c>
      <c r="F1486" s="20">
        <f>IF('Journal'!F744="","",'Journal'!F744)</f>
        <v/>
      </c>
      <c r="G1486" s="20">
        <f>IF('Journal'!G744="","",'Journal'!G744)</f>
        <v/>
      </c>
      <c r="H1486" s="5">
        <f>IF('Journal'!I744="","",'Journal'!I744)</f>
        <v/>
      </c>
    </row>
    <row r="1487">
      <c r="A1487" s="18">
        <f>IF('Journal'!A745="","",'Journal'!A745)</f>
        <v/>
      </c>
      <c r="B1487" s="21">
        <f>IF('Journal'!B745="","",'Journal'!B745)</f>
        <v/>
      </c>
      <c r="C1487" s="5">
        <f>IF('Journal'!C745="","",'Journal'!C745)</f>
        <v/>
      </c>
      <c r="D1487" s="5">
        <f>IF('Journal'!D745="","",IFERROR(LEFT('Journal'!D745,FIND(" ",'Journal'!D745)-1),'Journal'!D745))</f>
        <v/>
      </c>
      <c r="E1487" s="5">
        <f>IF('Journal'!D745="","",IFERROR(INDEX('Kontoplan'!$B$3:$B$302,MATCH('Journal'!D745,'Kontoplan'!$H$3:$H$302,0)),""))</f>
        <v/>
      </c>
      <c r="F1487" s="20">
        <f>IF('Journal'!G745="","",'Journal'!G745)</f>
        <v/>
      </c>
      <c r="G1487" s="20">
        <f>IF('Journal'!F745="","",'Journal'!F745)</f>
        <v/>
      </c>
      <c r="H1487" s="5">
        <f>IF('Journal'!I745="","",'Journal'!I745)</f>
        <v/>
      </c>
    </row>
    <row r="1488">
      <c r="A1488" s="18">
        <f>IF('Journal'!A745="","",'Journal'!A745)</f>
        <v/>
      </c>
      <c r="B1488" s="21">
        <f>IF('Journal'!B745="","",'Journal'!B745)</f>
        <v/>
      </c>
      <c r="C1488" s="5">
        <f>IF('Journal'!C745="","",'Journal'!C745)</f>
        <v/>
      </c>
      <c r="D1488" s="5">
        <f>IF('Journal'!E745="","",IFERROR(LEFT('Journal'!E745,FIND(" ",'Journal'!E745)-1),'Journal'!E745))</f>
        <v/>
      </c>
      <c r="E1488" s="5">
        <f>IF('Journal'!E745="","",IFERROR(INDEX('Kontoplan'!$B$3:$B$302,MATCH('Journal'!E745,'Kontoplan'!$H$3:$H$302,0)),""))</f>
        <v/>
      </c>
      <c r="F1488" s="20">
        <f>IF('Journal'!F745="","",'Journal'!F745)</f>
        <v/>
      </c>
      <c r="G1488" s="20">
        <f>IF('Journal'!G745="","",'Journal'!G745)</f>
        <v/>
      </c>
      <c r="H1488" s="5">
        <f>IF('Journal'!I745="","",'Journal'!I745)</f>
        <v/>
      </c>
    </row>
    <row r="1489">
      <c r="A1489" s="18">
        <f>IF('Journal'!A746="","",'Journal'!A746)</f>
        <v/>
      </c>
      <c r="B1489" s="21">
        <f>IF('Journal'!B746="","",'Journal'!B746)</f>
        <v/>
      </c>
      <c r="C1489" s="5">
        <f>IF('Journal'!C746="","",'Journal'!C746)</f>
        <v/>
      </c>
      <c r="D1489" s="5">
        <f>IF('Journal'!D746="","",IFERROR(LEFT('Journal'!D746,FIND(" ",'Journal'!D746)-1),'Journal'!D746))</f>
        <v/>
      </c>
      <c r="E1489" s="5">
        <f>IF('Journal'!D746="","",IFERROR(INDEX('Kontoplan'!$B$3:$B$302,MATCH('Journal'!D746,'Kontoplan'!$H$3:$H$302,0)),""))</f>
        <v/>
      </c>
      <c r="F1489" s="20">
        <f>IF('Journal'!G746="","",'Journal'!G746)</f>
        <v/>
      </c>
      <c r="G1489" s="20">
        <f>IF('Journal'!F746="","",'Journal'!F746)</f>
        <v/>
      </c>
      <c r="H1489" s="5">
        <f>IF('Journal'!I746="","",'Journal'!I746)</f>
        <v/>
      </c>
    </row>
    <row r="1490">
      <c r="A1490" s="18">
        <f>IF('Journal'!A746="","",'Journal'!A746)</f>
        <v/>
      </c>
      <c r="B1490" s="21">
        <f>IF('Journal'!B746="","",'Journal'!B746)</f>
        <v/>
      </c>
      <c r="C1490" s="5">
        <f>IF('Journal'!C746="","",'Journal'!C746)</f>
        <v/>
      </c>
      <c r="D1490" s="5">
        <f>IF('Journal'!E746="","",IFERROR(LEFT('Journal'!E746,FIND(" ",'Journal'!E746)-1),'Journal'!E746))</f>
        <v/>
      </c>
      <c r="E1490" s="5">
        <f>IF('Journal'!E746="","",IFERROR(INDEX('Kontoplan'!$B$3:$B$302,MATCH('Journal'!E746,'Kontoplan'!$H$3:$H$302,0)),""))</f>
        <v/>
      </c>
      <c r="F1490" s="20">
        <f>IF('Journal'!F746="","",'Journal'!F746)</f>
        <v/>
      </c>
      <c r="G1490" s="20">
        <f>IF('Journal'!G746="","",'Journal'!G746)</f>
        <v/>
      </c>
      <c r="H1490" s="5">
        <f>IF('Journal'!I746="","",'Journal'!I746)</f>
        <v/>
      </c>
    </row>
    <row r="1491">
      <c r="A1491" s="18">
        <f>IF('Journal'!A747="","",'Journal'!A747)</f>
        <v/>
      </c>
      <c r="B1491" s="21">
        <f>IF('Journal'!B747="","",'Journal'!B747)</f>
        <v/>
      </c>
      <c r="C1491" s="5">
        <f>IF('Journal'!C747="","",'Journal'!C747)</f>
        <v/>
      </c>
      <c r="D1491" s="5">
        <f>IF('Journal'!D747="","",IFERROR(LEFT('Journal'!D747,FIND(" ",'Journal'!D747)-1),'Journal'!D747))</f>
        <v/>
      </c>
      <c r="E1491" s="5">
        <f>IF('Journal'!D747="","",IFERROR(INDEX('Kontoplan'!$B$3:$B$302,MATCH('Journal'!D747,'Kontoplan'!$H$3:$H$302,0)),""))</f>
        <v/>
      </c>
      <c r="F1491" s="20">
        <f>IF('Journal'!G747="","",'Journal'!G747)</f>
        <v/>
      </c>
      <c r="G1491" s="20">
        <f>IF('Journal'!F747="","",'Journal'!F747)</f>
        <v/>
      </c>
      <c r="H1491" s="5">
        <f>IF('Journal'!I747="","",'Journal'!I747)</f>
        <v/>
      </c>
    </row>
    <row r="1492">
      <c r="A1492" s="18">
        <f>IF('Journal'!A747="","",'Journal'!A747)</f>
        <v/>
      </c>
      <c r="B1492" s="21">
        <f>IF('Journal'!B747="","",'Journal'!B747)</f>
        <v/>
      </c>
      <c r="C1492" s="5">
        <f>IF('Journal'!C747="","",'Journal'!C747)</f>
        <v/>
      </c>
      <c r="D1492" s="5">
        <f>IF('Journal'!E747="","",IFERROR(LEFT('Journal'!E747,FIND(" ",'Journal'!E747)-1),'Journal'!E747))</f>
        <v/>
      </c>
      <c r="E1492" s="5">
        <f>IF('Journal'!E747="","",IFERROR(INDEX('Kontoplan'!$B$3:$B$302,MATCH('Journal'!E747,'Kontoplan'!$H$3:$H$302,0)),""))</f>
        <v/>
      </c>
      <c r="F1492" s="20">
        <f>IF('Journal'!F747="","",'Journal'!F747)</f>
        <v/>
      </c>
      <c r="G1492" s="20">
        <f>IF('Journal'!G747="","",'Journal'!G747)</f>
        <v/>
      </c>
      <c r="H1492" s="5">
        <f>IF('Journal'!I747="","",'Journal'!I747)</f>
        <v/>
      </c>
    </row>
    <row r="1493">
      <c r="A1493" s="18">
        <f>IF('Journal'!A748="","",'Journal'!A748)</f>
        <v/>
      </c>
      <c r="B1493" s="21">
        <f>IF('Journal'!B748="","",'Journal'!B748)</f>
        <v/>
      </c>
      <c r="C1493" s="5">
        <f>IF('Journal'!C748="","",'Journal'!C748)</f>
        <v/>
      </c>
      <c r="D1493" s="5">
        <f>IF('Journal'!D748="","",IFERROR(LEFT('Journal'!D748,FIND(" ",'Journal'!D748)-1),'Journal'!D748))</f>
        <v/>
      </c>
      <c r="E1493" s="5">
        <f>IF('Journal'!D748="","",IFERROR(INDEX('Kontoplan'!$B$3:$B$302,MATCH('Journal'!D748,'Kontoplan'!$H$3:$H$302,0)),""))</f>
        <v/>
      </c>
      <c r="F1493" s="20">
        <f>IF('Journal'!G748="","",'Journal'!G748)</f>
        <v/>
      </c>
      <c r="G1493" s="20">
        <f>IF('Journal'!F748="","",'Journal'!F748)</f>
        <v/>
      </c>
      <c r="H1493" s="5">
        <f>IF('Journal'!I748="","",'Journal'!I748)</f>
        <v/>
      </c>
    </row>
    <row r="1494">
      <c r="A1494" s="18">
        <f>IF('Journal'!A748="","",'Journal'!A748)</f>
        <v/>
      </c>
      <c r="B1494" s="21">
        <f>IF('Journal'!B748="","",'Journal'!B748)</f>
        <v/>
      </c>
      <c r="C1494" s="5">
        <f>IF('Journal'!C748="","",'Journal'!C748)</f>
        <v/>
      </c>
      <c r="D1494" s="5">
        <f>IF('Journal'!E748="","",IFERROR(LEFT('Journal'!E748,FIND(" ",'Journal'!E748)-1),'Journal'!E748))</f>
        <v/>
      </c>
      <c r="E1494" s="5">
        <f>IF('Journal'!E748="","",IFERROR(INDEX('Kontoplan'!$B$3:$B$302,MATCH('Journal'!E748,'Kontoplan'!$H$3:$H$302,0)),""))</f>
        <v/>
      </c>
      <c r="F1494" s="20">
        <f>IF('Journal'!F748="","",'Journal'!F748)</f>
        <v/>
      </c>
      <c r="G1494" s="20">
        <f>IF('Journal'!G748="","",'Journal'!G748)</f>
        <v/>
      </c>
      <c r="H1494" s="5">
        <f>IF('Journal'!I748="","",'Journal'!I748)</f>
        <v/>
      </c>
    </row>
    <row r="1495">
      <c r="A1495" s="18">
        <f>IF('Journal'!A749="","",'Journal'!A749)</f>
        <v/>
      </c>
      <c r="B1495" s="21">
        <f>IF('Journal'!B749="","",'Journal'!B749)</f>
        <v/>
      </c>
      <c r="C1495" s="5">
        <f>IF('Journal'!C749="","",'Journal'!C749)</f>
        <v/>
      </c>
      <c r="D1495" s="5">
        <f>IF('Journal'!D749="","",IFERROR(LEFT('Journal'!D749,FIND(" ",'Journal'!D749)-1),'Journal'!D749))</f>
        <v/>
      </c>
      <c r="E1495" s="5">
        <f>IF('Journal'!D749="","",IFERROR(INDEX('Kontoplan'!$B$3:$B$302,MATCH('Journal'!D749,'Kontoplan'!$H$3:$H$302,0)),""))</f>
        <v/>
      </c>
      <c r="F1495" s="20">
        <f>IF('Journal'!G749="","",'Journal'!G749)</f>
        <v/>
      </c>
      <c r="G1495" s="20">
        <f>IF('Journal'!F749="","",'Journal'!F749)</f>
        <v/>
      </c>
      <c r="H1495" s="5">
        <f>IF('Journal'!I749="","",'Journal'!I749)</f>
        <v/>
      </c>
    </row>
    <row r="1496">
      <c r="A1496" s="18">
        <f>IF('Journal'!A749="","",'Journal'!A749)</f>
        <v/>
      </c>
      <c r="B1496" s="21">
        <f>IF('Journal'!B749="","",'Journal'!B749)</f>
        <v/>
      </c>
      <c r="C1496" s="5">
        <f>IF('Journal'!C749="","",'Journal'!C749)</f>
        <v/>
      </c>
      <c r="D1496" s="5">
        <f>IF('Journal'!E749="","",IFERROR(LEFT('Journal'!E749,FIND(" ",'Journal'!E749)-1),'Journal'!E749))</f>
        <v/>
      </c>
      <c r="E1496" s="5">
        <f>IF('Journal'!E749="","",IFERROR(INDEX('Kontoplan'!$B$3:$B$302,MATCH('Journal'!E749,'Kontoplan'!$H$3:$H$302,0)),""))</f>
        <v/>
      </c>
      <c r="F1496" s="20">
        <f>IF('Journal'!F749="","",'Journal'!F749)</f>
        <v/>
      </c>
      <c r="G1496" s="20">
        <f>IF('Journal'!G749="","",'Journal'!G749)</f>
        <v/>
      </c>
      <c r="H1496" s="5">
        <f>IF('Journal'!I749="","",'Journal'!I749)</f>
        <v/>
      </c>
    </row>
    <row r="1497">
      <c r="A1497" s="18">
        <f>IF('Journal'!A750="","",'Journal'!A750)</f>
        <v/>
      </c>
      <c r="B1497" s="21">
        <f>IF('Journal'!B750="","",'Journal'!B750)</f>
        <v/>
      </c>
      <c r="C1497" s="5">
        <f>IF('Journal'!C750="","",'Journal'!C750)</f>
        <v/>
      </c>
      <c r="D1497" s="5">
        <f>IF('Journal'!D750="","",IFERROR(LEFT('Journal'!D750,FIND(" ",'Journal'!D750)-1),'Journal'!D750))</f>
        <v/>
      </c>
      <c r="E1497" s="5">
        <f>IF('Journal'!D750="","",IFERROR(INDEX('Kontoplan'!$B$3:$B$302,MATCH('Journal'!D750,'Kontoplan'!$H$3:$H$302,0)),""))</f>
        <v/>
      </c>
      <c r="F1497" s="20">
        <f>IF('Journal'!G750="","",'Journal'!G750)</f>
        <v/>
      </c>
      <c r="G1497" s="20">
        <f>IF('Journal'!F750="","",'Journal'!F750)</f>
        <v/>
      </c>
      <c r="H1497" s="5">
        <f>IF('Journal'!I750="","",'Journal'!I750)</f>
        <v/>
      </c>
    </row>
    <row r="1498">
      <c r="A1498" s="18">
        <f>IF('Journal'!A750="","",'Journal'!A750)</f>
        <v/>
      </c>
      <c r="B1498" s="21">
        <f>IF('Journal'!B750="","",'Journal'!B750)</f>
        <v/>
      </c>
      <c r="C1498" s="5">
        <f>IF('Journal'!C750="","",'Journal'!C750)</f>
        <v/>
      </c>
      <c r="D1498" s="5">
        <f>IF('Journal'!E750="","",IFERROR(LEFT('Journal'!E750,FIND(" ",'Journal'!E750)-1),'Journal'!E750))</f>
        <v/>
      </c>
      <c r="E1498" s="5">
        <f>IF('Journal'!E750="","",IFERROR(INDEX('Kontoplan'!$B$3:$B$302,MATCH('Journal'!E750,'Kontoplan'!$H$3:$H$302,0)),""))</f>
        <v/>
      </c>
      <c r="F1498" s="20">
        <f>IF('Journal'!F750="","",'Journal'!F750)</f>
        <v/>
      </c>
      <c r="G1498" s="20">
        <f>IF('Journal'!G750="","",'Journal'!G750)</f>
        <v/>
      </c>
      <c r="H1498" s="5">
        <f>IF('Journal'!I750="","",'Journal'!I750)</f>
        <v/>
      </c>
    </row>
    <row r="1499">
      <c r="A1499" s="18">
        <f>IF('Journal'!A751="","",'Journal'!A751)</f>
        <v/>
      </c>
      <c r="B1499" s="21">
        <f>IF('Journal'!B751="","",'Journal'!B751)</f>
        <v/>
      </c>
      <c r="C1499" s="5">
        <f>IF('Journal'!C751="","",'Journal'!C751)</f>
        <v/>
      </c>
      <c r="D1499" s="5">
        <f>IF('Journal'!D751="","",IFERROR(LEFT('Journal'!D751,FIND(" ",'Journal'!D751)-1),'Journal'!D751))</f>
        <v/>
      </c>
      <c r="E1499" s="5">
        <f>IF('Journal'!D751="","",IFERROR(INDEX('Kontoplan'!$B$3:$B$302,MATCH('Journal'!D751,'Kontoplan'!$H$3:$H$302,0)),""))</f>
        <v/>
      </c>
      <c r="F1499" s="20">
        <f>IF('Journal'!G751="","",'Journal'!G751)</f>
        <v/>
      </c>
      <c r="G1499" s="20">
        <f>IF('Journal'!F751="","",'Journal'!F751)</f>
        <v/>
      </c>
      <c r="H1499" s="5">
        <f>IF('Journal'!I751="","",'Journal'!I751)</f>
        <v/>
      </c>
    </row>
    <row r="1500">
      <c r="A1500" s="18">
        <f>IF('Journal'!A751="","",'Journal'!A751)</f>
        <v/>
      </c>
      <c r="B1500" s="21">
        <f>IF('Journal'!B751="","",'Journal'!B751)</f>
        <v/>
      </c>
      <c r="C1500" s="5">
        <f>IF('Journal'!C751="","",'Journal'!C751)</f>
        <v/>
      </c>
      <c r="D1500" s="5">
        <f>IF('Journal'!E751="","",IFERROR(LEFT('Journal'!E751,FIND(" ",'Journal'!E751)-1),'Journal'!E751))</f>
        <v/>
      </c>
      <c r="E1500" s="5">
        <f>IF('Journal'!E751="","",IFERROR(INDEX('Kontoplan'!$B$3:$B$302,MATCH('Journal'!E751,'Kontoplan'!$H$3:$H$302,0)),""))</f>
        <v/>
      </c>
      <c r="F1500" s="20">
        <f>IF('Journal'!F751="","",'Journal'!F751)</f>
        <v/>
      </c>
      <c r="G1500" s="20">
        <f>IF('Journal'!G751="","",'Journal'!G751)</f>
        <v/>
      </c>
      <c r="H1500" s="5">
        <f>IF('Journal'!I751="","",'Journal'!I751)</f>
        <v/>
      </c>
    </row>
    <row r="1501">
      <c r="A1501" s="18">
        <f>IF('Journal'!A752="","",'Journal'!A752)</f>
        <v/>
      </c>
      <c r="B1501" s="21">
        <f>IF('Journal'!B752="","",'Journal'!B752)</f>
        <v/>
      </c>
      <c r="C1501" s="5">
        <f>IF('Journal'!C752="","",'Journal'!C752)</f>
        <v/>
      </c>
      <c r="D1501" s="5">
        <f>IF('Journal'!D752="","",IFERROR(LEFT('Journal'!D752,FIND(" ",'Journal'!D752)-1),'Journal'!D752))</f>
        <v/>
      </c>
      <c r="E1501" s="5">
        <f>IF('Journal'!D752="","",IFERROR(INDEX('Kontoplan'!$B$3:$B$302,MATCH('Journal'!D752,'Kontoplan'!$H$3:$H$302,0)),""))</f>
        <v/>
      </c>
      <c r="F1501" s="20">
        <f>IF('Journal'!G752="","",'Journal'!G752)</f>
        <v/>
      </c>
      <c r="G1501" s="20">
        <f>IF('Journal'!F752="","",'Journal'!F752)</f>
        <v/>
      </c>
      <c r="H1501" s="5">
        <f>IF('Journal'!I752="","",'Journal'!I752)</f>
        <v/>
      </c>
    </row>
    <row r="1502">
      <c r="A1502" s="18">
        <f>IF('Journal'!A752="","",'Journal'!A752)</f>
        <v/>
      </c>
      <c r="B1502" s="21">
        <f>IF('Journal'!B752="","",'Journal'!B752)</f>
        <v/>
      </c>
      <c r="C1502" s="5">
        <f>IF('Journal'!C752="","",'Journal'!C752)</f>
        <v/>
      </c>
      <c r="D1502" s="5">
        <f>IF('Journal'!E752="","",IFERROR(LEFT('Journal'!E752,FIND(" ",'Journal'!E752)-1),'Journal'!E752))</f>
        <v/>
      </c>
      <c r="E1502" s="5">
        <f>IF('Journal'!E752="","",IFERROR(INDEX('Kontoplan'!$B$3:$B$302,MATCH('Journal'!E752,'Kontoplan'!$H$3:$H$302,0)),""))</f>
        <v/>
      </c>
      <c r="F1502" s="20">
        <f>IF('Journal'!F752="","",'Journal'!F752)</f>
        <v/>
      </c>
      <c r="G1502" s="20">
        <f>IF('Journal'!G752="","",'Journal'!G752)</f>
        <v/>
      </c>
      <c r="H1502" s="5">
        <f>IF('Journal'!I752="","",'Journal'!I752)</f>
        <v/>
      </c>
    </row>
    <row r="1503">
      <c r="A1503" s="18">
        <f>IF('Journal'!A753="","",'Journal'!A753)</f>
        <v/>
      </c>
      <c r="B1503" s="21">
        <f>IF('Journal'!B753="","",'Journal'!B753)</f>
        <v/>
      </c>
      <c r="C1503" s="5">
        <f>IF('Journal'!C753="","",'Journal'!C753)</f>
        <v/>
      </c>
      <c r="D1503" s="5">
        <f>IF('Journal'!D753="","",IFERROR(LEFT('Journal'!D753,FIND(" ",'Journal'!D753)-1),'Journal'!D753))</f>
        <v/>
      </c>
      <c r="E1503" s="5">
        <f>IF('Journal'!D753="","",IFERROR(INDEX('Kontoplan'!$B$3:$B$302,MATCH('Journal'!D753,'Kontoplan'!$H$3:$H$302,0)),""))</f>
        <v/>
      </c>
      <c r="F1503" s="20">
        <f>IF('Journal'!G753="","",'Journal'!G753)</f>
        <v/>
      </c>
      <c r="G1503" s="20">
        <f>IF('Journal'!F753="","",'Journal'!F753)</f>
        <v/>
      </c>
      <c r="H1503" s="5">
        <f>IF('Journal'!I753="","",'Journal'!I753)</f>
        <v/>
      </c>
    </row>
    <row r="1504">
      <c r="A1504" s="18">
        <f>IF('Journal'!A753="","",'Journal'!A753)</f>
        <v/>
      </c>
      <c r="B1504" s="21">
        <f>IF('Journal'!B753="","",'Journal'!B753)</f>
        <v/>
      </c>
      <c r="C1504" s="5">
        <f>IF('Journal'!C753="","",'Journal'!C753)</f>
        <v/>
      </c>
      <c r="D1504" s="5">
        <f>IF('Journal'!E753="","",IFERROR(LEFT('Journal'!E753,FIND(" ",'Journal'!E753)-1),'Journal'!E753))</f>
        <v/>
      </c>
      <c r="E1504" s="5">
        <f>IF('Journal'!E753="","",IFERROR(INDEX('Kontoplan'!$B$3:$B$302,MATCH('Journal'!E753,'Kontoplan'!$H$3:$H$302,0)),""))</f>
        <v/>
      </c>
      <c r="F1504" s="20">
        <f>IF('Journal'!F753="","",'Journal'!F753)</f>
        <v/>
      </c>
      <c r="G1504" s="20">
        <f>IF('Journal'!G753="","",'Journal'!G753)</f>
        <v/>
      </c>
      <c r="H1504" s="5">
        <f>IF('Journal'!I753="","",'Journal'!I753)</f>
        <v/>
      </c>
    </row>
    <row r="1505">
      <c r="A1505" s="18">
        <f>IF('Journal'!A754="","",'Journal'!A754)</f>
        <v/>
      </c>
      <c r="B1505" s="21">
        <f>IF('Journal'!B754="","",'Journal'!B754)</f>
        <v/>
      </c>
      <c r="C1505" s="5">
        <f>IF('Journal'!C754="","",'Journal'!C754)</f>
        <v/>
      </c>
      <c r="D1505" s="5">
        <f>IF('Journal'!D754="","",IFERROR(LEFT('Journal'!D754,FIND(" ",'Journal'!D754)-1),'Journal'!D754))</f>
        <v/>
      </c>
      <c r="E1505" s="5">
        <f>IF('Journal'!D754="","",IFERROR(INDEX('Kontoplan'!$B$3:$B$302,MATCH('Journal'!D754,'Kontoplan'!$H$3:$H$302,0)),""))</f>
        <v/>
      </c>
      <c r="F1505" s="20">
        <f>IF('Journal'!G754="","",'Journal'!G754)</f>
        <v/>
      </c>
      <c r="G1505" s="20">
        <f>IF('Journal'!F754="","",'Journal'!F754)</f>
        <v/>
      </c>
      <c r="H1505" s="5">
        <f>IF('Journal'!I754="","",'Journal'!I754)</f>
        <v/>
      </c>
    </row>
    <row r="1506">
      <c r="A1506" s="18">
        <f>IF('Journal'!A754="","",'Journal'!A754)</f>
        <v/>
      </c>
      <c r="B1506" s="21">
        <f>IF('Journal'!B754="","",'Journal'!B754)</f>
        <v/>
      </c>
      <c r="C1506" s="5">
        <f>IF('Journal'!C754="","",'Journal'!C754)</f>
        <v/>
      </c>
      <c r="D1506" s="5">
        <f>IF('Journal'!E754="","",IFERROR(LEFT('Journal'!E754,FIND(" ",'Journal'!E754)-1),'Journal'!E754))</f>
        <v/>
      </c>
      <c r="E1506" s="5">
        <f>IF('Journal'!E754="","",IFERROR(INDEX('Kontoplan'!$B$3:$B$302,MATCH('Journal'!E754,'Kontoplan'!$H$3:$H$302,0)),""))</f>
        <v/>
      </c>
      <c r="F1506" s="20">
        <f>IF('Journal'!F754="","",'Journal'!F754)</f>
        <v/>
      </c>
      <c r="G1506" s="20">
        <f>IF('Journal'!G754="","",'Journal'!G754)</f>
        <v/>
      </c>
      <c r="H1506" s="5">
        <f>IF('Journal'!I754="","",'Journal'!I754)</f>
        <v/>
      </c>
    </row>
    <row r="1507">
      <c r="A1507" s="18">
        <f>IF('Journal'!A755="","",'Journal'!A755)</f>
        <v/>
      </c>
      <c r="B1507" s="21">
        <f>IF('Journal'!B755="","",'Journal'!B755)</f>
        <v/>
      </c>
      <c r="C1507" s="5">
        <f>IF('Journal'!C755="","",'Journal'!C755)</f>
        <v/>
      </c>
      <c r="D1507" s="5">
        <f>IF('Journal'!D755="","",IFERROR(LEFT('Journal'!D755,FIND(" ",'Journal'!D755)-1),'Journal'!D755))</f>
        <v/>
      </c>
      <c r="E1507" s="5">
        <f>IF('Journal'!D755="","",IFERROR(INDEX('Kontoplan'!$B$3:$B$302,MATCH('Journal'!D755,'Kontoplan'!$H$3:$H$302,0)),""))</f>
        <v/>
      </c>
      <c r="F1507" s="20">
        <f>IF('Journal'!G755="","",'Journal'!G755)</f>
        <v/>
      </c>
      <c r="G1507" s="20">
        <f>IF('Journal'!F755="","",'Journal'!F755)</f>
        <v/>
      </c>
      <c r="H1507" s="5">
        <f>IF('Journal'!I755="","",'Journal'!I755)</f>
        <v/>
      </c>
    </row>
    <row r="1508">
      <c r="A1508" s="18">
        <f>IF('Journal'!A755="","",'Journal'!A755)</f>
        <v/>
      </c>
      <c r="B1508" s="21">
        <f>IF('Journal'!B755="","",'Journal'!B755)</f>
        <v/>
      </c>
      <c r="C1508" s="5">
        <f>IF('Journal'!C755="","",'Journal'!C755)</f>
        <v/>
      </c>
      <c r="D1508" s="5">
        <f>IF('Journal'!E755="","",IFERROR(LEFT('Journal'!E755,FIND(" ",'Journal'!E755)-1),'Journal'!E755))</f>
        <v/>
      </c>
      <c r="E1508" s="5">
        <f>IF('Journal'!E755="","",IFERROR(INDEX('Kontoplan'!$B$3:$B$302,MATCH('Journal'!E755,'Kontoplan'!$H$3:$H$302,0)),""))</f>
        <v/>
      </c>
      <c r="F1508" s="20">
        <f>IF('Journal'!F755="","",'Journal'!F755)</f>
        <v/>
      </c>
      <c r="G1508" s="20">
        <f>IF('Journal'!G755="","",'Journal'!G755)</f>
        <v/>
      </c>
      <c r="H1508" s="5">
        <f>IF('Journal'!I755="","",'Journal'!I755)</f>
        <v/>
      </c>
    </row>
    <row r="1509">
      <c r="A1509" s="18">
        <f>IF('Journal'!A756="","",'Journal'!A756)</f>
        <v/>
      </c>
      <c r="B1509" s="21">
        <f>IF('Journal'!B756="","",'Journal'!B756)</f>
        <v/>
      </c>
      <c r="C1509" s="5">
        <f>IF('Journal'!C756="","",'Journal'!C756)</f>
        <v/>
      </c>
      <c r="D1509" s="5">
        <f>IF('Journal'!D756="","",IFERROR(LEFT('Journal'!D756,FIND(" ",'Journal'!D756)-1),'Journal'!D756))</f>
        <v/>
      </c>
      <c r="E1509" s="5">
        <f>IF('Journal'!D756="","",IFERROR(INDEX('Kontoplan'!$B$3:$B$302,MATCH('Journal'!D756,'Kontoplan'!$H$3:$H$302,0)),""))</f>
        <v/>
      </c>
      <c r="F1509" s="20">
        <f>IF('Journal'!G756="","",'Journal'!G756)</f>
        <v/>
      </c>
      <c r="G1509" s="20">
        <f>IF('Journal'!F756="","",'Journal'!F756)</f>
        <v/>
      </c>
      <c r="H1509" s="5">
        <f>IF('Journal'!I756="","",'Journal'!I756)</f>
        <v/>
      </c>
    </row>
    <row r="1510">
      <c r="A1510" s="18">
        <f>IF('Journal'!A756="","",'Journal'!A756)</f>
        <v/>
      </c>
      <c r="B1510" s="21">
        <f>IF('Journal'!B756="","",'Journal'!B756)</f>
        <v/>
      </c>
      <c r="C1510" s="5">
        <f>IF('Journal'!C756="","",'Journal'!C756)</f>
        <v/>
      </c>
      <c r="D1510" s="5">
        <f>IF('Journal'!E756="","",IFERROR(LEFT('Journal'!E756,FIND(" ",'Journal'!E756)-1),'Journal'!E756))</f>
        <v/>
      </c>
      <c r="E1510" s="5">
        <f>IF('Journal'!E756="","",IFERROR(INDEX('Kontoplan'!$B$3:$B$302,MATCH('Journal'!E756,'Kontoplan'!$H$3:$H$302,0)),""))</f>
        <v/>
      </c>
      <c r="F1510" s="20">
        <f>IF('Journal'!F756="","",'Journal'!F756)</f>
        <v/>
      </c>
      <c r="G1510" s="20">
        <f>IF('Journal'!G756="","",'Journal'!G756)</f>
        <v/>
      </c>
      <c r="H1510" s="5">
        <f>IF('Journal'!I756="","",'Journal'!I756)</f>
        <v/>
      </c>
    </row>
    <row r="1511">
      <c r="A1511" s="18">
        <f>IF('Journal'!A757="","",'Journal'!A757)</f>
        <v/>
      </c>
      <c r="B1511" s="21">
        <f>IF('Journal'!B757="","",'Journal'!B757)</f>
        <v/>
      </c>
      <c r="C1511" s="5">
        <f>IF('Journal'!C757="","",'Journal'!C757)</f>
        <v/>
      </c>
      <c r="D1511" s="5">
        <f>IF('Journal'!D757="","",IFERROR(LEFT('Journal'!D757,FIND(" ",'Journal'!D757)-1),'Journal'!D757))</f>
        <v/>
      </c>
      <c r="E1511" s="5">
        <f>IF('Journal'!D757="","",IFERROR(INDEX('Kontoplan'!$B$3:$B$302,MATCH('Journal'!D757,'Kontoplan'!$H$3:$H$302,0)),""))</f>
        <v/>
      </c>
      <c r="F1511" s="20">
        <f>IF('Journal'!G757="","",'Journal'!G757)</f>
        <v/>
      </c>
      <c r="G1511" s="20">
        <f>IF('Journal'!F757="","",'Journal'!F757)</f>
        <v/>
      </c>
      <c r="H1511" s="5">
        <f>IF('Journal'!I757="","",'Journal'!I757)</f>
        <v/>
      </c>
    </row>
    <row r="1512">
      <c r="A1512" s="18">
        <f>IF('Journal'!A757="","",'Journal'!A757)</f>
        <v/>
      </c>
      <c r="B1512" s="21">
        <f>IF('Journal'!B757="","",'Journal'!B757)</f>
        <v/>
      </c>
      <c r="C1512" s="5">
        <f>IF('Journal'!C757="","",'Journal'!C757)</f>
        <v/>
      </c>
      <c r="D1512" s="5">
        <f>IF('Journal'!E757="","",IFERROR(LEFT('Journal'!E757,FIND(" ",'Journal'!E757)-1),'Journal'!E757))</f>
        <v/>
      </c>
      <c r="E1512" s="5">
        <f>IF('Journal'!E757="","",IFERROR(INDEX('Kontoplan'!$B$3:$B$302,MATCH('Journal'!E757,'Kontoplan'!$H$3:$H$302,0)),""))</f>
        <v/>
      </c>
      <c r="F1512" s="20">
        <f>IF('Journal'!F757="","",'Journal'!F757)</f>
        <v/>
      </c>
      <c r="G1512" s="20">
        <f>IF('Journal'!G757="","",'Journal'!G757)</f>
        <v/>
      </c>
      <c r="H1512" s="5">
        <f>IF('Journal'!I757="","",'Journal'!I757)</f>
        <v/>
      </c>
    </row>
    <row r="1513">
      <c r="A1513" s="18">
        <f>IF('Journal'!A758="","",'Journal'!A758)</f>
        <v/>
      </c>
      <c r="B1513" s="21">
        <f>IF('Journal'!B758="","",'Journal'!B758)</f>
        <v/>
      </c>
      <c r="C1513" s="5">
        <f>IF('Journal'!C758="","",'Journal'!C758)</f>
        <v/>
      </c>
      <c r="D1513" s="5">
        <f>IF('Journal'!D758="","",IFERROR(LEFT('Journal'!D758,FIND(" ",'Journal'!D758)-1),'Journal'!D758))</f>
        <v/>
      </c>
      <c r="E1513" s="5">
        <f>IF('Journal'!D758="","",IFERROR(INDEX('Kontoplan'!$B$3:$B$302,MATCH('Journal'!D758,'Kontoplan'!$H$3:$H$302,0)),""))</f>
        <v/>
      </c>
      <c r="F1513" s="20">
        <f>IF('Journal'!G758="","",'Journal'!G758)</f>
        <v/>
      </c>
      <c r="G1513" s="20">
        <f>IF('Journal'!F758="","",'Journal'!F758)</f>
        <v/>
      </c>
      <c r="H1513" s="5">
        <f>IF('Journal'!I758="","",'Journal'!I758)</f>
        <v/>
      </c>
    </row>
    <row r="1514">
      <c r="A1514" s="18">
        <f>IF('Journal'!A758="","",'Journal'!A758)</f>
        <v/>
      </c>
      <c r="B1514" s="21">
        <f>IF('Journal'!B758="","",'Journal'!B758)</f>
        <v/>
      </c>
      <c r="C1514" s="5">
        <f>IF('Journal'!C758="","",'Journal'!C758)</f>
        <v/>
      </c>
      <c r="D1514" s="5">
        <f>IF('Journal'!E758="","",IFERROR(LEFT('Journal'!E758,FIND(" ",'Journal'!E758)-1),'Journal'!E758))</f>
        <v/>
      </c>
      <c r="E1514" s="5">
        <f>IF('Journal'!E758="","",IFERROR(INDEX('Kontoplan'!$B$3:$B$302,MATCH('Journal'!E758,'Kontoplan'!$H$3:$H$302,0)),""))</f>
        <v/>
      </c>
      <c r="F1514" s="20">
        <f>IF('Journal'!F758="","",'Journal'!F758)</f>
        <v/>
      </c>
      <c r="G1514" s="20">
        <f>IF('Journal'!G758="","",'Journal'!G758)</f>
        <v/>
      </c>
      <c r="H1514" s="5">
        <f>IF('Journal'!I758="","",'Journal'!I758)</f>
        <v/>
      </c>
    </row>
    <row r="1515">
      <c r="A1515" s="18">
        <f>IF('Journal'!A759="","",'Journal'!A759)</f>
        <v/>
      </c>
      <c r="B1515" s="21">
        <f>IF('Journal'!B759="","",'Journal'!B759)</f>
        <v/>
      </c>
      <c r="C1515" s="5">
        <f>IF('Journal'!C759="","",'Journal'!C759)</f>
        <v/>
      </c>
      <c r="D1515" s="5">
        <f>IF('Journal'!D759="","",IFERROR(LEFT('Journal'!D759,FIND(" ",'Journal'!D759)-1),'Journal'!D759))</f>
        <v/>
      </c>
      <c r="E1515" s="5">
        <f>IF('Journal'!D759="","",IFERROR(INDEX('Kontoplan'!$B$3:$B$302,MATCH('Journal'!D759,'Kontoplan'!$H$3:$H$302,0)),""))</f>
        <v/>
      </c>
      <c r="F1515" s="20">
        <f>IF('Journal'!G759="","",'Journal'!G759)</f>
        <v/>
      </c>
      <c r="G1515" s="20">
        <f>IF('Journal'!F759="","",'Journal'!F759)</f>
        <v/>
      </c>
      <c r="H1515" s="5">
        <f>IF('Journal'!I759="","",'Journal'!I759)</f>
        <v/>
      </c>
    </row>
    <row r="1516">
      <c r="A1516" s="18">
        <f>IF('Journal'!A759="","",'Journal'!A759)</f>
        <v/>
      </c>
      <c r="B1516" s="21">
        <f>IF('Journal'!B759="","",'Journal'!B759)</f>
        <v/>
      </c>
      <c r="C1516" s="5">
        <f>IF('Journal'!C759="","",'Journal'!C759)</f>
        <v/>
      </c>
      <c r="D1516" s="5">
        <f>IF('Journal'!E759="","",IFERROR(LEFT('Journal'!E759,FIND(" ",'Journal'!E759)-1),'Journal'!E759))</f>
        <v/>
      </c>
      <c r="E1516" s="5">
        <f>IF('Journal'!E759="","",IFERROR(INDEX('Kontoplan'!$B$3:$B$302,MATCH('Journal'!E759,'Kontoplan'!$H$3:$H$302,0)),""))</f>
        <v/>
      </c>
      <c r="F1516" s="20">
        <f>IF('Journal'!F759="","",'Journal'!F759)</f>
        <v/>
      </c>
      <c r="G1516" s="20">
        <f>IF('Journal'!G759="","",'Journal'!G759)</f>
        <v/>
      </c>
      <c r="H1516" s="5">
        <f>IF('Journal'!I759="","",'Journal'!I759)</f>
        <v/>
      </c>
    </row>
    <row r="1517">
      <c r="A1517" s="18">
        <f>IF('Journal'!A760="","",'Journal'!A760)</f>
        <v/>
      </c>
      <c r="B1517" s="21">
        <f>IF('Journal'!B760="","",'Journal'!B760)</f>
        <v/>
      </c>
      <c r="C1517" s="5">
        <f>IF('Journal'!C760="","",'Journal'!C760)</f>
        <v/>
      </c>
      <c r="D1517" s="5">
        <f>IF('Journal'!D760="","",IFERROR(LEFT('Journal'!D760,FIND(" ",'Journal'!D760)-1),'Journal'!D760))</f>
        <v/>
      </c>
      <c r="E1517" s="5">
        <f>IF('Journal'!D760="","",IFERROR(INDEX('Kontoplan'!$B$3:$B$302,MATCH('Journal'!D760,'Kontoplan'!$H$3:$H$302,0)),""))</f>
        <v/>
      </c>
      <c r="F1517" s="20">
        <f>IF('Journal'!G760="","",'Journal'!G760)</f>
        <v/>
      </c>
      <c r="G1517" s="20">
        <f>IF('Journal'!F760="","",'Journal'!F760)</f>
        <v/>
      </c>
      <c r="H1517" s="5">
        <f>IF('Journal'!I760="","",'Journal'!I760)</f>
        <v/>
      </c>
    </row>
    <row r="1518">
      <c r="A1518" s="18">
        <f>IF('Journal'!A760="","",'Journal'!A760)</f>
        <v/>
      </c>
      <c r="B1518" s="21">
        <f>IF('Journal'!B760="","",'Journal'!B760)</f>
        <v/>
      </c>
      <c r="C1518" s="5">
        <f>IF('Journal'!C760="","",'Journal'!C760)</f>
        <v/>
      </c>
      <c r="D1518" s="5">
        <f>IF('Journal'!E760="","",IFERROR(LEFT('Journal'!E760,FIND(" ",'Journal'!E760)-1),'Journal'!E760))</f>
        <v/>
      </c>
      <c r="E1518" s="5">
        <f>IF('Journal'!E760="","",IFERROR(INDEX('Kontoplan'!$B$3:$B$302,MATCH('Journal'!E760,'Kontoplan'!$H$3:$H$302,0)),""))</f>
        <v/>
      </c>
      <c r="F1518" s="20">
        <f>IF('Journal'!F760="","",'Journal'!F760)</f>
        <v/>
      </c>
      <c r="G1518" s="20">
        <f>IF('Journal'!G760="","",'Journal'!G760)</f>
        <v/>
      </c>
      <c r="H1518" s="5">
        <f>IF('Journal'!I760="","",'Journal'!I760)</f>
        <v/>
      </c>
    </row>
    <row r="1519">
      <c r="A1519" s="18">
        <f>IF('Journal'!A761="","",'Journal'!A761)</f>
        <v/>
      </c>
      <c r="B1519" s="21">
        <f>IF('Journal'!B761="","",'Journal'!B761)</f>
        <v/>
      </c>
      <c r="C1519" s="5">
        <f>IF('Journal'!C761="","",'Journal'!C761)</f>
        <v/>
      </c>
      <c r="D1519" s="5">
        <f>IF('Journal'!D761="","",IFERROR(LEFT('Journal'!D761,FIND(" ",'Journal'!D761)-1),'Journal'!D761))</f>
        <v/>
      </c>
      <c r="E1519" s="5">
        <f>IF('Journal'!D761="","",IFERROR(INDEX('Kontoplan'!$B$3:$B$302,MATCH('Journal'!D761,'Kontoplan'!$H$3:$H$302,0)),""))</f>
        <v/>
      </c>
      <c r="F1519" s="20">
        <f>IF('Journal'!G761="","",'Journal'!G761)</f>
        <v/>
      </c>
      <c r="G1519" s="20">
        <f>IF('Journal'!F761="","",'Journal'!F761)</f>
        <v/>
      </c>
      <c r="H1519" s="5">
        <f>IF('Journal'!I761="","",'Journal'!I761)</f>
        <v/>
      </c>
    </row>
    <row r="1520">
      <c r="A1520" s="18">
        <f>IF('Journal'!A761="","",'Journal'!A761)</f>
        <v/>
      </c>
      <c r="B1520" s="21">
        <f>IF('Journal'!B761="","",'Journal'!B761)</f>
        <v/>
      </c>
      <c r="C1520" s="5">
        <f>IF('Journal'!C761="","",'Journal'!C761)</f>
        <v/>
      </c>
      <c r="D1520" s="5">
        <f>IF('Journal'!E761="","",IFERROR(LEFT('Journal'!E761,FIND(" ",'Journal'!E761)-1),'Journal'!E761))</f>
        <v/>
      </c>
      <c r="E1520" s="5">
        <f>IF('Journal'!E761="","",IFERROR(INDEX('Kontoplan'!$B$3:$B$302,MATCH('Journal'!E761,'Kontoplan'!$H$3:$H$302,0)),""))</f>
        <v/>
      </c>
      <c r="F1520" s="20">
        <f>IF('Journal'!F761="","",'Journal'!F761)</f>
        <v/>
      </c>
      <c r="G1520" s="20">
        <f>IF('Journal'!G761="","",'Journal'!G761)</f>
        <v/>
      </c>
      <c r="H1520" s="5">
        <f>IF('Journal'!I761="","",'Journal'!I761)</f>
        <v/>
      </c>
    </row>
    <row r="1521">
      <c r="A1521" s="18">
        <f>IF('Journal'!A762="","",'Journal'!A762)</f>
        <v/>
      </c>
      <c r="B1521" s="21">
        <f>IF('Journal'!B762="","",'Journal'!B762)</f>
        <v/>
      </c>
      <c r="C1521" s="5">
        <f>IF('Journal'!C762="","",'Journal'!C762)</f>
        <v/>
      </c>
      <c r="D1521" s="5">
        <f>IF('Journal'!D762="","",IFERROR(LEFT('Journal'!D762,FIND(" ",'Journal'!D762)-1),'Journal'!D762))</f>
        <v/>
      </c>
      <c r="E1521" s="5">
        <f>IF('Journal'!D762="","",IFERROR(INDEX('Kontoplan'!$B$3:$B$302,MATCH('Journal'!D762,'Kontoplan'!$H$3:$H$302,0)),""))</f>
        <v/>
      </c>
      <c r="F1521" s="20">
        <f>IF('Journal'!G762="","",'Journal'!G762)</f>
        <v/>
      </c>
      <c r="G1521" s="20">
        <f>IF('Journal'!F762="","",'Journal'!F762)</f>
        <v/>
      </c>
      <c r="H1521" s="5">
        <f>IF('Journal'!I762="","",'Journal'!I762)</f>
        <v/>
      </c>
    </row>
    <row r="1522">
      <c r="A1522" s="18">
        <f>IF('Journal'!A762="","",'Journal'!A762)</f>
        <v/>
      </c>
      <c r="B1522" s="21">
        <f>IF('Journal'!B762="","",'Journal'!B762)</f>
        <v/>
      </c>
      <c r="C1522" s="5">
        <f>IF('Journal'!C762="","",'Journal'!C762)</f>
        <v/>
      </c>
      <c r="D1522" s="5">
        <f>IF('Journal'!E762="","",IFERROR(LEFT('Journal'!E762,FIND(" ",'Journal'!E762)-1),'Journal'!E762))</f>
        <v/>
      </c>
      <c r="E1522" s="5">
        <f>IF('Journal'!E762="","",IFERROR(INDEX('Kontoplan'!$B$3:$B$302,MATCH('Journal'!E762,'Kontoplan'!$H$3:$H$302,0)),""))</f>
        <v/>
      </c>
      <c r="F1522" s="20">
        <f>IF('Journal'!F762="","",'Journal'!F762)</f>
        <v/>
      </c>
      <c r="G1522" s="20">
        <f>IF('Journal'!G762="","",'Journal'!G762)</f>
        <v/>
      </c>
      <c r="H1522" s="5">
        <f>IF('Journal'!I762="","",'Journal'!I762)</f>
        <v/>
      </c>
    </row>
    <row r="1523">
      <c r="A1523" s="18">
        <f>IF('Journal'!A763="","",'Journal'!A763)</f>
        <v/>
      </c>
      <c r="B1523" s="21">
        <f>IF('Journal'!B763="","",'Journal'!B763)</f>
        <v/>
      </c>
      <c r="C1523" s="5">
        <f>IF('Journal'!C763="","",'Journal'!C763)</f>
        <v/>
      </c>
      <c r="D1523" s="5">
        <f>IF('Journal'!D763="","",IFERROR(LEFT('Journal'!D763,FIND(" ",'Journal'!D763)-1),'Journal'!D763))</f>
        <v/>
      </c>
      <c r="E1523" s="5">
        <f>IF('Journal'!D763="","",IFERROR(INDEX('Kontoplan'!$B$3:$B$302,MATCH('Journal'!D763,'Kontoplan'!$H$3:$H$302,0)),""))</f>
        <v/>
      </c>
      <c r="F1523" s="20">
        <f>IF('Journal'!G763="","",'Journal'!G763)</f>
        <v/>
      </c>
      <c r="G1523" s="20">
        <f>IF('Journal'!F763="","",'Journal'!F763)</f>
        <v/>
      </c>
      <c r="H1523" s="5">
        <f>IF('Journal'!I763="","",'Journal'!I763)</f>
        <v/>
      </c>
    </row>
    <row r="1524">
      <c r="A1524" s="18">
        <f>IF('Journal'!A763="","",'Journal'!A763)</f>
        <v/>
      </c>
      <c r="B1524" s="21">
        <f>IF('Journal'!B763="","",'Journal'!B763)</f>
        <v/>
      </c>
      <c r="C1524" s="5">
        <f>IF('Journal'!C763="","",'Journal'!C763)</f>
        <v/>
      </c>
      <c r="D1524" s="5">
        <f>IF('Journal'!E763="","",IFERROR(LEFT('Journal'!E763,FIND(" ",'Journal'!E763)-1),'Journal'!E763))</f>
        <v/>
      </c>
      <c r="E1524" s="5">
        <f>IF('Journal'!E763="","",IFERROR(INDEX('Kontoplan'!$B$3:$B$302,MATCH('Journal'!E763,'Kontoplan'!$H$3:$H$302,0)),""))</f>
        <v/>
      </c>
      <c r="F1524" s="20">
        <f>IF('Journal'!F763="","",'Journal'!F763)</f>
        <v/>
      </c>
      <c r="G1524" s="20">
        <f>IF('Journal'!G763="","",'Journal'!G763)</f>
        <v/>
      </c>
      <c r="H1524" s="5">
        <f>IF('Journal'!I763="","",'Journal'!I763)</f>
        <v/>
      </c>
    </row>
    <row r="1525">
      <c r="A1525" s="18">
        <f>IF('Journal'!A764="","",'Journal'!A764)</f>
        <v/>
      </c>
      <c r="B1525" s="21">
        <f>IF('Journal'!B764="","",'Journal'!B764)</f>
        <v/>
      </c>
      <c r="C1525" s="5">
        <f>IF('Journal'!C764="","",'Journal'!C764)</f>
        <v/>
      </c>
      <c r="D1525" s="5">
        <f>IF('Journal'!D764="","",IFERROR(LEFT('Journal'!D764,FIND(" ",'Journal'!D764)-1),'Journal'!D764))</f>
        <v/>
      </c>
      <c r="E1525" s="5">
        <f>IF('Journal'!D764="","",IFERROR(INDEX('Kontoplan'!$B$3:$B$302,MATCH('Journal'!D764,'Kontoplan'!$H$3:$H$302,0)),""))</f>
        <v/>
      </c>
      <c r="F1525" s="20">
        <f>IF('Journal'!G764="","",'Journal'!G764)</f>
        <v/>
      </c>
      <c r="G1525" s="20">
        <f>IF('Journal'!F764="","",'Journal'!F764)</f>
        <v/>
      </c>
      <c r="H1525" s="5">
        <f>IF('Journal'!I764="","",'Journal'!I764)</f>
        <v/>
      </c>
    </row>
    <row r="1526">
      <c r="A1526" s="18">
        <f>IF('Journal'!A764="","",'Journal'!A764)</f>
        <v/>
      </c>
      <c r="B1526" s="21">
        <f>IF('Journal'!B764="","",'Journal'!B764)</f>
        <v/>
      </c>
      <c r="C1526" s="5">
        <f>IF('Journal'!C764="","",'Journal'!C764)</f>
        <v/>
      </c>
      <c r="D1526" s="5">
        <f>IF('Journal'!E764="","",IFERROR(LEFT('Journal'!E764,FIND(" ",'Journal'!E764)-1),'Journal'!E764))</f>
        <v/>
      </c>
      <c r="E1526" s="5">
        <f>IF('Journal'!E764="","",IFERROR(INDEX('Kontoplan'!$B$3:$B$302,MATCH('Journal'!E764,'Kontoplan'!$H$3:$H$302,0)),""))</f>
        <v/>
      </c>
      <c r="F1526" s="20">
        <f>IF('Journal'!F764="","",'Journal'!F764)</f>
        <v/>
      </c>
      <c r="G1526" s="20">
        <f>IF('Journal'!G764="","",'Journal'!G764)</f>
        <v/>
      </c>
      <c r="H1526" s="5">
        <f>IF('Journal'!I764="","",'Journal'!I764)</f>
        <v/>
      </c>
    </row>
    <row r="1527">
      <c r="A1527" s="18">
        <f>IF('Journal'!A765="","",'Journal'!A765)</f>
        <v/>
      </c>
      <c r="B1527" s="21">
        <f>IF('Journal'!B765="","",'Journal'!B765)</f>
        <v/>
      </c>
      <c r="C1527" s="5">
        <f>IF('Journal'!C765="","",'Journal'!C765)</f>
        <v/>
      </c>
      <c r="D1527" s="5">
        <f>IF('Journal'!D765="","",IFERROR(LEFT('Journal'!D765,FIND(" ",'Journal'!D765)-1),'Journal'!D765))</f>
        <v/>
      </c>
      <c r="E1527" s="5">
        <f>IF('Journal'!D765="","",IFERROR(INDEX('Kontoplan'!$B$3:$B$302,MATCH('Journal'!D765,'Kontoplan'!$H$3:$H$302,0)),""))</f>
        <v/>
      </c>
      <c r="F1527" s="20">
        <f>IF('Journal'!G765="","",'Journal'!G765)</f>
        <v/>
      </c>
      <c r="G1527" s="20">
        <f>IF('Journal'!F765="","",'Journal'!F765)</f>
        <v/>
      </c>
      <c r="H1527" s="5">
        <f>IF('Journal'!I765="","",'Journal'!I765)</f>
        <v/>
      </c>
    </row>
    <row r="1528">
      <c r="A1528" s="18">
        <f>IF('Journal'!A765="","",'Journal'!A765)</f>
        <v/>
      </c>
      <c r="B1528" s="21">
        <f>IF('Journal'!B765="","",'Journal'!B765)</f>
        <v/>
      </c>
      <c r="C1528" s="5">
        <f>IF('Journal'!C765="","",'Journal'!C765)</f>
        <v/>
      </c>
      <c r="D1528" s="5">
        <f>IF('Journal'!E765="","",IFERROR(LEFT('Journal'!E765,FIND(" ",'Journal'!E765)-1),'Journal'!E765))</f>
        <v/>
      </c>
      <c r="E1528" s="5">
        <f>IF('Journal'!E765="","",IFERROR(INDEX('Kontoplan'!$B$3:$B$302,MATCH('Journal'!E765,'Kontoplan'!$H$3:$H$302,0)),""))</f>
        <v/>
      </c>
      <c r="F1528" s="20">
        <f>IF('Journal'!F765="","",'Journal'!F765)</f>
        <v/>
      </c>
      <c r="G1528" s="20">
        <f>IF('Journal'!G765="","",'Journal'!G765)</f>
        <v/>
      </c>
      <c r="H1528" s="5">
        <f>IF('Journal'!I765="","",'Journal'!I765)</f>
        <v/>
      </c>
    </row>
    <row r="1529">
      <c r="A1529" s="18">
        <f>IF('Journal'!A766="","",'Journal'!A766)</f>
        <v/>
      </c>
      <c r="B1529" s="21">
        <f>IF('Journal'!B766="","",'Journal'!B766)</f>
        <v/>
      </c>
      <c r="C1529" s="5">
        <f>IF('Journal'!C766="","",'Journal'!C766)</f>
        <v/>
      </c>
      <c r="D1529" s="5">
        <f>IF('Journal'!D766="","",IFERROR(LEFT('Journal'!D766,FIND(" ",'Journal'!D766)-1),'Journal'!D766))</f>
        <v/>
      </c>
      <c r="E1529" s="5">
        <f>IF('Journal'!D766="","",IFERROR(INDEX('Kontoplan'!$B$3:$B$302,MATCH('Journal'!D766,'Kontoplan'!$H$3:$H$302,0)),""))</f>
        <v/>
      </c>
      <c r="F1529" s="20">
        <f>IF('Journal'!G766="","",'Journal'!G766)</f>
        <v/>
      </c>
      <c r="G1529" s="20">
        <f>IF('Journal'!F766="","",'Journal'!F766)</f>
        <v/>
      </c>
      <c r="H1529" s="5">
        <f>IF('Journal'!I766="","",'Journal'!I766)</f>
        <v/>
      </c>
    </row>
    <row r="1530">
      <c r="A1530" s="18">
        <f>IF('Journal'!A766="","",'Journal'!A766)</f>
        <v/>
      </c>
      <c r="B1530" s="21">
        <f>IF('Journal'!B766="","",'Journal'!B766)</f>
        <v/>
      </c>
      <c r="C1530" s="5">
        <f>IF('Journal'!C766="","",'Journal'!C766)</f>
        <v/>
      </c>
      <c r="D1530" s="5">
        <f>IF('Journal'!E766="","",IFERROR(LEFT('Journal'!E766,FIND(" ",'Journal'!E766)-1),'Journal'!E766))</f>
        <v/>
      </c>
      <c r="E1530" s="5">
        <f>IF('Journal'!E766="","",IFERROR(INDEX('Kontoplan'!$B$3:$B$302,MATCH('Journal'!E766,'Kontoplan'!$H$3:$H$302,0)),""))</f>
        <v/>
      </c>
      <c r="F1530" s="20">
        <f>IF('Journal'!F766="","",'Journal'!F766)</f>
        <v/>
      </c>
      <c r="G1530" s="20">
        <f>IF('Journal'!G766="","",'Journal'!G766)</f>
        <v/>
      </c>
      <c r="H1530" s="5">
        <f>IF('Journal'!I766="","",'Journal'!I766)</f>
        <v/>
      </c>
    </row>
    <row r="1531">
      <c r="A1531" s="18">
        <f>IF('Journal'!A767="","",'Journal'!A767)</f>
        <v/>
      </c>
      <c r="B1531" s="21">
        <f>IF('Journal'!B767="","",'Journal'!B767)</f>
        <v/>
      </c>
      <c r="C1531" s="5">
        <f>IF('Journal'!C767="","",'Journal'!C767)</f>
        <v/>
      </c>
      <c r="D1531" s="5">
        <f>IF('Journal'!D767="","",IFERROR(LEFT('Journal'!D767,FIND(" ",'Journal'!D767)-1),'Journal'!D767))</f>
        <v/>
      </c>
      <c r="E1531" s="5">
        <f>IF('Journal'!D767="","",IFERROR(INDEX('Kontoplan'!$B$3:$B$302,MATCH('Journal'!D767,'Kontoplan'!$H$3:$H$302,0)),""))</f>
        <v/>
      </c>
      <c r="F1531" s="20">
        <f>IF('Journal'!G767="","",'Journal'!G767)</f>
        <v/>
      </c>
      <c r="G1531" s="20">
        <f>IF('Journal'!F767="","",'Journal'!F767)</f>
        <v/>
      </c>
      <c r="H1531" s="5">
        <f>IF('Journal'!I767="","",'Journal'!I767)</f>
        <v/>
      </c>
    </row>
    <row r="1532">
      <c r="A1532" s="18">
        <f>IF('Journal'!A767="","",'Journal'!A767)</f>
        <v/>
      </c>
      <c r="B1532" s="21">
        <f>IF('Journal'!B767="","",'Journal'!B767)</f>
        <v/>
      </c>
      <c r="C1532" s="5">
        <f>IF('Journal'!C767="","",'Journal'!C767)</f>
        <v/>
      </c>
      <c r="D1532" s="5">
        <f>IF('Journal'!E767="","",IFERROR(LEFT('Journal'!E767,FIND(" ",'Journal'!E767)-1),'Journal'!E767))</f>
        <v/>
      </c>
      <c r="E1532" s="5">
        <f>IF('Journal'!E767="","",IFERROR(INDEX('Kontoplan'!$B$3:$B$302,MATCH('Journal'!E767,'Kontoplan'!$H$3:$H$302,0)),""))</f>
        <v/>
      </c>
      <c r="F1532" s="20">
        <f>IF('Journal'!F767="","",'Journal'!F767)</f>
        <v/>
      </c>
      <c r="G1532" s="20">
        <f>IF('Journal'!G767="","",'Journal'!G767)</f>
        <v/>
      </c>
      <c r="H1532" s="5">
        <f>IF('Journal'!I767="","",'Journal'!I767)</f>
        <v/>
      </c>
    </row>
    <row r="1533">
      <c r="A1533" s="18">
        <f>IF('Journal'!A768="","",'Journal'!A768)</f>
        <v/>
      </c>
      <c r="B1533" s="21">
        <f>IF('Journal'!B768="","",'Journal'!B768)</f>
        <v/>
      </c>
      <c r="C1533" s="5">
        <f>IF('Journal'!C768="","",'Journal'!C768)</f>
        <v/>
      </c>
      <c r="D1533" s="5">
        <f>IF('Journal'!D768="","",IFERROR(LEFT('Journal'!D768,FIND(" ",'Journal'!D768)-1),'Journal'!D768))</f>
        <v/>
      </c>
      <c r="E1533" s="5">
        <f>IF('Journal'!D768="","",IFERROR(INDEX('Kontoplan'!$B$3:$B$302,MATCH('Journal'!D768,'Kontoplan'!$H$3:$H$302,0)),""))</f>
        <v/>
      </c>
      <c r="F1533" s="20">
        <f>IF('Journal'!G768="","",'Journal'!G768)</f>
        <v/>
      </c>
      <c r="G1533" s="20">
        <f>IF('Journal'!F768="","",'Journal'!F768)</f>
        <v/>
      </c>
      <c r="H1533" s="5">
        <f>IF('Journal'!I768="","",'Journal'!I768)</f>
        <v/>
      </c>
    </row>
    <row r="1534">
      <c r="A1534" s="18">
        <f>IF('Journal'!A768="","",'Journal'!A768)</f>
        <v/>
      </c>
      <c r="B1534" s="21">
        <f>IF('Journal'!B768="","",'Journal'!B768)</f>
        <v/>
      </c>
      <c r="C1534" s="5">
        <f>IF('Journal'!C768="","",'Journal'!C768)</f>
        <v/>
      </c>
      <c r="D1534" s="5">
        <f>IF('Journal'!E768="","",IFERROR(LEFT('Journal'!E768,FIND(" ",'Journal'!E768)-1),'Journal'!E768))</f>
        <v/>
      </c>
      <c r="E1534" s="5">
        <f>IF('Journal'!E768="","",IFERROR(INDEX('Kontoplan'!$B$3:$B$302,MATCH('Journal'!E768,'Kontoplan'!$H$3:$H$302,0)),""))</f>
        <v/>
      </c>
      <c r="F1534" s="20">
        <f>IF('Journal'!F768="","",'Journal'!F768)</f>
        <v/>
      </c>
      <c r="G1534" s="20">
        <f>IF('Journal'!G768="","",'Journal'!G768)</f>
        <v/>
      </c>
      <c r="H1534" s="5">
        <f>IF('Journal'!I768="","",'Journal'!I768)</f>
        <v/>
      </c>
    </row>
    <row r="1535">
      <c r="A1535" s="18">
        <f>IF('Journal'!A769="","",'Journal'!A769)</f>
        <v/>
      </c>
      <c r="B1535" s="21">
        <f>IF('Journal'!B769="","",'Journal'!B769)</f>
        <v/>
      </c>
      <c r="C1535" s="5">
        <f>IF('Journal'!C769="","",'Journal'!C769)</f>
        <v/>
      </c>
      <c r="D1535" s="5">
        <f>IF('Journal'!D769="","",IFERROR(LEFT('Journal'!D769,FIND(" ",'Journal'!D769)-1),'Journal'!D769))</f>
        <v/>
      </c>
      <c r="E1535" s="5">
        <f>IF('Journal'!D769="","",IFERROR(INDEX('Kontoplan'!$B$3:$B$302,MATCH('Journal'!D769,'Kontoplan'!$H$3:$H$302,0)),""))</f>
        <v/>
      </c>
      <c r="F1535" s="20">
        <f>IF('Journal'!G769="","",'Journal'!G769)</f>
        <v/>
      </c>
      <c r="G1535" s="20">
        <f>IF('Journal'!F769="","",'Journal'!F769)</f>
        <v/>
      </c>
      <c r="H1535" s="5">
        <f>IF('Journal'!I769="","",'Journal'!I769)</f>
        <v/>
      </c>
    </row>
    <row r="1536">
      <c r="A1536" s="18">
        <f>IF('Journal'!A769="","",'Journal'!A769)</f>
        <v/>
      </c>
      <c r="B1536" s="21">
        <f>IF('Journal'!B769="","",'Journal'!B769)</f>
        <v/>
      </c>
      <c r="C1536" s="5">
        <f>IF('Journal'!C769="","",'Journal'!C769)</f>
        <v/>
      </c>
      <c r="D1536" s="5">
        <f>IF('Journal'!E769="","",IFERROR(LEFT('Journal'!E769,FIND(" ",'Journal'!E769)-1),'Journal'!E769))</f>
        <v/>
      </c>
      <c r="E1536" s="5">
        <f>IF('Journal'!E769="","",IFERROR(INDEX('Kontoplan'!$B$3:$B$302,MATCH('Journal'!E769,'Kontoplan'!$H$3:$H$302,0)),""))</f>
        <v/>
      </c>
      <c r="F1536" s="20">
        <f>IF('Journal'!F769="","",'Journal'!F769)</f>
        <v/>
      </c>
      <c r="G1536" s="20">
        <f>IF('Journal'!G769="","",'Journal'!G769)</f>
        <v/>
      </c>
      <c r="H1536" s="5">
        <f>IF('Journal'!I769="","",'Journal'!I769)</f>
        <v/>
      </c>
    </row>
    <row r="1537">
      <c r="A1537" s="18">
        <f>IF('Journal'!A770="","",'Journal'!A770)</f>
        <v/>
      </c>
      <c r="B1537" s="21">
        <f>IF('Journal'!B770="","",'Journal'!B770)</f>
        <v/>
      </c>
      <c r="C1537" s="5">
        <f>IF('Journal'!C770="","",'Journal'!C770)</f>
        <v/>
      </c>
      <c r="D1537" s="5">
        <f>IF('Journal'!D770="","",IFERROR(LEFT('Journal'!D770,FIND(" ",'Journal'!D770)-1),'Journal'!D770))</f>
        <v/>
      </c>
      <c r="E1537" s="5">
        <f>IF('Journal'!D770="","",IFERROR(INDEX('Kontoplan'!$B$3:$B$302,MATCH('Journal'!D770,'Kontoplan'!$H$3:$H$302,0)),""))</f>
        <v/>
      </c>
      <c r="F1537" s="20">
        <f>IF('Journal'!G770="","",'Journal'!G770)</f>
        <v/>
      </c>
      <c r="G1537" s="20">
        <f>IF('Journal'!F770="","",'Journal'!F770)</f>
        <v/>
      </c>
      <c r="H1537" s="5">
        <f>IF('Journal'!I770="","",'Journal'!I770)</f>
        <v/>
      </c>
    </row>
    <row r="1538">
      <c r="A1538" s="18">
        <f>IF('Journal'!A770="","",'Journal'!A770)</f>
        <v/>
      </c>
      <c r="B1538" s="21">
        <f>IF('Journal'!B770="","",'Journal'!B770)</f>
        <v/>
      </c>
      <c r="C1538" s="5">
        <f>IF('Journal'!C770="","",'Journal'!C770)</f>
        <v/>
      </c>
      <c r="D1538" s="5">
        <f>IF('Journal'!E770="","",IFERROR(LEFT('Journal'!E770,FIND(" ",'Journal'!E770)-1),'Journal'!E770))</f>
        <v/>
      </c>
      <c r="E1538" s="5">
        <f>IF('Journal'!E770="","",IFERROR(INDEX('Kontoplan'!$B$3:$B$302,MATCH('Journal'!E770,'Kontoplan'!$H$3:$H$302,0)),""))</f>
        <v/>
      </c>
      <c r="F1538" s="20">
        <f>IF('Journal'!F770="","",'Journal'!F770)</f>
        <v/>
      </c>
      <c r="G1538" s="20">
        <f>IF('Journal'!G770="","",'Journal'!G770)</f>
        <v/>
      </c>
      <c r="H1538" s="5">
        <f>IF('Journal'!I770="","",'Journal'!I770)</f>
        <v/>
      </c>
    </row>
    <row r="1539">
      <c r="A1539" s="18">
        <f>IF('Journal'!A771="","",'Journal'!A771)</f>
        <v/>
      </c>
      <c r="B1539" s="21">
        <f>IF('Journal'!B771="","",'Journal'!B771)</f>
        <v/>
      </c>
      <c r="C1539" s="5">
        <f>IF('Journal'!C771="","",'Journal'!C771)</f>
        <v/>
      </c>
      <c r="D1539" s="5">
        <f>IF('Journal'!D771="","",IFERROR(LEFT('Journal'!D771,FIND(" ",'Journal'!D771)-1),'Journal'!D771))</f>
        <v/>
      </c>
      <c r="E1539" s="5">
        <f>IF('Journal'!D771="","",IFERROR(INDEX('Kontoplan'!$B$3:$B$302,MATCH('Journal'!D771,'Kontoplan'!$H$3:$H$302,0)),""))</f>
        <v/>
      </c>
      <c r="F1539" s="20">
        <f>IF('Journal'!G771="","",'Journal'!G771)</f>
        <v/>
      </c>
      <c r="G1539" s="20">
        <f>IF('Journal'!F771="","",'Journal'!F771)</f>
        <v/>
      </c>
      <c r="H1539" s="5">
        <f>IF('Journal'!I771="","",'Journal'!I771)</f>
        <v/>
      </c>
    </row>
    <row r="1540">
      <c r="A1540" s="18">
        <f>IF('Journal'!A771="","",'Journal'!A771)</f>
        <v/>
      </c>
      <c r="B1540" s="21">
        <f>IF('Journal'!B771="","",'Journal'!B771)</f>
        <v/>
      </c>
      <c r="C1540" s="5">
        <f>IF('Journal'!C771="","",'Journal'!C771)</f>
        <v/>
      </c>
      <c r="D1540" s="5">
        <f>IF('Journal'!E771="","",IFERROR(LEFT('Journal'!E771,FIND(" ",'Journal'!E771)-1),'Journal'!E771))</f>
        <v/>
      </c>
      <c r="E1540" s="5">
        <f>IF('Journal'!E771="","",IFERROR(INDEX('Kontoplan'!$B$3:$B$302,MATCH('Journal'!E771,'Kontoplan'!$H$3:$H$302,0)),""))</f>
        <v/>
      </c>
      <c r="F1540" s="20">
        <f>IF('Journal'!F771="","",'Journal'!F771)</f>
        <v/>
      </c>
      <c r="G1540" s="20">
        <f>IF('Journal'!G771="","",'Journal'!G771)</f>
        <v/>
      </c>
      <c r="H1540" s="5">
        <f>IF('Journal'!I771="","",'Journal'!I771)</f>
        <v/>
      </c>
    </row>
    <row r="1541">
      <c r="A1541" s="18">
        <f>IF('Journal'!A772="","",'Journal'!A772)</f>
        <v/>
      </c>
      <c r="B1541" s="21">
        <f>IF('Journal'!B772="","",'Journal'!B772)</f>
        <v/>
      </c>
      <c r="C1541" s="5">
        <f>IF('Journal'!C772="","",'Journal'!C772)</f>
        <v/>
      </c>
      <c r="D1541" s="5">
        <f>IF('Journal'!D772="","",IFERROR(LEFT('Journal'!D772,FIND(" ",'Journal'!D772)-1),'Journal'!D772))</f>
        <v/>
      </c>
      <c r="E1541" s="5">
        <f>IF('Journal'!D772="","",IFERROR(INDEX('Kontoplan'!$B$3:$B$302,MATCH('Journal'!D772,'Kontoplan'!$H$3:$H$302,0)),""))</f>
        <v/>
      </c>
      <c r="F1541" s="20">
        <f>IF('Journal'!G772="","",'Journal'!G772)</f>
        <v/>
      </c>
      <c r="G1541" s="20">
        <f>IF('Journal'!F772="","",'Journal'!F772)</f>
        <v/>
      </c>
      <c r="H1541" s="5">
        <f>IF('Journal'!I772="","",'Journal'!I772)</f>
        <v/>
      </c>
    </row>
    <row r="1542">
      <c r="A1542" s="18">
        <f>IF('Journal'!A772="","",'Journal'!A772)</f>
        <v/>
      </c>
      <c r="B1542" s="21">
        <f>IF('Journal'!B772="","",'Journal'!B772)</f>
        <v/>
      </c>
      <c r="C1542" s="5">
        <f>IF('Journal'!C772="","",'Journal'!C772)</f>
        <v/>
      </c>
      <c r="D1542" s="5">
        <f>IF('Journal'!E772="","",IFERROR(LEFT('Journal'!E772,FIND(" ",'Journal'!E772)-1),'Journal'!E772))</f>
        <v/>
      </c>
      <c r="E1542" s="5">
        <f>IF('Journal'!E772="","",IFERROR(INDEX('Kontoplan'!$B$3:$B$302,MATCH('Journal'!E772,'Kontoplan'!$H$3:$H$302,0)),""))</f>
        <v/>
      </c>
      <c r="F1542" s="20">
        <f>IF('Journal'!F772="","",'Journal'!F772)</f>
        <v/>
      </c>
      <c r="G1542" s="20">
        <f>IF('Journal'!G772="","",'Journal'!G772)</f>
        <v/>
      </c>
      <c r="H1542" s="5">
        <f>IF('Journal'!I772="","",'Journal'!I772)</f>
        <v/>
      </c>
    </row>
    <row r="1543">
      <c r="A1543" s="18">
        <f>IF('Journal'!A773="","",'Journal'!A773)</f>
        <v/>
      </c>
      <c r="B1543" s="21">
        <f>IF('Journal'!B773="","",'Journal'!B773)</f>
        <v/>
      </c>
      <c r="C1543" s="5">
        <f>IF('Journal'!C773="","",'Journal'!C773)</f>
        <v/>
      </c>
      <c r="D1543" s="5">
        <f>IF('Journal'!D773="","",IFERROR(LEFT('Journal'!D773,FIND(" ",'Journal'!D773)-1),'Journal'!D773))</f>
        <v/>
      </c>
      <c r="E1543" s="5">
        <f>IF('Journal'!D773="","",IFERROR(INDEX('Kontoplan'!$B$3:$B$302,MATCH('Journal'!D773,'Kontoplan'!$H$3:$H$302,0)),""))</f>
        <v/>
      </c>
      <c r="F1543" s="20">
        <f>IF('Journal'!G773="","",'Journal'!G773)</f>
        <v/>
      </c>
      <c r="G1543" s="20">
        <f>IF('Journal'!F773="","",'Journal'!F773)</f>
        <v/>
      </c>
      <c r="H1543" s="5">
        <f>IF('Journal'!I773="","",'Journal'!I773)</f>
        <v/>
      </c>
    </row>
    <row r="1544">
      <c r="A1544" s="18">
        <f>IF('Journal'!A773="","",'Journal'!A773)</f>
        <v/>
      </c>
      <c r="B1544" s="21">
        <f>IF('Journal'!B773="","",'Journal'!B773)</f>
        <v/>
      </c>
      <c r="C1544" s="5">
        <f>IF('Journal'!C773="","",'Journal'!C773)</f>
        <v/>
      </c>
      <c r="D1544" s="5">
        <f>IF('Journal'!E773="","",IFERROR(LEFT('Journal'!E773,FIND(" ",'Journal'!E773)-1),'Journal'!E773))</f>
        <v/>
      </c>
      <c r="E1544" s="5">
        <f>IF('Journal'!E773="","",IFERROR(INDEX('Kontoplan'!$B$3:$B$302,MATCH('Journal'!E773,'Kontoplan'!$H$3:$H$302,0)),""))</f>
        <v/>
      </c>
      <c r="F1544" s="20">
        <f>IF('Journal'!F773="","",'Journal'!F773)</f>
        <v/>
      </c>
      <c r="G1544" s="20">
        <f>IF('Journal'!G773="","",'Journal'!G773)</f>
        <v/>
      </c>
      <c r="H1544" s="5">
        <f>IF('Journal'!I773="","",'Journal'!I773)</f>
        <v/>
      </c>
    </row>
    <row r="1545">
      <c r="A1545" s="18">
        <f>IF('Journal'!A774="","",'Journal'!A774)</f>
        <v/>
      </c>
      <c r="B1545" s="21">
        <f>IF('Journal'!B774="","",'Journal'!B774)</f>
        <v/>
      </c>
      <c r="C1545" s="5">
        <f>IF('Journal'!C774="","",'Journal'!C774)</f>
        <v/>
      </c>
      <c r="D1545" s="5">
        <f>IF('Journal'!D774="","",IFERROR(LEFT('Journal'!D774,FIND(" ",'Journal'!D774)-1),'Journal'!D774))</f>
        <v/>
      </c>
      <c r="E1545" s="5">
        <f>IF('Journal'!D774="","",IFERROR(INDEX('Kontoplan'!$B$3:$B$302,MATCH('Journal'!D774,'Kontoplan'!$H$3:$H$302,0)),""))</f>
        <v/>
      </c>
      <c r="F1545" s="20">
        <f>IF('Journal'!G774="","",'Journal'!G774)</f>
        <v/>
      </c>
      <c r="G1545" s="20">
        <f>IF('Journal'!F774="","",'Journal'!F774)</f>
        <v/>
      </c>
      <c r="H1545" s="5">
        <f>IF('Journal'!I774="","",'Journal'!I774)</f>
        <v/>
      </c>
    </row>
    <row r="1546">
      <c r="A1546" s="18">
        <f>IF('Journal'!A774="","",'Journal'!A774)</f>
        <v/>
      </c>
      <c r="B1546" s="21">
        <f>IF('Journal'!B774="","",'Journal'!B774)</f>
        <v/>
      </c>
      <c r="C1546" s="5">
        <f>IF('Journal'!C774="","",'Journal'!C774)</f>
        <v/>
      </c>
      <c r="D1546" s="5">
        <f>IF('Journal'!E774="","",IFERROR(LEFT('Journal'!E774,FIND(" ",'Journal'!E774)-1),'Journal'!E774))</f>
        <v/>
      </c>
      <c r="E1546" s="5">
        <f>IF('Journal'!E774="","",IFERROR(INDEX('Kontoplan'!$B$3:$B$302,MATCH('Journal'!E774,'Kontoplan'!$H$3:$H$302,0)),""))</f>
        <v/>
      </c>
      <c r="F1546" s="20">
        <f>IF('Journal'!F774="","",'Journal'!F774)</f>
        <v/>
      </c>
      <c r="G1546" s="20">
        <f>IF('Journal'!G774="","",'Journal'!G774)</f>
        <v/>
      </c>
      <c r="H1546" s="5">
        <f>IF('Journal'!I774="","",'Journal'!I774)</f>
        <v/>
      </c>
    </row>
    <row r="1547">
      <c r="A1547" s="18">
        <f>IF('Journal'!A775="","",'Journal'!A775)</f>
        <v/>
      </c>
      <c r="B1547" s="21">
        <f>IF('Journal'!B775="","",'Journal'!B775)</f>
        <v/>
      </c>
      <c r="C1547" s="5">
        <f>IF('Journal'!C775="","",'Journal'!C775)</f>
        <v/>
      </c>
      <c r="D1547" s="5">
        <f>IF('Journal'!D775="","",IFERROR(LEFT('Journal'!D775,FIND(" ",'Journal'!D775)-1),'Journal'!D775))</f>
        <v/>
      </c>
      <c r="E1547" s="5">
        <f>IF('Journal'!D775="","",IFERROR(INDEX('Kontoplan'!$B$3:$B$302,MATCH('Journal'!D775,'Kontoplan'!$H$3:$H$302,0)),""))</f>
        <v/>
      </c>
      <c r="F1547" s="20">
        <f>IF('Journal'!G775="","",'Journal'!G775)</f>
        <v/>
      </c>
      <c r="G1547" s="20">
        <f>IF('Journal'!F775="","",'Journal'!F775)</f>
        <v/>
      </c>
      <c r="H1547" s="5">
        <f>IF('Journal'!I775="","",'Journal'!I775)</f>
        <v/>
      </c>
    </row>
    <row r="1548">
      <c r="A1548" s="18">
        <f>IF('Journal'!A775="","",'Journal'!A775)</f>
        <v/>
      </c>
      <c r="B1548" s="21">
        <f>IF('Journal'!B775="","",'Journal'!B775)</f>
        <v/>
      </c>
      <c r="C1548" s="5">
        <f>IF('Journal'!C775="","",'Journal'!C775)</f>
        <v/>
      </c>
      <c r="D1548" s="5">
        <f>IF('Journal'!E775="","",IFERROR(LEFT('Journal'!E775,FIND(" ",'Journal'!E775)-1),'Journal'!E775))</f>
        <v/>
      </c>
      <c r="E1548" s="5">
        <f>IF('Journal'!E775="","",IFERROR(INDEX('Kontoplan'!$B$3:$B$302,MATCH('Journal'!E775,'Kontoplan'!$H$3:$H$302,0)),""))</f>
        <v/>
      </c>
      <c r="F1548" s="20">
        <f>IF('Journal'!F775="","",'Journal'!F775)</f>
        <v/>
      </c>
      <c r="G1548" s="20">
        <f>IF('Journal'!G775="","",'Journal'!G775)</f>
        <v/>
      </c>
      <c r="H1548" s="5">
        <f>IF('Journal'!I775="","",'Journal'!I775)</f>
        <v/>
      </c>
    </row>
    <row r="1549">
      <c r="A1549" s="18">
        <f>IF('Journal'!A776="","",'Journal'!A776)</f>
        <v/>
      </c>
      <c r="B1549" s="21">
        <f>IF('Journal'!B776="","",'Journal'!B776)</f>
        <v/>
      </c>
      <c r="C1549" s="5">
        <f>IF('Journal'!C776="","",'Journal'!C776)</f>
        <v/>
      </c>
      <c r="D1549" s="5">
        <f>IF('Journal'!D776="","",IFERROR(LEFT('Journal'!D776,FIND(" ",'Journal'!D776)-1),'Journal'!D776))</f>
        <v/>
      </c>
      <c r="E1549" s="5">
        <f>IF('Journal'!D776="","",IFERROR(INDEX('Kontoplan'!$B$3:$B$302,MATCH('Journal'!D776,'Kontoplan'!$H$3:$H$302,0)),""))</f>
        <v/>
      </c>
      <c r="F1549" s="20">
        <f>IF('Journal'!G776="","",'Journal'!G776)</f>
        <v/>
      </c>
      <c r="G1549" s="20">
        <f>IF('Journal'!F776="","",'Journal'!F776)</f>
        <v/>
      </c>
      <c r="H1549" s="5">
        <f>IF('Journal'!I776="","",'Journal'!I776)</f>
        <v/>
      </c>
    </row>
    <row r="1550">
      <c r="A1550" s="18">
        <f>IF('Journal'!A776="","",'Journal'!A776)</f>
        <v/>
      </c>
      <c r="B1550" s="21">
        <f>IF('Journal'!B776="","",'Journal'!B776)</f>
        <v/>
      </c>
      <c r="C1550" s="5">
        <f>IF('Journal'!C776="","",'Journal'!C776)</f>
        <v/>
      </c>
      <c r="D1550" s="5">
        <f>IF('Journal'!E776="","",IFERROR(LEFT('Journal'!E776,FIND(" ",'Journal'!E776)-1),'Journal'!E776))</f>
        <v/>
      </c>
      <c r="E1550" s="5">
        <f>IF('Journal'!E776="","",IFERROR(INDEX('Kontoplan'!$B$3:$B$302,MATCH('Journal'!E776,'Kontoplan'!$H$3:$H$302,0)),""))</f>
        <v/>
      </c>
      <c r="F1550" s="20">
        <f>IF('Journal'!F776="","",'Journal'!F776)</f>
        <v/>
      </c>
      <c r="G1550" s="20">
        <f>IF('Journal'!G776="","",'Journal'!G776)</f>
        <v/>
      </c>
      <c r="H1550" s="5">
        <f>IF('Journal'!I776="","",'Journal'!I776)</f>
        <v/>
      </c>
    </row>
    <row r="1551">
      <c r="A1551" s="18">
        <f>IF('Journal'!A777="","",'Journal'!A777)</f>
        <v/>
      </c>
      <c r="B1551" s="21">
        <f>IF('Journal'!B777="","",'Journal'!B777)</f>
        <v/>
      </c>
      <c r="C1551" s="5">
        <f>IF('Journal'!C777="","",'Journal'!C777)</f>
        <v/>
      </c>
      <c r="D1551" s="5">
        <f>IF('Journal'!D777="","",IFERROR(LEFT('Journal'!D777,FIND(" ",'Journal'!D777)-1),'Journal'!D777))</f>
        <v/>
      </c>
      <c r="E1551" s="5">
        <f>IF('Journal'!D777="","",IFERROR(INDEX('Kontoplan'!$B$3:$B$302,MATCH('Journal'!D777,'Kontoplan'!$H$3:$H$302,0)),""))</f>
        <v/>
      </c>
      <c r="F1551" s="20">
        <f>IF('Journal'!G777="","",'Journal'!G777)</f>
        <v/>
      </c>
      <c r="G1551" s="20">
        <f>IF('Journal'!F777="","",'Journal'!F777)</f>
        <v/>
      </c>
      <c r="H1551" s="5">
        <f>IF('Journal'!I777="","",'Journal'!I777)</f>
        <v/>
      </c>
    </row>
    <row r="1552">
      <c r="A1552" s="18">
        <f>IF('Journal'!A777="","",'Journal'!A777)</f>
        <v/>
      </c>
      <c r="B1552" s="21">
        <f>IF('Journal'!B777="","",'Journal'!B777)</f>
        <v/>
      </c>
      <c r="C1552" s="5">
        <f>IF('Journal'!C777="","",'Journal'!C777)</f>
        <v/>
      </c>
      <c r="D1552" s="5">
        <f>IF('Journal'!E777="","",IFERROR(LEFT('Journal'!E777,FIND(" ",'Journal'!E777)-1),'Journal'!E777))</f>
        <v/>
      </c>
      <c r="E1552" s="5">
        <f>IF('Journal'!E777="","",IFERROR(INDEX('Kontoplan'!$B$3:$B$302,MATCH('Journal'!E777,'Kontoplan'!$H$3:$H$302,0)),""))</f>
        <v/>
      </c>
      <c r="F1552" s="20">
        <f>IF('Journal'!F777="","",'Journal'!F777)</f>
        <v/>
      </c>
      <c r="G1552" s="20">
        <f>IF('Journal'!G777="","",'Journal'!G777)</f>
        <v/>
      </c>
      <c r="H1552" s="5">
        <f>IF('Journal'!I777="","",'Journal'!I777)</f>
        <v/>
      </c>
    </row>
    <row r="1553">
      <c r="A1553" s="18">
        <f>IF('Journal'!A778="","",'Journal'!A778)</f>
        <v/>
      </c>
      <c r="B1553" s="21">
        <f>IF('Journal'!B778="","",'Journal'!B778)</f>
        <v/>
      </c>
      <c r="C1553" s="5">
        <f>IF('Journal'!C778="","",'Journal'!C778)</f>
        <v/>
      </c>
      <c r="D1553" s="5">
        <f>IF('Journal'!D778="","",IFERROR(LEFT('Journal'!D778,FIND(" ",'Journal'!D778)-1),'Journal'!D778))</f>
        <v/>
      </c>
      <c r="E1553" s="5">
        <f>IF('Journal'!D778="","",IFERROR(INDEX('Kontoplan'!$B$3:$B$302,MATCH('Journal'!D778,'Kontoplan'!$H$3:$H$302,0)),""))</f>
        <v/>
      </c>
      <c r="F1553" s="20">
        <f>IF('Journal'!G778="","",'Journal'!G778)</f>
        <v/>
      </c>
      <c r="G1553" s="20">
        <f>IF('Journal'!F778="","",'Journal'!F778)</f>
        <v/>
      </c>
      <c r="H1553" s="5">
        <f>IF('Journal'!I778="","",'Journal'!I778)</f>
        <v/>
      </c>
    </row>
    <row r="1554">
      <c r="A1554" s="18">
        <f>IF('Journal'!A778="","",'Journal'!A778)</f>
        <v/>
      </c>
      <c r="B1554" s="21">
        <f>IF('Journal'!B778="","",'Journal'!B778)</f>
        <v/>
      </c>
      <c r="C1554" s="5">
        <f>IF('Journal'!C778="","",'Journal'!C778)</f>
        <v/>
      </c>
      <c r="D1554" s="5">
        <f>IF('Journal'!E778="","",IFERROR(LEFT('Journal'!E778,FIND(" ",'Journal'!E778)-1),'Journal'!E778))</f>
        <v/>
      </c>
      <c r="E1554" s="5">
        <f>IF('Journal'!E778="","",IFERROR(INDEX('Kontoplan'!$B$3:$B$302,MATCH('Journal'!E778,'Kontoplan'!$H$3:$H$302,0)),""))</f>
        <v/>
      </c>
      <c r="F1554" s="20">
        <f>IF('Journal'!F778="","",'Journal'!F778)</f>
        <v/>
      </c>
      <c r="G1554" s="20">
        <f>IF('Journal'!G778="","",'Journal'!G778)</f>
        <v/>
      </c>
      <c r="H1554" s="5">
        <f>IF('Journal'!I778="","",'Journal'!I778)</f>
        <v/>
      </c>
    </row>
    <row r="1555">
      <c r="A1555" s="18">
        <f>IF('Journal'!A779="","",'Journal'!A779)</f>
        <v/>
      </c>
      <c r="B1555" s="21">
        <f>IF('Journal'!B779="","",'Journal'!B779)</f>
        <v/>
      </c>
      <c r="C1555" s="5">
        <f>IF('Journal'!C779="","",'Journal'!C779)</f>
        <v/>
      </c>
      <c r="D1555" s="5">
        <f>IF('Journal'!D779="","",IFERROR(LEFT('Journal'!D779,FIND(" ",'Journal'!D779)-1),'Journal'!D779))</f>
        <v/>
      </c>
      <c r="E1555" s="5">
        <f>IF('Journal'!D779="","",IFERROR(INDEX('Kontoplan'!$B$3:$B$302,MATCH('Journal'!D779,'Kontoplan'!$H$3:$H$302,0)),""))</f>
        <v/>
      </c>
      <c r="F1555" s="20">
        <f>IF('Journal'!G779="","",'Journal'!G779)</f>
        <v/>
      </c>
      <c r="G1555" s="20">
        <f>IF('Journal'!F779="","",'Journal'!F779)</f>
        <v/>
      </c>
      <c r="H1555" s="5">
        <f>IF('Journal'!I779="","",'Journal'!I779)</f>
        <v/>
      </c>
    </row>
    <row r="1556">
      <c r="A1556" s="18">
        <f>IF('Journal'!A779="","",'Journal'!A779)</f>
        <v/>
      </c>
      <c r="B1556" s="21">
        <f>IF('Journal'!B779="","",'Journal'!B779)</f>
        <v/>
      </c>
      <c r="C1556" s="5">
        <f>IF('Journal'!C779="","",'Journal'!C779)</f>
        <v/>
      </c>
      <c r="D1556" s="5">
        <f>IF('Journal'!E779="","",IFERROR(LEFT('Journal'!E779,FIND(" ",'Journal'!E779)-1),'Journal'!E779))</f>
        <v/>
      </c>
      <c r="E1556" s="5">
        <f>IF('Journal'!E779="","",IFERROR(INDEX('Kontoplan'!$B$3:$B$302,MATCH('Journal'!E779,'Kontoplan'!$H$3:$H$302,0)),""))</f>
        <v/>
      </c>
      <c r="F1556" s="20">
        <f>IF('Journal'!F779="","",'Journal'!F779)</f>
        <v/>
      </c>
      <c r="G1556" s="20">
        <f>IF('Journal'!G779="","",'Journal'!G779)</f>
        <v/>
      </c>
      <c r="H1556" s="5">
        <f>IF('Journal'!I779="","",'Journal'!I779)</f>
        <v/>
      </c>
    </row>
    <row r="1557">
      <c r="A1557" s="18">
        <f>IF('Journal'!A780="","",'Journal'!A780)</f>
        <v/>
      </c>
      <c r="B1557" s="21">
        <f>IF('Journal'!B780="","",'Journal'!B780)</f>
        <v/>
      </c>
      <c r="C1557" s="5">
        <f>IF('Journal'!C780="","",'Journal'!C780)</f>
        <v/>
      </c>
      <c r="D1557" s="5">
        <f>IF('Journal'!D780="","",IFERROR(LEFT('Journal'!D780,FIND(" ",'Journal'!D780)-1),'Journal'!D780))</f>
        <v/>
      </c>
      <c r="E1557" s="5">
        <f>IF('Journal'!D780="","",IFERROR(INDEX('Kontoplan'!$B$3:$B$302,MATCH('Journal'!D780,'Kontoplan'!$H$3:$H$302,0)),""))</f>
        <v/>
      </c>
      <c r="F1557" s="20">
        <f>IF('Journal'!G780="","",'Journal'!G780)</f>
        <v/>
      </c>
      <c r="G1557" s="20">
        <f>IF('Journal'!F780="","",'Journal'!F780)</f>
        <v/>
      </c>
      <c r="H1557" s="5">
        <f>IF('Journal'!I780="","",'Journal'!I780)</f>
        <v/>
      </c>
    </row>
    <row r="1558">
      <c r="A1558" s="18">
        <f>IF('Journal'!A780="","",'Journal'!A780)</f>
        <v/>
      </c>
      <c r="B1558" s="21">
        <f>IF('Journal'!B780="","",'Journal'!B780)</f>
        <v/>
      </c>
      <c r="C1558" s="5">
        <f>IF('Journal'!C780="","",'Journal'!C780)</f>
        <v/>
      </c>
      <c r="D1558" s="5">
        <f>IF('Journal'!E780="","",IFERROR(LEFT('Journal'!E780,FIND(" ",'Journal'!E780)-1),'Journal'!E780))</f>
        <v/>
      </c>
      <c r="E1558" s="5">
        <f>IF('Journal'!E780="","",IFERROR(INDEX('Kontoplan'!$B$3:$B$302,MATCH('Journal'!E780,'Kontoplan'!$H$3:$H$302,0)),""))</f>
        <v/>
      </c>
      <c r="F1558" s="20">
        <f>IF('Journal'!F780="","",'Journal'!F780)</f>
        <v/>
      </c>
      <c r="G1558" s="20">
        <f>IF('Journal'!G780="","",'Journal'!G780)</f>
        <v/>
      </c>
      <c r="H1558" s="5">
        <f>IF('Journal'!I780="","",'Journal'!I780)</f>
        <v/>
      </c>
    </row>
    <row r="1559">
      <c r="A1559" s="18">
        <f>IF('Journal'!A781="","",'Journal'!A781)</f>
        <v/>
      </c>
      <c r="B1559" s="21">
        <f>IF('Journal'!B781="","",'Journal'!B781)</f>
        <v/>
      </c>
      <c r="C1559" s="5">
        <f>IF('Journal'!C781="","",'Journal'!C781)</f>
        <v/>
      </c>
      <c r="D1559" s="5">
        <f>IF('Journal'!D781="","",IFERROR(LEFT('Journal'!D781,FIND(" ",'Journal'!D781)-1),'Journal'!D781))</f>
        <v/>
      </c>
      <c r="E1559" s="5">
        <f>IF('Journal'!D781="","",IFERROR(INDEX('Kontoplan'!$B$3:$B$302,MATCH('Journal'!D781,'Kontoplan'!$H$3:$H$302,0)),""))</f>
        <v/>
      </c>
      <c r="F1559" s="20">
        <f>IF('Journal'!G781="","",'Journal'!G781)</f>
        <v/>
      </c>
      <c r="G1559" s="20">
        <f>IF('Journal'!F781="","",'Journal'!F781)</f>
        <v/>
      </c>
      <c r="H1559" s="5">
        <f>IF('Journal'!I781="","",'Journal'!I781)</f>
        <v/>
      </c>
    </row>
    <row r="1560">
      <c r="A1560" s="18">
        <f>IF('Journal'!A781="","",'Journal'!A781)</f>
        <v/>
      </c>
      <c r="B1560" s="21">
        <f>IF('Journal'!B781="","",'Journal'!B781)</f>
        <v/>
      </c>
      <c r="C1560" s="5">
        <f>IF('Journal'!C781="","",'Journal'!C781)</f>
        <v/>
      </c>
      <c r="D1560" s="5">
        <f>IF('Journal'!E781="","",IFERROR(LEFT('Journal'!E781,FIND(" ",'Journal'!E781)-1),'Journal'!E781))</f>
        <v/>
      </c>
      <c r="E1560" s="5">
        <f>IF('Journal'!E781="","",IFERROR(INDEX('Kontoplan'!$B$3:$B$302,MATCH('Journal'!E781,'Kontoplan'!$H$3:$H$302,0)),""))</f>
        <v/>
      </c>
      <c r="F1560" s="20">
        <f>IF('Journal'!F781="","",'Journal'!F781)</f>
        <v/>
      </c>
      <c r="G1560" s="20">
        <f>IF('Journal'!G781="","",'Journal'!G781)</f>
        <v/>
      </c>
      <c r="H1560" s="5">
        <f>IF('Journal'!I781="","",'Journal'!I781)</f>
        <v/>
      </c>
    </row>
    <row r="1561">
      <c r="A1561" s="18">
        <f>IF('Journal'!A782="","",'Journal'!A782)</f>
        <v/>
      </c>
      <c r="B1561" s="21">
        <f>IF('Journal'!B782="","",'Journal'!B782)</f>
        <v/>
      </c>
      <c r="C1561" s="5">
        <f>IF('Journal'!C782="","",'Journal'!C782)</f>
        <v/>
      </c>
      <c r="D1561" s="5">
        <f>IF('Journal'!D782="","",IFERROR(LEFT('Journal'!D782,FIND(" ",'Journal'!D782)-1),'Journal'!D782))</f>
        <v/>
      </c>
      <c r="E1561" s="5">
        <f>IF('Journal'!D782="","",IFERROR(INDEX('Kontoplan'!$B$3:$B$302,MATCH('Journal'!D782,'Kontoplan'!$H$3:$H$302,0)),""))</f>
        <v/>
      </c>
      <c r="F1561" s="20">
        <f>IF('Journal'!G782="","",'Journal'!G782)</f>
        <v/>
      </c>
      <c r="G1561" s="20">
        <f>IF('Journal'!F782="","",'Journal'!F782)</f>
        <v/>
      </c>
      <c r="H1561" s="5">
        <f>IF('Journal'!I782="","",'Journal'!I782)</f>
        <v/>
      </c>
    </row>
    <row r="1562">
      <c r="A1562" s="18">
        <f>IF('Journal'!A782="","",'Journal'!A782)</f>
        <v/>
      </c>
      <c r="B1562" s="21">
        <f>IF('Journal'!B782="","",'Journal'!B782)</f>
        <v/>
      </c>
      <c r="C1562" s="5">
        <f>IF('Journal'!C782="","",'Journal'!C782)</f>
        <v/>
      </c>
      <c r="D1562" s="5">
        <f>IF('Journal'!E782="","",IFERROR(LEFT('Journal'!E782,FIND(" ",'Journal'!E782)-1),'Journal'!E782))</f>
        <v/>
      </c>
      <c r="E1562" s="5">
        <f>IF('Journal'!E782="","",IFERROR(INDEX('Kontoplan'!$B$3:$B$302,MATCH('Journal'!E782,'Kontoplan'!$H$3:$H$302,0)),""))</f>
        <v/>
      </c>
      <c r="F1562" s="20">
        <f>IF('Journal'!F782="","",'Journal'!F782)</f>
        <v/>
      </c>
      <c r="G1562" s="20">
        <f>IF('Journal'!G782="","",'Journal'!G782)</f>
        <v/>
      </c>
      <c r="H1562" s="5">
        <f>IF('Journal'!I782="","",'Journal'!I782)</f>
        <v/>
      </c>
    </row>
    <row r="1563">
      <c r="A1563" s="18">
        <f>IF('Journal'!A783="","",'Journal'!A783)</f>
        <v/>
      </c>
      <c r="B1563" s="21">
        <f>IF('Journal'!B783="","",'Journal'!B783)</f>
        <v/>
      </c>
      <c r="C1563" s="5">
        <f>IF('Journal'!C783="","",'Journal'!C783)</f>
        <v/>
      </c>
      <c r="D1563" s="5">
        <f>IF('Journal'!D783="","",IFERROR(LEFT('Journal'!D783,FIND(" ",'Journal'!D783)-1),'Journal'!D783))</f>
        <v/>
      </c>
      <c r="E1563" s="5">
        <f>IF('Journal'!D783="","",IFERROR(INDEX('Kontoplan'!$B$3:$B$302,MATCH('Journal'!D783,'Kontoplan'!$H$3:$H$302,0)),""))</f>
        <v/>
      </c>
      <c r="F1563" s="20">
        <f>IF('Journal'!G783="","",'Journal'!G783)</f>
        <v/>
      </c>
      <c r="G1563" s="20">
        <f>IF('Journal'!F783="","",'Journal'!F783)</f>
        <v/>
      </c>
      <c r="H1563" s="5">
        <f>IF('Journal'!I783="","",'Journal'!I783)</f>
        <v/>
      </c>
    </row>
    <row r="1564">
      <c r="A1564" s="18">
        <f>IF('Journal'!A783="","",'Journal'!A783)</f>
        <v/>
      </c>
      <c r="B1564" s="21">
        <f>IF('Journal'!B783="","",'Journal'!B783)</f>
        <v/>
      </c>
      <c r="C1564" s="5">
        <f>IF('Journal'!C783="","",'Journal'!C783)</f>
        <v/>
      </c>
      <c r="D1564" s="5">
        <f>IF('Journal'!E783="","",IFERROR(LEFT('Journal'!E783,FIND(" ",'Journal'!E783)-1),'Journal'!E783))</f>
        <v/>
      </c>
      <c r="E1564" s="5">
        <f>IF('Journal'!E783="","",IFERROR(INDEX('Kontoplan'!$B$3:$B$302,MATCH('Journal'!E783,'Kontoplan'!$H$3:$H$302,0)),""))</f>
        <v/>
      </c>
      <c r="F1564" s="20">
        <f>IF('Journal'!F783="","",'Journal'!F783)</f>
        <v/>
      </c>
      <c r="G1564" s="20">
        <f>IF('Journal'!G783="","",'Journal'!G783)</f>
        <v/>
      </c>
      <c r="H1564" s="5">
        <f>IF('Journal'!I783="","",'Journal'!I783)</f>
        <v/>
      </c>
    </row>
    <row r="1565">
      <c r="A1565" s="18">
        <f>IF('Journal'!A784="","",'Journal'!A784)</f>
        <v/>
      </c>
      <c r="B1565" s="21">
        <f>IF('Journal'!B784="","",'Journal'!B784)</f>
        <v/>
      </c>
      <c r="C1565" s="5">
        <f>IF('Journal'!C784="","",'Journal'!C784)</f>
        <v/>
      </c>
      <c r="D1565" s="5">
        <f>IF('Journal'!D784="","",IFERROR(LEFT('Journal'!D784,FIND(" ",'Journal'!D784)-1),'Journal'!D784))</f>
        <v/>
      </c>
      <c r="E1565" s="5">
        <f>IF('Journal'!D784="","",IFERROR(INDEX('Kontoplan'!$B$3:$B$302,MATCH('Journal'!D784,'Kontoplan'!$H$3:$H$302,0)),""))</f>
        <v/>
      </c>
      <c r="F1565" s="20">
        <f>IF('Journal'!G784="","",'Journal'!G784)</f>
        <v/>
      </c>
      <c r="G1565" s="20">
        <f>IF('Journal'!F784="","",'Journal'!F784)</f>
        <v/>
      </c>
      <c r="H1565" s="5">
        <f>IF('Journal'!I784="","",'Journal'!I784)</f>
        <v/>
      </c>
    </row>
    <row r="1566">
      <c r="A1566" s="18">
        <f>IF('Journal'!A784="","",'Journal'!A784)</f>
        <v/>
      </c>
      <c r="B1566" s="21">
        <f>IF('Journal'!B784="","",'Journal'!B784)</f>
        <v/>
      </c>
      <c r="C1566" s="5">
        <f>IF('Journal'!C784="","",'Journal'!C784)</f>
        <v/>
      </c>
      <c r="D1566" s="5">
        <f>IF('Journal'!E784="","",IFERROR(LEFT('Journal'!E784,FIND(" ",'Journal'!E784)-1),'Journal'!E784))</f>
        <v/>
      </c>
      <c r="E1566" s="5">
        <f>IF('Journal'!E784="","",IFERROR(INDEX('Kontoplan'!$B$3:$B$302,MATCH('Journal'!E784,'Kontoplan'!$H$3:$H$302,0)),""))</f>
        <v/>
      </c>
      <c r="F1566" s="20">
        <f>IF('Journal'!F784="","",'Journal'!F784)</f>
        <v/>
      </c>
      <c r="G1566" s="20">
        <f>IF('Journal'!G784="","",'Journal'!G784)</f>
        <v/>
      </c>
      <c r="H1566" s="5">
        <f>IF('Journal'!I784="","",'Journal'!I784)</f>
        <v/>
      </c>
    </row>
    <row r="1567">
      <c r="A1567" s="18">
        <f>IF('Journal'!A785="","",'Journal'!A785)</f>
        <v/>
      </c>
      <c r="B1567" s="21">
        <f>IF('Journal'!B785="","",'Journal'!B785)</f>
        <v/>
      </c>
      <c r="C1567" s="5">
        <f>IF('Journal'!C785="","",'Journal'!C785)</f>
        <v/>
      </c>
      <c r="D1567" s="5">
        <f>IF('Journal'!D785="","",IFERROR(LEFT('Journal'!D785,FIND(" ",'Journal'!D785)-1),'Journal'!D785))</f>
        <v/>
      </c>
      <c r="E1567" s="5">
        <f>IF('Journal'!D785="","",IFERROR(INDEX('Kontoplan'!$B$3:$B$302,MATCH('Journal'!D785,'Kontoplan'!$H$3:$H$302,0)),""))</f>
        <v/>
      </c>
      <c r="F1567" s="20">
        <f>IF('Journal'!G785="","",'Journal'!G785)</f>
        <v/>
      </c>
      <c r="G1567" s="20">
        <f>IF('Journal'!F785="","",'Journal'!F785)</f>
        <v/>
      </c>
      <c r="H1567" s="5">
        <f>IF('Journal'!I785="","",'Journal'!I785)</f>
        <v/>
      </c>
    </row>
    <row r="1568">
      <c r="A1568" s="18">
        <f>IF('Journal'!A785="","",'Journal'!A785)</f>
        <v/>
      </c>
      <c r="B1568" s="21">
        <f>IF('Journal'!B785="","",'Journal'!B785)</f>
        <v/>
      </c>
      <c r="C1568" s="5">
        <f>IF('Journal'!C785="","",'Journal'!C785)</f>
        <v/>
      </c>
      <c r="D1568" s="5">
        <f>IF('Journal'!E785="","",IFERROR(LEFT('Journal'!E785,FIND(" ",'Journal'!E785)-1),'Journal'!E785))</f>
        <v/>
      </c>
      <c r="E1568" s="5">
        <f>IF('Journal'!E785="","",IFERROR(INDEX('Kontoplan'!$B$3:$B$302,MATCH('Journal'!E785,'Kontoplan'!$H$3:$H$302,0)),""))</f>
        <v/>
      </c>
      <c r="F1568" s="20">
        <f>IF('Journal'!F785="","",'Journal'!F785)</f>
        <v/>
      </c>
      <c r="G1568" s="20">
        <f>IF('Journal'!G785="","",'Journal'!G785)</f>
        <v/>
      </c>
      <c r="H1568" s="5">
        <f>IF('Journal'!I785="","",'Journal'!I785)</f>
        <v/>
      </c>
    </row>
    <row r="1569">
      <c r="A1569" s="18">
        <f>IF('Journal'!A786="","",'Journal'!A786)</f>
        <v/>
      </c>
      <c r="B1569" s="21">
        <f>IF('Journal'!B786="","",'Journal'!B786)</f>
        <v/>
      </c>
      <c r="C1569" s="5">
        <f>IF('Journal'!C786="","",'Journal'!C786)</f>
        <v/>
      </c>
      <c r="D1569" s="5">
        <f>IF('Journal'!D786="","",IFERROR(LEFT('Journal'!D786,FIND(" ",'Journal'!D786)-1),'Journal'!D786))</f>
        <v/>
      </c>
      <c r="E1569" s="5">
        <f>IF('Journal'!D786="","",IFERROR(INDEX('Kontoplan'!$B$3:$B$302,MATCH('Journal'!D786,'Kontoplan'!$H$3:$H$302,0)),""))</f>
        <v/>
      </c>
      <c r="F1569" s="20">
        <f>IF('Journal'!G786="","",'Journal'!G786)</f>
        <v/>
      </c>
      <c r="G1569" s="20">
        <f>IF('Journal'!F786="","",'Journal'!F786)</f>
        <v/>
      </c>
      <c r="H1569" s="5">
        <f>IF('Journal'!I786="","",'Journal'!I786)</f>
        <v/>
      </c>
    </row>
    <row r="1570">
      <c r="A1570" s="18">
        <f>IF('Journal'!A786="","",'Journal'!A786)</f>
        <v/>
      </c>
      <c r="B1570" s="21">
        <f>IF('Journal'!B786="","",'Journal'!B786)</f>
        <v/>
      </c>
      <c r="C1570" s="5">
        <f>IF('Journal'!C786="","",'Journal'!C786)</f>
        <v/>
      </c>
      <c r="D1570" s="5">
        <f>IF('Journal'!E786="","",IFERROR(LEFT('Journal'!E786,FIND(" ",'Journal'!E786)-1),'Journal'!E786))</f>
        <v/>
      </c>
      <c r="E1570" s="5">
        <f>IF('Journal'!E786="","",IFERROR(INDEX('Kontoplan'!$B$3:$B$302,MATCH('Journal'!E786,'Kontoplan'!$H$3:$H$302,0)),""))</f>
        <v/>
      </c>
      <c r="F1570" s="20">
        <f>IF('Journal'!F786="","",'Journal'!F786)</f>
        <v/>
      </c>
      <c r="G1570" s="20">
        <f>IF('Journal'!G786="","",'Journal'!G786)</f>
        <v/>
      </c>
      <c r="H1570" s="5">
        <f>IF('Journal'!I786="","",'Journal'!I786)</f>
        <v/>
      </c>
    </row>
    <row r="1571">
      <c r="A1571" s="18">
        <f>IF('Journal'!A787="","",'Journal'!A787)</f>
        <v/>
      </c>
      <c r="B1571" s="21">
        <f>IF('Journal'!B787="","",'Journal'!B787)</f>
        <v/>
      </c>
      <c r="C1571" s="5">
        <f>IF('Journal'!C787="","",'Journal'!C787)</f>
        <v/>
      </c>
      <c r="D1571" s="5">
        <f>IF('Journal'!D787="","",IFERROR(LEFT('Journal'!D787,FIND(" ",'Journal'!D787)-1),'Journal'!D787))</f>
        <v/>
      </c>
      <c r="E1571" s="5">
        <f>IF('Journal'!D787="","",IFERROR(INDEX('Kontoplan'!$B$3:$B$302,MATCH('Journal'!D787,'Kontoplan'!$H$3:$H$302,0)),""))</f>
        <v/>
      </c>
      <c r="F1571" s="20">
        <f>IF('Journal'!G787="","",'Journal'!G787)</f>
        <v/>
      </c>
      <c r="G1571" s="20">
        <f>IF('Journal'!F787="","",'Journal'!F787)</f>
        <v/>
      </c>
      <c r="H1571" s="5">
        <f>IF('Journal'!I787="","",'Journal'!I787)</f>
        <v/>
      </c>
    </row>
    <row r="1572">
      <c r="A1572" s="18">
        <f>IF('Journal'!A787="","",'Journal'!A787)</f>
        <v/>
      </c>
      <c r="B1572" s="21">
        <f>IF('Journal'!B787="","",'Journal'!B787)</f>
        <v/>
      </c>
      <c r="C1572" s="5">
        <f>IF('Journal'!C787="","",'Journal'!C787)</f>
        <v/>
      </c>
      <c r="D1572" s="5">
        <f>IF('Journal'!E787="","",IFERROR(LEFT('Journal'!E787,FIND(" ",'Journal'!E787)-1),'Journal'!E787))</f>
        <v/>
      </c>
      <c r="E1572" s="5">
        <f>IF('Journal'!E787="","",IFERROR(INDEX('Kontoplan'!$B$3:$B$302,MATCH('Journal'!E787,'Kontoplan'!$H$3:$H$302,0)),""))</f>
        <v/>
      </c>
      <c r="F1572" s="20">
        <f>IF('Journal'!F787="","",'Journal'!F787)</f>
        <v/>
      </c>
      <c r="G1572" s="20">
        <f>IF('Journal'!G787="","",'Journal'!G787)</f>
        <v/>
      </c>
      <c r="H1572" s="5">
        <f>IF('Journal'!I787="","",'Journal'!I787)</f>
        <v/>
      </c>
    </row>
    <row r="1573">
      <c r="A1573" s="18">
        <f>IF('Journal'!A788="","",'Journal'!A788)</f>
        <v/>
      </c>
      <c r="B1573" s="21">
        <f>IF('Journal'!B788="","",'Journal'!B788)</f>
        <v/>
      </c>
      <c r="C1573" s="5">
        <f>IF('Journal'!C788="","",'Journal'!C788)</f>
        <v/>
      </c>
      <c r="D1573" s="5">
        <f>IF('Journal'!D788="","",IFERROR(LEFT('Journal'!D788,FIND(" ",'Journal'!D788)-1),'Journal'!D788))</f>
        <v/>
      </c>
      <c r="E1573" s="5">
        <f>IF('Journal'!D788="","",IFERROR(INDEX('Kontoplan'!$B$3:$B$302,MATCH('Journal'!D788,'Kontoplan'!$H$3:$H$302,0)),""))</f>
        <v/>
      </c>
      <c r="F1573" s="20">
        <f>IF('Journal'!G788="","",'Journal'!G788)</f>
        <v/>
      </c>
      <c r="G1573" s="20">
        <f>IF('Journal'!F788="","",'Journal'!F788)</f>
        <v/>
      </c>
      <c r="H1573" s="5">
        <f>IF('Journal'!I788="","",'Journal'!I788)</f>
        <v/>
      </c>
    </row>
    <row r="1574">
      <c r="A1574" s="18">
        <f>IF('Journal'!A788="","",'Journal'!A788)</f>
        <v/>
      </c>
      <c r="B1574" s="21">
        <f>IF('Journal'!B788="","",'Journal'!B788)</f>
        <v/>
      </c>
      <c r="C1574" s="5">
        <f>IF('Journal'!C788="","",'Journal'!C788)</f>
        <v/>
      </c>
      <c r="D1574" s="5">
        <f>IF('Journal'!E788="","",IFERROR(LEFT('Journal'!E788,FIND(" ",'Journal'!E788)-1),'Journal'!E788))</f>
        <v/>
      </c>
      <c r="E1574" s="5">
        <f>IF('Journal'!E788="","",IFERROR(INDEX('Kontoplan'!$B$3:$B$302,MATCH('Journal'!E788,'Kontoplan'!$H$3:$H$302,0)),""))</f>
        <v/>
      </c>
      <c r="F1574" s="20">
        <f>IF('Journal'!F788="","",'Journal'!F788)</f>
        <v/>
      </c>
      <c r="G1574" s="20">
        <f>IF('Journal'!G788="","",'Journal'!G788)</f>
        <v/>
      </c>
      <c r="H1574" s="5">
        <f>IF('Journal'!I788="","",'Journal'!I788)</f>
        <v/>
      </c>
    </row>
    <row r="1575">
      <c r="A1575" s="18">
        <f>IF('Journal'!A789="","",'Journal'!A789)</f>
        <v/>
      </c>
      <c r="B1575" s="21">
        <f>IF('Journal'!B789="","",'Journal'!B789)</f>
        <v/>
      </c>
      <c r="C1575" s="5">
        <f>IF('Journal'!C789="","",'Journal'!C789)</f>
        <v/>
      </c>
      <c r="D1575" s="5">
        <f>IF('Journal'!D789="","",IFERROR(LEFT('Journal'!D789,FIND(" ",'Journal'!D789)-1),'Journal'!D789))</f>
        <v/>
      </c>
      <c r="E1575" s="5">
        <f>IF('Journal'!D789="","",IFERROR(INDEX('Kontoplan'!$B$3:$B$302,MATCH('Journal'!D789,'Kontoplan'!$H$3:$H$302,0)),""))</f>
        <v/>
      </c>
      <c r="F1575" s="20">
        <f>IF('Journal'!G789="","",'Journal'!G789)</f>
        <v/>
      </c>
      <c r="G1575" s="20">
        <f>IF('Journal'!F789="","",'Journal'!F789)</f>
        <v/>
      </c>
      <c r="H1575" s="5">
        <f>IF('Journal'!I789="","",'Journal'!I789)</f>
        <v/>
      </c>
    </row>
    <row r="1576">
      <c r="A1576" s="18">
        <f>IF('Journal'!A789="","",'Journal'!A789)</f>
        <v/>
      </c>
      <c r="B1576" s="21">
        <f>IF('Journal'!B789="","",'Journal'!B789)</f>
        <v/>
      </c>
      <c r="C1576" s="5">
        <f>IF('Journal'!C789="","",'Journal'!C789)</f>
        <v/>
      </c>
      <c r="D1576" s="5">
        <f>IF('Journal'!E789="","",IFERROR(LEFT('Journal'!E789,FIND(" ",'Journal'!E789)-1),'Journal'!E789))</f>
        <v/>
      </c>
      <c r="E1576" s="5">
        <f>IF('Journal'!E789="","",IFERROR(INDEX('Kontoplan'!$B$3:$B$302,MATCH('Journal'!E789,'Kontoplan'!$H$3:$H$302,0)),""))</f>
        <v/>
      </c>
      <c r="F1576" s="20">
        <f>IF('Journal'!F789="","",'Journal'!F789)</f>
        <v/>
      </c>
      <c r="G1576" s="20">
        <f>IF('Journal'!G789="","",'Journal'!G789)</f>
        <v/>
      </c>
      <c r="H1576" s="5">
        <f>IF('Journal'!I789="","",'Journal'!I789)</f>
        <v/>
      </c>
    </row>
    <row r="1577">
      <c r="A1577" s="18">
        <f>IF('Journal'!A790="","",'Journal'!A790)</f>
        <v/>
      </c>
      <c r="B1577" s="21">
        <f>IF('Journal'!B790="","",'Journal'!B790)</f>
        <v/>
      </c>
      <c r="C1577" s="5">
        <f>IF('Journal'!C790="","",'Journal'!C790)</f>
        <v/>
      </c>
      <c r="D1577" s="5">
        <f>IF('Journal'!D790="","",IFERROR(LEFT('Journal'!D790,FIND(" ",'Journal'!D790)-1),'Journal'!D790))</f>
        <v/>
      </c>
      <c r="E1577" s="5">
        <f>IF('Journal'!D790="","",IFERROR(INDEX('Kontoplan'!$B$3:$B$302,MATCH('Journal'!D790,'Kontoplan'!$H$3:$H$302,0)),""))</f>
        <v/>
      </c>
      <c r="F1577" s="20">
        <f>IF('Journal'!G790="","",'Journal'!G790)</f>
        <v/>
      </c>
      <c r="G1577" s="20">
        <f>IF('Journal'!F790="","",'Journal'!F790)</f>
        <v/>
      </c>
      <c r="H1577" s="5">
        <f>IF('Journal'!I790="","",'Journal'!I790)</f>
        <v/>
      </c>
    </row>
    <row r="1578">
      <c r="A1578" s="18">
        <f>IF('Journal'!A790="","",'Journal'!A790)</f>
        <v/>
      </c>
      <c r="B1578" s="21">
        <f>IF('Journal'!B790="","",'Journal'!B790)</f>
        <v/>
      </c>
      <c r="C1578" s="5">
        <f>IF('Journal'!C790="","",'Journal'!C790)</f>
        <v/>
      </c>
      <c r="D1578" s="5">
        <f>IF('Journal'!E790="","",IFERROR(LEFT('Journal'!E790,FIND(" ",'Journal'!E790)-1),'Journal'!E790))</f>
        <v/>
      </c>
      <c r="E1578" s="5">
        <f>IF('Journal'!E790="","",IFERROR(INDEX('Kontoplan'!$B$3:$B$302,MATCH('Journal'!E790,'Kontoplan'!$H$3:$H$302,0)),""))</f>
        <v/>
      </c>
      <c r="F1578" s="20">
        <f>IF('Journal'!F790="","",'Journal'!F790)</f>
        <v/>
      </c>
      <c r="G1578" s="20">
        <f>IF('Journal'!G790="","",'Journal'!G790)</f>
        <v/>
      </c>
      <c r="H1578" s="5">
        <f>IF('Journal'!I790="","",'Journal'!I790)</f>
        <v/>
      </c>
    </row>
    <row r="1579">
      <c r="A1579" s="18">
        <f>IF('Journal'!A791="","",'Journal'!A791)</f>
        <v/>
      </c>
      <c r="B1579" s="21">
        <f>IF('Journal'!B791="","",'Journal'!B791)</f>
        <v/>
      </c>
      <c r="C1579" s="5">
        <f>IF('Journal'!C791="","",'Journal'!C791)</f>
        <v/>
      </c>
      <c r="D1579" s="5">
        <f>IF('Journal'!D791="","",IFERROR(LEFT('Journal'!D791,FIND(" ",'Journal'!D791)-1),'Journal'!D791))</f>
        <v/>
      </c>
      <c r="E1579" s="5">
        <f>IF('Journal'!D791="","",IFERROR(INDEX('Kontoplan'!$B$3:$B$302,MATCH('Journal'!D791,'Kontoplan'!$H$3:$H$302,0)),""))</f>
        <v/>
      </c>
      <c r="F1579" s="20">
        <f>IF('Journal'!G791="","",'Journal'!G791)</f>
        <v/>
      </c>
      <c r="G1579" s="20">
        <f>IF('Journal'!F791="","",'Journal'!F791)</f>
        <v/>
      </c>
      <c r="H1579" s="5">
        <f>IF('Journal'!I791="","",'Journal'!I791)</f>
        <v/>
      </c>
    </row>
    <row r="1580">
      <c r="A1580" s="18">
        <f>IF('Journal'!A791="","",'Journal'!A791)</f>
        <v/>
      </c>
      <c r="B1580" s="21">
        <f>IF('Journal'!B791="","",'Journal'!B791)</f>
        <v/>
      </c>
      <c r="C1580" s="5">
        <f>IF('Journal'!C791="","",'Journal'!C791)</f>
        <v/>
      </c>
      <c r="D1580" s="5">
        <f>IF('Journal'!E791="","",IFERROR(LEFT('Journal'!E791,FIND(" ",'Journal'!E791)-1),'Journal'!E791))</f>
        <v/>
      </c>
      <c r="E1580" s="5">
        <f>IF('Journal'!E791="","",IFERROR(INDEX('Kontoplan'!$B$3:$B$302,MATCH('Journal'!E791,'Kontoplan'!$H$3:$H$302,0)),""))</f>
        <v/>
      </c>
      <c r="F1580" s="20">
        <f>IF('Journal'!F791="","",'Journal'!F791)</f>
        <v/>
      </c>
      <c r="G1580" s="20">
        <f>IF('Journal'!G791="","",'Journal'!G791)</f>
        <v/>
      </c>
      <c r="H1580" s="5">
        <f>IF('Journal'!I791="","",'Journal'!I791)</f>
        <v/>
      </c>
    </row>
    <row r="1581">
      <c r="A1581" s="18">
        <f>IF('Journal'!A792="","",'Journal'!A792)</f>
        <v/>
      </c>
      <c r="B1581" s="21">
        <f>IF('Journal'!B792="","",'Journal'!B792)</f>
        <v/>
      </c>
      <c r="C1581" s="5">
        <f>IF('Journal'!C792="","",'Journal'!C792)</f>
        <v/>
      </c>
      <c r="D1581" s="5">
        <f>IF('Journal'!D792="","",IFERROR(LEFT('Journal'!D792,FIND(" ",'Journal'!D792)-1),'Journal'!D792))</f>
        <v/>
      </c>
      <c r="E1581" s="5">
        <f>IF('Journal'!D792="","",IFERROR(INDEX('Kontoplan'!$B$3:$B$302,MATCH('Journal'!D792,'Kontoplan'!$H$3:$H$302,0)),""))</f>
        <v/>
      </c>
      <c r="F1581" s="20">
        <f>IF('Journal'!G792="","",'Journal'!G792)</f>
        <v/>
      </c>
      <c r="G1581" s="20">
        <f>IF('Journal'!F792="","",'Journal'!F792)</f>
        <v/>
      </c>
      <c r="H1581" s="5">
        <f>IF('Journal'!I792="","",'Journal'!I792)</f>
        <v/>
      </c>
    </row>
    <row r="1582">
      <c r="A1582" s="18">
        <f>IF('Journal'!A792="","",'Journal'!A792)</f>
        <v/>
      </c>
      <c r="B1582" s="21">
        <f>IF('Journal'!B792="","",'Journal'!B792)</f>
        <v/>
      </c>
      <c r="C1582" s="5">
        <f>IF('Journal'!C792="","",'Journal'!C792)</f>
        <v/>
      </c>
      <c r="D1582" s="5">
        <f>IF('Journal'!E792="","",IFERROR(LEFT('Journal'!E792,FIND(" ",'Journal'!E792)-1),'Journal'!E792))</f>
        <v/>
      </c>
      <c r="E1582" s="5">
        <f>IF('Journal'!E792="","",IFERROR(INDEX('Kontoplan'!$B$3:$B$302,MATCH('Journal'!E792,'Kontoplan'!$H$3:$H$302,0)),""))</f>
        <v/>
      </c>
      <c r="F1582" s="20">
        <f>IF('Journal'!F792="","",'Journal'!F792)</f>
        <v/>
      </c>
      <c r="G1582" s="20">
        <f>IF('Journal'!G792="","",'Journal'!G792)</f>
        <v/>
      </c>
      <c r="H1582" s="5">
        <f>IF('Journal'!I792="","",'Journal'!I792)</f>
        <v/>
      </c>
    </row>
    <row r="1583">
      <c r="A1583" s="18">
        <f>IF('Journal'!A793="","",'Journal'!A793)</f>
        <v/>
      </c>
      <c r="B1583" s="21">
        <f>IF('Journal'!B793="","",'Journal'!B793)</f>
        <v/>
      </c>
      <c r="C1583" s="5">
        <f>IF('Journal'!C793="","",'Journal'!C793)</f>
        <v/>
      </c>
      <c r="D1583" s="5">
        <f>IF('Journal'!D793="","",IFERROR(LEFT('Journal'!D793,FIND(" ",'Journal'!D793)-1),'Journal'!D793))</f>
        <v/>
      </c>
      <c r="E1583" s="5">
        <f>IF('Journal'!D793="","",IFERROR(INDEX('Kontoplan'!$B$3:$B$302,MATCH('Journal'!D793,'Kontoplan'!$H$3:$H$302,0)),""))</f>
        <v/>
      </c>
      <c r="F1583" s="20">
        <f>IF('Journal'!G793="","",'Journal'!G793)</f>
        <v/>
      </c>
      <c r="G1583" s="20">
        <f>IF('Journal'!F793="","",'Journal'!F793)</f>
        <v/>
      </c>
      <c r="H1583" s="5">
        <f>IF('Journal'!I793="","",'Journal'!I793)</f>
        <v/>
      </c>
    </row>
    <row r="1584">
      <c r="A1584" s="18">
        <f>IF('Journal'!A793="","",'Journal'!A793)</f>
        <v/>
      </c>
      <c r="B1584" s="21">
        <f>IF('Journal'!B793="","",'Journal'!B793)</f>
        <v/>
      </c>
      <c r="C1584" s="5">
        <f>IF('Journal'!C793="","",'Journal'!C793)</f>
        <v/>
      </c>
      <c r="D1584" s="5">
        <f>IF('Journal'!E793="","",IFERROR(LEFT('Journal'!E793,FIND(" ",'Journal'!E793)-1),'Journal'!E793))</f>
        <v/>
      </c>
      <c r="E1584" s="5">
        <f>IF('Journal'!E793="","",IFERROR(INDEX('Kontoplan'!$B$3:$B$302,MATCH('Journal'!E793,'Kontoplan'!$H$3:$H$302,0)),""))</f>
        <v/>
      </c>
      <c r="F1584" s="20">
        <f>IF('Journal'!F793="","",'Journal'!F793)</f>
        <v/>
      </c>
      <c r="G1584" s="20">
        <f>IF('Journal'!G793="","",'Journal'!G793)</f>
        <v/>
      </c>
      <c r="H1584" s="5">
        <f>IF('Journal'!I793="","",'Journal'!I793)</f>
        <v/>
      </c>
    </row>
    <row r="1585">
      <c r="A1585" s="18">
        <f>IF('Journal'!A794="","",'Journal'!A794)</f>
        <v/>
      </c>
      <c r="B1585" s="21">
        <f>IF('Journal'!B794="","",'Journal'!B794)</f>
        <v/>
      </c>
      <c r="C1585" s="5">
        <f>IF('Journal'!C794="","",'Journal'!C794)</f>
        <v/>
      </c>
      <c r="D1585" s="5">
        <f>IF('Journal'!D794="","",IFERROR(LEFT('Journal'!D794,FIND(" ",'Journal'!D794)-1),'Journal'!D794))</f>
        <v/>
      </c>
      <c r="E1585" s="5">
        <f>IF('Journal'!D794="","",IFERROR(INDEX('Kontoplan'!$B$3:$B$302,MATCH('Journal'!D794,'Kontoplan'!$H$3:$H$302,0)),""))</f>
        <v/>
      </c>
      <c r="F1585" s="20">
        <f>IF('Journal'!G794="","",'Journal'!G794)</f>
        <v/>
      </c>
      <c r="G1585" s="20">
        <f>IF('Journal'!F794="","",'Journal'!F794)</f>
        <v/>
      </c>
      <c r="H1585" s="5">
        <f>IF('Journal'!I794="","",'Journal'!I794)</f>
        <v/>
      </c>
    </row>
    <row r="1586">
      <c r="A1586" s="18">
        <f>IF('Journal'!A794="","",'Journal'!A794)</f>
        <v/>
      </c>
      <c r="B1586" s="21">
        <f>IF('Journal'!B794="","",'Journal'!B794)</f>
        <v/>
      </c>
      <c r="C1586" s="5">
        <f>IF('Journal'!C794="","",'Journal'!C794)</f>
        <v/>
      </c>
      <c r="D1586" s="5">
        <f>IF('Journal'!E794="","",IFERROR(LEFT('Journal'!E794,FIND(" ",'Journal'!E794)-1),'Journal'!E794))</f>
        <v/>
      </c>
      <c r="E1586" s="5">
        <f>IF('Journal'!E794="","",IFERROR(INDEX('Kontoplan'!$B$3:$B$302,MATCH('Journal'!E794,'Kontoplan'!$H$3:$H$302,0)),""))</f>
        <v/>
      </c>
      <c r="F1586" s="20">
        <f>IF('Journal'!F794="","",'Journal'!F794)</f>
        <v/>
      </c>
      <c r="G1586" s="20">
        <f>IF('Journal'!G794="","",'Journal'!G794)</f>
        <v/>
      </c>
      <c r="H1586" s="5">
        <f>IF('Journal'!I794="","",'Journal'!I794)</f>
        <v/>
      </c>
    </row>
    <row r="1587">
      <c r="A1587" s="18">
        <f>IF('Journal'!A795="","",'Journal'!A795)</f>
        <v/>
      </c>
      <c r="B1587" s="21">
        <f>IF('Journal'!B795="","",'Journal'!B795)</f>
        <v/>
      </c>
      <c r="C1587" s="5">
        <f>IF('Journal'!C795="","",'Journal'!C795)</f>
        <v/>
      </c>
      <c r="D1587" s="5">
        <f>IF('Journal'!D795="","",IFERROR(LEFT('Journal'!D795,FIND(" ",'Journal'!D795)-1),'Journal'!D795))</f>
        <v/>
      </c>
      <c r="E1587" s="5">
        <f>IF('Journal'!D795="","",IFERROR(INDEX('Kontoplan'!$B$3:$B$302,MATCH('Journal'!D795,'Kontoplan'!$H$3:$H$302,0)),""))</f>
        <v/>
      </c>
      <c r="F1587" s="20">
        <f>IF('Journal'!G795="","",'Journal'!G795)</f>
        <v/>
      </c>
      <c r="G1587" s="20">
        <f>IF('Journal'!F795="","",'Journal'!F795)</f>
        <v/>
      </c>
      <c r="H1587" s="5">
        <f>IF('Journal'!I795="","",'Journal'!I795)</f>
        <v/>
      </c>
    </row>
    <row r="1588">
      <c r="A1588" s="18">
        <f>IF('Journal'!A795="","",'Journal'!A795)</f>
        <v/>
      </c>
      <c r="B1588" s="21">
        <f>IF('Journal'!B795="","",'Journal'!B795)</f>
        <v/>
      </c>
      <c r="C1588" s="5">
        <f>IF('Journal'!C795="","",'Journal'!C795)</f>
        <v/>
      </c>
      <c r="D1588" s="5">
        <f>IF('Journal'!E795="","",IFERROR(LEFT('Journal'!E795,FIND(" ",'Journal'!E795)-1),'Journal'!E795))</f>
        <v/>
      </c>
      <c r="E1588" s="5">
        <f>IF('Journal'!E795="","",IFERROR(INDEX('Kontoplan'!$B$3:$B$302,MATCH('Journal'!E795,'Kontoplan'!$H$3:$H$302,0)),""))</f>
        <v/>
      </c>
      <c r="F1588" s="20">
        <f>IF('Journal'!F795="","",'Journal'!F795)</f>
        <v/>
      </c>
      <c r="G1588" s="20">
        <f>IF('Journal'!G795="","",'Journal'!G795)</f>
        <v/>
      </c>
      <c r="H1588" s="5">
        <f>IF('Journal'!I795="","",'Journal'!I795)</f>
        <v/>
      </c>
    </row>
    <row r="1589">
      <c r="A1589" s="18">
        <f>IF('Journal'!A796="","",'Journal'!A796)</f>
        <v/>
      </c>
      <c r="B1589" s="21">
        <f>IF('Journal'!B796="","",'Journal'!B796)</f>
        <v/>
      </c>
      <c r="C1589" s="5">
        <f>IF('Journal'!C796="","",'Journal'!C796)</f>
        <v/>
      </c>
      <c r="D1589" s="5">
        <f>IF('Journal'!D796="","",IFERROR(LEFT('Journal'!D796,FIND(" ",'Journal'!D796)-1),'Journal'!D796))</f>
        <v/>
      </c>
      <c r="E1589" s="5">
        <f>IF('Journal'!D796="","",IFERROR(INDEX('Kontoplan'!$B$3:$B$302,MATCH('Journal'!D796,'Kontoplan'!$H$3:$H$302,0)),""))</f>
        <v/>
      </c>
      <c r="F1589" s="20">
        <f>IF('Journal'!G796="","",'Journal'!G796)</f>
        <v/>
      </c>
      <c r="G1589" s="20">
        <f>IF('Journal'!F796="","",'Journal'!F796)</f>
        <v/>
      </c>
      <c r="H1589" s="5">
        <f>IF('Journal'!I796="","",'Journal'!I796)</f>
        <v/>
      </c>
    </row>
    <row r="1590">
      <c r="A1590" s="18">
        <f>IF('Journal'!A796="","",'Journal'!A796)</f>
        <v/>
      </c>
      <c r="B1590" s="21">
        <f>IF('Journal'!B796="","",'Journal'!B796)</f>
        <v/>
      </c>
      <c r="C1590" s="5">
        <f>IF('Journal'!C796="","",'Journal'!C796)</f>
        <v/>
      </c>
      <c r="D1590" s="5">
        <f>IF('Journal'!E796="","",IFERROR(LEFT('Journal'!E796,FIND(" ",'Journal'!E796)-1),'Journal'!E796))</f>
        <v/>
      </c>
      <c r="E1590" s="5">
        <f>IF('Journal'!E796="","",IFERROR(INDEX('Kontoplan'!$B$3:$B$302,MATCH('Journal'!E796,'Kontoplan'!$H$3:$H$302,0)),""))</f>
        <v/>
      </c>
      <c r="F1590" s="20">
        <f>IF('Journal'!F796="","",'Journal'!F796)</f>
        <v/>
      </c>
      <c r="G1590" s="20">
        <f>IF('Journal'!G796="","",'Journal'!G796)</f>
        <v/>
      </c>
      <c r="H1590" s="5">
        <f>IF('Journal'!I796="","",'Journal'!I796)</f>
        <v/>
      </c>
    </row>
    <row r="1591">
      <c r="A1591" s="18">
        <f>IF('Journal'!A797="","",'Journal'!A797)</f>
        <v/>
      </c>
      <c r="B1591" s="21">
        <f>IF('Journal'!B797="","",'Journal'!B797)</f>
        <v/>
      </c>
      <c r="C1591" s="5">
        <f>IF('Journal'!C797="","",'Journal'!C797)</f>
        <v/>
      </c>
      <c r="D1591" s="5">
        <f>IF('Journal'!D797="","",IFERROR(LEFT('Journal'!D797,FIND(" ",'Journal'!D797)-1),'Journal'!D797))</f>
        <v/>
      </c>
      <c r="E1591" s="5">
        <f>IF('Journal'!D797="","",IFERROR(INDEX('Kontoplan'!$B$3:$B$302,MATCH('Journal'!D797,'Kontoplan'!$H$3:$H$302,0)),""))</f>
        <v/>
      </c>
      <c r="F1591" s="20">
        <f>IF('Journal'!G797="","",'Journal'!G797)</f>
        <v/>
      </c>
      <c r="G1591" s="20">
        <f>IF('Journal'!F797="","",'Journal'!F797)</f>
        <v/>
      </c>
      <c r="H1591" s="5">
        <f>IF('Journal'!I797="","",'Journal'!I797)</f>
        <v/>
      </c>
    </row>
    <row r="1592">
      <c r="A1592" s="18">
        <f>IF('Journal'!A797="","",'Journal'!A797)</f>
        <v/>
      </c>
      <c r="B1592" s="21">
        <f>IF('Journal'!B797="","",'Journal'!B797)</f>
        <v/>
      </c>
      <c r="C1592" s="5">
        <f>IF('Journal'!C797="","",'Journal'!C797)</f>
        <v/>
      </c>
      <c r="D1592" s="5">
        <f>IF('Journal'!E797="","",IFERROR(LEFT('Journal'!E797,FIND(" ",'Journal'!E797)-1),'Journal'!E797))</f>
        <v/>
      </c>
      <c r="E1592" s="5">
        <f>IF('Journal'!E797="","",IFERROR(INDEX('Kontoplan'!$B$3:$B$302,MATCH('Journal'!E797,'Kontoplan'!$H$3:$H$302,0)),""))</f>
        <v/>
      </c>
      <c r="F1592" s="20">
        <f>IF('Journal'!F797="","",'Journal'!F797)</f>
        <v/>
      </c>
      <c r="G1592" s="20">
        <f>IF('Journal'!G797="","",'Journal'!G797)</f>
        <v/>
      </c>
      <c r="H1592" s="5">
        <f>IF('Journal'!I797="","",'Journal'!I797)</f>
        <v/>
      </c>
    </row>
    <row r="1593">
      <c r="A1593" s="18">
        <f>IF('Journal'!A798="","",'Journal'!A798)</f>
        <v/>
      </c>
      <c r="B1593" s="21">
        <f>IF('Journal'!B798="","",'Journal'!B798)</f>
        <v/>
      </c>
      <c r="C1593" s="5">
        <f>IF('Journal'!C798="","",'Journal'!C798)</f>
        <v/>
      </c>
      <c r="D1593" s="5">
        <f>IF('Journal'!D798="","",IFERROR(LEFT('Journal'!D798,FIND(" ",'Journal'!D798)-1),'Journal'!D798))</f>
        <v/>
      </c>
      <c r="E1593" s="5">
        <f>IF('Journal'!D798="","",IFERROR(INDEX('Kontoplan'!$B$3:$B$302,MATCH('Journal'!D798,'Kontoplan'!$H$3:$H$302,0)),""))</f>
        <v/>
      </c>
      <c r="F1593" s="20">
        <f>IF('Journal'!G798="","",'Journal'!G798)</f>
        <v/>
      </c>
      <c r="G1593" s="20">
        <f>IF('Journal'!F798="","",'Journal'!F798)</f>
        <v/>
      </c>
      <c r="H1593" s="5">
        <f>IF('Journal'!I798="","",'Journal'!I798)</f>
        <v/>
      </c>
    </row>
    <row r="1594">
      <c r="A1594" s="18">
        <f>IF('Journal'!A798="","",'Journal'!A798)</f>
        <v/>
      </c>
      <c r="B1594" s="21">
        <f>IF('Journal'!B798="","",'Journal'!B798)</f>
        <v/>
      </c>
      <c r="C1594" s="5">
        <f>IF('Journal'!C798="","",'Journal'!C798)</f>
        <v/>
      </c>
      <c r="D1594" s="5">
        <f>IF('Journal'!E798="","",IFERROR(LEFT('Journal'!E798,FIND(" ",'Journal'!E798)-1),'Journal'!E798))</f>
        <v/>
      </c>
      <c r="E1594" s="5">
        <f>IF('Journal'!E798="","",IFERROR(INDEX('Kontoplan'!$B$3:$B$302,MATCH('Journal'!E798,'Kontoplan'!$H$3:$H$302,0)),""))</f>
        <v/>
      </c>
      <c r="F1594" s="20">
        <f>IF('Journal'!F798="","",'Journal'!F798)</f>
        <v/>
      </c>
      <c r="G1594" s="20">
        <f>IF('Journal'!G798="","",'Journal'!G798)</f>
        <v/>
      </c>
      <c r="H1594" s="5">
        <f>IF('Journal'!I798="","",'Journal'!I798)</f>
        <v/>
      </c>
    </row>
    <row r="1595">
      <c r="A1595" s="18">
        <f>IF('Journal'!A799="","",'Journal'!A799)</f>
        <v/>
      </c>
      <c r="B1595" s="21">
        <f>IF('Journal'!B799="","",'Journal'!B799)</f>
        <v/>
      </c>
      <c r="C1595" s="5">
        <f>IF('Journal'!C799="","",'Journal'!C799)</f>
        <v/>
      </c>
      <c r="D1595" s="5">
        <f>IF('Journal'!D799="","",IFERROR(LEFT('Journal'!D799,FIND(" ",'Journal'!D799)-1),'Journal'!D799))</f>
        <v/>
      </c>
      <c r="E1595" s="5">
        <f>IF('Journal'!D799="","",IFERROR(INDEX('Kontoplan'!$B$3:$B$302,MATCH('Journal'!D799,'Kontoplan'!$H$3:$H$302,0)),""))</f>
        <v/>
      </c>
      <c r="F1595" s="20">
        <f>IF('Journal'!G799="","",'Journal'!G799)</f>
        <v/>
      </c>
      <c r="G1595" s="20">
        <f>IF('Journal'!F799="","",'Journal'!F799)</f>
        <v/>
      </c>
      <c r="H1595" s="5">
        <f>IF('Journal'!I799="","",'Journal'!I799)</f>
        <v/>
      </c>
    </row>
    <row r="1596">
      <c r="A1596" s="18">
        <f>IF('Journal'!A799="","",'Journal'!A799)</f>
        <v/>
      </c>
      <c r="B1596" s="21">
        <f>IF('Journal'!B799="","",'Journal'!B799)</f>
        <v/>
      </c>
      <c r="C1596" s="5">
        <f>IF('Journal'!C799="","",'Journal'!C799)</f>
        <v/>
      </c>
      <c r="D1596" s="5">
        <f>IF('Journal'!E799="","",IFERROR(LEFT('Journal'!E799,FIND(" ",'Journal'!E799)-1),'Journal'!E799))</f>
        <v/>
      </c>
      <c r="E1596" s="5">
        <f>IF('Journal'!E799="","",IFERROR(INDEX('Kontoplan'!$B$3:$B$302,MATCH('Journal'!E799,'Kontoplan'!$H$3:$H$302,0)),""))</f>
        <v/>
      </c>
      <c r="F1596" s="20">
        <f>IF('Journal'!F799="","",'Journal'!F799)</f>
        <v/>
      </c>
      <c r="G1596" s="20">
        <f>IF('Journal'!G799="","",'Journal'!G799)</f>
        <v/>
      </c>
      <c r="H1596" s="5">
        <f>IF('Journal'!I799="","",'Journal'!I799)</f>
        <v/>
      </c>
    </row>
    <row r="1597">
      <c r="A1597" s="18">
        <f>IF('Journal'!A800="","",'Journal'!A800)</f>
        <v/>
      </c>
      <c r="B1597" s="21">
        <f>IF('Journal'!B800="","",'Journal'!B800)</f>
        <v/>
      </c>
      <c r="C1597" s="5">
        <f>IF('Journal'!C800="","",'Journal'!C800)</f>
        <v/>
      </c>
      <c r="D1597" s="5">
        <f>IF('Journal'!D800="","",IFERROR(LEFT('Journal'!D800,FIND(" ",'Journal'!D800)-1),'Journal'!D800))</f>
        <v/>
      </c>
      <c r="E1597" s="5">
        <f>IF('Journal'!D800="","",IFERROR(INDEX('Kontoplan'!$B$3:$B$302,MATCH('Journal'!D800,'Kontoplan'!$H$3:$H$302,0)),""))</f>
        <v/>
      </c>
      <c r="F1597" s="20">
        <f>IF('Journal'!G800="","",'Journal'!G800)</f>
        <v/>
      </c>
      <c r="G1597" s="20">
        <f>IF('Journal'!F800="","",'Journal'!F800)</f>
        <v/>
      </c>
      <c r="H1597" s="5">
        <f>IF('Journal'!I800="","",'Journal'!I800)</f>
        <v/>
      </c>
    </row>
    <row r="1598">
      <c r="A1598" s="18">
        <f>IF('Journal'!A800="","",'Journal'!A800)</f>
        <v/>
      </c>
      <c r="B1598" s="21">
        <f>IF('Journal'!B800="","",'Journal'!B800)</f>
        <v/>
      </c>
      <c r="C1598" s="5">
        <f>IF('Journal'!C800="","",'Journal'!C800)</f>
        <v/>
      </c>
      <c r="D1598" s="5">
        <f>IF('Journal'!E800="","",IFERROR(LEFT('Journal'!E800,FIND(" ",'Journal'!E800)-1),'Journal'!E800))</f>
        <v/>
      </c>
      <c r="E1598" s="5">
        <f>IF('Journal'!E800="","",IFERROR(INDEX('Kontoplan'!$B$3:$B$302,MATCH('Journal'!E800,'Kontoplan'!$H$3:$H$302,0)),""))</f>
        <v/>
      </c>
      <c r="F1598" s="20">
        <f>IF('Journal'!F800="","",'Journal'!F800)</f>
        <v/>
      </c>
      <c r="G1598" s="20">
        <f>IF('Journal'!G800="","",'Journal'!G800)</f>
        <v/>
      </c>
      <c r="H1598" s="5">
        <f>IF('Journal'!I800="","",'Journal'!I800)</f>
        <v/>
      </c>
    </row>
    <row r="1599">
      <c r="A1599" s="18">
        <f>IF('Journal'!A801="","",'Journal'!A801)</f>
        <v/>
      </c>
      <c r="B1599" s="21">
        <f>IF('Journal'!B801="","",'Journal'!B801)</f>
        <v/>
      </c>
      <c r="C1599" s="5">
        <f>IF('Journal'!C801="","",'Journal'!C801)</f>
        <v/>
      </c>
      <c r="D1599" s="5">
        <f>IF('Journal'!D801="","",IFERROR(LEFT('Journal'!D801,FIND(" ",'Journal'!D801)-1),'Journal'!D801))</f>
        <v/>
      </c>
      <c r="E1599" s="5">
        <f>IF('Journal'!D801="","",IFERROR(INDEX('Kontoplan'!$B$3:$B$302,MATCH('Journal'!D801,'Kontoplan'!$H$3:$H$302,0)),""))</f>
        <v/>
      </c>
      <c r="F1599" s="20">
        <f>IF('Journal'!G801="","",'Journal'!G801)</f>
        <v/>
      </c>
      <c r="G1599" s="20">
        <f>IF('Journal'!F801="","",'Journal'!F801)</f>
        <v/>
      </c>
      <c r="H1599" s="5">
        <f>IF('Journal'!I801="","",'Journal'!I801)</f>
        <v/>
      </c>
    </row>
    <row r="1600">
      <c r="A1600" s="18">
        <f>IF('Journal'!A801="","",'Journal'!A801)</f>
        <v/>
      </c>
      <c r="B1600" s="21">
        <f>IF('Journal'!B801="","",'Journal'!B801)</f>
        <v/>
      </c>
      <c r="C1600" s="5">
        <f>IF('Journal'!C801="","",'Journal'!C801)</f>
        <v/>
      </c>
      <c r="D1600" s="5">
        <f>IF('Journal'!E801="","",IFERROR(LEFT('Journal'!E801,FIND(" ",'Journal'!E801)-1),'Journal'!E801))</f>
        <v/>
      </c>
      <c r="E1600" s="5">
        <f>IF('Journal'!E801="","",IFERROR(INDEX('Kontoplan'!$B$3:$B$302,MATCH('Journal'!E801,'Kontoplan'!$H$3:$H$302,0)),""))</f>
        <v/>
      </c>
      <c r="F1600" s="20">
        <f>IF('Journal'!F801="","",'Journal'!F801)</f>
        <v/>
      </c>
      <c r="G1600" s="20">
        <f>IF('Journal'!G801="","",'Journal'!G801)</f>
        <v/>
      </c>
      <c r="H1600" s="5">
        <f>IF('Journal'!I801="","",'Journal'!I801)</f>
        <v/>
      </c>
    </row>
    <row r="1601">
      <c r="A1601" s="18">
        <f>IF('Journal'!A802="","",'Journal'!A802)</f>
        <v/>
      </c>
      <c r="B1601" s="21">
        <f>IF('Journal'!B802="","",'Journal'!B802)</f>
        <v/>
      </c>
      <c r="C1601" s="5">
        <f>IF('Journal'!C802="","",'Journal'!C802)</f>
        <v/>
      </c>
      <c r="D1601" s="5">
        <f>IF('Journal'!D802="","",IFERROR(LEFT('Journal'!D802,FIND(" ",'Journal'!D802)-1),'Journal'!D802))</f>
        <v/>
      </c>
      <c r="E1601" s="5">
        <f>IF('Journal'!D802="","",IFERROR(INDEX('Kontoplan'!$B$3:$B$302,MATCH('Journal'!D802,'Kontoplan'!$H$3:$H$302,0)),""))</f>
        <v/>
      </c>
      <c r="F1601" s="20">
        <f>IF('Journal'!G802="","",'Journal'!G802)</f>
        <v/>
      </c>
      <c r="G1601" s="20">
        <f>IF('Journal'!F802="","",'Journal'!F802)</f>
        <v/>
      </c>
      <c r="H1601" s="5">
        <f>IF('Journal'!I802="","",'Journal'!I802)</f>
        <v/>
      </c>
    </row>
    <row r="1602">
      <c r="A1602" s="18">
        <f>IF('Journal'!A802="","",'Journal'!A802)</f>
        <v/>
      </c>
      <c r="B1602" s="21">
        <f>IF('Journal'!B802="","",'Journal'!B802)</f>
        <v/>
      </c>
      <c r="C1602" s="5">
        <f>IF('Journal'!C802="","",'Journal'!C802)</f>
        <v/>
      </c>
      <c r="D1602" s="5">
        <f>IF('Journal'!E802="","",IFERROR(LEFT('Journal'!E802,FIND(" ",'Journal'!E802)-1),'Journal'!E802))</f>
        <v/>
      </c>
      <c r="E1602" s="5">
        <f>IF('Journal'!E802="","",IFERROR(INDEX('Kontoplan'!$B$3:$B$302,MATCH('Journal'!E802,'Kontoplan'!$H$3:$H$302,0)),""))</f>
        <v/>
      </c>
      <c r="F1602" s="20">
        <f>IF('Journal'!F802="","",'Journal'!F802)</f>
        <v/>
      </c>
      <c r="G1602" s="20">
        <f>IF('Journal'!G802="","",'Journal'!G802)</f>
        <v/>
      </c>
      <c r="H1602" s="5">
        <f>IF('Journal'!I802="","",'Journal'!I802)</f>
        <v/>
      </c>
    </row>
    <row r="1603">
      <c r="A1603" s="18">
        <f>IF('Journal'!A803="","",'Journal'!A803)</f>
        <v/>
      </c>
      <c r="B1603" s="21">
        <f>IF('Journal'!B803="","",'Journal'!B803)</f>
        <v/>
      </c>
      <c r="C1603" s="5">
        <f>IF('Journal'!C803="","",'Journal'!C803)</f>
        <v/>
      </c>
      <c r="D1603" s="5">
        <f>IF('Journal'!D803="","",IFERROR(LEFT('Journal'!D803,FIND(" ",'Journal'!D803)-1),'Journal'!D803))</f>
        <v/>
      </c>
      <c r="E1603" s="5">
        <f>IF('Journal'!D803="","",IFERROR(INDEX('Kontoplan'!$B$3:$B$302,MATCH('Journal'!D803,'Kontoplan'!$H$3:$H$302,0)),""))</f>
        <v/>
      </c>
      <c r="F1603" s="20">
        <f>IF('Journal'!G803="","",'Journal'!G803)</f>
        <v/>
      </c>
      <c r="G1603" s="20">
        <f>IF('Journal'!F803="","",'Journal'!F803)</f>
        <v/>
      </c>
      <c r="H1603" s="5">
        <f>IF('Journal'!I803="","",'Journal'!I803)</f>
        <v/>
      </c>
    </row>
    <row r="1604">
      <c r="A1604" s="18">
        <f>IF('Journal'!A803="","",'Journal'!A803)</f>
        <v/>
      </c>
      <c r="B1604" s="21">
        <f>IF('Journal'!B803="","",'Journal'!B803)</f>
        <v/>
      </c>
      <c r="C1604" s="5">
        <f>IF('Journal'!C803="","",'Journal'!C803)</f>
        <v/>
      </c>
      <c r="D1604" s="5">
        <f>IF('Journal'!E803="","",IFERROR(LEFT('Journal'!E803,FIND(" ",'Journal'!E803)-1),'Journal'!E803))</f>
        <v/>
      </c>
      <c r="E1604" s="5">
        <f>IF('Journal'!E803="","",IFERROR(INDEX('Kontoplan'!$B$3:$B$302,MATCH('Journal'!E803,'Kontoplan'!$H$3:$H$302,0)),""))</f>
        <v/>
      </c>
      <c r="F1604" s="20">
        <f>IF('Journal'!F803="","",'Journal'!F803)</f>
        <v/>
      </c>
      <c r="G1604" s="20">
        <f>IF('Journal'!G803="","",'Journal'!G803)</f>
        <v/>
      </c>
      <c r="H1604" s="5">
        <f>IF('Journal'!I803="","",'Journal'!I803)</f>
        <v/>
      </c>
    </row>
    <row r="1605">
      <c r="A1605" s="18">
        <f>IF('Journal'!A804="","",'Journal'!A804)</f>
        <v/>
      </c>
      <c r="B1605" s="21">
        <f>IF('Journal'!B804="","",'Journal'!B804)</f>
        <v/>
      </c>
      <c r="C1605" s="5">
        <f>IF('Journal'!C804="","",'Journal'!C804)</f>
        <v/>
      </c>
      <c r="D1605" s="5">
        <f>IF('Journal'!D804="","",IFERROR(LEFT('Journal'!D804,FIND(" ",'Journal'!D804)-1),'Journal'!D804))</f>
        <v/>
      </c>
      <c r="E1605" s="5">
        <f>IF('Journal'!D804="","",IFERROR(INDEX('Kontoplan'!$B$3:$B$302,MATCH('Journal'!D804,'Kontoplan'!$H$3:$H$302,0)),""))</f>
        <v/>
      </c>
      <c r="F1605" s="20">
        <f>IF('Journal'!G804="","",'Journal'!G804)</f>
        <v/>
      </c>
      <c r="G1605" s="20">
        <f>IF('Journal'!F804="","",'Journal'!F804)</f>
        <v/>
      </c>
      <c r="H1605" s="5">
        <f>IF('Journal'!I804="","",'Journal'!I804)</f>
        <v/>
      </c>
    </row>
    <row r="1606">
      <c r="A1606" s="18">
        <f>IF('Journal'!A804="","",'Journal'!A804)</f>
        <v/>
      </c>
      <c r="B1606" s="21">
        <f>IF('Journal'!B804="","",'Journal'!B804)</f>
        <v/>
      </c>
      <c r="C1606" s="5">
        <f>IF('Journal'!C804="","",'Journal'!C804)</f>
        <v/>
      </c>
      <c r="D1606" s="5">
        <f>IF('Journal'!E804="","",IFERROR(LEFT('Journal'!E804,FIND(" ",'Journal'!E804)-1),'Journal'!E804))</f>
        <v/>
      </c>
      <c r="E1606" s="5">
        <f>IF('Journal'!E804="","",IFERROR(INDEX('Kontoplan'!$B$3:$B$302,MATCH('Journal'!E804,'Kontoplan'!$H$3:$H$302,0)),""))</f>
        <v/>
      </c>
      <c r="F1606" s="20">
        <f>IF('Journal'!F804="","",'Journal'!F804)</f>
        <v/>
      </c>
      <c r="G1606" s="20">
        <f>IF('Journal'!G804="","",'Journal'!G804)</f>
        <v/>
      </c>
      <c r="H1606" s="5">
        <f>IF('Journal'!I804="","",'Journal'!I804)</f>
        <v/>
      </c>
    </row>
    <row r="1607">
      <c r="A1607" s="18">
        <f>IF('Journal'!A805="","",'Journal'!A805)</f>
        <v/>
      </c>
      <c r="B1607" s="21">
        <f>IF('Journal'!B805="","",'Journal'!B805)</f>
        <v/>
      </c>
      <c r="C1607" s="5">
        <f>IF('Journal'!C805="","",'Journal'!C805)</f>
        <v/>
      </c>
      <c r="D1607" s="5">
        <f>IF('Journal'!D805="","",IFERROR(LEFT('Journal'!D805,FIND(" ",'Journal'!D805)-1),'Journal'!D805))</f>
        <v/>
      </c>
      <c r="E1607" s="5">
        <f>IF('Journal'!D805="","",IFERROR(INDEX('Kontoplan'!$B$3:$B$302,MATCH('Journal'!D805,'Kontoplan'!$H$3:$H$302,0)),""))</f>
        <v/>
      </c>
      <c r="F1607" s="20">
        <f>IF('Journal'!G805="","",'Journal'!G805)</f>
        <v/>
      </c>
      <c r="G1607" s="20">
        <f>IF('Journal'!F805="","",'Journal'!F805)</f>
        <v/>
      </c>
      <c r="H1607" s="5">
        <f>IF('Journal'!I805="","",'Journal'!I805)</f>
        <v/>
      </c>
    </row>
    <row r="1608">
      <c r="A1608" s="18">
        <f>IF('Journal'!A805="","",'Journal'!A805)</f>
        <v/>
      </c>
      <c r="B1608" s="21">
        <f>IF('Journal'!B805="","",'Journal'!B805)</f>
        <v/>
      </c>
      <c r="C1608" s="5">
        <f>IF('Journal'!C805="","",'Journal'!C805)</f>
        <v/>
      </c>
      <c r="D1608" s="5">
        <f>IF('Journal'!E805="","",IFERROR(LEFT('Journal'!E805,FIND(" ",'Journal'!E805)-1),'Journal'!E805))</f>
        <v/>
      </c>
      <c r="E1608" s="5">
        <f>IF('Journal'!E805="","",IFERROR(INDEX('Kontoplan'!$B$3:$B$302,MATCH('Journal'!E805,'Kontoplan'!$H$3:$H$302,0)),""))</f>
        <v/>
      </c>
      <c r="F1608" s="20">
        <f>IF('Journal'!F805="","",'Journal'!F805)</f>
        <v/>
      </c>
      <c r="G1608" s="20">
        <f>IF('Journal'!G805="","",'Journal'!G805)</f>
        <v/>
      </c>
      <c r="H1608" s="5">
        <f>IF('Journal'!I805="","",'Journal'!I805)</f>
        <v/>
      </c>
    </row>
    <row r="1609">
      <c r="A1609" s="18">
        <f>IF('Journal'!A806="","",'Journal'!A806)</f>
        <v/>
      </c>
      <c r="B1609" s="21">
        <f>IF('Journal'!B806="","",'Journal'!B806)</f>
        <v/>
      </c>
      <c r="C1609" s="5">
        <f>IF('Journal'!C806="","",'Journal'!C806)</f>
        <v/>
      </c>
      <c r="D1609" s="5">
        <f>IF('Journal'!D806="","",IFERROR(LEFT('Journal'!D806,FIND(" ",'Journal'!D806)-1),'Journal'!D806))</f>
        <v/>
      </c>
      <c r="E1609" s="5">
        <f>IF('Journal'!D806="","",IFERROR(INDEX('Kontoplan'!$B$3:$B$302,MATCH('Journal'!D806,'Kontoplan'!$H$3:$H$302,0)),""))</f>
        <v/>
      </c>
      <c r="F1609" s="20">
        <f>IF('Journal'!G806="","",'Journal'!G806)</f>
        <v/>
      </c>
      <c r="G1609" s="20">
        <f>IF('Journal'!F806="","",'Journal'!F806)</f>
        <v/>
      </c>
      <c r="H1609" s="5">
        <f>IF('Journal'!I806="","",'Journal'!I806)</f>
        <v/>
      </c>
    </row>
    <row r="1610">
      <c r="A1610" s="18">
        <f>IF('Journal'!A806="","",'Journal'!A806)</f>
        <v/>
      </c>
      <c r="B1610" s="21">
        <f>IF('Journal'!B806="","",'Journal'!B806)</f>
        <v/>
      </c>
      <c r="C1610" s="5">
        <f>IF('Journal'!C806="","",'Journal'!C806)</f>
        <v/>
      </c>
      <c r="D1610" s="5">
        <f>IF('Journal'!E806="","",IFERROR(LEFT('Journal'!E806,FIND(" ",'Journal'!E806)-1),'Journal'!E806))</f>
        <v/>
      </c>
      <c r="E1610" s="5">
        <f>IF('Journal'!E806="","",IFERROR(INDEX('Kontoplan'!$B$3:$B$302,MATCH('Journal'!E806,'Kontoplan'!$H$3:$H$302,0)),""))</f>
        <v/>
      </c>
      <c r="F1610" s="20">
        <f>IF('Journal'!F806="","",'Journal'!F806)</f>
        <v/>
      </c>
      <c r="G1610" s="20">
        <f>IF('Journal'!G806="","",'Journal'!G806)</f>
        <v/>
      </c>
      <c r="H1610" s="5">
        <f>IF('Journal'!I806="","",'Journal'!I806)</f>
        <v/>
      </c>
    </row>
    <row r="1611">
      <c r="A1611" s="18">
        <f>IF('Journal'!A807="","",'Journal'!A807)</f>
        <v/>
      </c>
      <c r="B1611" s="21">
        <f>IF('Journal'!B807="","",'Journal'!B807)</f>
        <v/>
      </c>
      <c r="C1611" s="5">
        <f>IF('Journal'!C807="","",'Journal'!C807)</f>
        <v/>
      </c>
      <c r="D1611" s="5">
        <f>IF('Journal'!D807="","",IFERROR(LEFT('Journal'!D807,FIND(" ",'Journal'!D807)-1),'Journal'!D807))</f>
        <v/>
      </c>
      <c r="E1611" s="5">
        <f>IF('Journal'!D807="","",IFERROR(INDEX('Kontoplan'!$B$3:$B$302,MATCH('Journal'!D807,'Kontoplan'!$H$3:$H$302,0)),""))</f>
        <v/>
      </c>
      <c r="F1611" s="20">
        <f>IF('Journal'!G807="","",'Journal'!G807)</f>
        <v/>
      </c>
      <c r="G1611" s="20">
        <f>IF('Journal'!F807="","",'Journal'!F807)</f>
        <v/>
      </c>
      <c r="H1611" s="5">
        <f>IF('Journal'!I807="","",'Journal'!I807)</f>
        <v/>
      </c>
    </row>
    <row r="1612">
      <c r="A1612" s="18">
        <f>IF('Journal'!A807="","",'Journal'!A807)</f>
        <v/>
      </c>
      <c r="B1612" s="21">
        <f>IF('Journal'!B807="","",'Journal'!B807)</f>
        <v/>
      </c>
      <c r="C1612" s="5">
        <f>IF('Journal'!C807="","",'Journal'!C807)</f>
        <v/>
      </c>
      <c r="D1612" s="5">
        <f>IF('Journal'!E807="","",IFERROR(LEFT('Journal'!E807,FIND(" ",'Journal'!E807)-1),'Journal'!E807))</f>
        <v/>
      </c>
      <c r="E1612" s="5">
        <f>IF('Journal'!E807="","",IFERROR(INDEX('Kontoplan'!$B$3:$B$302,MATCH('Journal'!E807,'Kontoplan'!$H$3:$H$302,0)),""))</f>
        <v/>
      </c>
      <c r="F1612" s="20">
        <f>IF('Journal'!F807="","",'Journal'!F807)</f>
        <v/>
      </c>
      <c r="G1612" s="20">
        <f>IF('Journal'!G807="","",'Journal'!G807)</f>
        <v/>
      </c>
      <c r="H1612" s="5">
        <f>IF('Journal'!I807="","",'Journal'!I807)</f>
        <v/>
      </c>
    </row>
    <row r="1613">
      <c r="A1613" s="18">
        <f>IF('Journal'!A808="","",'Journal'!A808)</f>
        <v/>
      </c>
      <c r="B1613" s="21">
        <f>IF('Journal'!B808="","",'Journal'!B808)</f>
        <v/>
      </c>
      <c r="C1613" s="5">
        <f>IF('Journal'!C808="","",'Journal'!C808)</f>
        <v/>
      </c>
      <c r="D1613" s="5">
        <f>IF('Journal'!D808="","",IFERROR(LEFT('Journal'!D808,FIND(" ",'Journal'!D808)-1),'Journal'!D808))</f>
        <v/>
      </c>
      <c r="E1613" s="5">
        <f>IF('Journal'!D808="","",IFERROR(INDEX('Kontoplan'!$B$3:$B$302,MATCH('Journal'!D808,'Kontoplan'!$H$3:$H$302,0)),""))</f>
        <v/>
      </c>
      <c r="F1613" s="20">
        <f>IF('Journal'!G808="","",'Journal'!G808)</f>
        <v/>
      </c>
      <c r="G1613" s="20">
        <f>IF('Journal'!F808="","",'Journal'!F808)</f>
        <v/>
      </c>
      <c r="H1613" s="5">
        <f>IF('Journal'!I808="","",'Journal'!I808)</f>
        <v/>
      </c>
    </row>
    <row r="1614">
      <c r="A1614" s="18">
        <f>IF('Journal'!A808="","",'Journal'!A808)</f>
        <v/>
      </c>
      <c r="B1614" s="21">
        <f>IF('Journal'!B808="","",'Journal'!B808)</f>
        <v/>
      </c>
      <c r="C1614" s="5">
        <f>IF('Journal'!C808="","",'Journal'!C808)</f>
        <v/>
      </c>
      <c r="D1614" s="5">
        <f>IF('Journal'!E808="","",IFERROR(LEFT('Journal'!E808,FIND(" ",'Journal'!E808)-1),'Journal'!E808))</f>
        <v/>
      </c>
      <c r="E1614" s="5">
        <f>IF('Journal'!E808="","",IFERROR(INDEX('Kontoplan'!$B$3:$B$302,MATCH('Journal'!E808,'Kontoplan'!$H$3:$H$302,0)),""))</f>
        <v/>
      </c>
      <c r="F1614" s="20">
        <f>IF('Journal'!F808="","",'Journal'!F808)</f>
        <v/>
      </c>
      <c r="G1614" s="20">
        <f>IF('Journal'!G808="","",'Journal'!G808)</f>
        <v/>
      </c>
      <c r="H1614" s="5">
        <f>IF('Journal'!I808="","",'Journal'!I808)</f>
        <v/>
      </c>
    </row>
    <row r="1615">
      <c r="A1615" s="18">
        <f>IF('Journal'!A809="","",'Journal'!A809)</f>
        <v/>
      </c>
      <c r="B1615" s="21">
        <f>IF('Journal'!B809="","",'Journal'!B809)</f>
        <v/>
      </c>
      <c r="C1615" s="5">
        <f>IF('Journal'!C809="","",'Journal'!C809)</f>
        <v/>
      </c>
      <c r="D1615" s="5">
        <f>IF('Journal'!D809="","",IFERROR(LEFT('Journal'!D809,FIND(" ",'Journal'!D809)-1),'Journal'!D809))</f>
        <v/>
      </c>
      <c r="E1615" s="5">
        <f>IF('Journal'!D809="","",IFERROR(INDEX('Kontoplan'!$B$3:$B$302,MATCH('Journal'!D809,'Kontoplan'!$H$3:$H$302,0)),""))</f>
        <v/>
      </c>
      <c r="F1615" s="20">
        <f>IF('Journal'!G809="","",'Journal'!G809)</f>
        <v/>
      </c>
      <c r="G1615" s="20">
        <f>IF('Journal'!F809="","",'Journal'!F809)</f>
        <v/>
      </c>
      <c r="H1615" s="5">
        <f>IF('Journal'!I809="","",'Journal'!I809)</f>
        <v/>
      </c>
    </row>
    <row r="1616">
      <c r="A1616" s="18">
        <f>IF('Journal'!A809="","",'Journal'!A809)</f>
        <v/>
      </c>
      <c r="B1616" s="21">
        <f>IF('Journal'!B809="","",'Journal'!B809)</f>
        <v/>
      </c>
      <c r="C1616" s="5">
        <f>IF('Journal'!C809="","",'Journal'!C809)</f>
        <v/>
      </c>
      <c r="D1616" s="5">
        <f>IF('Journal'!E809="","",IFERROR(LEFT('Journal'!E809,FIND(" ",'Journal'!E809)-1),'Journal'!E809))</f>
        <v/>
      </c>
      <c r="E1616" s="5">
        <f>IF('Journal'!E809="","",IFERROR(INDEX('Kontoplan'!$B$3:$B$302,MATCH('Journal'!E809,'Kontoplan'!$H$3:$H$302,0)),""))</f>
        <v/>
      </c>
      <c r="F1616" s="20">
        <f>IF('Journal'!F809="","",'Journal'!F809)</f>
        <v/>
      </c>
      <c r="G1616" s="20">
        <f>IF('Journal'!G809="","",'Journal'!G809)</f>
        <v/>
      </c>
      <c r="H1616" s="5">
        <f>IF('Journal'!I809="","",'Journal'!I809)</f>
        <v/>
      </c>
    </row>
    <row r="1617">
      <c r="A1617" s="18">
        <f>IF('Journal'!A810="","",'Journal'!A810)</f>
        <v/>
      </c>
      <c r="B1617" s="21">
        <f>IF('Journal'!B810="","",'Journal'!B810)</f>
        <v/>
      </c>
      <c r="C1617" s="5">
        <f>IF('Journal'!C810="","",'Journal'!C810)</f>
        <v/>
      </c>
      <c r="D1617" s="5">
        <f>IF('Journal'!D810="","",IFERROR(LEFT('Journal'!D810,FIND(" ",'Journal'!D810)-1),'Journal'!D810))</f>
        <v/>
      </c>
      <c r="E1617" s="5">
        <f>IF('Journal'!D810="","",IFERROR(INDEX('Kontoplan'!$B$3:$B$302,MATCH('Journal'!D810,'Kontoplan'!$H$3:$H$302,0)),""))</f>
        <v/>
      </c>
      <c r="F1617" s="20">
        <f>IF('Journal'!G810="","",'Journal'!G810)</f>
        <v/>
      </c>
      <c r="G1617" s="20">
        <f>IF('Journal'!F810="","",'Journal'!F810)</f>
        <v/>
      </c>
      <c r="H1617" s="5">
        <f>IF('Journal'!I810="","",'Journal'!I810)</f>
        <v/>
      </c>
    </row>
    <row r="1618">
      <c r="A1618" s="18">
        <f>IF('Journal'!A810="","",'Journal'!A810)</f>
        <v/>
      </c>
      <c r="B1618" s="21">
        <f>IF('Journal'!B810="","",'Journal'!B810)</f>
        <v/>
      </c>
      <c r="C1618" s="5">
        <f>IF('Journal'!C810="","",'Journal'!C810)</f>
        <v/>
      </c>
      <c r="D1618" s="5">
        <f>IF('Journal'!E810="","",IFERROR(LEFT('Journal'!E810,FIND(" ",'Journal'!E810)-1),'Journal'!E810))</f>
        <v/>
      </c>
      <c r="E1618" s="5">
        <f>IF('Journal'!E810="","",IFERROR(INDEX('Kontoplan'!$B$3:$B$302,MATCH('Journal'!E810,'Kontoplan'!$H$3:$H$302,0)),""))</f>
        <v/>
      </c>
      <c r="F1618" s="20">
        <f>IF('Journal'!F810="","",'Journal'!F810)</f>
        <v/>
      </c>
      <c r="G1618" s="20">
        <f>IF('Journal'!G810="","",'Journal'!G810)</f>
        <v/>
      </c>
      <c r="H1618" s="5">
        <f>IF('Journal'!I810="","",'Journal'!I810)</f>
        <v/>
      </c>
    </row>
    <row r="1619">
      <c r="A1619" s="18">
        <f>IF('Journal'!A811="","",'Journal'!A811)</f>
        <v/>
      </c>
      <c r="B1619" s="21">
        <f>IF('Journal'!B811="","",'Journal'!B811)</f>
        <v/>
      </c>
      <c r="C1619" s="5">
        <f>IF('Journal'!C811="","",'Journal'!C811)</f>
        <v/>
      </c>
      <c r="D1619" s="5">
        <f>IF('Journal'!D811="","",IFERROR(LEFT('Journal'!D811,FIND(" ",'Journal'!D811)-1),'Journal'!D811))</f>
        <v/>
      </c>
      <c r="E1619" s="5">
        <f>IF('Journal'!D811="","",IFERROR(INDEX('Kontoplan'!$B$3:$B$302,MATCH('Journal'!D811,'Kontoplan'!$H$3:$H$302,0)),""))</f>
        <v/>
      </c>
      <c r="F1619" s="20">
        <f>IF('Journal'!G811="","",'Journal'!G811)</f>
        <v/>
      </c>
      <c r="G1619" s="20">
        <f>IF('Journal'!F811="","",'Journal'!F811)</f>
        <v/>
      </c>
      <c r="H1619" s="5">
        <f>IF('Journal'!I811="","",'Journal'!I811)</f>
        <v/>
      </c>
    </row>
    <row r="1620">
      <c r="A1620" s="18">
        <f>IF('Journal'!A811="","",'Journal'!A811)</f>
        <v/>
      </c>
      <c r="B1620" s="21">
        <f>IF('Journal'!B811="","",'Journal'!B811)</f>
        <v/>
      </c>
      <c r="C1620" s="5">
        <f>IF('Journal'!C811="","",'Journal'!C811)</f>
        <v/>
      </c>
      <c r="D1620" s="5">
        <f>IF('Journal'!E811="","",IFERROR(LEFT('Journal'!E811,FIND(" ",'Journal'!E811)-1),'Journal'!E811))</f>
        <v/>
      </c>
      <c r="E1620" s="5">
        <f>IF('Journal'!E811="","",IFERROR(INDEX('Kontoplan'!$B$3:$B$302,MATCH('Journal'!E811,'Kontoplan'!$H$3:$H$302,0)),""))</f>
        <v/>
      </c>
      <c r="F1620" s="20">
        <f>IF('Journal'!F811="","",'Journal'!F811)</f>
        <v/>
      </c>
      <c r="G1620" s="20">
        <f>IF('Journal'!G811="","",'Journal'!G811)</f>
        <v/>
      </c>
      <c r="H1620" s="5">
        <f>IF('Journal'!I811="","",'Journal'!I811)</f>
        <v/>
      </c>
    </row>
    <row r="1621">
      <c r="A1621" s="18">
        <f>IF('Journal'!A812="","",'Journal'!A812)</f>
        <v/>
      </c>
      <c r="B1621" s="21">
        <f>IF('Journal'!B812="","",'Journal'!B812)</f>
        <v/>
      </c>
      <c r="C1621" s="5">
        <f>IF('Journal'!C812="","",'Journal'!C812)</f>
        <v/>
      </c>
      <c r="D1621" s="5">
        <f>IF('Journal'!D812="","",IFERROR(LEFT('Journal'!D812,FIND(" ",'Journal'!D812)-1),'Journal'!D812))</f>
        <v/>
      </c>
      <c r="E1621" s="5">
        <f>IF('Journal'!D812="","",IFERROR(INDEX('Kontoplan'!$B$3:$B$302,MATCH('Journal'!D812,'Kontoplan'!$H$3:$H$302,0)),""))</f>
        <v/>
      </c>
      <c r="F1621" s="20">
        <f>IF('Journal'!G812="","",'Journal'!G812)</f>
        <v/>
      </c>
      <c r="G1621" s="20">
        <f>IF('Journal'!F812="","",'Journal'!F812)</f>
        <v/>
      </c>
      <c r="H1621" s="5">
        <f>IF('Journal'!I812="","",'Journal'!I812)</f>
        <v/>
      </c>
    </row>
    <row r="1622">
      <c r="A1622" s="18">
        <f>IF('Journal'!A812="","",'Journal'!A812)</f>
        <v/>
      </c>
      <c r="B1622" s="21">
        <f>IF('Journal'!B812="","",'Journal'!B812)</f>
        <v/>
      </c>
      <c r="C1622" s="5">
        <f>IF('Journal'!C812="","",'Journal'!C812)</f>
        <v/>
      </c>
      <c r="D1622" s="5">
        <f>IF('Journal'!E812="","",IFERROR(LEFT('Journal'!E812,FIND(" ",'Journal'!E812)-1),'Journal'!E812))</f>
        <v/>
      </c>
      <c r="E1622" s="5">
        <f>IF('Journal'!E812="","",IFERROR(INDEX('Kontoplan'!$B$3:$B$302,MATCH('Journal'!E812,'Kontoplan'!$H$3:$H$302,0)),""))</f>
        <v/>
      </c>
      <c r="F1622" s="20">
        <f>IF('Journal'!F812="","",'Journal'!F812)</f>
        <v/>
      </c>
      <c r="G1622" s="20">
        <f>IF('Journal'!G812="","",'Journal'!G812)</f>
        <v/>
      </c>
      <c r="H1622" s="5">
        <f>IF('Journal'!I812="","",'Journal'!I812)</f>
        <v/>
      </c>
    </row>
    <row r="1623">
      <c r="A1623" s="18">
        <f>IF('Journal'!A813="","",'Journal'!A813)</f>
        <v/>
      </c>
      <c r="B1623" s="21">
        <f>IF('Journal'!B813="","",'Journal'!B813)</f>
        <v/>
      </c>
      <c r="C1623" s="5">
        <f>IF('Journal'!C813="","",'Journal'!C813)</f>
        <v/>
      </c>
      <c r="D1623" s="5">
        <f>IF('Journal'!D813="","",IFERROR(LEFT('Journal'!D813,FIND(" ",'Journal'!D813)-1),'Journal'!D813))</f>
        <v/>
      </c>
      <c r="E1623" s="5">
        <f>IF('Journal'!D813="","",IFERROR(INDEX('Kontoplan'!$B$3:$B$302,MATCH('Journal'!D813,'Kontoplan'!$H$3:$H$302,0)),""))</f>
        <v/>
      </c>
      <c r="F1623" s="20">
        <f>IF('Journal'!G813="","",'Journal'!G813)</f>
        <v/>
      </c>
      <c r="G1623" s="20">
        <f>IF('Journal'!F813="","",'Journal'!F813)</f>
        <v/>
      </c>
      <c r="H1623" s="5">
        <f>IF('Journal'!I813="","",'Journal'!I813)</f>
        <v/>
      </c>
    </row>
    <row r="1624">
      <c r="A1624" s="18">
        <f>IF('Journal'!A813="","",'Journal'!A813)</f>
        <v/>
      </c>
      <c r="B1624" s="21">
        <f>IF('Journal'!B813="","",'Journal'!B813)</f>
        <v/>
      </c>
      <c r="C1624" s="5">
        <f>IF('Journal'!C813="","",'Journal'!C813)</f>
        <v/>
      </c>
      <c r="D1624" s="5">
        <f>IF('Journal'!E813="","",IFERROR(LEFT('Journal'!E813,FIND(" ",'Journal'!E813)-1),'Journal'!E813))</f>
        <v/>
      </c>
      <c r="E1624" s="5">
        <f>IF('Journal'!E813="","",IFERROR(INDEX('Kontoplan'!$B$3:$B$302,MATCH('Journal'!E813,'Kontoplan'!$H$3:$H$302,0)),""))</f>
        <v/>
      </c>
      <c r="F1624" s="20">
        <f>IF('Journal'!F813="","",'Journal'!F813)</f>
        <v/>
      </c>
      <c r="G1624" s="20">
        <f>IF('Journal'!G813="","",'Journal'!G813)</f>
        <v/>
      </c>
      <c r="H1624" s="5">
        <f>IF('Journal'!I813="","",'Journal'!I813)</f>
        <v/>
      </c>
    </row>
    <row r="1625">
      <c r="A1625" s="18">
        <f>IF('Journal'!A814="","",'Journal'!A814)</f>
        <v/>
      </c>
      <c r="B1625" s="21">
        <f>IF('Journal'!B814="","",'Journal'!B814)</f>
        <v/>
      </c>
      <c r="C1625" s="5">
        <f>IF('Journal'!C814="","",'Journal'!C814)</f>
        <v/>
      </c>
      <c r="D1625" s="5">
        <f>IF('Journal'!D814="","",IFERROR(LEFT('Journal'!D814,FIND(" ",'Journal'!D814)-1),'Journal'!D814))</f>
        <v/>
      </c>
      <c r="E1625" s="5">
        <f>IF('Journal'!D814="","",IFERROR(INDEX('Kontoplan'!$B$3:$B$302,MATCH('Journal'!D814,'Kontoplan'!$H$3:$H$302,0)),""))</f>
        <v/>
      </c>
      <c r="F1625" s="20">
        <f>IF('Journal'!G814="","",'Journal'!G814)</f>
        <v/>
      </c>
      <c r="G1625" s="20">
        <f>IF('Journal'!F814="","",'Journal'!F814)</f>
        <v/>
      </c>
      <c r="H1625" s="5">
        <f>IF('Journal'!I814="","",'Journal'!I814)</f>
        <v/>
      </c>
    </row>
    <row r="1626">
      <c r="A1626" s="18">
        <f>IF('Journal'!A814="","",'Journal'!A814)</f>
        <v/>
      </c>
      <c r="B1626" s="21">
        <f>IF('Journal'!B814="","",'Journal'!B814)</f>
        <v/>
      </c>
      <c r="C1626" s="5">
        <f>IF('Journal'!C814="","",'Journal'!C814)</f>
        <v/>
      </c>
      <c r="D1626" s="5">
        <f>IF('Journal'!E814="","",IFERROR(LEFT('Journal'!E814,FIND(" ",'Journal'!E814)-1),'Journal'!E814))</f>
        <v/>
      </c>
      <c r="E1626" s="5">
        <f>IF('Journal'!E814="","",IFERROR(INDEX('Kontoplan'!$B$3:$B$302,MATCH('Journal'!E814,'Kontoplan'!$H$3:$H$302,0)),""))</f>
        <v/>
      </c>
      <c r="F1626" s="20">
        <f>IF('Journal'!F814="","",'Journal'!F814)</f>
        <v/>
      </c>
      <c r="G1626" s="20">
        <f>IF('Journal'!G814="","",'Journal'!G814)</f>
        <v/>
      </c>
      <c r="H1626" s="5">
        <f>IF('Journal'!I814="","",'Journal'!I814)</f>
        <v/>
      </c>
    </row>
    <row r="1627">
      <c r="A1627" s="18">
        <f>IF('Journal'!A815="","",'Journal'!A815)</f>
        <v/>
      </c>
      <c r="B1627" s="21">
        <f>IF('Journal'!B815="","",'Journal'!B815)</f>
        <v/>
      </c>
      <c r="C1627" s="5">
        <f>IF('Journal'!C815="","",'Journal'!C815)</f>
        <v/>
      </c>
      <c r="D1627" s="5">
        <f>IF('Journal'!D815="","",IFERROR(LEFT('Journal'!D815,FIND(" ",'Journal'!D815)-1),'Journal'!D815))</f>
        <v/>
      </c>
      <c r="E1627" s="5">
        <f>IF('Journal'!D815="","",IFERROR(INDEX('Kontoplan'!$B$3:$B$302,MATCH('Journal'!D815,'Kontoplan'!$H$3:$H$302,0)),""))</f>
        <v/>
      </c>
      <c r="F1627" s="20">
        <f>IF('Journal'!G815="","",'Journal'!G815)</f>
        <v/>
      </c>
      <c r="G1627" s="20">
        <f>IF('Journal'!F815="","",'Journal'!F815)</f>
        <v/>
      </c>
      <c r="H1627" s="5">
        <f>IF('Journal'!I815="","",'Journal'!I815)</f>
        <v/>
      </c>
    </row>
    <row r="1628">
      <c r="A1628" s="18">
        <f>IF('Journal'!A815="","",'Journal'!A815)</f>
        <v/>
      </c>
      <c r="B1628" s="21">
        <f>IF('Journal'!B815="","",'Journal'!B815)</f>
        <v/>
      </c>
      <c r="C1628" s="5">
        <f>IF('Journal'!C815="","",'Journal'!C815)</f>
        <v/>
      </c>
      <c r="D1628" s="5">
        <f>IF('Journal'!E815="","",IFERROR(LEFT('Journal'!E815,FIND(" ",'Journal'!E815)-1),'Journal'!E815))</f>
        <v/>
      </c>
      <c r="E1628" s="5">
        <f>IF('Journal'!E815="","",IFERROR(INDEX('Kontoplan'!$B$3:$B$302,MATCH('Journal'!E815,'Kontoplan'!$H$3:$H$302,0)),""))</f>
        <v/>
      </c>
      <c r="F1628" s="20">
        <f>IF('Journal'!F815="","",'Journal'!F815)</f>
        <v/>
      </c>
      <c r="G1628" s="20">
        <f>IF('Journal'!G815="","",'Journal'!G815)</f>
        <v/>
      </c>
      <c r="H1628" s="5">
        <f>IF('Journal'!I815="","",'Journal'!I815)</f>
        <v/>
      </c>
    </row>
    <row r="1629">
      <c r="A1629" s="18">
        <f>IF('Journal'!A816="","",'Journal'!A816)</f>
        <v/>
      </c>
      <c r="B1629" s="21">
        <f>IF('Journal'!B816="","",'Journal'!B816)</f>
        <v/>
      </c>
      <c r="C1629" s="5">
        <f>IF('Journal'!C816="","",'Journal'!C816)</f>
        <v/>
      </c>
      <c r="D1629" s="5">
        <f>IF('Journal'!D816="","",IFERROR(LEFT('Journal'!D816,FIND(" ",'Journal'!D816)-1),'Journal'!D816))</f>
        <v/>
      </c>
      <c r="E1629" s="5">
        <f>IF('Journal'!D816="","",IFERROR(INDEX('Kontoplan'!$B$3:$B$302,MATCH('Journal'!D816,'Kontoplan'!$H$3:$H$302,0)),""))</f>
        <v/>
      </c>
      <c r="F1629" s="20">
        <f>IF('Journal'!G816="","",'Journal'!G816)</f>
        <v/>
      </c>
      <c r="G1629" s="20">
        <f>IF('Journal'!F816="","",'Journal'!F816)</f>
        <v/>
      </c>
      <c r="H1629" s="5">
        <f>IF('Journal'!I816="","",'Journal'!I816)</f>
        <v/>
      </c>
    </row>
    <row r="1630">
      <c r="A1630" s="18">
        <f>IF('Journal'!A816="","",'Journal'!A816)</f>
        <v/>
      </c>
      <c r="B1630" s="21">
        <f>IF('Journal'!B816="","",'Journal'!B816)</f>
        <v/>
      </c>
      <c r="C1630" s="5">
        <f>IF('Journal'!C816="","",'Journal'!C816)</f>
        <v/>
      </c>
      <c r="D1630" s="5">
        <f>IF('Journal'!E816="","",IFERROR(LEFT('Journal'!E816,FIND(" ",'Journal'!E816)-1),'Journal'!E816))</f>
        <v/>
      </c>
      <c r="E1630" s="5">
        <f>IF('Journal'!E816="","",IFERROR(INDEX('Kontoplan'!$B$3:$B$302,MATCH('Journal'!E816,'Kontoplan'!$H$3:$H$302,0)),""))</f>
        <v/>
      </c>
      <c r="F1630" s="20">
        <f>IF('Journal'!F816="","",'Journal'!F816)</f>
        <v/>
      </c>
      <c r="G1630" s="20">
        <f>IF('Journal'!G816="","",'Journal'!G816)</f>
        <v/>
      </c>
      <c r="H1630" s="5">
        <f>IF('Journal'!I816="","",'Journal'!I816)</f>
        <v/>
      </c>
    </row>
    <row r="1631">
      <c r="A1631" s="18">
        <f>IF('Journal'!A817="","",'Journal'!A817)</f>
        <v/>
      </c>
      <c r="B1631" s="21">
        <f>IF('Journal'!B817="","",'Journal'!B817)</f>
        <v/>
      </c>
      <c r="C1631" s="5">
        <f>IF('Journal'!C817="","",'Journal'!C817)</f>
        <v/>
      </c>
      <c r="D1631" s="5">
        <f>IF('Journal'!D817="","",IFERROR(LEFT('Journal'!D817,FIND(" ",'Journal'!D817)-1),'Journal'!D817))</f>
        <v/>
      </c>
      <c r="E1631" s="5">
        <f>IF('Journal'!D817="","",IFERROR(INDEX('Kontoplan'!$B$3:$B$302,MATCH('Journal'!D817,'Kontoplan'!$H$3:$H$302,0)),""))</f>
        <v/>
      </c>
      <c r="F1631" s="20">
        <f>IF('Journal'!G817="","",'Journal'!G817)</f>
        <v/>
      </c>
      <c r="G1631" s="20">
        <f>IF('Journal'!F817="","",'Journal'!F817)</f>
        <v/>
      </c>
      <c r="H1631" s="5">
        <f>IF('Journal'!I817="","",'Journal'!I817)</f>
        <v/>
      </c>
    </row>
    <row r="1632">
      <c r="A1632" s="18">
        <f>IF('Journal'!A817="","",'Journal'!A817)</f>
        <v/>
      </c>
      <c r="B1632" s="21">
        <f>IF('Journal'!B817="","",'Journal'!B817)</f>
        <v/>
      </c>
      <c r="C1632" s="5">
        <f>IF('Journal'!C817="","",'Journal'!C817)</f>
        <v/>
      </c>
      <c r="D1632" s="5">
        <f>IF('Journal'!E817="","",IFERROR(LEFT('Journal'!E817,FIND(" ",'Journal'!E817)-1),'Journal'!E817))</f>
        <v/>
      </c>
      <c r="E1632" s="5">
        <f>IF('Journal'!E817="","",IFERROR(INDEX('Kontoplan'!$B$3:$B$302,MATCH('Journal'!E817,'Kontoplan'!$H$3:$H$302,0)),""))</f>
        <v/>
      </c>
      <c r="F1632" s="20">
        <f>IF('Journal'!F817="","",'Journal'!F817)</f>
        <v/>
      </c>
      <c r="G1632" s="20">
        <f>IF('Journal'!G817="","",'Journal'!G817)</f>
        <v/>
      </c>
      <c r="H1632" s="5">
        <f>IF('Journal'!I817="","",'Journal'!I817)</f>
        <v/>
      </c>
    </row>
    <row r="1633">
      <c r="A1633" s="18">
        <f>IF('Journal'!A818="","",'Journal'!A818)</f>
        <v/>
      </c>
      <c r="B1633" s="21">
        <f>IF('Journal'!B818="","",'Journal'!B818)</f>
        <v/>
      </c>
      <c r="C1633" s="5">
        <f>IF('Journal'!C818="","",'Journal'!C818)</f>
        <v/>
      </c>
      <c r="D1633" s="5">
        <f>IF('Journal'!D818="","",IFERROR(LEFT('Journal'!D818,FIND(" ",'Journal'!D818)-1),'Journal'!D818))</f>
        <v/>
      </c>
      <c r="E1633" s="5">
        <f>IF('Journal'!D818="","",IFERROR(INDEX('Kontoplan'!$B$3:$B$302,MATCH('Journal'!D818,'Kontoplan'!$H$3:$H$302,0)),""))</f>
        <v/>
      </c>
      <c r="F1633" s="20">
        <f>IF('Journal'!G818="","",'Journal'!G818)</f>
        <v/>
      </c>
      <c r="G1633" s="20">
        <f>IF('Journal'!F818="","",'Journal'!F818)</f>
        <v/>
      </c>
      <c r="H1633" s="5">
        <f>IF('Journal'!I818="","",'Journal'!I818)</f>
        <v/>
      </c>
    </row>
    <row r="1634">
      <c r="A1634" s="18">
        <f>IF('Journal'!A818="","",'Journal'!A818)</f>
        <v/>
      </c>
      <c r="B1634" s="21">
        <f>IF('Journal'!B818="","",'Journal'!B818)</f>
        <v/>
      </c>
      <c r="C1634" s="5">
        <f>IF('Journal'!C818="","",'Journal'!C818)</f>
        <v/>
      </c>
      <c r="D1634" s="5">
        <f>IF('Journal'!E818="","",IFERROR(LEFT('Journal'!E818,FIND(" ",'Journal'!E818)-1),'Journal'!E818))</f>
        <v/>
      </c>
      <c r="E1634" s="5">
        <f>IF('Journal'!E818="","",IFERROR(INDEX('Kontoplan'!$B$3:$B$302,MATCH('Journal'!E818,'Kontoplan'!$H$3:$H$302,0)),""))</f>
        <v/>
      </c>
      <c r="F1634" s="20">
        <f>IF('Journal'!F818="","",'Journal'!F818)</f>
        <v/>
      </c>
      <c r="G1634" s="20">
        <f>IF('Journal'!G818="","",'Journal'!G818)</f>
        <v/>
      </c>
      <c r="H1634" s="5">
        <f>IF('Journal'!I818="","",'Journal'!I818)</f>
        <v/>
      </c>
    </row>
    <row r="1635">
      <c r="A1635" s="18">
        <f>IF('Journal'!A819="","",'Journal'!A819)</f>
        <v/>
      </c>
      <c r="B1635" s="21">
        <f>IF('Journal'!B819="","",'Journal'!B819)</f>
        <v/>
      </c>
      <c r="C1635" s="5">
        <f>IF('Journal'!C819="","",'Journal'!C819)</f>
        <v/>
      </c>
      <c r="D1635" s="5">
        <f>IF('Journal'!D819="","",IFERROR(LEFT('Journal'!D819,FIND(" ",'Journal'!D819)-1),'Journal'!D819))</f>
        <v/>
      </c>
      <c r="E1635" s="5">
        <f>IF('Journal'!D819="","",IFERROR(INDEX('Kontoplan'!$B$3:$B$302,MATCH('Journal'!D819,'Kontoplan'!$H$3:$H$302,0)),""))</f>
        <v/>
      </c>
      <c r="F1635" s="20">
        <f>IF('Journal'!G819="","",'Journal'!G819)</f>
        <v/>
      </c>
      <c r="G1635" s="20">
        <f>IF('Journal'!F819="","",'Journal'!F819)</f>
        <v/>
      </c>
      <c r="H1635" s="5">
        <f>IF('Journal'!I819="","",'Journal'!I819)</f>
        <v/>
      </c>
    </row>
    <row r="1636">
      <c r="A1636" s="18">
        <f>IF('Journal'!A819="","",'Journal'!A819)</f>
        <v/>
      </c>
      <c r="B1636" s="21">
        <f>IF('Journal'!B819="","",'Journal'!B819)</f>
        <v/>
      </c>
      <c r="C1636" s="5">
        <f>IF('Journal'!C819="","",'Journal'!C819)</f>
        <v/>
      </c>
      <c r="D1636" s="5">
        <f>IF('Journal'!E819="","",IFERROR(LEFT('Journal'!E819,FIND(" ",'Journal'!E819)-1),'Journal'!E819))</f>
        <v/>
      </c>
      <c r="E1636" s="5">
        <f>IF('Journal'!E819="","",IFERROR(INDEX('Kontoplan'!$B$3:$B$302,MATCH('Journal'!E819,'Kontoplan'!$H$3:$H$302,0)),""))</f>
        <v/>
      </c>
      <c r="F1636" s="20">
        <f>IF('Journal'!F819="","",'Journal'!F819)</f>
        <v/>
      </c>
      <c r="G1636" s="20">
        <f>IF('Journal'!G819="","",'Journal'!G819)</f>
        <v/>
      </c>
      <c r="H1636" s="5">
        <f>IF('Journal'!I819="","",'Journal'!I819)</f>
        <v/>
      </c>
    </row>
    <row r="1637">
      <c r="A1637" s="18">
        <f>IF('Journal'!A820="","",'Journal'!A820)</f>
        <v/>
      </c>
      <c r="B1637" s="21">
        <f>IF('Journal'!B820="","",'Journal'!B820)</f>
        <v/>
      </c>
      <c r="C1637" s="5">
        <f>IF('Journal'!C820="","",'Journal'!C820)</f>
        <v/>
      </c>
      <c r="D1637" s="5">
        <f>IF('Journal'!D820="","",IFERROR(LEFT('Journal'!D820,FIND(" ",'Journal'!D820)-1),'Journal'!D820))</f>
        <v/>
      </c>
      <c r="E1637" s="5">
        <f>IF('Journal'!D820="","",IFERROR(INDEX('Kontoplan'!$B$3:$B$302,MATCH('Journal'!D820,'Kontoplan'!$H$3:$H$302,0)),""))</f>
        <v/>
      </c>
      <c r="F1637" s="20">
        <f>IF('Journal'!G820="","",'Journal'!G820)</f>
        <v/>
      </c>
      <c r="G1637" s="20">
        <f>IF('Journal'!F820="","",'Journal'!F820)</f>
        <v/>
      </c>
      <c r="H1637" s="5">
        <f>IF('Journal'!I820="","",'Journal'!I820)</f>
        <v/>
      </c>
    </row>
    <row r="1638">
      <c r="A1638" s="18">
        <f>IF('Journal'!A820="","",'Journal'!A820)</f>
        <v/>
      </c>
      <c r="B1638" s="21">
        <f>IF('Journal'!B820="","",'Journal'!B820)</f>
        <v/>
      </c>
      <c r="C1638" s="5">
        <f>IF('Journal'!C820="","",'Journal'!C820)</f>
        <v/>
      </c>
      <c r="D1638" s="5">
        <f>IF('Journal'!E820="","",IFERROR(LEFT('Journal'!E820,FIND(" ",'Journal'!E820)-1),'Journal'!E820))</f>
        <v/>
      </c>
      <c r="E1638" s="5">
        <f>IF('Journal'!E820="","",IFERROR(INDEX('Kontoplan'!$B$3:$B$302,MATCH('Journal'!E820,'Kontoplan'!$H$3:$H$302,0)),""))</f>
        <v/>
      </c>
      <c r="F1638" s="20">
        <f>IF('Journal'!F820="","",'Journal'!F820)</f>
        <v/>
      </c>
      <c r="G1638" s="20">
        <f>IF('Journal'!G820="","",'Journal'!G820)</f>
        <v/>
      </c>
      <c r="H1638" s="5">
        <f>IF('Journal'!I820="","",'Journal'!I820)</f>
        <v/>
      </c>
    </row>
    <row r="1639">
      <c r="A1639" s="18">
        <f>IF('Journal'!A821="","",'Journal'!A821)</f>
        <v/>
      </c>
      <c r="B1639" s="21">
        <f>IF('Journal'!B821="","",'Journal'!B821)</f>
        <v/>
      </c>
      <c r="C1639" s="5">
        <f>IF('Journal'!C821="","",'Journal'!C821)</f>
        <v/>
      </c>
      <c r="D1639" s="5">
        <f>IF('Journal'!D821="","",IFERROR(LEFT('Journal'!D821,FIND(" ",'Journal'!D821)-1),'Journal'!D821))</f>
        <v/>
      </c>
      <c r="E1639" s="5">
        <f>IF('Journal'!D821="","",IFERROR(INDEX('Kontoplan'!$B$3:$B$302,MATCH('Journal'!D821,'Kontoplan'!$H$3:$H$302,0)),""))</f>
        <v/>
      </c>
      <c r="F1639" s="20">
        <f>IF('Journal'!G821="","",'Journal'!G821)</f>
        <v/>
      </c>
      <c r="G1639" s="20">
        <f>IF('Journal'!F821="","",'Journal'!F821)</f>
        <v/>
      </c>
      <c r="H1639" s="5">
        <f>IF('Journal'!I821="","",'Journal'!I821)</f>
        <v/>
      </c>
    </row>
    <row r="1640">
      <c r="A1640" s="18">
        <f>IF('Journal'!A821="","",'Journal'!A821)</f>
        <v/>
      </c>
      <c r="B1640" s="21">
        <f>IF('Journal'!B821="","",'Journal'!B821)</f>
        <v/>
      </c>
      <c r="C1640" s="5">
        <f>IF('Journal'!C821="","",'Journal'!C821)</f>
        <v/>
      </c>
      <c r="D1640" s="5">
        <f>IF('Journal'!E821="","",IFERROR(LEFT('Journal'!E821,FIND(" ",'Journal'!E821)-1),'Journal'!E821))</f>
        <v/>
      </c>
      <c r="E1640" s="5">
        <f>IF('Journal'!E821="","",IFERROR(INDEX('Kontoplan'!$B$3:$B$302,MATCH('Journal'!E821,'Kontoplan'!$H$3:$H$302,0)),""))</f>
        <v/>
      </c>
      <c r="F1640" s="20">
        <f>IF('Journal'!F821="","",'Journal'!F821)</f>
        <v/>
      </c>
      <c r="G1640" s="20">
        <f>IF('Journal'!G821="","",'Journal'!G821)</f>
        <v/>
      </c>
      <c r="H1640" s="5">
        <f>IF('Journal'!I821="","",'Journal'!I821)</f>
        <v/>
      </c>
    </row>
    <row r="1641">
      <c r="A1641" s="18">
        <f>IF('Journal'!A822="","",'Journal'!A822)</f>
        <v/>
      </c>
      <c r="B1641" s="21">
        <f>IF('Journal'!B822="","",'Journal'!B822)</f>
        <v/>
      </c>
      <c r="C1641" s="5">
        <f>IF('Journal'!C822="","",'Journal'!C822)</f>
        <v/>
      </c>
      <c r="D1641" s="5">
        <f>IF('Journal'!D822="","",IFERROR(LEFT('Journal'!D822,FIND(" ",'Journal'!D822)-1),'Journal'!D822))</f>
        <v/>
      </c>
      <c r="E1641" s="5">
        <f>IF('Journal'!D822="","",IFERROR(INDEX('Kontoplan'!$B$3:$B$302,MATCH('Journal'!D822,'Kontoplan'!$H$3:$H$302,0)),""))</f>
        <v/>
      </c>
      <c r="F1641" s="20">
        <f>IF('Journal'!G822="","",'Journal'!G822)</f>
        <v/>
      </c>
      <c r="G1641" s="20">
        <f>IF('Journal'!F822="","",'Journal'!F822)</f>
        <v/>
      </c>
      <c r="H1641" s="5">
        <f>IF('Journal'!I822="","",'Journal'!I822)</f>
        <v/>
      </c>
    </row>
    <row r="1642">
      <c r="A1642" s="18">
        <f>IF('Journal'!A822="","",'Journal'!A822)</f>
        <v/>
      </c>
      <c r="B1642" s="21">
        <f>IF('Journal'!B822="","",'Journal'!B822)</f>
        <v/>
      </c>
      <c r="C1642" s="5">
        <f>IF('Journal'!C822="","",'Journal'!C822)</f>
        <v/>
      </c>
      <c r="D1642" s="5">
        <f>IF('Journal'!E822="","",IFERROR(LEFT('Journal'!E822,FIND(" ",'Journal'!E822)-1),'Journal'!E822))</f>
        <v/>
      </c>
      <c r="E1642" s="5">
        <f>IF('Journal'!E822="","",IFERROR(INDEX('Kontoplan'!$B$3:$B$302,MATCH('Journal'!E822,'Kontoplan'!$H$3:$H$302,0)),""))</f>
        <v/>
      </c>
      <c r="F1642" s="20">
        <f>IF('Journal'!F822="","",'Journal'!F822)</f>
        <v/>
      </c>
      <c r="G1642" s="20">
        <f>IF('Journal'!G822="","",'Journal'!G822)</f>
        <v/>
      </c>
      <c r="H1642" s="5">
        <f>IF('Journal'!I822="","",'Journal'!I822)</f>
        <v/>
      </c>
    </row>
    <row r="1643">
      <c r="A1643" s="18">
        <f>IF('Journal'!A823="","",'Journal'!A823)</f>
        <v/>
      </c>
      <c r="B1643" s="21">
        <f>IF('Journal'!B823="","",'Journal'!B823)</f>
        <v/>
      </c>
      <c r="C1643" s="5">
        <f>IF('Journal'!C823="","",'Journal'!C823)</f>
        <v/>
      </c>
      <c r="D1643" s="5">
        <f>IF('Journal'!D823="","",IFERROR(LEFT('Journal'!D823,FIND(" ",'Journal'!D823)-1),'Journal'!D823))</f>
        <v/>
      </c>
      <c r="E1643" s="5">
        <f>IF('Journal'!D823="","",IFERROR(INDEX('Kontoplan'!$B$3:$B$302,MATCH('Journal'!D823,'Kontoplan'!$H$3:$H$302,0)),""))</f>
        <v/>
      </c>
      <c r="F1643" s="20">
        <f>IF('Journal'!G823="","",'Journal'!G823)</f>
        <v/>
      </c>
      <c r="G1643" s="20">
        <f>IF('Journal'!F823="","",'Journal'!F823)</f>
        <v/>
      </c>
      <c r="H1643" s="5">
        <f>IF('Journal'!I823="","",'Journal'!I823)</f>
        <v/>
      </c>
    </row>
    <row r="1644">
      <c r="A1644" s="18">
        <f>IF('Journal'!A823="","",'Journal'!A823)</f>
        <v/>
      </c>
      <c r="B1644" s="21">
        <f>IF('Journal'!B823="","",'Journal'!B823)</f>
        <v/>
      </c>
      <c r="C1644" s="5">
        <f>IF('Journal'!C823="","",'Journal'!C823)</f>
        <v/>
      </c>
      <c r="D1644" s="5">
        <f>IF('Journal'!E823="","",IFERROR(LEFT('Journal'!E823,FIND(" ",'Journal'!E823)-1),'Journal'!E823))</f>
        <v/>
      </c>
      <c r="E1644" s="5">
        <f>IF('Journal'!E823="","",IFERROR(INDEX('Kontoplan'!$B$3:$B$302,MATCH('Journal'!E823,'Kontoplan'!$H$3:$H$302,0)),""))</f>
        <v/>
      </c>
      <c r="F1644" s="20">
        <f>IF('Journal'!F823="","",'Journal'!F823)</f>
        <v/>
      </c>
      <c r="G1644" s="20">
        <f>IF('Journal'!G823="","",'Journal'!G823)</f>
        <v/>
      </c>
      <c r="H1644" s="5">
        <f>IF('Journal'!I823="","",'Journal'!I823)</f>
        <v/>
      </c>
    </row>
    <row r="1645">
      <c r="A1645" s="18">
        <f>IF('Journal'!A824="","",'Journal'!A824)</f>
        <v/>
      </c>
      <c r="B1645" s="21">
        <f>IF('Journal'!B824="","",'Journal'!B824)</f>
        <v/>
      </c>
      <c r="C1645" s="5">
        <f>IF('Journal'!C824="","",'Journal'!C824)</f>
        <v/>
      </c>
      <c r="D1645" s="5">
        <f>IF('Journal'!D824="","",IFERROR(LEFT('Journal'!D824,FIND(" ",'Journal'!D824)-1),'Journal'!D824))</f>
        <v/>
      </c>
      <c r="E1645" s="5">
        <f>IF('Journal'!D824="","",IFERROR(INDEX('Kontoplan'!$B$3:$B$302,MATCH('Journal'!D824,'Kontoplan'!$H$3:$H$302,0)),""))</f>
        <v/>
      </c>
      <c r="F1645" s="20">
        <f>IF('Journal'!G824="","",'Journal'!G824)</f>
        <v/>
      </c>
      <c r="G1645" s="20">
        <f>IF('Journal'!F824="","",'Journal'!F824)</f>
        <v/>
      </c>
      <c r="H1645" s="5">
        <f>IF('Journal'!I824="","",'Journal'!I824)</f>
        <v/>
      </c>
    </row>
    <row r="1646">
      <c r="A1646" s="18">
        <f>IF('Journal'!A824="","",'Journal'!A824)</f>
        <v/>
      </c>
      <c r="B1646" s="21">
        <f>IF('Journal'!B824="","",'Journal'!B824)</f>
        <v/>
      </c>
      <c r="C1646" s="5">
        <f>IF('Journal'!C824="","",'Journal'!C824)</f>
        <v/>
      </c>
      <c r="D1646" s="5">
        <f>IF('Journal'!E824="","",IFERROR(LEFT('Journal'!E824,FIND(" ",'Journal'!E824)-1),'Journal'!E824))</f>
        <v/>
      </c>
      <c r="E1646" s="5">
        <f>IF('Journal'!E824="","",IFERROR(INDEX('Kontoplan'!$B$3:$B$302,MATCH('Journal'!E824,'Kontoplan'!$H$3:$H$302,0)),""))</f>
        <v/>
      </c>
      <c r="F1646" s="20">
        <f>IF('Journal'!F824="","",'Journal'!F824)</f>
        <v/>
      </c>
      <c r="G1646" s="20">
        <f>IF('Journal'!G824="","",'Journal'!G824)</f>
        <v/>
      </c>
      <c r="H1646" s="5">
        <f>IF('Journal'!I824="","",'Journal'!I824)</f>
        <v/>
      </c>
    </row>
    <row r="1647">
      <c r="A1647" s="18">
        <f>IF('Journal'!A825="","",'Journal'!A825)</f>
        <v/>
      </c>
      <c r="B1647" s="21">
        <f>IF('Journal'!B825="","",'Journal'!B825)</f>
        <v/>
      </c>
      <c r="C1647" s="5">
        <f>IF('Journal'!C825="","",'Journal'!C825)</f>
        <v/>
      </c>
      <c r="D1647" s="5">
        <f>IF('Journal'!D825="","",IFERROR(LEFT('Journal'!D825,FIND(" ",'Journal'!D825)-1),'Journal'!D825))</f>
        <v/>
      </c>
      <c r="E1647" s="5">
        <f>IF('Journal'!D825="","",IFERROR(INDEX('Kontoplan'!$B$3:$B$302,MATCH('Journal'!D825,'Kontoplan'!$H$3:$H$302,0)),""))</f>
        <v/>
      </c>
      <c r="F1647" s="20">
        <f>IF('Journal'!G825="","",'Journal'!G825)</f>
        <v/>
      </c>
      <c r="G1647" s="20">
        <f>IF('Journal'!F825="","",'Journal'!F825)</f>
        <v/>
      </c>
      <c r="H1647" s="5">
        <f>IF('Journal'!I825="","",'Journal'!I825)</f>
        <v/>
      </c>
    </row>
    <row r="1648">
      <c r="A1648" s="18">
        <f>IF('Journal'!A825="","",'Journal'!A825)</f>
        <v/>
      </c>
      <c r="B1648" s="21">
        <f>IF('Journal'!B825="","",'Journal'!B825)</f>
        <v/>
      </c>
      <c r="C1648" s="5">
        <f>IF('Journal'!C825="","",'Journal'!C825)</f>
        <v/>
      </c>
      <c r="D1648" s="5">
        <f>IF('Journal'!E825="","",IFERROR(LEFT('Journal'!E825,FIND(" ",'Journal'!E825)-1),'Journal'!E825))</f>
        <v/>
      </c>
      <c r="E1648" s="5">
        <f>IF('Journal'!E825="","",IFERROR(INDEX('Kontoplan'!$B$3:$B$302,MATCH('Journal'!E825,'Kontoplan'!$H$3:$H$302,0)),""))</f>
        <v/>
      </c>
      <c r="F1648" s="20">
        <f>IF('Journal'!F825="","",'Journal'!F825)</f>
        <v/>
      </c>
      <c r="G1648" s="20">
        <f>IF('Journal'!G825="","",'Journal'!G825)</f>
        <v/>
      </c>
      <c r="H1648" s="5">
        <f>IF('Journal'!I825="","",'Journal'!I825)</f>
        <v/>
      </c>
    </row>
    <row r="1649">
      <c r="A1649" s="18">
        <f>IF('Journal'!A826="","",'Journal'!A826)</f>
        <v/>
      </c>
      <c r="B1649" s="21">
        <f>IF('Journal'!B826="","",'Journal'!B826)</f>
        <v/>
      </c>
      <c r="C1649" s="5">
        <f>IF('Journal'!C826="","",'Journal'!C826)</f>
        <v/>
      </c>
      <c r="D1649" s="5">
        <f>IF('Journal'!D826="","",IFERROR(LEFT('Journal'!D826,FIND(" ",'Journal'!D826)-1),'Journal'!D826))</f>
        <v/>
      </c>
      <c r="E1649" s="5">
        <f>IF('Journal'!D826="","",IFERROR(INDEX('Kontoplan'!$B$3:$B$302,MATCH('Journal'!D826,'Kontoplan'!$H$3:$H$302,0)),""))</f>
        <v/>
      </c>
      <c r="F1649" s="20">
        <f>IF('Journal'!G826="","",'Journal'!G826)</f>
        <v/>
      </c>
      <c r="G1649" s="20">
        <f>IF('Journal'!F826="","",'Journal'!F826)</f>
        <v/>
      </c>
      <c r="H1649" s="5">
        <f>IF('Journal'!I826="","",'Journal'!I826)</f>
        <v/>
      </c>
    </row>
    <row r="1650">
      <c r="A1650" s="18">
        <f>IF('Journal'!A826="","",'Journal'!A826)</f>
        <v/>
      </c>
      <c r="B1650" s="21">
        <f>IF('Journal'!B826="","",'Journal'!B826)</f>
        <v/>
      </c>
      <c r="C1650" s="5">
        <f>IF('Journal'!C826="","",'Journal'!C826)</f>
        <v/>
      </c>
      <c r="D1650" s="5">
        <f>IF('Journal'!E826="","",IFERROR(LEFT('Journal'!E826,FIND(" ",'Journal'!E826)-1),'Journal'!E826))</f>
        <v/>
      </c>
      <c r="E1650" s="5">
        <f>IF('Journal'!E826="","",IFERROR(INDEX('Kontoplan'!$B$3:$B$302,MATCH('Journal'!E826,'Kontoplan'!$H$3:$H$302,0)),""))</f>
        <v/>
      </c>
      <c r="F1650" s="20">
        <f>IF('Journal'!F826="","",'Journal'!F826)</f>
        <v/>
      </c>
      <c r="G1650" s="20">
        <f>IF('Journal'!G826="","",'Journal'!G826)</f>
        <v/>
      </c>
      <c r="H1650" s="5">
        <f>IF('Journal'!I826="","",'Journal'!I826)</f>
        <v/>
      </c>
    </row>
    <row r="1651">
      <c r="A1651" s="18">
        <f>IF('Journal'!A827="","",'Journal'!A827)</f>
        <v/>
      </c>
      <c r="B1651" s="21">
        <f>IF('Journal'!B827="","",'Journal'!B827)</f>
        <v/>
      </c>
      <c r="C1651" s="5">
        <f>IF('Journal'!C827="","",'Journal'!C827)</f>
        <v/>
      </c>
      <c r="D1651" s="5">
        <f>IF('Journal'!D827="","",IFERROR(LEFT('Journal'!D827,FIND(" ",'Journal'!D827)-1),'Journal'!D827))</f>
        <v/>
      </c>
      <c r="E1651" s="5">
        <f>IF('Journal'!D827="","",IFERROR(INDEX('Kontoplan'!$B$3:$B$302,MATCH('Journal'!D827,'Kontoplan'!$H$3:$H$302,0)),""))</f>
        <v/>
      </c>
      <c r="F1651" s="20">
        <f>IF('Journal'!G827="","",'Journal'!G827)</f>
        <v/>
      </c>
      <c r="G1651" s="20">
        <f>IF('Journal'!F827="","",'Journal'!F827)</f>
        <v/>
      </c>
      <c r="H1651" s="5">
        <f>IF('Journal'!I827="","",'Journal'!I827)</f>
        <v/>
      </c>
    </row>
    <row r="1652">
      <c r="A1652" s="18">
        <f>IF('Journal'!A827="","",'Journal'!A827)</f>
        <v/>
      </c>
      <c r="B1652" s="21">
        <f>IF('Journal'!B827="","",'Journal'!B827)</f>
        <v/>
      </c>
      <c r="C1652" s="5">
        <f>IF('Journal'!C827="","",'Journal'!C827)</f>
        <v/>
      </c>
      <c r="D1652" s="5">
        <f>IF('Journal'!E827="","",IFERROR(LEFT('Journal'!E827,FIND(" ",'Journal'!E827)-1),'Journal'!E827))</f>
        <v/>
      </c>
      <c r="E1652" s="5">
        <f>IF('Journal'!E827="","",IFERROR(INDEX('Kontoplan'!$B$3:$B$302,MATCH('Journal'!E827,'Kontoplan'!$H$3:$H$302,0)),""))</f>
        <v/>
      </c>
      <c r="F1652" s="20">
        <f>IF('Journal'!F827="","",'Journal'!F827)</f>
        <v/>
      </c>
      <c r="G1652" s="20">
        <f>IF('Journal'!G827="","",'Journal'!G827)</f>
        <v/>
      </c>
      <c r="H1652" s="5">
        <f>IF('Journal'!I827="","",'Journal'!I827)</f>
        <v/>
      </c>
    </row>
    <row r="1653">
      <c r="A1653" s="18">
        <f>IF('Journal'!A828="","",'Journal'!A828)</f>
        <v/>
      </c>
      <c r="B1653" s="21">
        <f>IF('Journal'!B828="","",'Journal'!B828)</f>
        <v/>
      </c>
      <c r="C1653" s="5">
        <f>IF('Journal'!C828="","",'Journal'!C828)</f>
        <v/>
      </c>
      <c r="D1653" s="5">
        <f>IF('Journal'!D828="","",IFERROR(LEFT('Journal'!D828,FIND(" ",'Journal'!D828)-1),'Journal'!D828))</f>
        <v/>
      </c>
      <c r="E1653" s="5">
        <f>IF('Journal'!D828="","",IFERROR(INDEX('Kontoplan'!$B$3:$B$302,MATCH('Journal'!D828,'Kontoplan'!$H$3:$H$302,0)),""))</f>
        <v/>
      </c>
      <c r="F1653" s="20">
        <f>IF('Journal'!G828="","",'Journal'!G828)</f>
        <v/>
      </c>
      <c r="G1653" s="20">
        <f>IF('Journal'!F828="","",'Journal'!F828)</f>
        <v/>
      </c>
      <c r="H1653" s="5">
        <f>IF('Journal'!I828="","",'Journal'!I828)</f>
        <v/>
      </c>
    </row>
    <row r="1654">
      <c r="A1654" s="18">
        <f>IF('Journal'!A828="","",'Journal'!A828)</f>
        <v/>
      </c>
      <c r="B1654" s="21">
        <f>IF('Journal'!B828="","",'Journal'!B828)</f>
        <v/>
      </c>
      <c r="C1654" s="5">
        <f>IF('Journal'!C828="","",'Journal'!C828)</f>
        <v/>
      </c>
      <c r="D1654" s="5">
        <f>IF('Journal'!E828="","",IFERROR(LEFT('Journal'!E828,FIND(" ",'Journal'!E828)-1),'Journal'!E828))</f>
        <v/>
      </c>
      <c r="E1654" s="5">
        <f>IF('Journal'!E828="","",IFERROR(INDEX('Kontoplan'!$B$3:$B$302,MATCH('Journal'!E828,'Kontoplan'!$H$3:$H$302,0)),""))</f>
        <v/>
      </c>
      <c r="F1654" s="20">
        <f>IF('Journal'!F828="","",'Journal'!F828)</f>
        <v/>
      </c>
      <c r="G1654" s="20">
        <f>IF('Journal'!G828="","",'Journal'!G828)</f>
        <v/>
      </c>
      <c r="H1654" s="5">
        <f>IF('Journal'!I828="","",'Journal'!I828)</f>
        <v/>
      </c>
    </row>
    <row r="1655">
      <c r="A1655" s="18">
        <f>IF('Journal'!A829="","",'Journal'!A829)</f>
        <v/>
      </c>
      <c r="B1655" s="21">
        <f>IF('Journal'!B829="","",'Journal'!B829)</f>
        <v/>
      </c>
      <c r="C1655" s="5">
        <f>IF('Journal'!C829="","",'Journal'!C829)</f>
        <v/>
      </c>
      <c r="D1655" s="5">
        <f>IF('Journal'!D829="","",IFERROR(LEFT('Journal'!D829,FIND(" ",'Journal'!D829)-1),'Journal'!D829))</f>
        <v/>
      </c>
      <c r="E1655" s="5">
        <f>IF('Journal'!D829="","",IFERROR(INDEX('Kontoplan'!$B$3:$B$302,MATCH('Journal'!D829,'Kontoplan'!$H$3:$H$302,0)),""))</f>
        <v/>
      </c>
      <c r="F1655" s="20">
        <f>IF('Journal'!G829="","",'Journal'!G829)</f>
        <v/>
      </c>
      <c r="G1655" s="20">
        <f>IF('Journal'!F829="","",'Journal'!F829)</f>
        <v/>
      </c>
      <c r="H1655" s="5">
        <f>IF('Journal'!I829="","",'Journal'!I829)</f>
        <v/>
      </c>
    </row>
    <row r="1656">
      <c r="A1656" s="18">
        <f>IF('Journal'!A829="","",'Journal'!A829)</f>
        <v/>
      </c>
      <c r="B1656" s="21">
        <f>IF('Journal'!B829="","",'Journal'!B829)</f>
        <v/>
      </c>
      <c r="C1656" s="5">
        <f>IF('Journal'!C829="","",'Journal'!C829)</f>
        <v/>
      </c>
      <c r="D1656" s="5">
        <f>IF('Journal'!E829="","",IFERROR(LEFT('Journal'!E829,FIND(" ",'Journal'!E829)-1),'Journal'!E829))</f>
        <v/>
      </c>
      <c r="E1656" s="5">
        <f>IF('Journal'!E829="","",IFERROR(INDEX('Kontoplan'!$B$3:$B$302,MATCH('Journal'!E829,'Kontoplan'!$H$3:$H$302,0)),""))</f>
        <v/>
      </c>
      <c r="F1656" s="20">
        <f>IF('Journal'!F829="","",'Journal'!F829)</f>
        <v/>
      </c>
      <c r="G1656" s="20">
        <f>IF('Journal'!G829="","",'Journal'!G829)</f>
        <v/>
      </c>
      <c r="H1656" s="5">
        <f>IF('Journal'!I829="","",'Journal'!I829)</f>
        <v/>
      </c>
    </row>
    <row r="1657">
      <c r="A1657" s="18">
        <f>IF('Journal'!A830="","",'Journal'!A830)</f>
        <v/>
      </c>
      <c r="B1657" s="21">
        <f>IF('Journal'!B830="","",'Journal'!B830)</f>
        <v/>
      </c>
      <c r="C1657" s="5">
        <f>IF('Journal'!C830="","",'Journal'!C830)</f>
        <v/>
      </c>
      <c r="D1657" s="5">
        <f>IF('Journal'!D830="","",IFERROR(LEFT('Journal'!D830,FIND(" ",'Journal'!D830)-1),'Journal'!D830))</f>
        <v/>
      </c>
      <c r="E1657" s="5">
        <f>IF('Journal'!D830="","",IFERROR(INDEX('Kontoplan'!$B$3:$B$302,MATCH('Journal'!D830,'Kontoplan'!$H$3:$H$302,0)),""))</f>
        <v/>
      </c>
      <c r="F1657" s="20">
        <f>IF('Journal'!G830="","",'Journal'!G830)</f>
        <v/>
      </c>
      <c r="G1657" s="20">
        <f>IF('Journal'!F830="","",'Journal'!F830)</f>
        <v/>
      </c>
      <c r="H1657" s="5">
        <f>IF('Journal'!I830="","",'Journal'!I830)</f>
        <v/>
      </c>
    </row>
    <row r="1658">
      <c r="A1658" s="18">
        <f>IF('Journal'!A830="","",'Journal'!A830)</f>
        <v/>
      </c>
      <c r="B1658" s="21">
        <f>IF('Journal'!B830="","",'Journal'!B830)</f>
        <v/>
      </c>
      <c r="C1658" s="5">
        <f>IF('Journal'!C830="","",'Journal'!C830)</f>
        <v/>
      </c>
      <c r="D1658" s="5">
        <f>IF('Journal'!E830="","",IFERROR(LEFT('Journal'!E830,FIND(" ",'Journal'!E830)-1),'Journal'!E830))</f>
        <v/>
      </c>
      <c r="E1658" s="5">
        <f>IF('Journal'!E830="","",IFERROR(INDEX('Kontoplan'!$B$3:$B$302,MATCH('Journal'!E830,'Kontoplan'!$H$3:$H$302,0)),""))</f>
        <v/>
      </c>
      <c r="F1658" s="20">
        <f>IF('Journal'!F830="","",'Journal'!F830)</f>
        <v/>
      </c>
      <c r="G1658" s="20">
        <f>IF('Journal'!G830="","",'Journal'!G830)</f>
        <v/>
      </c>
      <c r="H1658" s="5">
        <f>IF('Journal'!I830="","",'Journal'!I830)</f>
        <v/>
      </c>
    </row>
    <row r="1659">
      <c r="A1659" s="18">
        <f>IF('Journal'!A831="","",'Journal'!A831)</f>
        <v/>
      </c>
      <c r="B1659" s="21">
        <f>IF('Journal'!B831="","",'Journal'!B831)</f>
        <v/>
      </c>
      <c r="C1659" s="5">
        <f>IF('Journal'!C831="","",'Journal'!C831)</f>
        <v/>
      </c>
      <c r="D1659" s="5">
        <f>IF('Journal'!D831="","",IFERROR(LEFT('Journal'!D831,FIND(" ",'Journal'!D831)-1),'Journal'!D831))</f>
        <v/>
      </c>
      <c r="E1659" s="5">
        <f>IF('Journal'!D831="","",IFERROR(INDEX('Kontoplan'!$B$3:$B$302,MATCH('Journal'!D831,'Kontoplan'!$H$3:$H$302,0)),""))</f>
        <v/>
      </c>
      <c r="F1659" s="20">
        <f>IF('Journal'!G831="","",'Journal'!G831)</f>
        <v/>
      </c>
      <c r="G1659" s="20">
        <f>IF('Journal'!F831="","",'Journal'!F831)</f>
        <v/>
      </c>
      <c r="H1659" s="5">
        <f>IF('Journal'!I831="","",'Journal'!I831)</f>
        <v/>
      </c>
    </row>
    <row r="1660">
      <c r="A1660" s="18">
        <f>IF('Journal'!A831="","",'Journal'!A831)</f>
        <v/>
      </c>
      <c r="B1660" s="21">
        <f>IF('Journal'!B831="","",'Journal'!B831)</f>
        <v/>
      </c>
      <c r="C1660" s="5">
        <f>IF('Journal'!C831="","",'Journal'!C831)</f>
        <v/>
      </c>
      <c r="D1660" s="5">
        <f>IF('Journal'!E831="","",IFERROR(LEFT('Journal'!E831,FIND(" ",'Journal'!E831)-1),'Journal'!E831))</f>
        <v/>
      </c>
      <c r="E1660" s="5">
        <f>IF('Journal'!E831="","",IFERROR(INDEX('Kontoplan'!$B$3:$B$302,MATCH('Journal'!E831,'Kontoplan'!$H$3:$H$302,0)),""))</f>
        <v/>
      </c>
      <c r="F1660" s="20">
        <f>IF('Journal'!F831="","",'Journal'!F831)</f>
        <v/>
      </c>
      <c r="G1660" s="20">
        <f>IF('Journal'!G831="","",'Journal'!G831)</f>
        <v/>
      </c>
      <c r="H1660" s="5">
        <f>IF('Journal'!I831="","",'Journal'!I831)</f>
        <v/>
      </c>
    </row>
    <row r="1661">
      <c r="A1661" s="18">
        <f>IF('Journal'!A832="","",'Journal'!A832)</f>
        <v/>
      </c>
      <c r="B1661" s="21">
        <f>IF('Journal'!B832="","",'Journal'!B832)</f>
        <v/>
      </c>
      <c r="C1661" s="5">
        <f>IF('Journal'!C832="","",'Journal'!C832)</f>
        <v/>
      </c>
      <c r="D1661" s="5">
        <f>IF('Journal'!D832="","",IFERROR(LEFT('Journal'!D832,FIND(" ",'Journal'!D832)-1),'Journal'!D832))</f>
        <v/>
      </c>
      <c r="E1661" s="5">
        <f>IF('Journal'!D832="","",IFERROR(INDEX('Kontoplan'!$B$3:$B$302,MATCH('Journal'!D832,'Kontoplan'!$H$3:$H$302,0)),""))</f>
        <v/>
      </c>
      <c r="F1661" s="20">
        <f>IF('Journal'!G832="","",'Journal'!G832)</f>
        <v/>
      </c>
      <c r="G1661" s="20">
        <f>IF('Journal'!F832="","",'Journal'!F832)</f>
        <v/>
      </c>
      <c r="H1661" s="5">
        <f>IF('Journal'!I832="","",'Journal'!I832)</f>
        <v/>
      </c>
    </row>
    <row r="1662">
      <c r="A1662" s="18">
        <f>IF('Journal'!A832="","",'Journal'!A832)</f>
        <v/>
      </c>
      <c r="B1662" s="21">
        <f>IF('Journal'!B832="","",'Journal'!B832)</f>
        <v/>
      </c>
      <c r="C1662" s="5">
        <f>IF('Journal'!C832="","",'Journal'!C832)</f>
        <v/>
      </c>
      <c r="D1662" s="5">
        <f>IF('Journal'!E832="","",IFERROR(LEFT('Journal'!E832,FIND(" ",'Journal'!E832)-1),'Journal'!E832))</f>
        <v/>
      </c>
      <c r="E1662" s="5">
        <f>IF('Journal'!E832="","",IFERROR(INDEX('Kontoplan'!$B$3:$B$302,MATCH('Journal'!E832,'Kontoplan'!$H$3:$H$302,0)),""))</f>
        <v/>
      </c>
      <c r="F1662" s="20">
        <f>IF('Journal'!F832="","",'Journal'!F832)</f>
        <v/>
      </c>
      <c r="G1662" s="20">
        <f>IF('Journal'!G832="","",'Journal'!G832)</f>
        <v/>
      </c>
      <c r="H1662" s="5">
        <f>IF('Journal'!I832="","",'Journal'!I832)</f>
        <v/>
      </c>
    </row>
    <row r="1663">
      <c r="A1663" s="18">
        <f>IF('Journal'!A833="","",'Journal'!A833)</f>
        <v/>
      </c>
      <c r="B1663" s="21">
        <f>IF('Journal'!B833="","",'Journal'!B833)</f>
        <v/>
      </c>
      <c r="C1663" s="5">
        <f>IF('Journal'!C833="","",'Journal'!C833)</f>
        <v/>
      </c>
      <c r="D1663" s="5">
        <f>IF('Journal'!D833="","",IFERROR(LEFT('Journal'!D833,FIND(" ",'Journal'!D833)-1),'Journal'!D833))</f>
        <v/>
      </c>
      <c r="E1663" s="5">
        <f>IF('Journal'!D833="","",IFERROR(INDEX('Kontoplan'!$B$3:$B$302,MATCH('Journal'!D833,'Kontoplan'!$H$3:$H$302,0)),""))</f>
        <v/>
      </c>
      <c r="F1663" s="20">
        <f>IF('Journal'!G833="","",'Journal'!G833)</f>
        <v/>
      </c>
      <c r="G1663" s="20">
        <f>IF('Journal'!F833="","",'Journal'!F833)</f>
        <v/>
      </c>
      <c r="H1663" s="5">
        <f>IF('Journal'!I833="","",'Journal'!I833)</f>
        <v/>
      </c>
    </row>
    <row r="1664">
      <c r="A1664" s="18">
        <f>IF('Journal'!A833="","",'Journal'!A833)</f>
        <v/>
      </c>
      <c r="B1664" s="21">
        <f>IF('Journal'!B833="","",'Journal'!B833)</f>
        <v/>
      </c>
      <c r="C1664" s="5">
        <f>IF('Journal'!C833="","",'Journal'!C833)</f>
        <v/>
      </c>
      <c r="D1664" s="5">
        <f>IF('Journal'!E833="","",IFERROR(LEFT('Journal'!E833,FIND(" ",'Journal'!E833)-1),'Journal'!E833))</f>
        <v/>
      </c>
      <c r="E1664" s="5">
        <f>IF('Journal'!E833="","",IFERROR(INDEX('Kontoplan'!$B$3:$B$302,MATCH('Journal'!E833,'Kontoplan'!$H$3:$H$302,0)),""))</f>
        <v/>
      </c>
      <c r="F1664" s="20">
        <f>IF('Journal'!F833="","",'Journal'!F833)</f>
        <v/>
      </c>
      <c r="G1664" s="20">
        <f>IF('Journal'!G833="","",'Journal'!G833)</f>
        <v/>
      </c>
      <c r="H1664" s="5">
        <f>IF('Journal'!I833="","",'Journal'!I833)</f>
        <v/>
      </c>
    </row>
    <row r="1665">
      <c r="A1665" s="18">
        <f>IF('Journal'!A834="","",'Journal'!A834)</f>
        <v/>
      </c>
      <c r="B1665" s="21">
        <f>IF('Journal'!B834="","",'Journal'!B834)</f>
        <v/>
      </c>
      <c r="C1665" s="5">
        <f>IF('Journal'!C834="","",'Journal'!C834)</f>
        <v/>
      </c>
      <c r="D1665" s="5">
        <f>IF('Journal'!D834="","",IFERROR(LEFT('Journal'!D834,FIND(" ",'Journal'!D834)-1),'Journal'!D834))</f>
        <v/>
      </c>
      <c r="E1665" s="5">
        <f>IF('Journal'!D834="","",IFERROR(INDEX('Kontoplan'!$B$3:$B$302,MATCH('Journal'!D834,'Kontoplan'!$H$3:$H$302,0)),""))</f>
        <v/>
      </c>
      <c r="F1665" s="20">
        <f>IF('Journal'!G834="","",'Journal'!G834)</f>
        <v/>
      </c>
      <c r="G1665" s="20">
        <f>IF('Journal'!F834="","",'Journal'!F834)</f>
        <v/>
      </c>
      <c r="H1665" s="5">
        <f>IF('Journal'!I834="","",'Journal'!I834)</f>
        <v/>
      </c>
    </row>
    <row r="1666">
      <c r="A1666" s="18">
        <f>IF('Journal'!A834="","",'Journal'!A834)</f>
        <v/>
      </c>
      <c r="B1666" s="21">
        <f>IF('Journal'!B834="","",'Journal'!B834)</f>
        <v/>
      </c>
      <c r="C1666" s="5">
        <f>IF('Journal'!C834="","",'Journal'!C834)</f>
        <v/>
      </c>
      <c r="D1666" s="5">
        <f>IF('Journal'!E834="","",IFERROR(LEFT('Journal'!E834,FIND(" ",'Journal'!E834)-1),'Journal'!E834))</f>
        <v/>
      </c>
      <c r="E1666" s="5">
        <f>IF('Journal'!E834="","",IFERROR(INDEX('Kontoplan'!$B$3:$B$302,MATCH('Journal'!E834,'Kontoplan'!$H$3:$H$302,0)),""))</f>
        <v/>
      </c>
      <c r="F1666" s="20">
        <f>IF('Journal'!F834="","",'Journal'!F834)</f>
        <v/>
      </c>
      <c r="G1666" s="20">
        <f>IF('Journal'!G834="","",'Journal'!G834)</f>
        <v/>
      </c>
      <c r="H1666" s="5">
        <f>IF('Journal'!I834="","",'Journal'!I834)</f>
        <v/>
      </c>
    </row>
    <row r="1667">
      <c r="A1667" s="18">
        <f>IF('Journal'!A835="","",'Journal'!A835)</f>
        <v/>
      </c>
      <c r="B1667" s="21">
        <f>IF('Journal'!B835="","",'Journal'!B835)</f>
        <v/>
      </c>
      <c r="C1667" s="5">
        <f>IF('Journal'!C835="","",'Journal'!C835)</f>
        <v/>
      </c>
      <c r="D1667" s="5">
        <f>IF('Journal'!D835="","",IFERROR(LEFT('Journal'!D835,FIND(" ",'Journal'!D835)-1),'Journal'!D835))</f>
        <v/>
      </c>
      <c r="E1667" s="5">
        <f>IF('Journal'!D835="","",IFERROR(INDEX('Kontoplan'!$B$3:$B$302,MATCH('Journal'!D835,'Kontoplan'!$H$3:$H$302,0)),""))</f>
        <v/>
      </c>
      <c r="F1667" s="20">
        <f>IF('Journal'!G835="","",'Journal'!G835)</f>
        <v/>
      </c>
      <c r="G1667" s="20">
        <f>IF('Journal'!F835="","",'Journal'!F835)</f>
        <v/>
      </c>
      <c r="H1667" s="5">
        <f>IF('Journal'!I835="","",'Journal'!I835)</f>
        <v/>
      </c>
    </row>
    <row r="1668">
      <c r="A1668" s="18">
        <f>IF('Journal'!A835="","",'Journal'!A835)</f>
        <v/>
      </c>
      <c r="B1668" s="21">
        <f>IF('Journal'!B835="","",'Journal'!B835)</f>
        <v/>
      </c>
      <c r="C1668" s="5">
        <f>IF('Journal'!C835="","",'Journal'!C835)</f>
        <v/>
      </c>
      <c r="D1668" s="5">
        <f>IF('Journal'!E835="","",IFERROR(LEFT('Journal'!E835,FIND(" ",'Journal'!E835)-1),'Journal'!E835))</f>
        <v/>
      </c>
      <c r="E1668" s="5">
        <f>IF('Journal'!E835="","",IFERROR(INDEX('Kontoplan'!$B$3:$B$302,MATCH('Journal'!E835,'Kontoplan'!$H$3:$H$302,0)),""))</f>
        <v/>
      </c>
      <c r="F1668" s="20">
        <f>IF('Journal'!F835="","",'Journal'!F835)</f>
        <v/>
      </c>
      <c r="G1668" s="20">
        <f>IF('Journal'!G835="","",'Journal'!G835)</f>
        <v/>
      </c>
      <c r="H1668" s="5">
        <f>IF('Journal'!I835="","",'Journal'!I835)</f>
        <v/>
      </c>
    </row>
    <row r="1669">
      <c r="A1669" s="18">
        <f>IF('Journal'!A836="","",'Journal'!A836)</f>
        <v/>
      </c>
      <c r="B1669" s="21">
        <f>IF('Journal'!B836="","",'Journal'!B836)</f>
        <v/>
      </c>
      <c r="C1669" s="5">
        <f>IF('Journal'!C836="","",'Journal'!C836)</f>
        <v/>
      </c>
      <c r="D1669" s="5">
        <f>IF('Journal'!D836="","",IFERROR(LEFT('Journal'!D836,FIND(" ",'Journal'!D836)-1),'Journal'!D836))</f>
        <v/>
      </c>
      <c r="E1669" s="5">
        <f>IF('Journal'!D836="","",IFERROR(INDEX('Kontoplan'!$B$3:$B$302,MATCH('Journal'!D836,'Kontoplan'!$H$3:$H$302,0)),""))</f>
        <v/>
      </c>
      <c r="F1669" s="20">
        <f>IF('Journal'!G836="","",'Journal'!G836)</f>
        <v/>
      </c>
      <c r="G1669" s="20">
        <f>IF('Journal'!F836="","",'Journal'!F836)</f>
        <v/>
      </c>
      <c r="H1669" s="5">
        <f>IF('Journal'!I836="","",'Journal'!I836)</f>
        <v/>
      </c>
    </row>
    <row r="1670">
      <c r="A1670" s="18">
        <f>IF('Journal'!A836="","",'Journal'!A836)</f>
        <v/>
      </c>
      <c r="B1670" s="21">
        <f>IF('Journal'!B836="","",'Journal'!B836)</f>
        <v/>
      </c>
      <c r="C1670" s="5">
        <f>IF('Journal'!C836="","",'Journal'!C836)</f>
        <v/>
      </c>
      <c r="D1670" s="5">
        <f>IF('Journal'!E836="","",IFERROR(LEFT('Journal'!E836,FIND(" ",'Journal'!E836)-1),'Journal'!E836))</f>
        <v/>
      </c>
      <c r="E1670" s="5">
        <f>IF('Journal'!E836="","",IFERROR(INDEX('Kontoplan'!$B$3:$B$302,MATCH('Journal'!E836,'Kontoplan'!$H$3:$H$302,0)),""))</f>
        <v/>
      </c>
      <c r="F1670" s="20">
        <f>IF('Journal'!F836="","",'Journal'!F836)</f>
        <v/>
      </c>
      <c r="G1670" s="20">
        <f>IF('Journal'!G836="","",'Journal'!G836)</f>
        <v/>
      </c>
      <c r="H1670" s="5">
        <f>IF('Journal'!I836="","",'Journal'!I836)</f>
        <v/>
      </c>
    </row>
    <row r="1671">
      <c r="A1671" s="18">
        <f>IF('Journal'!A837="","",'Journal'!A837)</f>
        <v/>
      </c>
      <c r="B1671" s="21">
        <f>IF('Journal'!B837="","",'Journal'!B837)</f>
        <v/>
      </c>
      <c r="C1671" s="5">
        <f>IF('Journal'!C837="","",'Journal'!C837)</f>
        <v/>
      </c>
      <c r="D1671" s="5">
        <f>IF('Journal'!D837="","",IFERROR(LEFT('Journal'!D837,FIND(" ",'Journal'!D837)-1),'Journal'!D837))</f>
        <v/>
      </c>
      <c r="E1671" s="5">
        <f>IF('Journal'!D837="","",IFERROR(INDEX('Kontoplan'!$B$3:$B$302,MATCH('Journal'!D837,'Kontoplan'!$H$3:$H$302,0)),""))</f>
        <v/>
      </c>
      <c r="F1671" s="20">
        <f>IF('Journal'!G837="","",'Journal'!G837)</f>
        <v/>
      </c>
      <c r="G1671" s="20">
        <f>IF('Journal'!F837="","",'Journal'!F837)</f>
        <v/>
      </c>
      <c r="H1671" s="5">
        <f>IF('Journal'!I837="","",'Journal'!I837)</f>
        <v/>
      </c>
    </row>
    <row r="1672">
      <c r="A1672" s="18">
        <f>IF('Journal'!A837="","",'Journal'!A837)</f>
        <v/>
      </c>
      <c r="B1672" s="21">
        <f>IF('Journal'!B837="","",'Journal'!B837)</f>
        <v/>
      </c>
      <c r="C1672" s="5">
        <f>IF('Journal'!C837="","",'Journal'!C837)</f>
        <v/>
      </c>
      <c r="D1672" s="5">
        <f>IF('Journal'!E837="","",IFERROR(LEFT('Journal'!E837,FIND(" ",'Journal'!E837)-1),'Journal'!E837))</f>
        <v/>
      </c>
      <c r="E1672" s="5">
        <f>IF('Journal'!E837="","",IFERROR(INDEX('Kontoplan'!$B$3:$B$302,MATCH('Journal'!E837,'Kontoplan'!$H$3:$H$302,0)),""))</f>
        <v/>
      </c>
      <c r="F1672" s="20">
        <f>IF('Journal'!F837="","",'Journal'!F837)</f>
        <v/>
      </c>
      <c r="G1672" s="20">
        <f>IF('Journal'!G837="","",'Journal'!G837)</f>
        <v/>
      </c>
      <c r="H1672" s="5">
        <f>IF('Journal'!I837="","",'Journal'!I837)</f>
        <v/>
      </c>
    </row>
    <row r="1673">
      <c r="A1673" s="18">
        <f>IF('Journal'!A838="","",'Journal'!A838)</f>
        <v/>
      </c>
      <c r="B1673" s="21">
        <f>IF('Journal'!B838="","",'Journal'!B838)</f>
        <v/>
      </c>
      <c r="C1673" s="5">
        <f>IF('Journal'!C838="","",'Journal'!C838)</f>
        <v/>
      </c>
      <c r="D1673" s="5">
        <f>IF('Journal'!D838="","",IFERROR(LEFT('Journal'!D838,FIND(" ",'Journal'!D838)-1),'Journal'!D838))</f>
        <v/>
      </c>
      <c r="E1673" s="5">
        <f>IF('Journal'!D838="","",IFERROR(INDEX('Kontoplan'!$B$3:$B$302,MATCH('Journal'!D838,'Kontoplan'!$H$3:$H$302,0)),""))</f>
        <v/>
      </c>
      <c r="F1673" s="20">
        <f>IF('Journal'!G838="","",'Journal'!G838)</f>
        <v/>
      </c>
      <c r="G1673" s="20">
        <f>IF('Journal'!F838="","",'Journal'!F838)</f>
        <v/>
      </c>
      <c r="H1673" s="5">
        <f>IF('Journal'!I838="","",'Journal'!I838)</f>
        <v/>
      </c>
    </row>
    <row r="1674">
      <c r="A1674" s="18">
        <f>IF('Journal'!A838="","",'Journal'!A838)</f>
        <v/>
      </c>
      <c r="B1674" s="21">
        <f>IF('Journal'!B838="","",'Journal'!B838)</f>
        <v/>
      </c>
      <c r="C1674" s="5">
        <f>IF('Journal'!C838="","",'Journal'!C838)</f>
        <v/>
      </c>
      <c r="D1674" s="5">
        <f>IF('Journal'!E838="","",IFERROR(LEFT('Journal'!E838,FIND(" ",'Journal'!E838)-1),'Journal'!E838))</f>
        <v/>
      </c>
      <c r="E1674" s="5">
        <f>IF('Journal'!E838="","",IFERROR(INDEX('Kontoplan'!$B$3:$B$302,MATCH('Journal'!E838,'Kontoplan'!$H$3:$H$302,0)),""))</f>
        <v/>
      </c>
      <c r="F1674" s="20">
        <f>IF('Journal'!F838="","",'Journal'!F838)</f>
        <v/>
      </c>
      <c r="G1674" s="20">
        <f>IF('Journal'!G838="","",'Journal'!G838)</f>
        <v/>
      </c>
      <c r="H1674" s="5">
        <f>IF('Journal'!I838="","",'Journal'!I838)</f>
        <v/>
      </c>
    </row>
    <row r="1675">
      <c r="A1675" s="18">
        <f>IF('Journal'!A839="","",'Journal'!A839)</f>
        <v/>
      </c>
      <c r="B1675" s="21">
        <f>IF('Journal'!B839="","",'Journal'!B839)</f>
        <v/>
      </c>
      <c r="C1675" s="5">
        <f>IF('Journal'!C839="","",'Journal'!C839)</f>
        <v/>
      </c>
      <c r="D1675" s="5">
        <f>IF('Journal'!D839="","",IFERROR(LEFT('Journal'!D839,FIND(" ",'Journal'!D839)-1),'Journal'!D839))</f>
        <v/>
      </c>
      <c r="E1675" s="5">
        <f>IF('Journal'!D839="","",IFERROR(INDEX('Kontoplan'!$B$3:$B$302,MATCH('Journal'!D839,'Kontoplan'!$H$3:$H$302,0)),""))</f>
        <v/>
      </c>
      <c r="F1675" s="20">
        <f>IF('Journal'!G839="","",'Journal'!G839)</f>
        <v/>
      </c>
      <c r="G1675" s="20">
        <f>IF('Journal'!F839="","",'Journal'!F839)</f>
        <v/>
      </c>
      <c r="H1675" s="5">
        <f>IF('Journal'!I839="","",'Journal'!I839)</f>
        <v/>
      </c>
    </row>
    <row r="1676">
      <c r="A1676" s="18">
        <f>IF('Journal'!A839="","",'Journal'!A839)</f>
        <v/>
      </c>
      <c r="B1676" s="21">
        <f>IF('Journal'!B839="","",'Journal'!B839)</f>
        <v/>
      </c>
      <c r="C1676" s="5">
        <f>IF('Journal'!C839="","",'Journal'!C839)</f>
        <v/>
      </c>
      <c r="D1676" s="5">
        <f>IF('Journal'!E839="","",IFERROR(LEFT('Journal'!E839,FIND(" ",'Journal'!E839)-1),'Journal'!E839))</f>
        <v/>
      </c>
      <c r="E1676" s="5">
        <f>IF('Journal'!E839="","",IFERROR(INDEX('Kontoplan'!$B$3:$B$302,MATCH('Journal'!E839,'Kontoplan'!$H$3:$H$302,0)),""))</f>
        <v/>
      </c>
      <c r="F1676" s="20">
        <f>IF('Journal'!F839="","",'Journal'!F839)</f>
        <v/>
      </c>
      <c r="G1676" s="20">
        <f>IF('Journal'!G839="","",'Journal'!G839)</f>
        <v/>
      </c>
      <c r="H1676" s="5">
        <f>IF('Journal'!I839="","",'Journal'!I839)</f>
        <v/>
      </c>
    </row>
    <row r="1677">
      <c r="A1677" s="18">
        <f>IF('Journal'!A840="","",'Journal'!A840)</f>
        <v/>
      </c>
      <c r="B1677" s="21">
        <f>IF('Journal'!B840="","",'Journal'!B840)</f>
        <v/>
      </c>
      <c r="C1677" s="5">
        <f>IF('Journal'!C840="","",'Journal'!C840)</f>
        <v/>
      </c>
      <c r="D1677" s="5">
        <f>IF('Journal'!D840="","",IFERROR(LEFT('Journal'!D840,FIND(" ",'Journal'!D840)-1),'Journal'!D840))</f>
        <v/>
      </c>
      <c r="E1677" s="5">
        <f>IF('Journal'!D840="","",IFERROR(INDEX('Kontoplan'!$B$3:$B$302,MATCH('Journal'!D840,'Kontoplan'!$H$3:$H$302,0)),""))</f>
        <v/>
      </c>
      <c r="F1677" s="20">
        <f>IF('Journal'!G840="","",'Journal'!G840)</f>
        <v/>
      </c>
      <c r="G1677" s="20">
        <f>IF('Journal'!F840="","",'Journal'!F840)</f>
        <v/>
      </c>
      <c r="H1677" s="5">
        <f>IF('Journal'!I840="","",'Journal'!I840)</f>
        <v/>
      </c>
    </row>
    <row r="1678">
      <c r="A1678" s="18">
        <f>IF('Journal'!A840="","",'Journal'!A840)</f>
        <v/>
      </c>
      <c r="B1678" s="21">
        <f>IF('Journal'!B840="","",'Journal'!B840)</f>
        <v/>
      </c>
      <c r="C1678" s="5">
        <f>IF('Journal'!C840="","",'Journal'!C840)</f>
        <v/>
      </c>
      <c r="D1678" s="5">
        <f>IF('Journal'!E840="","",IFERROR(LEFT('Journal'!E840,FIND(" ",'Journal'!E840)-1),'Journal'!E840))</f>
        <v/>
      </c>
      <c r="E1678" s="5">
        <f>IF('Journal'!E840="","",IFERROR(INDEX('Kontoplan'!$B$3:$B$302,MATCH('Journal'!E840,'Kontoplan'!$H$3:$H$302,0)),""))</f>
        <v/>
      </c>
      <c r="F1678" s="20">
        <f>IF('Journal'!F840="","",'Journal'!F840)</f>
        <v/>
      </c>
      <c r="G1678" s="20">
        <f>IF('Journal'!G840="","",'Journal'!G840)</f>
        <v/>
      </c>
      <c r="H1678" s="5">
        <f>IF('Journal'!I840="","",'Journal'!I840)</f>
        <v/>
      </c>
    </row>
    <row r="1679">
      <c r="A1679" s="18">
        <f>IF('Journal'!A841="","",'Journal'!A841)</f>
        <v/>
      </c>
      <c r="B1679" s="21">
        <f>IF('Journal'!B841="","",'Journal'!B841)</f>
        <v/>
      </c>
      <c r="C1679" s="5">
        <f>IF('Journal'!C841="","",'Journal'!C841)</f>
        <v/>
      </c>
      <c r="D1679" s="5">
        <f>IF('Journal'!D841="","",IFERROR(LEFT('Journal'!D841,FIND(" ",'Journal'!D841)-1),'Journal'!D841))</f>
        <v/>
      </c>
      <c r="E1679" s="5">
        <f>IF('Journal'!D841="","",IFERROR(INDEX('Kontoplan'!$B$3:$B$302,MATCH('Journal'!D841,'Kontoplan'!$H$3:$H$302,0)),""))</f>
        <v/>
      </c>
      <c r="F1679" s="20">
        <f>IF('Journal'!G841="","",'Journal'!G841)</f>
        <v/>
      </c>
      <c r="G1679" s="20">
        <f>IF('Journal'!F841="","",'Journal'!F841)</f>
        <v/>
      </c>
      <c r="H1679" s="5">
        <f>IF('Journal'!I841="","",'Journal'!I841)</f>
        <v/>
      </c>
    </row>
    <row r="1680">
      <c r="A1680" s="18">
        <f>IF('Journal'!A841="","",'Journal'!A841)</f>
        <v/>
      </c>
      <c r="B1680" s="21">
        <f>IF('Journal'!B841="","",'Journal'!B841)</f>
        <v/>
      </c>
      <c r="C1680" s="5">
        <f>IF('Journal'!C841="","",'Journal'!C841)</f>
        <v/>
      </c>
      <c r="D1680" s="5">
        <f>IF('Journal'!E841="","",IFERROR(LEFT('Journal'!E841,FIND(" ",'Journal'!E841)-1),'Journal'!E841))</f>
        <v/>
      </c>
      <c r="E1680" s="5">
        <f>IF('Journal'!E841="","",IFERROR(INDEX('Kontoplan'!$B$3:$B$302,MATCH('Journal'!E841,'Kontoplan'!$H$3:$H$302,0)),""))</f>
        <v/>
      </c>
      <c r="F1680" s="20">
        <f>IF('Journal'!F841="","",'Journal'!F841)</f>
        <v/>
      </c>
      <c r="G1680" s="20">
        <f>IF('Journal'!G841="","",'Journal'!G841)</f>
        <v/>
      </c>
      <c r="H1680" s="5">
        <f>IF('Journal'!I841="","",'Journal'!I841)</f>
        <v/>
      </c>
    </row>
    <row r="1681">
      <c r="A1681" s="18">
        <f>IF('Journal'!A842="","",'Journal'!A842)</f>
        <v/>
      </c>
      <c r="B1681" s="21">
        <f>IF('Journal'!B842="","",'Journal'!B842)</f>
        <v/>
      </c>
      <c r="C1681" s="5">
        <f>IF('Journal'!C842="","",'Journal'!C842)</f>
        <v/>
      </c>
      <c r="D1681" s="5">
        <f>IF('Journal'!D842="","",IFERROR(LEFT('Journal'!D842,FIND(" ",'Journal'!D842)-1),'Journal'!D842))</f>
        <v/>
      </c>
      <c r="E1681" s="5">
        <f>IF('Journal'!D842="","",IFERROR(INDEX('Kontoplan'!$B$3:$B$302,MATCH('Journal'!D842,'Kontoplan'!$H$3:$H$302,0)),""))</f>
        <v/>
      </c>
      <c r="F1681" s="20">
        <f>IF('Journal'!G842="","",'Journal'!G842)</f>
        <v/>
      </c>
      <c r="G1681" s="20">
        <f>IF('Journal'!F842="","",'Journal'!F842)</f>
        <v/>
      </c>
      <c r="H1681" s="5">
        <f>IF('Journal'!I842="","",'Journal'!I842)</f>
        <v/>
      </c>
    </row>
    <row r="1682">
      <c r="A1682" s="18">
        <f>IF('Journal'!A842="","",'Journal'!A842)</f>
        <v/>
      </c>
      <c r="B1682" s="21">
        <f>IF('Journal'!B842="","",'Journal'!B842)</f>
        <v/>
      </c>
      <c r="C1682" s="5">
        <f>IF('Journal'!C842="","",'Journal'!C842)</f>
        <v/>
      </c>
      <c r="D1682" s="5">
        <f>IF('Journal'!E842="","",IFERROR(LEFT('Journal'!E842,FIND(" ",'Journal'!E842)-1),'Journal'!E842))</f>
        <v/>
      </c>
      <c r="E1682" s="5">
        <f>IF('Journal'!E842="","",IFERROR(INDEX('Kontoplan'!$B$3:$B$302,MATCH('Journal'!E842,'Kontoplan'!$H$3:$H$302,0)),""))</f>
        <v/>
      </c>
      <c r="F1682" s="20">
        <f>IF('Journal'!F842="","",'Journal'!F842)</f>
        <v/>
      </c>
      <c r="G1682" s="20">
        <f>IF('Journal'!G842="","",'Journal'!G842)</f>
        <v/>
      </c>
      <c r="H1682" s="5">
        <f>IF('Journal'!I842="","",'Journal'!I842)</f>
        <v/>
      </c>
    </row>
    <row r="1683">
      <c r="A1683" s="18">
        <f>IF('Journal'!A843="","",'Journal'!A843)</f>
        <v/>
      </c>
      <c r="B1683" s="21">
        <f>IF('Journal'!B843="","",'Journal'!B843)</f>
        <v/>
      </c>
      <c r="C1683" s="5">
        <f>IF('Journal'!C843="","",'Journal'!C843)</f>
        <v/>
      </c>
      <c r="D1683" s="5">
        <f>IF('Journal'!D843="","",IFERROR(LEFT('Journal'!D843,FIND(" ",'Journal'!D843)-1),'Journal'!D843))</f>
        <v/>
      </c>
      <c r="E1683" s="5">
        <f>IF('Journal'!D843="","",IFERROR(INDEX('Kontoplan'!$B$3:$B$302,MATCH('Journal'!D843,'Kontoplan'!$H$3:$H$302,0)),""))</f>
        <v/>
      </c>
      <c r="F1683" s="20">
        <f>IF('Journal'!G843="","",'Journal'!G843)</f>
        <v/>
      </c>
      <c r="G1683" s="20">
        <f>IF('Journal'!F843="","",'Journal'!F843)</f>
        <v/>
      </c>
      <c r="H1683" s="5">
        <f>IF('Journal'!I843="","",'Journal'!I843)</f>
        <v/>
      </c>
    </row>
    <row r="1684">
      <c r="A1684" s="18">
        <f>IF('Journal'!A843="","",'Journal'!A843)</f>
        <v/>
      </c>
      <c r="B1684" s="21">
        <f>IF('Journal'!B843="","",'Journal'!B843)</f>
        <v/>
      </c>
      <c r="C1684" s="5">
        <f>IF('Journal'!C843="","",'Journal'!C843)</f>
        <v/>
      </c>
      <c r="D1684" s="5">
        <f>IF('Journal'!E843="","",IFERROR(LEFT('Journal'!E843,FIND(" ",'Journal'!E843)-1),'Journal'!E843))</f>
        <v/>
      </c>
      <c r="E1684" s="5">
        <f>IF('Journal'!E843="","",IFERROR(INDEX('Kontoplan'!$B$3:$B$302,MATCH('Journal'!E843,'Kontoplan'!$H$3:$H$302,0)),""))</f>
        <v/>
      </c>
      <c r="F1684" s="20">
        <f>IF('Journal'!F843="","",'Journal'!F843)</f>
        <v/>
      </c>
      <c r="G1684" s="20">
        <f>IF('Journal'!G843="","",'Journal'!G843)</f>
        <v/>
      </c>
      <c r="H1684" s="5">
        <f>IF('Journal'!I843="","",'Journal'!I843)</f>
        <v/>
      </c>
    </row>
    <row r="1685">
      <c r="A1685" s="18">
        <f>IF('Journal'!A844="","",'Journal'!A844)</f>
        <v/>
      </c>
      <c r="B1685" s="21">
        <f>IF('Journal'!B844="","",'Journal'!B844)</f>
        <v/>
      </c>
      <c r="C1685" s="5">
        <f>IF('Journal'!C844="","",'Journal'!C844)</f>
        <v/>
      </c>
      <c r="D1685" s="5">
        <f>IF('Journal'!D844="","",IFERROR(LEFT('Journal'!D844,FIND(" ",'Journal'!D844)-1),'Journal'!D844))</f>
        <v/>
      </c>
      <c r="E1685" s="5">
        <f>IF('Journal'!D844="","",IFERROR(INDEX('Kontoplan'!$B$3:$B$302,MATCH('Journal'!D844,'Kontoplan'!$H$3:$H$302,0)),""))</f>
        <v/>
      </c>
      <c r="F1685" s="20">
        <f>IF('Journal'!G844="","",'Journal'!G844)</f>
        <v/>
      </c>
      <c r="G1685" s="20">
        <f>IF('Journal'!F844="","",'Journal'!F844)</f>
        <v/>
      </c>
      <c r="H1685" s="5">
        <f>IF('Journal'!I844="","",'Journal'!I844)</f>
        <v/>
      </c>
    </row>
    <row r="1686">
      <c r="A1686" s="18">
        <f>IF('Journal'!A844="","",'Journal'!A844)</f>
        <v/>
      </c>
      <c r="B1686" s="21">
        <f>IF('Journal'!B844="","",'Journal'!B844)</f>
        <v/>
      </c>
      <c r="C1686" s="5">
        <f>IF('Journal'!C844="","",'Journal'!C844)</f>
        <v/>
      </c>
      <c r="D1686" s="5">
        <f>IF('Journal'!E844="","",IFERROR(LEFT('Journal'!E844,FIND(" ",'Journal'!E844)-1),'Journal'!E844))</f>
        <v/>
      </c>
      <c r="E1686" s="5">
        <f>IF('Journal'!E844="","",IFERROR(INDEX('Kontoplan'!$B$3:$B$302,MATCH('Journal'!E844,'Kontoplan'!$H$3:$H$302,0)),""))</f>
        <v/>
      </c>
      <c r="F1686" s="20">
        <f>IF('Journal'!F844="","",'Journal'!F844)</f>
        <v/>
      </c>
      <c r="G1686" s="20">
        <f>IF('Journal'!G844="","",'Journal'!G844)</f>
        <v/>
      </c>
      <c r="H1686" s="5">
        <f>IF('Journal'!I844="","",'Journal'!I844)</f>
        <v/>
      </c>
    </row>
    <row r="1687">
      <c r="A1687" s="18">
        <f>IF('Journal'!A845="","",'Journal'!A845)</f>
        <v/>
      </c>
      <c r="B1687" s="21">
        <f>IF('Journal'!B845="","",'Journal'!B845)</f>
        <v/>
      </c>
      <c r="C1687" s="5">
        <f>IF('Journal'!C845="","",'Journal'!C845)</f>
        <v/>
      </c>
      <c r="D1687" s="5">
        <f>IF('Journal'!D845="","",IFERROR(LEFT('Journal'!D845,FIND(" ",'Journal'!D845)-1),'Journal'!D845))</f>
        <v/>
      </c>
      <c r="E1687" s="5">
        <f>IF('Journal'!D845="","",IFERROR(INDEX('Kontoplan'!$B$3:$B$302,MATCH('Journal'!D845,'Kontoplan'!$H$3:$H$302,0)),""))</f>
        <v/>
      </c>
      <c r="F1687" s="20">
        <f>IF('Journal'!G845="","",'Journal'!G845)</f>
        <v/>
      </c>
      <c r="G1687" s="20">
        <f>IF('Journal'!F845="","",'Journal'!F845)</f>
        <v/>
      </c>
      <c r="H1687" s="5">
        <f>IF('Journal'!I845="","",'Journal'!I845)</f>
        <v/>
      </c>
    </row>
    <row r="1688">
      <c r="A1688" s="18">
        <f>IF('Journal'!A845="","",'Journal'!A845)</f>
        <v/>
      </c>
      <c r="B1688" s="21">
        <f>IF('Journal'!B845="","",'Journal'!B845)</f>
        <v/>
      </c>
      <c r="C1688" s="5">
        <f>IF('Journal'!C845="","",'Journal'!C845)</f>
        <v/>
      </c>
      <c r="D1688" s="5">
        <f>IF('Journal'!E845="","",IFERROR(LEFT('Journal'!E845,FIND(" ",'Journal'!E845)-1),'Journal'!E845))</f>
        <v/>
      </c>
      <c r="E1688" s="5">
        <f>IF('Journal'!E845="","",IFERROR(INDEX('Kontoplan'!$B$3:$B$302,MATCH('Journal'!E845,'Kontoplan'!$H$3:$H$302,0)),""))</f>
        <v/>
      </c>
      <c r="F1688" s="20">
        <f>IF('Journal'!F845="","",'Journal'!F845)</f>
        <v/>
      </c>
      <c r="G1688" s="20">
        <f>IF('Journal'!G845="","",'Journal'!G845)</f>
        <v/>
      </c>
      <c r="H1688" s="5">
        <f>IF('Journal'!I845="","",'Journal'!I845)</f>
        <v/>
      </c>
    </row>
    <row r="1689">
      <c r="A1689" s="18">
        <f>IF('Journal'!A846="","",'Journal'!A846)</f>
        <v/>
      </c>
      <c r="B1689" s="21">
        <f>IF('Journal'!B846="","",'Journal'!B846)</f>
        <v/>
      </c>
      <c r="C1689" s="5">
        <f>IF('Journal'!C846="","",'Journal'!C846)</f>
        <v/>
      </c>
      <c r="D1689" s="5">
        <f>IF('Journal'!D846="","",IFERROR(LEFT('Journal'!D846,FIND(" ",'Journal'!D846)-1),'Journal'!D846))</f>
        <v/>
      </c>
      <c r="E1689" s="5">
        <f>IF('Journal'!D846="","",IFERROR(INDEX('Kontoplan'!$B$3:$B$302,MATCH('Journal'!D846,'Kontoplan'!$H$3:$H$302,0)),""))</f>
        <v/>
      </c>
      <c r="F1689" s="20">
        <f>IF('Journal'!G846="","",'Journal'!G846)</f>
        <v/>
      </c>
      <c r="G1689" s="20">
        <f>IF('Journal'!F846="","",'Journal'!F846)</f>
        <v/>
      </c>
      <c r="H1689" s="5">
        <f>IF('Journal'!I846="","",'Journal'!I846)</f>
        <v/>
      </c>
    </row>
    <row r="1690">
      <c r="A1690" s="18">
        <f>IF('Journal'!A846="","",'Journal'!A846)</f>
        <v/>
      </c>
      <c r="B1690" s="21">
        <f>IF('Journal'!B846="","",'Journal'!B846)</f>
        <v/>
      </c>
      <c r="C1690" s="5">
        <f>IF('Journal'!C846="","",'Journal'!C846)</f>
        <v/>
      </c>
      <c r="D1690" s="5">
        <f>IF('Journal'!E846="","",IFERROR(LEFT('Journal'!E846,FIND(" ",'Journal'!E846)-1),'Journal'!E846))</f>
        <v/>
      </c>
      <c r="E1690" s="5">
        <f>IF('Journal'!E846="","",IFERROR(INDEX('Kontoplan'!$B$3:$B$302,MATCH('Journal'!E846,'Kontoplan'!$H$3:$H$302,0)),""))</f>
        <v/>
      </c>
      <c r="F1690" s="20">
        <f>IF('Journal'!F846="","",'Journal'!F846)</f>
        <v/>
      </c>
      <c r="G1690" s="20">
        <f>IF('Journal'!G846="","",'Journal'!G846)</f>
        <v/>
      </c>
      <c r="H1690" s="5">
        <f>IF('Journal'!I846="","",'Journal'!I846)</f>
        <v/>
      </c>
    </row>
    <row r="1691">
      <c r="A1691" s="18">
        <f>IF('Journal'!A847="","",'Journal'!A847)</f>
        <v/>
      </c>
      <c r="B1691" s="21">
        <f>IF('Journal'!B847="","",'Journal'!B847)</f>
        <v/>
      </c>
      <c r="C1691" s="5">
        <f>IF('Journal'!C847="","",'Journal'!C847)</f>
        <v/>
      </c>
      <c r="D1691" s="5">
        <f>IF('Journal'!D847="","",IFERROR(LEFT('Journal'!D847,FIND(" ",'Journal'!D847)-1),'Journal'!D847))</f>
        <v/>
      </c>
      <c r="E1691" s="5">
        <f>IF('Journal'!D847="","",IFERROR(INDEX('Kontoplan'!$B$3:$B$302,MATCH('Journal'!D847,'Kontoplan'!$H$3:$H$302,0)),""))</f>
        <v/>
      </c>
      <c r="F1691" s="20">
        <f>IF('Journal'!G847="","",'Journal'!G847)</f>
        <v/>
      </c>
      <c r="G1691" s="20">
        <f>IF('Journal'!F847="","",'Journal'!F847)</f>
        <v/>
      </c>
      <c r="H1691" s="5">
        <f>IF('Journal'!I847="","",'Journal'!I847)</f>
        <v/>
      </c>
    </row>
    <row r="1692">
      <c r="A1692" s="18">
        <f>IF('Journal'!A847="","",'Journal'!A847)</f>
        <v/>
      </c>
      <c r="B1692" s="21">
        <f>IF('Journal'!B847="","",'Journal'!B847)</f>
        <v/>
      </c>
      <c r="C1692" s="5">
        <f>IF('Journal'!C847="","",'Journal'!C847)</f>
        <v/>
      </c>
      <c r="D1692" s="5">
        <f>IF('Journal'!E847="","",IFERROR(LEFT('Journal'!E847,FIND(" ",'Journal'!E847)-1),'Journal'!E847))</f>
        <v/>
      </c>
      <c r="E1692" s="5">
        <f>IF('Journal'!E847="","",IFERROR(INDEX('Kontoplan'!$B$3:$B$302,MATCH('Journal'!E847,'Kontoplan'!$H$3:$H$302,0)),""))</f>
        <v/>
      </c>
      <c r="F1692" s="20">
        <f>IF('Journal'!F847="","",'Journal'!F847)</f>
        <v/>
      </c>
      <c r="G1692" s="20">
        <f>IF('Journal'!G847="","",'Journal'!G847)</f>
        <v/>
      </c>
      <c r="H1692" s="5">
        <f>IF('Journal'!I847="","",'Journal'!I847)</f>
        <v/>
      </c>
    </row>
    <row r="1693">
      <c r="A1693" s="18">
        <f>IF('Journal'!A848="","",'Journal'!A848)</f>
        <v/>
      </c>
      <c r="B1693" s="21">
        <f>IF('Journal'!B848="","",'Journal'!B848)</f>
        <v/>
      </c>
      <c r="C1693" s="5">
        <f>IF('Journal'!C848="","",'Journal'!C848)</f>
        <v/>
      </c>
      <c r="D1693" s="5">
        <f>IF('Journal'!D848="","",IFERROR(LEFT('Journal'!D848,FIND(" ",'Journal'!D848)-1),'Journal'!D848))</f>
        <v/>
      </c>
      <c r="E1693" s="5">
        <f>IF('Journal'!D848="","",IFERROR(INDEX('Kontoplan'!$B$3:$B$302,MATCH('Journal'!D848,'Kontoplan'!$H$3:$H$302,0)),""))</f>
        <v/>
      </c>
      <c r="F1693" s="20">
        <f>IF('Journal'!G848="","",'Journal'!G848)</f>
        <v/>
      </c>
      <c r="G1693" s="20">
        <f>IF('Journal'!F848="","",'Journal'!F848)</f>
        <v/>
      </c>
      <c r="H1693" s="5">
        <f>IF('Journal'!I848="","",'Journal'!I848)</f>
        <v/>
      </c>
    </row>
    <row r="1694">
      <c r="A1694" s="18">
        <f>IF('Journal'!A848="","",'Journal'!A848)</f>
        <v/>
      </c>
      <c r="B1694" s="21">
        <f>IF('Journal'!B848="","",'Journal'!B848)</f>
        <v/>
      </c>
      <c r="C1694" s="5">
        <f>IF('Journal'!C848="","",'Journal'!C848)</f>
        <v/>
      </c>
      <c r="D1694" s="5">
        <f>IF('Journal'!E848="","",IFERROR(LEFT('Journal'!E848,FIND(" ",'Journal'!E848)-1),'Journal'!E848))</f>
        <v/>
      </c>
      <c r="E1694" s="5">
        <f>IF('Journal'!E848="","",IFERROR(INDEX('Kontoplan'!$B$3:$B$302,MATCH('Journal'!E848,'Kontoplan'!$H$3:$H$302,0)),""))</f>
        <v/>
      </c>
      <c r="F1694" s="20">
        <f>IF('Journal'!F848="","",'Journal'!F848)</f>
        <v/>
      </c>
      <c r="G1694" s="20">
        <f>IF('Journal'!G848="","",'Journal'!G848)</f>
        <v/>
      </c>
      <c r="H1694" s="5">
        <f>IF('Journal'!I848="","",'Journal'!I848)</f>
        <v/>
      </c>
    </row>
    <row r="1695">
      <c r="A1695" s="18">
        <f>IF('Journal'!A849="","",'Journal'!A849)</f>
        <v/>
      </c>
      <c r="B1695" s="21">
        <f>IF('Journal'!B849="","",'Journal'!B849)</f>
        <v/>
      </c>
      <c r="C1695" s="5">
        <f>IF('Journal'!C849="","",'Journal'!C849)</f>
        <v/>
      </c>
      <c r="D1695" s="5">
        <f>IF('Journal'!D849="","",IFERROR(LEFT('Journal'!D849,FIND(" ",'Journal'!D849)-1),'Journal'!D849))</f>
        <v/>
      </c>
      <c r="E1695" s="5">
        <f>IF('Journal'!D849="","",IFERROR(INDEX('Kontoplan'!$B$3:$B$302,MATCH('Journal'!D849,'Kontoplan'!$H$3:$H$302,0)),""))</f>
        <v/>
      </c>
      <c r="F1695" s="20">
        <f>IF('Journal'!G849="","",'Journal'!G849)</f>
        <v/>
      </c>
      <c r="G1695" s="20">
        <f>IF('Journal'!F849="","",'Journal'!F849)</f>
        <v/>
      </c>
      <c r="H1695" s="5">
        <f>IF('Journal'!I849="","",'Journal'!I849)</f>
        <v/>
      </c>
    </row>
    <row r="1696">
      <c r="A1696" s="18">
        <f>IF('Journal'!A849="","",'Journal'!A849)</f>
        <v/>
      </c>
      <c r="B1696" s="21">
        <f>IF('Journal'!B849="","",'Journal'!B849)</f>
        <v/>
      </c>
      <c r="C1696" s="5">
        <f>IF('Journal'!C849="","",'Journal'!C849)</f>
        <v/>
      </c>
      <c r="D1696" s="5">
        <f>IF('Journal'!E849="","",IFERROR(LEFT('Journal'!E849,FIND(" ",'Journal'!E849)-1),'Journal'!E849))</f>
        <v/>
      </c>
      <c r="E1696" s="5">
        <f>IF('Journal'!E849="","",IFERROR(INDEX('Kontoplan'!$B$3:$B$302,MATCH('Journal'!E849,'Kontoplan'!$H$3:$H$302,0)),""))</f>
        <v/>
      </c>
      <c r="F1696" s="20">
        <f>IF('Journal'!F849="","",'Journal'!F849)</f>
        <v/>
      </c>
      <c r="G1696" s="20">
        <f>IF('Journal'!G849="","",'Journal'!G849)</f>
        <v/>
      </c>
      <c r="H1696" s="5">
        <f>IF('Journal'!I849="","",'Journal'!I849)</f>
        <v/>
      </c>
    </row>
    <row r="1697">
      <c r="A1697" s="18">
        <f>IF('Journal'!A850="","",'Journal'!A850)</f>
        <v/>
      </c>
      <c r="B1697" s="21">
        <f>IF('Journal'!B850="","",'Journal'!B850)</f>
        <v/>
      </c>
      <c r="C1697" s="5">
        <f>IF('Journal'!C850="","",'Journal'!C850)</f>
        <v/>
      </c>
      <c r="D1697" s="5">
        <f>IF('Journal'!D850="","",IFERROR(LEFT('Journal'!D850,FIND(" ",'Journal'!D850)-1),'Journal'!D850))</f>
        <v/>
      </c>
      <c r="E1697" s="5">
        <f>IF('Journal'!D850="","",IFERROR(INDEX('Kontoplan'!$B$3:$B$302,MATCH('Journal'!D850,'Kontoplan'!$H$3:$H$302,0)),""))</f>
        <v/>
      </c>
      <c r="F1697" s="20">
        <f>IF('Journal'!G850="","",'Journal'!G850)</f>
        <v/>
      </c>
      <c r="G1697" s="20">
        <f>IF('Journal'!F850="","",'Journal'!F850)</f>
        <v/>
      </c>
      <c r="H1697" s="5">
        <f>IF('Journal'!I850="","",'Journal'!I850)</f>
        <v/>
      </c>
    </row>
    <row r="1698">
      <c r="A1698" s="18">
        <f>IF('Journal'!A850="","",'Journal'!A850)</f>
        <v/>
      </c>
      <c r="B1698" s="21">
        <f>IF('Journal'!B850="","",'Journal'!B850)</f>
        <v/>
      </c>
      <c r="C1698" s="5">
        <f>IF('Journal'!C850="","",'Journal'!C850)</f>
        <v/>
      </c>
      <c r="D1698" s="5">
        <f>IF('Journal'!E850="","",IFERROR(LEFT('Journal'!E850,FIND(" ",'Journal'!E850)-1),'Journal'!E850))</f>
        <v/>
      </c>
      <c r="E1698" s="5">
        <f>IF('Journal'!E850="","",IFERROR(INDEX('Kontoplan'!$B$3:$B$302,MATCH('Journal'!E850,'Kontoplan'!$H$3:$H$302,0)),""))</f>
        <v/>
      </c>
      <c r="F1698" s="20">
        <f>IF('Journal'!F850="","",'Journal'!F850)</f>
        <v/>
      </c>
      <c r="G1698" s="20">
        <f>IF('Journal'!G850="","",'Journal'!G850)</f>
        <v/>
      </c>
      <c r="H1698" s="5">
        <f>IF('Journal'!I850="","",'Journal'!I850)</f>
        <v/>
      </c>
    </row>
    <row r="1699">
      <c r="A1699" s="18">
        <f>IF('Journal'!A851="","",'Journal'!A851)</f>
        <v/>
      </c>
      <c r="B1699" s="21">
        <f>IF('Journal'!B851="","",'Journal'!B851)</f>
        <v/>
      </c>
      <c r="C1699" s="5">
        <f>IF('Journal'!C851="","",'Journal'!C851)</f>
        <v/>
      </c>
      <c r="D1699" s="5">
        <f>IF('Journal'!D851="","",IFERROR(LEFT('Journal'!D851,FIND(" ",'Journal'!D851)-1),'Journal'!D851))</f>
        <v/>
      </c>
      <c r="E1699" s="5">
        <f>IF('Journal'!D851="","",IFERROR(INDEX('Kontoplan'!$B$3:$B$302,MATCH('Journal'!D851,'Kontoplan'!$H$3:$H$302,0)),""))</f>
        <v/>
      </c>
      <c r="F1699" s="20">
        <f>IF('Journal'!G851="","",'Journal'!G851)</f>
        <v/>
      </c>
      <c r="G1699" s="20">
        <f>IF('Journal'!F851="","",'Journal'!F851)</f>
        <v/>
      </c>
      <c r="H1699" s="5">
        <f>IF('Journal'!I851="","",'Journal'!I851)</f>
        <v/>
      </c>
    </row>
    <row r="1700">
      <c r="A1700" s="18">
        <f>IF('Journal'!A851="","",'Journal'!A851)</f>
        <v/>
      </c>
      <c r="B1700" s="21">
        <f>IF('Journal'!B851="","",'Journal'!B851)</f>
        <v/>
      </c>
      <c r="C1700" s="5">
        <f>IF('Journal'!C851="","",'Journal'!C851)</f>
        <v/>
      </c>
      <c r="D1700" s="5">
        <f>IF('Journal'!E851="","",IFERROR(LEFT('Journal'!E851,FIND(" ",'Journal'!E851)-1),'Journal'!E851))</f>
        <v/>
      </c>
      <c r="E1700" s="5">
        <f>IF('Journal'!E851="","",IFERROR(INDEX('Kontoplan'!$B$3:$B$302,MATCH('Journal'!E851,'Kontoplan'!$H$3:$H$302,0)),""))</f>
        <v/>
      </c>
      <c r="F1700" s="20">
        <f>IF('Journal'!F851="","",'Journal'!F851)</f>
        <v/>
      </c>
      <c r="G1700" s="20">
        <f>IF('Journal'!G851="","",'Journal'!G851)</f>
        <v/>
      </c>
      <c r="H1700" s="5">
        <f>IF('Journal'!I851="","",'Journal'!I851)</f>
        <v/>
      </c>
    </row>
    <row r="1701">
      <c r="A1701" s="18">
        <f>IF('Journal'!A852="","",'Journal'!A852)</f>
        <v/>
      </c>
      <c r="B1701" s="21">
        <f>IF('Journal'!B852="","",'Journal'!B852)</f>
        <v/>
      </c>
      <c r="C1701" s="5">
        <f>IF('Journal'!C852="","",'Journal'!C852)</f>
        <v/>
      </c>
      <c r="D1701" s="5">
        <f>IF('Journal'!D852="","",IFERROR(LEFT('Journal'!D852,FIND(" ",'Journal'!D852)-1),'Journal'!D852))</f>
        <v/>
      </c>
      <c r="E1701" s="5">
        <f>IF('Journal'!D852="","",IFERROR(INDEX('Kontoplan'!$B$3:$B$302,MATCH('Journal'!D852,'Kontoplan'!$H$3:$H$302,0)),""))</f>
        <v/>
      </c>
      <c r="F1701" s="20">
        <f>IF('Journal'!G852="","",'Journal'!G852)</f>
        <v/>
      </c>
      <c r="G1701" s="20">
        <f>IF('Journal'!F852="","",'Journal'!F852)</f>
        <v/>
      </c>
      <c r="H1701" s="5">
        <f>IF('Journal'!I852="","",'Journal'!I852)</f>
        <v/>
      </c>
    </row>
    <row r="1702">
      <c r="A1702" s="18">
        <f>IF('Journal'!A852="","",'Journal'!A852)</f>
        <v/>
      </c>
      <c r="B1702" s="21">
        <f>IF('Journal'!B852="","",'Journal'!B852)</f>
        <v/>
      </c>
      <c r="C1702" s="5">
        <f>IF('Journal'!C852="","",'Journal'!C852)</f>
        <v/>
      </c>
      <c r="D1702" s="5">
        <f>IF('Journal'!E852="","",IFERROR(LEFT('Journal'!E852,FIND(" ",'Journal'!E852)-1),'Journal'!E852))</f>
        <v/>
      </c>
      <c r="E1702" s="5">
        <f>IF('Journal'!E852="","",IFERROR(INDEX('Kontoplan'!$B$3:$B$302,MATCH('Journal'!E852,'Kontoplan'!$H$3:$H$302,0)),""))</f>
        <v/>
      </c>
      <c r="F1702" s="20">
        <f>IF('Journal'!F852="","",'Journal'!F852)</f>
        <v/>
      </c>
      <c r="G1702" s="20">
        <f>IF('Journal'!G852="","",'Journal'!G852)</f>
        <v/>
      </c>
      <c r="H1702" s="5">
        <f>IF('Journal'!I852="","",'Journal'!I852)</f>
        <v/>
      </c>
    </row>
    <row r="1703">
      <c r="A1703" s="18">
        <f>IF('Journal'!A853="","",'Journal'!A853)</f>
        <v/>
      </c>
      <c r="B1703" s="21">
        <f>IF('Journal'!B853="","",'Journal'!B853)</f>
        <v/>
      </c>
      <c r="C1703" s="5">
        <f>IF('Journal'!C853="","",'Journal'!C853)</f>
        <v/>
      </c>
      <c r="D1703" s="5">
        <f>IF('Journal'!D853="","",IFERROR(LEFT('Journal'!D853,FIND(" ",'Journal'!D853)-1),'Journal'!D853))</f>
        <v/>
      </c>
      <c r="E1703" s="5">
        <f>IF('Journal'!D853="","",IFERROR(INDEX('Kontoplan'!$B$3:$B$302,MATCH('Journal'!D853,'Kontoplan'!$H$3:$H$302,0)),""))</f>
        <v/>
      </c>
      <c r="F1703" s="20">
        <f>IF('Journal'!G853="","",'Journal'!G853)</f>
        <v/>
      </c>
      <c r="G1703" s="20">
        <f>IF('Journal'!F853="","",'Journal'!F853)</f>
        <v/>
      </c>
      <c r="H1703" s="5">
        <f>IF('Journal'!I853="","",'Journal'!I853)</f>
        <v/>
      </c>
    </row>
    <row r="1704">
      <c r="A1704" s="18">
        <f>IF('Journal'!A853="","",'Journal'!A853)</f>
        <v/>
      </c>
      <c r="B1704" s="21">
        <f>IF('Journal'!B853="","",'Journal'!B853)</f>
        <v/>
      </c>
      <c r="C1704" s="5">
        <f>IF('Journal'!C853="","",'Journal'!C853)</f>
        <v/>
      </c>
      <c r="D1704" s="5">
        <f>IF('Journal'!E853="","",IFERROR(LEFT('Journal'!E853,FIND(" ",'Journal'!E853)-1),'Journal'!E853))</f>
        <v/>
      </c>
      <c r="E1704" s="5">
        <f>IF('Journal'!E853="","",IFERROR(INDEX('Kontoplan'!$B$3:$B$302,MATCH('Journal'!E853,'Kontoplan'!$H$3:$H$302,0)),""))</f>
        <v/>
      </c>
      <c r="F1704" s="20">
        <f>IF('Journal'!F853="","",'Journal'!F853)</f>
        <v/>
      </c>
      <c r="G1704" s="20">
        <f>IF('Journal'!G853="","",'Journal'!G853)</f>
        <v/>
      </c>
      <c r="H1704" s="5">
        <f>IF('Journal'!I853="","",'Journal'!I853)</f>
        <v/>
      </c>
    </row>
    <row r="1705">
      <c r="A1705" s="18">
        <f>IF('Journal'!A854="","",'Journal'!A854)</f>
        <v/>
      </c>
      <c r="B1705" s="21">
        <f>IF('Journal'!B854="","",'Journal'!B854)</f>
        <v/>
      </c>
      <c r="C1705" s="5">
        <f>IF('Journal'!C854="","",'Journal'!C854)</f>
        <v/>
      </c>
      <c r="D1705" s="5">
        <f>IF('Journal'!D854="","",IFERROR(LEFT('Journal'!D854,FIND(" ",'Journal'!D854)-1),'Journal'!D854))</f>
        <v/>
      </c>
      <c r="E1705" s="5">
        <f>IF('Journal'!D854="","",IFERROR(INDEX('Kontoplan'!$B$3:$B$302,MATCH('Journal'!D854,'Kontoplan'!$H$3:$H$302,0)),""))</f>
        <v/>
      </c>
      <c r="F1705" s="20">
        <f>IF('Journal'!G854="","",'Journal'!G854)</f>
        <v/>
      </c>
      <c r="G1705" s="20">
        <f>IF('Journal'!F854="","",'Journal'!F854)</f>
        <v/>
      </c>
      <c r="H1705" s="5">
        <f>IF('Journal'!I854="","",'Journal'!I854)</f>
        <v/>
      </c>
    </row>
    <row r="1706">
      <c r="A1706" s="18">
        <f>IF('Journal'!A854="","",'Journal'!A854)</f>
        <v/>
      </c>
      <c r="B1706" s="21">
        <f>IF('Journal'!B854="","",'Journal'!B854)</f>
        <v/>
      </c>
      <c r="C1706" s="5">
        <f>IF('Journal'!C854="","",'Journal'!C854)</f>
        <v/>
      </c>
      <c r="D1706" s="5">
        <f>IF('Journal'!E854="","",IFERROR(LEFT('Journal'!E854,FIND(" ",'Journal'!E854)-1),'Journal'!E854))</f>
        <v/>
      </c>
      <c r="E1706" s="5">
        <f>IF('Journal'!E854="","",IFERROR(INDEX('Kontoplan'!$B$3:$B$302,MATCH('Journal'!E854,'Kontoplan'!$H$3:$H$302,0)),""))</f>
        <v/>
      </c>
      <c r="F1706" s="20">
        <f>IF('Journal'!F854="","",'Journal'!F854)</f>
        <v/>
      </c>
      <c r="G1706" s="20">
        <f>IF('Journal'!G854="","",'Journal'!G854)</f>
        <v/>
      </c>
      <c r="H1706" s="5">
        <f>IF('Journal'!I854="","",'Journal'!I854)</f>
        <v/>
      </c>
    </row>
    <row r="1707">
      <c r="A1707" s="18">
        <f>IF('Journal'!A855="","",'Journal'!A855)</f>
        <v/>
      </c>
      <c r="B1707" s="21">
        <f>IF('Journal'!B855="","",'Journal'!B855)</f>
        <v/>
      </c>
      <c r="C1707" s="5">
        <f>IF('Journal'!C855="","",'Journal'!C855)</f>
        <v/>
      </c>
      <c r="D1707" s="5">
        <f>IF('Journal'!D855="","",IFERROR(LEFT('Journal'!D855,FIND(" ",'Journal'!D855)-1),'Journal'!D855))</f>
        <v/>
      </c>
      <c r="E1707" s="5">
        <f>IF('Journal'!D855="","",IFERROR(INDEX('Kontoplan'!$B$3:$B$302,MATCH('Journal'!D855,'Kontoplan'!$H$3:$H$302,0)),""))</f>
        <v/>
      </c>
      <c r="F1707" s="20">
        <f>IF('Journal'!G855="","",'Journal'!G855)</f>
        <v/>
      </c>
      <c r="G1707" s="20">
        <f>IF('Journal'!F855="","",'Journal'!F855)</f>
        <v/>
      </c>
      <c r="H1707" s="5">
        <f>IF('Journal'!I855="","",'Journal'!I855)</f>
        <v/>
      </c>
    </row>
    <row r="1708">
      <c r="A1708" s="18">
        <f>IF('Journal'!A855="","",'Journal'!A855)</f>
        <v/>
      </c>
      <c r="B1708" s="21">
        <f>IF('Journal'!B855="","",'Journal'!B855)</f>
        <v/>
      </c>
      <c r="C1708" s="5">
        <f>IF('Journal'!C855="","",'Journal'!C855)</f>
        <v/>
      </c>
      <c r="D1708" s="5">
        <f>IF('Journal'!E855="","",IFERROR(LEFT('Journal'!E855,FIND(" ",'Journal'!E855)-1),'Journal'!E855))</f>
        <v/>
      </c>
      <c r="E1708" s="5">
        <f>IF('Journal'!E855="","",IFERROR(INDEX('Kontoplan'!$B$3:$B$302,MATCH('Journal'!E855,'Kontoplan'!$H$3:$H$302,0)),""))</f>
        <v/>
      </c>
      <c r="F1708" s="20">
        <f>IF('Journal'!F855="","",'Journal'!F855)</f>
        <v/>
      </c>
      <c r="G1708" s="20">
        <f>IF('Journal'!G855="","",'Journal'!G855)</f>
        <v/>
      </c>
      <c r="H1708" s="5">
        <f>IF('Journal'!I855="","",'Journal'!I855)</f>
        <v/>
      </c>
    </row>
    <row r="1709">
      <c r="A1709" s="18">
        <f>IF('Journal'!A856="","",'Journal'!A856)</f>
        <v/>
      </c>
      <c r="B1709" s="21">
        <f>IF('Journal'!B856="","",'Journal'!B856)</f>
        <v/>
      </c>
      <c r="C1709" s="5">
        <f>IF('Journal'!C856="","",'Journal'!C856)</f>
        <v/>
      </c>
      <c r="D1709" s="5">
        <f>IF('Journal'!D856="","",IFERROR(LEFT('Journal'!D856,FIND(" ",'Journal'!D856)-1),'Journal'!D856))</f>
        <v/>
      </c>
      <c r="E1709" s="5">
        <f>IF('Journal'!D856="","",IFERROR(INDEX('Kontoplan'!$B$3:$B$302,MATCH('Journal'!D856,'Kontoplan'!$H$3:$H$302,0)),""))</f>
        <v/>
      </c>
      <c r="F1709" s="20">
        <f>IF('Journal'!G856="","",'Journal'!G856)</f>
        <v/>
      </c>
      <c r="G1709" s="20">
        <f>IF('Journal'!F856="","",'Journal'!F856)</f>
        <v/>
      </c>
      <c r="H1709" s="5">
        <f>IF('Journal'!I856="","",'Journal'!I856)</f>
        <v/>
      </c>
    </row>
    <row r="1710">
      <c r="A1710" s="18">
        <f>IF('Journal'!A856="","",'Journal'!A856)</f>
        <v/>
      </c>
      <c r="B1710" s="21">
        <f>IF('Journal'!B856="","",'Journal'!B856)</f>
        <v/>
      </c>
      <c r="C1710" s="5">
        <f>IF('Journal'!C856="","",'Journal'!C856)</f>
        <v/>
      </c>
      <c r="D1710" s="5">
        <f>IF('Journal'!E856="","",IFERROR(LEFT('Journal'!E856,FIND(" ",'Journal'!E856)-1),'Journal'!E856))</f>
        <v/>
      </c>
      <c r="E1710" s="5">
        <f>IF('Journal'!E856="","",IFERROR(INDEX('Kontoplan'!$B$3:$B$302,MATCH('Journal'!E856,'Kontoplan'!$H$3:$H$302,0)),""))</f>
        <v/>
      </c>
      <c r="F1710" s="20">
        <f>IF('Journal'!F856="","",'Journal'!F856)</f>
        <v/>
      </c>
      <c r="G1710" s="20">
        <f>IF('Journal'!G856="","",'Journal'!G856)</f>
        <v/>
      </c>
      <c r="H1710" s="5">
        <f>IF('Journal'!I856="","",'Journal'!I856)</f>
        <v/>
      </c>
    </row>
    <row r="1711">
      <c r="A1711" s="18">
        <f>IF('Journal'!A857="","",'Journal'!A857)</f>
        <v/>
      </c>
      <c r="B1711" s="21">
        <f>IF('Journal'!B857="","",'Journal'!B857)</f>
        <v/>
      </c>
      <c r="C1711" s="5">
        <f>IF('Journal'!C857="","",'Journal'!C857)</f>
        <v/>
      </c>
      <c r="D1711" s="5">
        <f>IF('Journal'!D857="","",IFERROR(LEFT('Journal'!D857,FIND(" ",'Journal'!D857)-1),'Journal'!D857))</f>
        <v/>
      </c>
      <c r="E1711" s="5">
        <f>IF('Journal'!D857="","",IFERROR(INDEX('Kontoplan'!$B$3:$B$302,MATCH('Journal'!D857,'Kontoplan'!$H$3:$H$302,0)),""))</f>
        <v/>
      </c>
      <c r="F1711" s="20">
        <f>IF('Journal'!G857="","",'Journal'!G857)</f>
        <v/>
      </c>
      <c r="G1711" s="20">
        <f>IF('Journal'!F857="","",'Journal'!F857)</f>
        <v/>
      </c>
      <c r="H1711" s="5">
        <f>IF('Journal'!I857="","",'Journal'!I857)</f>
        <v/>
      </c>
    </row>
    <row r="1712">
      <c r="A1712" s="18">
        <f>IF('Journal'!A857="","",'Journal'!A857)</f>
        <v/>
      </c>
      <c r="B1712" s="21">
        <f>IF('Journal'!B857="","",'Journal'!B857)</f>
        <v/>
      </c>
      <c r="C1712" s="5">
        <f>IF('Journal'!C857="","",'Journal'!C857)</f>
        <v/>
      </c>
      <c r="D1712" s="5">
        <f>IF('Journal'!E857="","",IFERROR(LEFT('Journal'!E857,FIND(" ",'Journal'!E857)-1),'Journal'!E857))</f>
        <v/>
      </c>
      <c r="E1712" s="5">
        <f>IF('Journal'!E857="","",IFERROR(INDEX('Kontoplan'!$B$3:$B$302,MATCH('Journal'!E857,'Kontoplan'!$H$3:$H$302,0)),""))</f>
        <v/>
      </c>
      <c r="F1712" s="20">
        <f>IF('Journal'!F857="","",'Journal'!F857)</f>
        <v/>
      </c>
      <c r="G1712" s="20">
        <f>IF('Journal'!G857="","",'Journal'!G857)</f>
        <v/>
      </c>
      <c r="H1712" s="5">
        <f>IF('Journal'!I857="","",'Journal'!I857)</f>
        <v/>
      </c>
    </row>
    <row r="1713">
      <c r="A1713" s="18">
        <f>IF('Journal'!A858="","",'Journal'!A858)</f>
        <v/>
      </c>
      <c r="B1713" s="21">
        <f>IF('Journal'!B858="","",'Journal'!B858)</f>
        <v/>
      </c>
      <c r="C1713" s="5">
        <f>IF('Journal'!C858="","",'Journal'!C858)</f>
        <v/>
      </c>
      <c r="D1713" s="5">
        <f>IF('Journal'!D858="","",IFERROR(LEFT('Journal'!D858,FIND(" ",'Journal'!D858)-1),'Journal'!D858))</f>
        <v/>
      </c>
      <c r="E1713" s="5">
        <f>IF('Journal'!D858="","",IFERROR(INDEX('Kontoplan'!$B$3:$B$302,MATCH('Journal'!D858,'Kontoplan'!$H$3:$H$302,0)),""))</f>
        <v/>
      </c>
      <c r="F1713" s="20">
        <f>IF('Journal'!G858="","",'Journal'!G858)</f>
        <v/>
      </c>
      <c r="G1713" s="20">
        <f>IF('Journal'!F858="","",'Journal'!F858)</f>
        <v/>
      </c>
      <c r="H1713" s="5">
        <f>IF('Journal'!I858="","",'Journal'!I858)</f>
        <v/>
      </c>
    </row>
    <row r="1714">
      <c r="A1714" s="18">
        <f>IF('Journal'!A858="","",'Journal'!A858)</f>
        <v/>
      </c>
      <c r="B1714" s="21">
        <f>IF('Journal'!B858="","",'Journal'!B858)</f>
        <v/>
      </c>
      <c r="C1714" s="5">
        <f>IF('Journal'!C858="","",'Journal'!C858)</f>
        <v/>
      </c>
      <c r="D1714" s="5">
        <f>IF('Journal'!E858="","",IFERROR(LEFT('Journal'!E858,FIND(" ",'Journal'!E858)-1),'Journal'!E858))</f>
        <v/>
      </c>
      <c r="E1714" s="5">
        <f>IF('Journal'!E858="","",IFERROR(INDEX('Kontoplan'!$B$3:$B$302,MATCH('Journal'!E858,'Kontoplan'!$H$3:$H$302,0)),""))</f>
        <v/>
      </c>
      <c r="F1714" s="20">
        <f>IF('Journal'!F858="","",'Journal'!F858)</f>
        <v/>
      </c>
      <c r="G1714" s="20">
        <f>IF('Journal'!G858="","",'Journal'!G858)</f>
        <v/>
      </c>
      <c r="H1714" s="5">
        <f>IF('Journal'!I858="","",'Journal'!I858)</f>
        <v/>
      </c>
    </row>
    <row r="1715">
      <c r="A1715" s="18">
        <f>IF('Journal'!A859="","",'Journal'!A859)</f>
        <v/>
      </c>
      <c r="B1715" s="21">
        <f>IF('Journal'!B859="","",'Journal'!B859)</f>
        <v/>
      </c>
      <c r="C1715" s="5">
        <f>IF('Journal'!C859="","",'Journal'!C859)</f>
        <v/>
      </c>
      <c r="D1715" s="5">
        <f>IF('Journal'!D859="","",IFERROR(LEFT('Journal'!D859,FIND(" ",'Journal'!D859)-1),'Journal'!D859))</f>
        <v/>
      </c>
      <c r="E1715" s="5">
        <f>IF('Journal'!D859="","",IFERROR(INDEX('Kontoplan'!$B$3:$B$302,MATCH('Journal'!D859,'Kontoplan'!$H$3:$H$302,0)),""))</f>
        <v/>
      </c>
      <c r="F1715" s="20">
        <f>IF('Journal'!G859="","",'Journal'!G859)</f>
        <v/>
      </c>
      <c r="G1715" s="20">
        <f>IF('Journal'!F859="","",'Journal'!F859)</f>
        <v/>
      </c>
      <c r="H1715" s="5">
        <f>IF('Journal'!I859="","",'Journal'!I859)</f>
        <v/>
      </c>
    </row>
    <row r="1716">
      <c r="A1716" s="18">
        <f>IF('Journal'!A859="","",'Journal'!A859)</f>
        <v/>
      </c>
      <c r="B1716" s="21">
        <f>IF('Journal'!B859="","",'Journal'!B859)</f>
        <v/>
      </c>
      <c r="C1716" s="5">
        <f>IF('Journal'!C859="","",'Journal'!C859)</f>
        <v/>
      </c>
      <c r="D1716" s="5">
        <f>IF('Journal'!E859="","",IFERROR(LEFT('Journal'!E859,FIND(" ",'Journal'!E859)-1),'Journal'!E859))</f>
        <v/>
      </c>
      <c r="E1716" s="5">
        <f>IF('Journal'!E859="","",IFERROR(INDEX('Kontoplan'!$B$3:$B$302,MATCH('Journal'!E859,'Kontoplan'!$H$3:$H$302,0)),""))</f>
        <v/>
      </c>
      <c r="F1716" s="20">
        <f>IF('Journal'!F859="","",'Journal'!F859)</f>
        <v/>
      </c>
      <c r="G1716" s="20">
        <f>IF('Journal'!G859="","",'Journal'!G859)</f>
        <v/>
      </c>
      <c r="H1716" s="5">
        <f>IF('Journal'!I859="","",'Journal'!I859)</f>
        <v/>
      </c>
    </row>
    <row r="1717">
      <c r="A1717" s="18">
        <f>IF('Journal'!A860="","",'Journal'!A860)</f>
        <v/>
      </c>
      <c r="B1717" s="21">
        <f>IF('Journal'!B860="","",'Journal'!B860)</f>
        <v/>
      </c>
      <c r="C1717" s="5">
        <f>IF('Journal'!C860="","",'Journal'!C860)</f>
        <v/>
      </c>
      <c r="D1717" s="5">
        <f>IF('Journal'!D860="","",IFERROR(LEFT('Journal'!D860,FIND(" ",'Journal'!D860)-1),'Journal'!D860))</f>
        <v/>
      </c>
      <c r="E1717" s="5">
        <f>IF('Journal'!D860="","",IFERROR(INDEX('Kontoplan'!$B$3:$B$302,MATCH('Journal'!D860,'Kontoplan'!$H$3:$H$302,0)),""))</f>
        <v/>
      </c>
      <c r="F1717" s="20">
        <f>IF('Journal'!G860="","",'Journal'!G860)</f>
        <v/>
      </c>
      <c r="G1717" s="20">
        <f>IF('Journal'!F860="","",'Journal'!F860)</f>
        <v/>
      </c>
      <c r="H1717" s="5">
        <f>IF('Journal'!I860="","",'Journal'!I860)</f>
        <v/>
      </c>
    </row>
    <row r="1718">
      <c r="A1718" s="18">
        <f>IF('Journal'!A860="","",'Journal'!A860)</f>
        <v/>
      </c>
      <c r="B1718" s="21">
        <f>IF('Journal'!B860="","",'Journal'!B860)</f>
        <v/>
      </c>
      <c r="C1718" s="5">
        <f>IF('Journal'!C860="","",'Journal'!C860)</f>
        <v/>
      </c>
      <c r="D1718" s="5">
        <f>IF('Journal'!E860="","",IFERROR(LEFT('Journal'!E860,FIND(" ",'Journal'!E860)-1),'Journal'!E860))</f>
        <v/>
      </c>
      <c r="E1718" s="5">
        <f>IF('Journal'!E860="","",IFERROR(INDEX('Kontoplan'!$B$3:$B$302,MATCH('Journal'!E860,'Kontoplan'!$H$3:$H$302,0)),""))</f>
        <v/>
      </c>
      <c r="F1718" s="20">
        <f>IF('Journal'!F860="","",'Journal'!F860)</f>
        <v/>
      </c>
      <c r="G1718" s="20">
        <f>IF('Journal'!G860="","",'Journal'!G860)</f>
        <v/>
      </c>
      <c r="H1718" s="5">
        <f>IF('Journal'!I860="","",'Journal'!I860)</f>
        <v/>
      </c>
    </row>
    <row r="1719">
      <c r="A1719" s="18">
        <f>IF('Journal'!A861="","",'Journal'!A861)</f>
        <v/>
      </c>
      <c r="B1719" s="21">
        <f>IF('Journal'!B861="","",'Journal'!B861)</f>
        <v/>
      </c>
      <c r="C1719" s="5">
        <f>IF('Journal'!C861="","",'Journal'!C861)</f>
        <v/>
      </c>
      <c r="D1719" s="5">
        <f>IF('Journal'!D861="","",IFERROR(LEFT('Journal'!D861,FIND(" ",'Journal'!D861)-1),'Journal'!D861))</f>
        <v/>
      </c>
      <c r="E1719" s="5">
        <f>IF('Journal'!D861="","",IFERROR(INDEX('Kontoplan'!$B$3:$B$302,MATCH('Journal'!D861,'Kontoplan'!$H$3:$H$302,0)),""))</f>
        <v/>
      </c>
      <c r="F1719" s="20">
        <f>IF('Journal'!G861="","",'Journal'!G861)</f>
        <v/>
      </c>
      <c r="G1719" s="20">
        <f>IF('Journal'!F861="","",'Journal'!F861)</f>
        <v/>
      </c>
      <c r="H1719" s="5">
        <f>IF('Journal'!I861="","",'Journal'!I861)</f>
        <v/>
      </c>
    </row>
    <row r="1720">
      <c r="A1720" s="18">
        <f>IF('Journal'!A861="","",'Journal'!A861)</f>
        <v/>
      </c>
      <c r="B1720" s="21">
        <f>IF('Journal'!B861="","",'Journal'!B861)</f>
        <v/>
      </c>
      <c r="C1720" s="5">
        <f>IF('Journal'!C861="","",'Journal'!C861)</f>
        <v/>
      </c>
      <c r="D1720" s="5">
        <f>IF('Journal'!E861="","",IFERROR(LEFT('Journal'!E861,FIND(" ",'Journal'!E861)-1),'Journal'!E861))</f>
        <v/>
      </c>
      <c r="E1720" s="5">
        <f>IF('Journal'!E861="","",IFERROR(INDEX('Kontoplan'!$B$3:$B$302,MATCH('Journal'!E861,'Kontoplan'!$H$3:$H$302,0)),""))</f>
        <v/>
      </c>
      <c r="F1720" s="20">
        <f>IF('Journal'!F861="","",'Journal'!F861)</f>
        <v/>
      </c>
      <c r="G1720" s="20">
        <f>IF('Journal'!G861="","",'Journal'!G861)</f>
        <v/>
      </c>
      <c r="H1720" s="5">
        <f>IF('Journal'!I861="","",'Journal'!I861)</f>
        <v/>
      </c>
    </row>
    <row r="1721">
      <c r="A1721" s="18">
        <f>IF('Journal'!A862="","",'Journal'!A862)</f>
        <v/>
      </c>
      <c r="B1721" s="21">
        <f>IF('Journal'!B862="","",'Journal'!B862)</f>
        <v/>
      </c>
      <c r="C1721" s="5">
        <f>IF('Journal'!C862="","",'Journal'!C862)</f>
        <v/>
      </c>
      <c r="D1721" s="5">
        <f>IF('Journal'!D862="","",IFERROR(LEFT('Journal'!D862,FIND(" ",'Journal'!D862)-1),'Journal'!D862))</f>
        <v/>
      </c>
      <c r="E1721" s="5">
        <f>IF('Journal'!D862="","",IFERROR(INDEX('Kontoplan'!$B$3:$B$302,MATCH('Journal'!D862,'Kontoplan'!$H$3:$H$302,0)),""))</f>
        <v/>
      </c>
      <c r="F1721" s="20">
        <f>IF('Journal'!G862="","",'Journal'!G862)</f>
        <v/>
      </c>
      <c r="G1721" s="20">
        <f>IF('Journal'!F862="","",'Journal'!F862)</f>
        <v/>
      </c>
      <c r="H1721" s="5">
        <f>IF('Journal'!I862="","",'Journal'!I862)</f>
        <v/>
      </c>
    </row>
    <row r="1722">
      <c r="A1722" s="18">
        <f>IF('Journal'!A862="","",'Journal'!A862)</f>
        <v/>
      </c>
      <c r="B1722" s="21">
        <f>IF('Journal'!B862="","",'Journal'!B862)</f>
        <v/>
      </c>
      <c r="C1722" s="5">
        <f>IF('Journal'!C862="","",'Journal'!C862)</f>
        <v/>
      </c>
      <c r="D1722" s="5">
        <f>IF('Journal'!E862="","",IFERROR(LEFT('Journal'!E862,FIND(" ",'Journal'!E862)-1),'Journal'!E862))</f>
        <v/>
      </c>
      <c r="E1722" s="5">
        <f>IF('Journal'!E862="","",IFERROR(INDEX('Kontoplan'!$B$3:$B$302,MATCH('Journal'!E862,'Kontoplan'!$H$3:$H$302,0)),""))</f>
        <v/>
      </c>
      <c r="F1722" s="20">
        <f>IF('Journal'!F862="","",'Journal'!F862)</f>
        <v/>
      </c>
      <c r="G1722" s="20">
        <f>IF('Journal'!G862="","",'Journal'!G862)</f>
        <v/>
      </c>
      <c r="H1722" s="5">
        <f>IF('Journal'!I862="","",'Journal'!I862)</f>
        <v/>
      </c>
    </row>
    <row r="1723">
      <c r="A1723" s="18">
        <f>IF('Journal'!A863="","",'Journal'!A863)</f>
        <v/>
      </c>
      <c r="B1723" s="21">
        <f>IF('Journal'!B863="","",'Journal'!B863)</f>
        <v/>
      </c>
      <c r="C1723" s="5">
        <f>IF('Journal'!C863="","",'Journal'!C863)</f>
        <v/>
      </c>
      <c r="D1723" s="5">
        <f>IF('Journal'!D863="","",IFERROR(LEFT('Journal'!D863,FIND(" ",'Journal'!D863)-1),'Journal'!D863))</f>
        <v/>
      </c>
      <c r="E1723" s="5">
        <f>IF('Journal'!D863="","",IFERROR(INDEX('Kontoplan'!$B$3:$B$302,MATCH('Journal'!D863,'Kontoplan'!$H$3:$H$302,0)),""))</f>
        <v/>
      </c>
      <c r="F1723" s="20">
        <f>IF('Journal'!G863="","",'Journal'!G863)</f>
        <v/>
      </c>
      <c r="G1723" s="20">
        <f>IF('Journal'!F863="","",'Journal'!F863)</f>
        <v/>
      </c>
      <c r="H1723" s="5">
        <f>IF('Journal'!I863="","",'Journal'!I863)</f>
        <v/>
      </c>
    </row>
    <row r="1724">
      <c r="A1724" s="18">
        <f>IF('Journal'!A863="","",'Journal'!A863)</f>
        <v/>
      </c>
      <c r="B1724" s="21">
        <f>IF('Journal'!B863="","",'Journal'!B863)</f>
        <v/>
      </c>
      <c r="C1724" s="5">
        <f>IF('Journal'!C863="","",'Journal'!C863)</f>
        <v/>
      </c>
      <c r="D1724" s="5">
        <f>IF('Journal'!E863="","",IFERROR(LEFT('Journal'!E863,FIND(" ",'Journal'!E863)-1),'Journal'!E863))</f>
        <v/>
      </c>
      <c r="E1724" s="5">
        <f>IF('Journal'!E863="","",IFERROR(INDEX('Kontoplan'!$B$3:$B$302,MATCH('Journal'!E863,'Kontoplan'!$H$3:$H$302,0)),""))</f>
        <v/>
      </c>
      <c r="F1724" s="20">
        <f>IF('Journal'!F863="","",'Journal'!F863)</f>
        <v/>
      </c>
      <c r="G1724" s="20">
        <f>IF('Journal'!G863="","",'Journal'!G863)</f>
        <v/>
      </c>
      <c r="H1724" s="5">
        <f>IF('Journal'!I863="","",'Journal'!I863)</f>
        <v/>
      </c>
    </row>
    <row r="1725">
      <c r="A1725" s="18">
        <f>IF('Journal'!A864="","",'Journal'!A864)</f>
        <v/>
      </c>
      <c r="B1725" s="21">
        <f>IF('Journal'!B864="","",'Journal'!B864)</f>
        <v/>
      </c>
      <c r="C1725" s="5">
        <f>IF('Journal'!C864="","",'Journal'!C864)</f>
        <v/>
      </c>
      <c r="D1725" s="5">
        <f>IF('Journal'!D864="","",IFERROR(LEFT('Journal'!D864,FIND(" ",'Journal'!D864)-1),'Journal'!D864))</f>
        <v/>
      </c>
      <c r="E1725" s="5">
        <f>IF('Journal'!D864="","",IFERROR(INDEX('Kontoplan'!$B$3:$B$302,MATCH('Journal'!D864,'Kontoplan'!$H$3:$H$302,0)),""))</f>
        <v/>
      </c>
      <c r="F1725" s="20">
        <f>IF('Journal'!G864="","",'Journal'!G864)</f>
        <v/>
      </c>
      <c r="G1725" s="20">
        <f>IF('Journal'!F864="","",'Journal'!F864)</f>
        <v/>
      </c>
      <c r="H1725" s="5">
        <f>IF('Journal'!I864="","",'Journal'!I864)</f>
        <v/>
      </c>
    </row>
    <row r="1726">
      <c r="A1726" s="18">
        <f>IF('Journal'!A864="","",'Journal'!A864)</f>
        <v/>
      </c>
      <c r="B1726" s="21">
        <f>IF('Journal'!B864="","",'Journal'!B864)</f>
        <v/>
      </c>
      <c r="C1726" s="5">
        <f>IF('Journal'!C864="","",'Journal'!C864)</f>
        <v/>
      </c>
      <c r="D1726" s="5">
        <f>IF('Journal'!E864="","",IFERROR(LEFT('Journal'!E864,FIND(" ",'Journal'!E864)-1),'Journal'!E864))</f>
        <v/>
      </c>
      <c r="E1726" s="5">
        <f>IF('Journal'!E864="","",IFERROR(INDEX('Kontoplan'!$B$3:$B$302,MATCH('Journal'!E864,'Kontoplan'!$H$3:$H$302,0)),""))</f>
        <v/>
      </c>
      <c r="F1726" s="20">
        <f>IF('Journal'!F864="","",'Journal'!F864)</f>
        <v/>
      </c>
      <c r="G1726" s="20">
        <f>IF('Journal'!G864="","",'Journal'!G864)</f>
        <v/>
      </c>
      <c r="H1726" s="5">
        <f>IF('Journal'!I864="","",'Journal'!I864)</f>
        <v/>
      </c>
    </row>
    <row r="1727">
      <c r="A1727" s="18">
        <f>IF('Journal'!A865="","",'Journal'!A865)</f>
        <v/>
      </c>
      <c r="B1727" s="21">
        <f>IF('Journal'!B865="","",'Journal'!B865)</f>
        <v/>
      </c>
      <c r="C1727" s="5">
        <f>IF('Journal'!C865="","",'Journal'!C865)</f>
        <v/>
      </c>
      <c r="D1727" s="5">
        <f>IF('Journal'!D865="","",IFERROR(LEFT('Journal'!D865,FIND(" ",'Journal'!D865)-1),'Journal'!D865))</f>
        <v/>
      </c>
      <c r="E1727" s="5">
        <f>IF('Journal'!D865="","",IFERROR(INDEX('Kontoplan'!$B$3:$B$302,MATCH('Journal'!D865,'Kontoplan'!$H$3:$H$302,0)),""))</f>
        <v/>
      </c>
      <c r="F1727" s="20">
        <f>IF('Journal'!G865="","",'Journal'!G865)</f>
        <v/>
      </c>
      <c r="G1727" s="20">
        <f>IF('Journal'!F865="","",'Journal'!F865)</f>
        <v/>
      </c>
      <c r="H1727" s="5">
        <f>IF('Journal'!I865="","",'Journal'!I865)</f>
        <v/>
      </c>
    </row>
    <row r="1728">
      <c r="A1728" s="18">
        <f>IF('Journal'!A865="","",'Journal'!A865)</f>
        <v/>
      </c>
      <c r="B1728" s="21">
        <f>IF('Journal'!B865="","",'Journal'!B865)</f>
        <v/>
      </c>
      <c r="C1728" s="5">
        <f>IF('Journal'!C865="","",'Journal'!C865)</f>
        <v/>
      </c>
      <c r="D1728" s="5">
        <f>IF('Journal'!E865="","",IFERROR(LEFT('Journal'!E865,FIND(" ",'Journal'!E865)-1),'Journal'!E865))</f>
        <v/>
      </c>
      <c r="E1728" s="5">
        <f>IF('Journal'!E865="","",IFERROR(INDEX('Kontoplan'!$B$3:$B$302,MATCH('Journal'!E865,'Kontoplan'!$H$3:$H$302,0)),""))</f>
        <v/>
      </c>
      <c r="F1728" s="20">
        <f>IF('Journal'!F865="","",'Journal'!F865)</f>
        <v/>
      </c>
      <c r="G1728" s="20">
        <f>IF('Journal'!G865="","",'Journal'!G865)</f>
        <v/>
      </c>
      <c r="H1728" s="5">
        <f>IF('Journal'!I865="","",'Journal'!I865)</f>
        <v/>
      </c>
    </row>
    <row r="1729">
      <c r="A1729" s="18">
        <f>IF('Journal'!A866="","",'Journal'!A866)</f>
        <v/>
      </c>
      <c r="B1729" s="21">
        <f>IF('Journal'!B866="","",'Journal'!B866)</f>
        <v/>
      </c>
      <c r="C1729" s="5">
        <f>IF('Journal'!C866="","",'Journal'!C866)</f>
        <v/>
      </c>
      <c r="D1729" s="5">
        <f>IF('Journal'!D866="","",IFERROR(LEFT('Journal'!D866,FIND(" ",'Journal'!D866)-1),'Journal'!D866))</f>
        <v/>
      </c>
      <c r="E1729" s="5">
        <f>IF('Journal'!D866="","",IFERROR(INDEX('Kontoplan'!$B$3:$B$302,MATCH('Journal'!D866,'Kontoplan'!$H$3:$H$302,0)),""))</f>
        <v/>
      </c>
      <c r="F1729" s="20">
        <f>IF('Journal'!G866="","",'Journal'!G866)</f>
        <v/>
      </c>
      <c r="G1729" s="20">
        <f>IF('Journal'!F866="","",'Journal'!F866)</f>
        <v/>
      </c>
      <c r="H1729" s="5">
        <f>IF('Journal'!I866="","",'Journal'!I866)</f>
        <v/>
      </c>
    </row>
    <row r="1730">
      <c r="A1730" s="18">
        <f>IF('Journal'!A866="","",'Journal'!A866)</f>
        <v/>
      </c>
      <c r="B1730" s="21">
        <f>IF('Journal'!B866="","",'Journal'!B866)</f>
        <v/>
      </c>
      <c r="C1730" s="5">
        <f>IF('Journal'!C866="","",'Journal'!C866)</f>
        <v/>
      </c>
      <c r="D1730" s="5">
        <f>IF('Journal'!E866="","",IFERROR(LEFT('Journal'!E866,FIND(" ",'Journal'!E866)-1),'Journal'!E866))</f>
        <v/>
      </c>
      <c r="E1730" s="5">
        <f>IF('Journal'!E866="","",IFERROR(INDEX('Kontoplan'!$B$3:$B$302,MATCH('Journal'!E866,'Kontoplan'!$H$3:$H$302,0)),""))</f>
        <v/>
      </c>
      <c r="F1730" s="20">
        <f>IF('Journal'!F866="","",'Journal'!F866)</f>
        <v/>
      </c>
      <c r="G1730" s="20">
        <f>IF('Journal'!G866="","",'Journal'!G866)</f>
        <v/>
      </c>
      <c r="H1730" s="5">
        <f>IF('Journal'!I866="","",'Journal'!I866)</f>
        <v/>
      </c>
    </row>
    <row r="1731">
      <c r="A1731" s="18">
        <f>IF('Journal'!A867="","",'Journal'!A867)</f>
        <v/>
      </c>
      <c r="B1731" s="21">
        <f>IF('Journal'!B867="","",'Journal'!B867)</f>
        <v/>
      </c>
      <c r="C1731" s="5">
        <f>IF('Journal'!C867="","",'Journal'!C867)</f>
        <v/>
      </c>
      <c r="D1731" s="5">
        <f>IF('Journal'!D867="","",IFERROR(LEFT('Journal'!D867,FIND(" ",'Journal'!D867)-1),'Journal'!D867))</f>
        <v/>
      </c>
      <c r="E1731" s="5">
        <f>IF('Journal'!D867="","",IFERROR(INDEX('Kontoplan'!$B$3:$B$302,MATCH('Journal'!D867,'Kontoplan'!$H$3:$H$302,0)),""))</f>
        <v/>
      </c>
      <c r="F1731" s="20">
        <f>IF('Journal'!G867="","",'Journal'!G867)</f>
        <v/>
      </c>
      <c r="G1731" s="20">
        <f>IF('Journal'!F867="","",'Journal'!F867)</f>
        <v/>
      </c>
      <c r="H1731" s="5">
        <f>IF('Journal'!I867="","",'Journal'!I867)</f>
        <v/>
      </c>
    </row>
    <row r="1732">
      <c r="A1732" s="18">
        <f>IF('Journal'!A867="","",'Journal'!A867)</f>
        <v/>
      </c>
      <c r="B1732" s="21">
        <f>IF('Journal'!B867="","",'Journal'!B867)</f>
        <v/>
      </c>
      <c r="C1732" s="5">
        <f>IF('Journal'!C867="","",'Journal'!C867)</f>
        <v/>
      </c>
      <c r="D1732" s="5">
        <f>IF('Journal'!E867="","",IFERROR(LEFT('Journal'!E867,FIND(" ",'Journal'!E867)-1),'Journal'!E867))</f>
        <v/>
      </c>
      <c r="E1732" s="5">
        <f>IF('Journal'!E867="","",IFERROR(INDEX('Kontoplan'!$B$3:$B$302,MATCH('Journal'!E867,'Kontoplan'!$H$3:$H$302,0)),""))</f>
        <v/>
      </c>
      <c r="F1732" s="20">
        <f>IF('Journal'!F867="","",'Journal'!F867)</f>
        <v/>
      </c>
      <c r="G1732" s="20">
        <f>IF('Journal'!G867="","",'Journal'!G867)</f>
        <v/>
      </c>
      <c r="H1732" s="5">
        <f>IF('Journal'!I867="","",'Journal'!I867)</f>
        <v/>
      </c>
    </row>
    <row r="1733">
      <c r="A1733" s="18">
        <f>IF('Journal'!A868="","",'Journal'!A868)</f>
        <v/>
      </c>
      <c r="B1733" s="21">
        <f>IF('Journal'!B868="","",'Journal'!B868)</f>
        <v/>
      </c>
      <c r="C1733" s="5">
        <f>IF('Journal'!C868="","",'Journal'!C868)</f>
        <v/>
      </c>
      <c r="D1733" s="5">
        <f>IF('Journal'!D868="","",IFERROR(LEFT('Journal'!D868,FIND(" ",'Journal'!D868)-1),'Journal'!D868))</f>
        <v/>
      </c>
      <c r="E1733" s="5">
        <f>IF('Journal'!D868="","",IFERROR(INDEX('Kontoplan'!$B$3:$B$302,MATCH('Journal'!D868,'Kontoplan'!$H$3:$H$302,0)),""))</f>
        <v/>
      </c>
      <c r="F1733" s="20">
        <f>IF('Journal'!G868="","",'Journal'!G868)</f>
        <v/>
      </c>
      <c r="G1733" s="20">
        <f>IF('Journal'!F868="","",'Journal'!F868)</f>
        <v/>
      </c>
      <c r="H1733" s="5">
        <f>IF('Journal'!I868="","",'Journal'!I868)</f>
        <v/>
      </c>
    </row>
    <row r="1734">
      <c r="A1734" s="18">
        <f>IF('Journal'!A868="","",'Journal'!A868)</f>
        <v/>
      </c>
      <c r="B1734" s="21">
        <f>IF('Journal'!B868="","",'Journal'!B868)</f>
        <v/>
      </c>
      <c r="C1734" s="5">
        <f>IF('Journal'!C868="","",'Journal'!C868)</f>
        <v/>
      </c>
      <c r="D1734" s="5">
        <f>IF('Journal'!E868="","",IFERROR(LEFT('Journal'!E868,FIND(" ",'Journal'!E868)-1),'Journal'!E868))</f>
        <v/>
      </c>
      <c r="E1734" s="5">
        <f>IF('Journal'!E868="","",IFERROR(INDEX('Kontoplan'!$B$3:$B$302,MATCH('Journal'!E868,'Kontoplan'!$H$3:$H$302,0)),""))</f>
        <v/>
      </c>
      <c r="F1734" s="20">
        <f>IF('Journal'!F868="","",'Journal'!F868)</f>
        <v/>
      </c>
      <c r="G1734" s="20">
        <f>IF('Journal'!G868="","",'Journal'!G868)</f>
        <v/>
      </c>
      <c r="H1734" s="5">
        <f>IF('Journal'!I868="","",'Journal'!I868)</f>
        <v/>
      </c>
    </row>
    <row r="1735">
      <c r="A1735" s="18">
        <f>IF('Journal'!A869="","",'Journal'!A869)</f>
        <v/>
      </c>
      <c r="B1735" s="21">
        <f>IF('Journal'!B869="","",'Journal'!B869)</f>
        <v/>
      </c>
      <c r="C1735" s="5">
        <f>IF('Journal'!C869="","",'Journal'!C869)</f>
        <v/>
      </c>
      <c r="D1735" s="5">
        <f>IF('Journal'!D869="","",IFERROR(LEFT('Journal'!D869,FIND(" ",'Journal'!D869)-1),'Journal'!D869))</f>
        <v/>
      </c>
      <c r="E1735" s="5">
        <f>IF('Journal'!D869="","",IFERROR(INDEX('Kontoplan'!$B$3:$B$302,MATCH('Journal'!D869,'Kontoplan'!$H$3:$H$302,0)),""))</f>
        <v/>
      </c>
      <c r="F1735" s="20">
        <f>IF('Journal'!G869="","",'Journal'!G869)</f>
        <v/>
      </c>
      <c r="G1735" s="20">
        <f>IF('Journal'!F869="","",'Journal'!F869)</f>
        <v/>
      </c>
      <c r="H1735" s="5">
        <f>IF('Journal'!I869="","",'Journal'!I869)</f>
        <v/>
      </c>
    </row>
    <row r="1736">
      <c r="A1736" s="18">
        <f>IF('Journal'!A869="","",'Journal'!A869)</f>
        <v/>
      </c>
      <c r="B1736" s="21">
        <f>IF('Journal'!B869="","",'Journal'!B869)</f>
        <v/>
      </c>
      <c r="C1736" s="5">
        <f>IF('Journal'!C869="","",'Journal'!C869)</f>
        <v/>
      </c>
      <c r="D1736" s="5">
        <f>IF('Journal'!E869="","",IFERROR(LEFT('Journal'!E869,FIND(" ",'Journal'!E869)-1),'Journal'!E869))</f>
        <v/>
      </c>
      <c r="E1736" s="5">
        <f>IF('Journal'!E869="","",IFERROR(INDEX('Kontoplan'!$B$3:$B$302,MATCH('Journal'!E869,'Kontoplan'!$H$3:$H$302,0)),""))</f>
        <v/>
      </c>
      <c r="F1736" s="20">
        <f>IF('Journal'!F869="","",'Journal'!F869)</f>
        <v/>
      </c>
      <c r="G1736" s="20">
        <f>IF('Journal'!G869="","",'Journal'!G869)</f>
        <v/>
      </c>
      <c r="H1736" s="5">
        <f>IF('Journal'!I869="","",'Journal'!I869)</f>
        <v/>
      </c>
    </row>
    <row r="1737">
      <c r="A1737" s="18">
        <f>IF('Journal'!A870="","",'Journal'!A870)</f>
        <v/>
      </c>
      <c r="B1737" s="21">
        <f>IF('Journal'!B870="","",'Journal'!B870)</f>
        <v/>
      </c>
      <c r="C1737" s="5">
        <f>IF('Journal'!C870="","",'Journal'!C870)</f>
        <v/>
      </c>
      <c r="D1737" s="5">
        <f>IF('Journal'!D870="","",IFERROR(LEFT('Journal'!D870,FIND(" ",'Journal'!D870)-1),'Journal'!D870))</f>
        <v/>
      </c>
      <c r="E1737" s="5">
        <f>IF('Journal'!D870="","",IFERROR(INDEX('Kontoplan'!$B$3:$B$302,MATCH('Journal'!D870,'Kontoplan'!$H$3:$H$302,0)),""))</f>
        <v/>
      </c>
      <c r="F1737" s="20">
        <f>IF('Journal'!G870="","",'Journal'!G870)</f>
        <v/>
      </c>
      <c r="G1737" s="20">
        <f>IF('Journal'!F870="","",'Journal'!F870)</f>
        <v/>
      </c>
      <c r="H1737" s="5">
        <f>IF('Journal'!I870="","",'Journal'!I870)</f>
        <v/>
      </c>
    </row>
    <row r="1738">
      <c r="A1738" s="18">
        <f>IF('Journal'!A870="","",'Journal'!A870)</f>
        <v/>
      </c>
      <c r="B1738" s="21">
        <f>IF('Journal'!B870="","",'Journal'!B870)</f>
        <v/>
      </c>
      <c r="C1738" s="5">
        <f>IF('Journal'!C870="","",'Journal'!C870)</f>
        <v/>
      </c>
      <c r="D1738" s="5">
        <f>IF('Journal'!E870="","",IFERROR(LEFT('Journal'!E870,FIND(" ",'Journal'!E870)-1),'Journal'!E870))</f>
        <v/>
      </c>
      <c r="E1738" s="5">
        <f>IF('Journal'!E870="","",IFERROR(INDEX('Kontoplan'!$B$3:$B$302,MATCH('Journal'!E870,'Kontoplan'!$H$3:$H$302,0)),""))</f>
        <v/>
      </c>
      <c r="F1738" s="20">
        <f>IF('Journal'!F870="","",'Journal'!F870)</f>
        <v/>
      </c>
      <c r="G1738" s="20">
        <f>IF('Journal'!G870="","",'Journal'!G870)</f>
        <v/>
      </c>
      <c r="H1738" s="5">
        <f>IF('Journal'!I870="","",'Journal'!I870)</f>
        <v/>
      </c>
    </row>
    <row r="1739">
      <c r="A1739" s="18">
        <f>IF('Journal'!A871="","",'Journal'!A871)</f>
        <v/>
      </c>
      <c r="B1739" s="21">
        <f>IF('Journal'!B871="","",'Journal'!B871)</f>
        <v/>
      </c>
      <c r="C1739" s="5">
        <f>IF('Journal'!C871="","",'Journal'!C871)</f>
        <v/>
      </c>
      <c r="D1739" s="5">
        <f>IF('Journal'!D871="","",IFERROR(LEFT('Journal'!D871,FIND(" ",'Journal'!D871)-1),'Journal'!D871))</f>
        <v/>
      </c>
      <c r="E1739" s="5">
        <f>IF('Journal'!D871="","",IFERROR(INDEX('Kontoplan'!$B$3:$B$302,MATCH('Journal'!D871,'Kontoplan'!$H$3:$H$302,0)),""))</f>
        <v/>
      </c>
      <c r="F1739" s="20">
        <f>IF('Journal'!G871="","",'Journal'!G871)</f>
        <v/>
      </c>
      <c r="G1739" s="20">
        <f>IF('Journal'!F871="","",'Journal'!F871)</f>
        <v/>
      </c>
      <c r="H1739" s="5">
        <f>IF('Journal'!I871="","",'Journal'!I871)</f>
        <v/>
      </c>
    </row>
    <row r="1740">
      <c r="A1740" s="18">
        <f>IF('Journal'!A871="","",'Journal'!A871)</f>
        <v/>
      </c>
      <c r="B1740" s="21">
        <f>IF('Journal'!B871="","",'Journal'!B871)</f>
        <v/>
      </c>
      <c r="C1740" s="5">
        <f>IF('Journal'!C871="","",'Journal'!C871)</f>
        <v/>
      </c>
      <c r="D1740" s="5">
        <f>IF('Journal'!E871="","",IFERROR(LEFT('Journal'!E871,FIND(" ",'Journal'!E871)-1),'Journal'!E871))</f>
        <v/>
      </c>
      <c r="E1740" s="5">
        <f>IF('Journal'!E871="","",IFERROR(INDEX('Kontoplan'!$B$3:$B$302,MATCH('Journal'!E871,'Kontoplan'!$H$3:$H$302,0)),""))</f>
        <v/>
      </c>
      <c r="F1740" s="20">
        <f>IF('Journal'!F871="","",'Journal'!F871)</f>
        <v/>
      </c>
      <c r="G1740" s="20">
        <f>IF('Journal'!G871="","",'Journal'!G871)</f>
        <v/>
      </c>
      <c r="H1740" s="5">
        <f>IF('Journal'!I871="","",'Journal'!I871)</f>
        <v/>
      </c>
    </row>
    <row r="1741">
      <c r="A1741" s="18">
        <f>IF('Journal'!A872="","",'Journal'!A872)</f>
        <v/>
      </c>
      <c r="B1741" s="21">
        <f>IF('Journal'!B872="","",'Journal'!B872)</f>
        <v/>
      </c>
      <c r="C1741" s="5">
        <f>IF('Journal'!C872="","",'Journal'!C872)</f>
        <v/>
      </c>
      <c r="D1741" s="5">
        <f>IF('Journal'!D872="","",IFERROR(LEFT('Journal'!D872,FIND(" ",'Journal'!D872)-1),'Journal'!D872))</f>
        <v/>
      </c>
      <c r="E1741" s="5">
        <f>IF('Journal'!D872="","",IFERROR(INDEX('Kontoplan'!$B$3:$B$302,MATCH('Journal'!D872,'Kontoplan'!$H$3:$H$302,0)),""))</f>
        <v/>
      </c>
      <c r="F1741" s="20">
        <f>IF('Journal'!G872="","",'Journal'!G872)</f>
        <v/>
      </c>
      <c r="G1741" s="20">
        <f>IF('Journal'!F872="","",'Journal'!F872)</f>
        <v/>
      </c>
      <c r="H1741" s="5">
        <f>IF('Journal'!I872="","",'Journal'!I872)</f>
        <v/>
      </c>
    </row>
    <row r="1742">
      <c r="A1742" s="18">
        <f>IF('Journal'!A872="","",'Journal'!A872)</f>
        <v/>
      </c>
      <c r="B1742" s="21">
        <f>IF('Journal'!B872="","",'Journal'!B872)</f>
        <v/>
      </c>
      <c r="C1742" s="5">
        <f>IF('Journal'!C872="","",'Journal'!C872)</f>
        <v/>
      </c>
      <c r="D1742" s="5">
        <f>IF('Journal'!E872="","",IFERROR(LEFT('Journal'!E872,FIND(" ",'Journal'!E872)-1),'Journal'!E872))</f>
        <v/>
      </c>
      <c r="E1742" s="5">
        <f>IF('Journal'!E872="","",IFERROR(INDEX('Kontoplan'!$B$3:$B$302,MATCH('Journal'!E872,'Kontoplan'!$H$3:$H$302,0)),""))</f>
        <v/>
      </c>
      <c r="F1742" s="20">
        <f>IF('Journal'!F872="","",'Journal'!F872)</f>
        <v/>
      </c>
      <c r="G1742" s="20">
        <f>IF('Journal'!G872="","",'Journal'!G872)</f>
        <v/>
      </c>
      <c r="H1742" s="5">
        <f>IF('Journal'!I872="","",'Journal'!I872)</f>
        <v/>
      </c>
    </row>
    <row r="1743">
      <c r="A1743" s="18">
        <f>IF('Journal'!A873="","",'Journal'!A873)</f>
        <v/>
      </c>
      <c r="B1743" s="21">
        <f>IF('Journal'!B873="","",'Journal'!B873)</f>
        <v/>
      </c>
      <c r="C1743" s="5">
        <f>IF('Journal'!C873="","",'Journal'!C873)</f>
        <v/>
      </c>
      <c r="D1743" s="5">
        <f>IF('Journal'!D873="","",IFERROR(LEFT('Journal'!D873,FIND(" ",'Journal'!D873)-1),'Journal'!D873))</f>
        <v/>
      </c>
      <c r="E1743" s="5">
        <f>IF('Journal'!D873="","",IFERROR(INDEX('Kontoplan'!$B$3:$B$302,MATCH('Journal'!D873,'Kontoplan'!$H$3:$H$302,0)),""))</f>
        <v/>
      </c>
      <c r="F1743" s="20">
        <f>IF('Journal'!G873="","",'Journal'!G873)</f>
        <v/>
      </c>
      <c r="G1743" s="20">
        <f>IF('Journal'!F873="","",'Journal'!F873)</f>
        <v/>
      </c>
      <c r="H1743" s="5">
        <f>IF('Journal'!I873="","",'Journal'!I873)</f>
        <v/>
      </c>
    </row>
    <row r="1744">
      <c r="A1744" s="18">
        <f>IF('Journal'!A873="","",'Journal'!A873)</f>
        <v/>
      </c>
      <c r="B1744" s="21">
        <f>IF('Journal'!B873="","",'Journal'!B873)</f>
        <v/>
      </c>
      <c r="C1744" s="5">
        <f>IF('Journal'!C873="","",'Journal'!C873)</f>
        <v/>
      </c>
      <c r="D1744" s="5">
        <f>IF('Journal'!E873="","",IFERROR(LEFT('Journal'!E873,FIND(" ",'Journal'!E873)-1),'Journal'!E873))</f>
        <v/>
      </c>
      <c r="E1744" s="5">
        <f>IF('Journal'!E873="","",IFERROR(INDEX('Kontoplan'!$B$3:$B$302,MATCH('Journal'!E873,'Kontoplan'!$H$3:$H$302,0)),""))</f>
        <v/>
      </c>
      <c r="F1744" s="20">
        <f>IF('Journal'!F873="","",'Journal'!F873)</f>
        <v/>
      </c>
      <c r="G1744" s="20">
        <f>IF('Journal'!G873="","",'Journal'!G873)</f>
        <v/>
      </c>
      <c r="H1744" s="5">
        <f>IF('Journal'!I873="","",'Journal'!I873)</f>
        <v/>
      </c>
    </row>
    <row r="1745">
      <c r="A1745" s="18">
        <f>IF('Journal'!A874="","",'Journal'!A874)</f>
        <v/>
      </c>
      <c r="B1745" s="21">
        <f>IF('Journal'!B874="","",'Journal'!B874)</f>
        <v/>
      </c>
      <c r="C1745" s="5">
        <f>IF('Journal'!C874="","",'Journal'!C874)</f>
        <v/>
      </c>
      <c r="D1745" s="5">
        <f>IF('Journal'!D874="","",IFERROR(LEFT('Journal'!D874,FIND(" ",'Journal'!D874)-1),'Journal'!D874))</f>
        <v/>
      </c>
      <c r="E1745" s="5">
        <f>IF('Journal'!D874="","",IFERROR(INDEX('Kontoplan'!$B$3:$B$302,MATCH('Journal'!D874,'Kontoplan'!$H$3:$H$302,0)),""))</f>
        <v/>
      </c>
      <c r="F1745" s="20">
        <f>IF('Journal'!G874="","",'Journal'!G874)</f>
        <v/>
      </c>
      <c r="G1745" s="20">
        <f>IF('Journal'!F874="","",'Journal'!F874)</f>
        <v/>
      </c>
      <c r="H1745" s="5">
        <f>IF('Journal'!I874="","",'Journal'!I874)</f>
        <v/>
      </c>
    </row>
    <row r="1746">
      <c r="A1746" s="18">
        <f>IF('Journal'!A874="","",'Journal'!A874)</f>
        <v/>
      </c>
      <c r="B1746" s="21">
        <f>IF('Journal'!B874="","",'Journal'!B874)</f>
        <v/>
      </c>
      <c r="C1746" s="5">
        <f>IF('Journal'!C874="","",'Journal'!C874)</f>
        <v/>
      </c>
      <c r="D1746" s="5">
        <f>IF('Journal'!E874="","",IFERROR(LEFT('Journal'!E874,FIND(" ",'Journal'!E874)-1),'Journal'!E874))</f>
        <v/>
      </c>
      <c r="E1746" s="5">
        <f>IF('Journal'!E874="","",IFERROR(INDEX('Kontoplan'!$B$3:$B$302,MATCH('Journal'!E874,'Kontoplan'!$H$3:$H$302,0)),""))</f>
        <v/>
      </c>
      <c r="F1746" s="20">
        <f>IF('Journal'!F874="","",'Journal'!F874)</f>
        <v/>
      </c>
      <c r="G1746" s="20">
        <f>IF('Journal'!G874="","",'Journal'!G874)</f>
        <v/>
      </c>
      <c r="H1746" s="5">
        <f>IF('Journal'!I874="","",'Journal'!I874)</f>
        <v/>
      </c>
    </row>
    <row r="1747">
      <c r="A1747" s="18">
        <f>IF('Journal'!A875="","",'Journal'!A875)</f>
        <v/>
      </c>
      <c r="B1747" s="21">
        <f>IF('Journal'!B875="","",'Journal'!B875)</f>
        <v/>
      </c>
      <c r="C1747" s="5">
        <f>IF('Journal'!C875="","",'Journal'!C875)</f>
        <v/>
      </c>
      <c r="D1747" s="5">
        <f>IF('Journal'!D875="","",IFERROR(LEFT('Journal'!D875,FIND(" ",'Journal'!D875)-1),'Journal'!D875))</f>
        <v/>
      </c>
      <c r="E1747" s="5">
        <f>IF('Journal'!D875="","",IFERROR(INDEX('Kontoplan'!$B$3:$B$302,MATCH('Journal'!D875,'Kontoplan'!$H$3:$H$302,0)),""))</f>
        <v/>
      </c>
      <c r="F1747" s="20">
        <f>IF('Journal'!G875="","",'Journal'!G875)</f>
        <v/>
      </c>
      <c r="G1747" s="20">
        <f>IF('Journal'!F875="","",'Journal'!F875)</f>
        <v/>
      </c>
      <c r="H1747" s="5">
        <f>IF('Journal'!I875="","",'Journal'!I875)</f>
        <v/>
      </c>
    </row>
    <row r="1748">
      <c r="A1748" s="18">
        <f>IF('Journal'!A875="","",'Journal'!A875)</f>
        <v/>
      </c>
      <c r="B1748" s="21">
        <f>IF('Journal'!B875="","",'Journal'!B875)</f>
        <v/>
      </c>
      <c r="C1748" s="5">
        <f>IF('Journal'!C875="","",'Journal'!C875)</f>
        <v/>
      </c>
      <c r="D1748" s="5">
        <f>IF('Journal'!E875="","",IFERROR(LEFT('Journal'!E875,FIND(" ",'Journal'!E875)-1),'Journal'!E875))</f>
        <v/>
      </c>
      <c r="E1748" s="5">
        <f>IF('Journal'!E875="","",IFERROR(INDEX('Kontoplan'!$B$3:$B$302,MATCH('Journal'!E875,'Kontoplan'!$H$3:$H$302,0)),""))</f>
        <v/>
      </c>
      <c r="F1748" s="20">
        <f>IF('Journal'!F875="","",'Journal'!F875)</f>
        <v/>
      </c>
      <c r="G1748" s="20">
        <f>IF('Journal'!G875="","",'Journal'!G875)</f>
        <v/>
      </c>
      <c r="H1748" s="5">
        <f>IF('Journal'!I875="","",'Journal'!I875)</f>
        <v/>
      </c>
    </row>
    <row r="1749">
      <c r="A1749" s="18">
        <f>IF('Journal'!A876="","",'Journal'!A876)</f>
        <v/>
      </c>
      <c r="B1749" s="21">
        <f>IF('Journal'!B876="","",'Journal'!B876)</f>
        <v/>
      </c>
      <c r="C1749" s="5">
        <f>IF('Journal'!C876="","",'Journal'!C876)</f>
        <v/>
      </c>
      <c r="D1749" s="5">
        <f>IF('Journal'!D876="","",IFERROR(LEFT('Journal'!D876,FIND(" ",'Journal'!D876)-1),'Journal'!D876))</f>
        <v/>
      </c>
      <c r="E1749" s="5">
        <f>IF('Journal'!D876="","",IFERROR(INDEX('Kontoplan'!$B$3:$B$302,MATCH('Journal'!D876,'Kontoplan'!$H$3:$H$302,0)),""))</f>
        <v/>
      </c>
      <c r="F1749" s="20">
        <f>IF('Journal'!G876="","",'Journal'!G876)</f>
        <v/>
      </c>
      <c r="G1749" s="20">
        <f>IF('Journal'!F876="","",'Journal'!F876)</f>
        <v/>
      </c>
      <c r="H1749" s="5">
        <f>IF('Journal'!I876="","",'Journal'!I876)</f>
        <v/>
      </c>
    </row>
    <row r="1750">
      <c r="A1750" s="18">
        <f>IF('Journal'!A876="","",'Journal'!A876)</f>
        <v/>
      </c>
      <c r="B1750" s="21">
        <f>IF('Journal'!B876="","",'Journal'!B876)</f>
        <v/>
      </c>
      <c r="C1750" s="5">
        <f>IF('Journal'!C876="","",'Journal'!C876)</f>
        <v/>
      </c>
      <c r="D1750" s="5">
        <f>IF('Journal'!E876="","",IFERROR(LEFT('Journal'!E876,FIND(" ",'Journal'!E876)-1),'Journal'!E876))</f>
        <v/>
      </c>
      <c r="E1750" s="5">
        <f>IF('Journal'!E876="","",IFERROR(INDEX('Kontoplan'!$B$3:$B$302,MATCH('Journal'!E876,'Kontoplan'!$H$3:$H$302,0)),""))</f>
        <v/>
      </c>
      <c r="F1750" s="20">
        <f>IF('Journal'!F876="","",'Journal'!F876)</f>
        <v/>
      </c>
      <c r="G1750" s="20">
        <f>IF('Journal'!G876="","",'Journal'!G876)</f>
        <v/>
      </c>
      <c r="H1750" s="5">
        <f>IF('Journal'!I876="","",'Journal'!I876)</f>
        <v/>
      </c>
    </row>
    <row r="1751">
      <c r="A1751" s="18">
        <f>IF('Journal'!A877="","",'Journal'!A877)</f>
        <v/>
      </c>
      <c r="B1751" s="21">
        <f>IF('Journal'!B877="","",'Journal'!B877)</f>
        <v/>
      </c>
      <c r="C1751" s="5">
        <f>IF('Journal'!C877="","",'Journal'!C877)</f>
        <v/>
      </c>
      <c r="D1751" s="5">
        <f>IF('Journal'!D877="","",IFERROR(LEFT('Journal'!D877,FIND(" ",'Journal'!D877)-1),'Journal'!D877))</f>
        <v/>
      </c>
      <c r="E1751" s="5">
        <f>IF('Journal'!D877="","",IFERROR(INDEX('Kontoplan'!$B$3:$B$302,MATCH('Journal'!D877,'Kontoplan'!$H$3:$H$302,0)),""))</f>
        <v/>
      </c>
      <c r="F1751" s="20">
        <f>IF('Journal'!G877="","",'Journal'!G877)</f>
        <v/>
      </c>
      <c r="G1751" s="20">
        <f>IF('Journal'!F877="","",'Journal'!F877)</f>
        <v/>
      </c>
      <c r="H1751" s="5">
        <f>IF('Journal'!I877="","",'Journal'!I877)</f>
        <v/>
      </c>
    </row>
    <row r="1752">
      <c r="A1752" s="18">
        <f>IF('Journal'!A877="","",'Journal'!A877)</f>
        <v/>
      </c>
      <c r="B1752" s="21">
        <f>IF('Journal'!B877="","",'Journal'!B877)</f>
        <v/>
      </c>
      <c r="C1752" s="5">
        <f>IF('Journal'!C877="","",'Journal'!C877)</f>
        <v/>
      </c>
      <c r="D1752" s="5">
        <f>IF('Journal'!E877="","",IFERROR(LEFT('Journal'!E877,FIND(" ",'Journal'!E877)-1),'Journal'!E877))</f>
        <v/>
      </c>
      <c r="E1752" s="5">
        <f>IF('Journal'!E877="","",IFERROR(INDEX('Kontoplan'!$B$3:$B$302,MATCH('Journal'!E877,'Kontoplan'!$H$3:$H$302,0)),""))</f>
        <v/>
      </c>
      <c r="F1752" s="20">
        <f>IF('Journal'!F877="","",'Journal'!F877)</f>
        <v/>
      </c>
      <c r="G1752" s="20">
        <f>IF('Journal'!G877="","",'Journal'!G877)</f>
        <v/>
      </c>
      <c r="H1752" s="5">
        <f>IF('Journal'!I877="","",'Journal'!I877)</f>
        <v/>
      </c>
    </row>
    <row r="1753">
      <c r="A1753" s="18">
        <f>IF('Journal'!A878="","",'Journal'!A878)</f>
        <v/>
      </c>
      <c r="B1753" s="21">
        <f>IF('Journal'!B878="","",'Journal'!B878)</f>
        <v/>
      </c>
      <c r="C1753" s="5">
        <f>IF('Journal'!C878="","",'Journal'!C878)</f>
        <v/>
      </c>
      <c r="D1753" s="5">
        <f>IF('Journal'!D878="","",IFERROR(LEFT('Journal'!D878,FIND(" ",'Journal'!D878)-1),'Journal'!D878))</f>
        <v/>
      </c>
      <c r="E1753" s="5">
        <f>IF('Journal'!D878="","",IFERROR(INDEX('Kontoplan'!$B$3:$B$302,MATCH('Journal'!D878,'Kontoplan'!$H$3:$H$302,0)),""))</f>
        <v/>
      </c>
      <c r="F1753" s="20">
        <f>IF('Journal'!G878="","",'Journal'!G878)</f>
        <v/>
      </c>
      <c r="G1753" s="20">
        <f>IF('Journal'!F878="","",'Journal'!F878)</f>
        <v/>
      </c>
      <c r="H1753" s="5">
        <f>IF('Journal'!I878="","",'Journal'!I878)</f>
        <v/>
      </c>
    </row>
    <row r="1754">
      <c r="A1754" s="18">
        <f>IF('Journal'!A878="","",'Journal'!A878)</f>
        <v/>
      </c>
      <c r="B1754" s="21">
        <f>IF('Journal'!B878="","",'Journal'!B878)</f>
        <v/>
      </c>
      <c r="C1754" s="5">
        <f>IF('Journal'!C878="","",'Journal'!C878)</f>
        <v/>
      </c>
      <c r="D1754" s="5">
        <f>IF('Journal'!E878="","",IFERROR(LEFT('Journal'!E878,FIND(" ",'Journal'!E878)-1),'Journal'!E878))</f>
        <v/>
      </c>
      <c r="E1754" s="5">
        <f>IF('Journal'!E878="","",IFERROR(INDEX('Kontoplan'!$B$3:$B$302,MATCH('Journal'!E878,'Kontoplan'!$H$3:$H$302,0)),""))</f>
        <v/>
      </c>
      <c r="F1754" s="20">
        <f>IF('Journal'!F878="","",'Journal'!F878)</f>
        <v/>
      </c>
      <c r="G1754" s="20">
        <f>IF('Journal'!G878="","",'Journal'!G878)</f>
        <v/>
      </c>
      <c r="H1754" s="5">
        <f>IF('Journal'!I878="","",'Journal'!I878)</f>
        <v/>
      </c>
    </row>
    <row r="1755">
      <c r="A1755" s="18">
        <f>IF('Journal'!A879="","",'Journal'!A879)</f>
        <v/>
      </c>
      <c r="B1755" s="21">
        <f>IF('Journal'!B879="","",'Journal'!B879)</f>
        <v/>
      </c>
      <c r="C1755" s="5">
        <f>IF('Journal'!C879="","",'Journal'!C879)</f>
        <v/>
      </c>
      <c r="D1755" s="5">
        <f>IF('Journal'!D879="","",IFERROR(LEFT('Journal'!D879,FIND(" ",'Journal'!D879)-1),'Journal'!D879))</f>
        <v/>
      </c>
      <c r="E1755" s="5">
        <f>IF('Journal'!D879="","",IFERROR(INDEX('Kontoplan'!$B$3:$B$302,MATCH('Journal'!D879,'Kontoplan'!$H$3:$H$302,0)),""))</f>
        <v/>
      </c>
      <c r="F1755" s="20">
        <f>IF('Journal'!G879="","",'Journal'!G879)</f>
        <v/>
      </c>
      <c r="G1755" s="20">
        <f>IF('Journal'!F879="","",'Journal'!F879)</f>
        <v/>
      </c>
      <c r="H1755" s="5">
        <f>IF('Journal'!I879="","",'Journal'!I879)</f>
        <v/>
      </c>
    </row>
    <row r="1756">
      <c r="A1756" s="18">
        <f>IF('Journal'!A879="","",'Journal'!A879)</f>
        <v/>
      </c>
      <c r="B1756" s="21">
        <f>IF('Journal'!B879="","",'Journal'!B879)</f>
        <v/>
      </c>
      <c r="C1756" s="5">
        <f>IF('Journal'!C879="","",'Journal'!C879)</f>
        <v/>
      </c>
      <c r="D1756" s="5">
        <f>IF('Journal'!E879="","",IFERROR(LEFT('Journal'!E879,FIND(" ",'Journal'!E879)-1),'Journal'!E879))</f>
        <v/>
      </c>
      <c r="E1756" s="5">
        <f>IF('Journal'!E879="","",IFERROR(INDEX('Kontoplan'!$B$3:$B$302,MATCH('Journal'!E879,'Kontoplan'!$H$3:$H$302,0)),""))</f>
        <v/>
      </c>
      <c r="F1756" s="20">
        <f>IF('Journal'!F879="","",'Journal'!F879)</f>
        <v/>
      </c>
      <c r="G1756" s="20">
        <f>IF('Journal'!G879="","",'Journal'!G879)</f>
        <v/>
      </c>
      <c r="H1756" s="5">
        <f>IF('Journal'!I879="","",'Journal'!I879)</f>
        <v/>
      </c>
    </row>
    <row r="1757">
      <c r="A1757" s="18">
        <f>IF('Journal'!A880="","",'Journal'!A880)</f>
        <v/>
      </c>
      <c r="B1757" s="21">
        <f>IF('Journal'!B880="","",'Journal'!B880)</f>
        <v/>
      </c>
      <c r="C1757" s="5">
        <f>IF('Journal'!C880="","",'Journal'!C880)</f>
        <v/>
      </c>
      <c r="D1757" s="5">
        <f>IF('Journal'!D880="","",IFERROR(LEFT('Journal'!D880,FIND(" ",'Journal'!D880)-1),'Journal'!D880))</f>
        <v/>
      </c>
      <c r="E1757" s="5">
        <f>IF('Journal'!D880="","",IFERROR(INDEX('Kontoplan'!$B$3:$B$302,MATCH('Journal'!D880,'Kontoplan'!$H$3:$H$302,0)),""))</f>
        <v/>
      </c>
      <c r="F1757" s="20">
        <f>IF('Journal'!G880="","",'Journal'!G880)</f>
        <v/>
      </c>
      <c r="G1757" s="20">
        <f>IF('Journal'!F880="","",'Journal'!F880)</f>
        <v/>
      </c>
      <c r="H1757" s="5">
        <f>IF('Journal'!I880="","",'Journal'!I880)</f>
        <v/>
      </c>
    </row>
    <row r="1758">
      <c r="A1758" s="18">
        <f>IF('Journal'!A880="","",'Journal'!A880)</f>
        <v/>
      </c>
      <c r="B1758" s="21">
        <f>IF('Journal'!B880="","",'Journal'!B880)</f>
        <v/>
      </c>
      <c r="C1758" s="5">
        <f>IF('Journal'!C880="","",'Journal'!C880)</f>
        <v/>
      </c>
      <c r="D1758" s="5">
        <f>IF('Journal'!E880="","",IFERROR(LEFT('Journal'!E880,FIND(" ",'Journal'!E880)-1),'Journal'!E880))</f>
        <v/>
      </c>
      <c r="E1758" s="5">
        <f>IF('Journal'!E880="","",IFERROR(INDEX('Kontoplan'!$B$3:$B$302,MATCH('Journal'!E880,'Kontoplan'!$H$3:$H$302,0)),""))</f>
        <v/>
      </c>
      <c r="F1758" s="20">
        <f>IF('Journal'!F880="","",'Journal'!F880)</f>
        <v/>
      </c>
      <c r="G1758" s="20">
        <f>IF('Journal'!G880="","",'Journal'!G880)</f>
        <v/>
      </c>
      <c r="H1758" s="5">
        <f>IF('Journal'!I880="","",'Journal'!I880)</f>
        <v/>
      </c>
    </row>
    <row r="1759">
      <c r="A1759" s="18">
        <f>IF('Journal'!A881="","",'Journal'!A881)</f>
        <v/>
      </c>
      <c r="B1759" s="21">
        <f>IF('Journal'!B881="","",'Journal'!B881)</f>
        <v/>
      </c>
      <c r="C1759" s="5">
        <f>IF('Journal'!C881="","",'Journal'!C881)</f>
        <v/>
      </c>
      <c r="D1759" s="5">
        <f>IF('Journal'!D881="","",IFERROR(LEFT('Journal'!D881,FIND(" ",'Journal'!D881)-1),'Journal'!D881))</f>
        <v/>
      </c>
      <c r="E1759" s="5">
        <f>IF('Journal'!D881="","",IFERROR(INDEX('Kontoplan'!$B$3:$B$302,MATCH('Journal'!D881,'Kontoplan'!$H$3:$H$302,0)),""))</f>
        <v/>
      </c>
      <c r="F1759" s="20">
        <f>IF('Journal'!G881="","",'Journal'!G881)</f>
        <v/>
      </c>
      <c r="G1759" s="20">
        <f>IF('Journal'!F881="","",'Journal'!F881)</f>
        <v/>
      </c>
      <c r="H1759" s="5">
        <f>IF('Journal'!I881="","",'Journal'!I881)</f>
        <v/>
      </c>
    </row>
    <row r="1760">
      <c r="A1760" s="18">
        <f>IF('Journal'!A881="","",'Journal'!A881)</f>
        <v/>
      </c>
      <c r="B1760" s="21">
        <f>IF('Journal'!B881="","",'Journal'!B881)</f>
        <v/>
      </c>
      <c r="C1760" s="5">
        <f>IF('Journal'!C881="","",'Journal'!C881)</f>
        <v/>
      </c>
      <c r="D1760" s="5">
        <f>IF('Journal'!E881="","",IFERROR(LEFT('Journal'!E881,FIND(" ",'Journal'!E881)-1),'Journal'!E881))</f>
        <v/>
      </c>
      <c r="E1760" s="5">
        <f>IF('Journal'!E881="","",IFERROR(INDEX('Kontoplan'!$B$3:$B$302,MATCH('Journal'!E881,'Kontoplan'!$H$3:$H$302,0)),""))</f>
        <v/>
      </c>
      <c r="F1760" s="20">
        <f>IF('Journal'!F881="","",'Journal'!F881)</f>
        <v/>
      </c>
      <c r="G1760" s="20">
        <f>IF('Journal'!G881="","",'Journal'!G881)</f>
        <v/>
      </c>
      <c r="H1760" s="5">
        <f>IF('Journal'!I881="","",'Journal'!I881)</f>
        <v/>
      </c>
    </row>
    <row r="1761">
      <c r="A1761" s="18">
        <f>IF('Journal'!A882="","",'Journal'!A882)</f>
        <v/>
      </c>
      <c r="B1761" s="21">
        <f>IF('Journal'!B882="","",'Journal'!B882)</f>
        <v/>
      </c>
      <c r="C1761" s="5">
        <f>IF('Journal'!C882="","",'Journal'!C882)</f>
        <v/>
      </c>
      <c r="D1761" s="5">
        <f>IF('Journal'!D882="","",IFERROR(LEFT('Journal'!D882,FIND(" ",'Journal'!D882)-1),'Journal'!D882))</f>
        <v/>
      </c>
      <c r="E1761" s="5">
        <f>IF('Journal'!D882="","",IFERROR(INDEX('Kontoplan'!$B$3:$B$302,MATCH('Journal'!D882,'Kontoplan'!$H$3:$H$302,0)),""))</f>
        <v/>
      </c>
      <c r="F1761" s="20">
        <f>IF('Journal'!G882="","",'Journal'!G882)</f>
        <v/>
      </c>
      <c r="G1761" s="20">
        <f>IF('Journal'!F882="","",'Journal'!F882)</f>
        <v/>
      </c>
      <c r="H1761" s="5">
        <f>IF('Journal'!I882="","",'Journal'!I882)</f>
        <v/>
      </c>
    </row>
    <row r="1762">
      <c r="A1762" s="18">
        <f>IF('Journal'!A882="","",'Journal'!A882)</f>
        <v/>
      </c>
      <c r="B1762" s="21">
        <f>IF('Journal'!B882="","",'Journal'!B882)</f>
        <v/>
      </c>
      <c r="C1762" s="5">
        <f>IF('Journal'!C882="","",'Journal'!C882)</f>
        <v/>
      </c>
      <c r="D1762" s="5">
        <f>IF('Journal'!E882="","",IFERROR(LEFT('Journal'!E882,FIND(" ",'Journal'!E882)-1),'Journal'!E882))</f>
        <v/>
      </c>
      <c r="E1762" s="5">
        <f>IF('Journal'!E882="","",IFERROR(INDEX('Kontoplan'!$B$3:$B$302,MATCH('Journal'!E882,'Kontoplan'!$H$3:$H$302,0)),""))</f>
        <v/>
      </c>
      <c r="F1762" s="20">
        <f>IF('Journal'!F882="","",'Journal'!F882)</f>
        <v/>
      </c>
      <c r="G1762" s="20">
        <f>IF('Journal'!G882="","",'Journal'!G882)</f>
        <v/>
      </c>
      <c r="H1762" s="5">
        <f>IF('Journal'!I882="","",'Journal'!I882)</f>
        <v/>
      </c>
    </row>
    <row r="1763">
      <c r="A1763" s="18">
        <f>IF('Journal'!A883="","",'Journal'!A883)</f>
        <v/>
      </c>
      <c r="B1763" s="21">
        <f>IF('Journal'!B883="","",'Journal'!B883)</f>
        <v/>
      </c>
      <c r="C1763" s="5">
        <f>IF('Journal'!C883="","",'Journal'!C883)</f>
        <v/>
      </c>
      <c r="D1763" s="5">
        <f>IF('Journal'!D883="","",IFERROR(LEFT('Journal'!D883,FIND(" ",'Journal'!D883)-1),'Journal'!D883))</f>
        <v/>
      </c>
      <c r="E1763" s="5">
        <f>IF('Journal'!D883="","",IFERROR(INDEX('Kontoplan'!$B$3:$B$302,MATCH('Journal'!D883,'Kontoplan'!$H$3:$H$302,0)),""))</f>
        <v/>
      </c>
      <c r="F1763" s="20">
        <f>IF('Journal'!G883="","",'Journal'!G883)</f>
        <v/>
      </c>
      <c r="G1763" s="20">
        <f>IF('Journal'!F883="","",'Journal'!F883)</f>
        <v/>
      </c>
      <c r="H1763" s="5">
        <f>IF('Journal'!I883="","",'Journal'!I883)</f>
        <v/>
      </c>
    </row>
    <row r="1764">
      <c r="A1764" s="18">
        <f>IF('Journal'!A883="","",'Journal'!A883)</f>
        <v/>
      </c>
      <c r="B1764" s="21">
        <f>IF('Journal'!B883="","",'Journal'!B883)</f>
        <v/>
      </c>
      <c r="C1764" s="5">
        <f>IF('Journal'!C883="","",'Journal'!C883)</f>
        <v/>
      </c>
      <c r="D1764" s="5">
        <f>IF('Journal'!E883="","",IFERROR(LEFT('Journal'!E883,FIND(" ",'Journal'!E883)-1),'Journal'!E883))</f>
        <v/>
      </c>
      <c r="E1764" s="5">
        <f>IF('Journal'!E883="","",IFERROR(INDEX('Kontoplan'!$B$3:$B$302,MATCH('Journal'!E883,'Kontoplan'!$H$3:$H$302,0)),""))</f>
        <v/>
      </c>
      <c r="F1764" s="20">
        <f>IF('Journal'!F883="","",'Journal'!F883)</f>
        <v/>
      </c>
      <c r="G1764" s="20">
        <f>IF('Journal'!G883="","",'Journal'!G883)</f>
        <v/>
      </c>
      <c r="H1764" s="5">
        <f>IF('Journal'!I883="","",'Journal'!I883)</f>
        <v/>
      </c>
    </row>
    <row r="1765">
      <c r="A1765" s="18">
        <f>IF('Journal'!A884="","",'Journal'!A884)</f>
        <v/>
      </c>
      <c r="B1765" s="21">
        <f>IF('Journal'!B884="","",'Journal'!B884)</f>
        <v/>
      </c>
      <c r="C1765" s="5">
        <f>IF('Journal'!C884="","",'Journal'!C884)</f>
        <v/>
      </c>
      <c r="D1765" s="5">
        <f>IF('Journal'!D884="","",IFERROR(LEFT('Journal'!D884,FIND(" ",'Journal'!D884)-1),'Journal'!D884))</f>
        <v/>
      </c>
      <c r="E1765" s="5">
        <f>IF('Journal'!D884="","",IFERROR(INDEX('Kontoplan'!$B$3:$B$302,MATCH('Journal'!D884,'Kontoplan'!$H$3:$H$302,0)),""))</f>
        <v/>
      </c>
      <c r="F1765" s="20">
        <f>IF('Journal'!G884="","",'Journal'!G884)</f>
        <v/>
      </c>
      <c r="G1765" s="20">
        <f>IF('Journal'!F884="","",'Journal'!F884)</f>
        <v/>
      </c>
      <c r="H1765" s="5">
        <f>IF('Journal'!I884="","",'Journal'!I884)</f>
        <v/>
      </c>
    </row>
    <row r="1766">
      <c r="A1766" s="18">
        <f>IF('Journal'!A884="","",'Journal'!A884)</f>
        <v/>
      </c>
      <c r="B1766" s="21">
        <f>IF('Journal'!B884="","",'Journal'!B884)</f>
        <v/>
      </c>
      <c r="C1766" s="5">
        <f>IF('Journal'!C884="","",'Journal'!C884)</f>
        <v/>
      </c>
      <c r="D1766" s="5">
        <f>IF('Journal'!E884="","",IFERROR(LEFT('Journal'!E884,FIND(" ",'Journal'!E884)-1),'Journal'!E884))</f>
        <v/>
      </c>
      <c r="E1766" s="5">
        <f>IF('Journal'!E884="","",IFERROR(INDEX('Kontoplan'!$B$3:$B$302,MATCH('Journal'!E884,'Kontoplan'!$H$3:$H$302,0)),""))</f>
        <v/>
      </c>
      <c r="F1766" s="20">
        <f>IF('Journal'!F884="","",'Journal'!F884)</f>
        <v/>
      </c>
      <c r="G1766" s="20">
        <f>IF('Journal'!G884="","",'Journal'!G884)</f>
        <v/>
      </c>
      <c r="H1766" s="5">
        <f>IF('Journal'!I884="","",'Journal'!I884)</f>
        <v/>
      </c>
    </row>
    <row r="1767">
      <c r="A1767" s="18">
        <f>IF('Journal'!A885="","",'Journal'!A885)</f>
        <v/>
      </c>
      <c r="B1767" s="21">
        <f>IF('Journal'!B885="","",'Journal'!B885)</f>
        <v/>
      </c>
      <c r="C1767" s="5">
        <f>IF('Journal'!C885="","",'Journal'!C885)</f>
        <v/>
      </c>
      <c r="D1767" s="5">
        <f>IF('Journal'!D885="","",IFERROR(LEFT('Journal'!D885,FIND(" ",'Journal'!D885)-1),'Journal'!D885))</f>
        <v/>
      </c>
      <c r="E1767" s="5">
        <f>IF('Journal'!D885="","",IFERROR(INDEX('Kontoplan'!$B$3:$B$302,MATCH('Journal'!D885,'Kontoplan'!$H$3:$H$302,0)),""))</f>
        <v/>
      </c>
      <c r="F1767" s="20">
        <f>IF('Journal'!G885="","",'Journal'!G885)</f>
        <v/>
      </c>
      <c r="G1767" s="20">
        <f>IF('Journal'!F885="","",'Journal'!F885)</f>
        <v/>
      </c>
      <c r="H1767" s="5">
        <f>IF('Journal'!I885="","",'Journal'!I885)</f>
        <v/>
      </c>
    </row>
    <row r="1768">
      <c r="A1768" s="18">
        <f>IF('Journal'!A885="","",'Journal'!A885)</f>
        <v/>
      </c>
      <c r="B1768" s="21">
        <f>IF('Journal'!B885="","",'Journal'!B885)</f>
        <v/>
      </c>
      <c r="C1768" s="5">
        <f>IF('Journal'!C885="","",'Journal'!C885)</f>
        <v/>
      </c>
      <c r="D1768" s="5">
        <f>IF('Journal'!E885="","",IFERROR(LEFT('Journal'!E885,FIND(" ",'Journal'!E885)-1),'Journal'!E885))</f>
        <v/>
      </c>
      <c r="E1768" s="5">
        <f>IF('Journal'!E885="","",IFERROR(INDEX('Kontoplan'!$B$3:$B$302,MATCH('Journal'!E885,'Kontoplan'!$H$3:$H$302,0)),""))</f>
        <v/>
      </c>
      <c r="F1768" s="20">
        <f>IF('Journal'!F885="","",'Journal'!F885)</f>
        <v/>
      </c>
      <c r="G1768" s="20">
        <f>IF('Journal'!G885="","",'Journal'!G885)</f>
        <v/>
      </c>
      <c r="H1768" s="5">
        <f>IF('Journal'!I885="","",'Journal'!I885)</f>
        <v/>
      </c>
    </row>
    <row r="1769">
      <c r="A1769" s="18">
        <f>IF('Journal'!A886="","",'Journal'!A886)</f>
        <v/>
      </c>
      <c r="B1769" s="21">
        <f>IF('Journal'!B886="","",'Journal'!B886)</f>
        <v/>
      </c>
      <c r="C1769" s="5">
        <f>IF('Journal'!C886="","",'Journal'!C886)</f>
        <v/>
      </c>
      <c r="D1769" s="5">
        <f>IF('Journal'!D886="","",IFERROR(LEFT('Journal'!D886,FIND(" ",'Journal'!D886)-1),'Journal'!D886))</f>
        <v/>
      </c>
      <c r="E1769" s="5">
        <f>IF('Journal'!D886="","",IFERROR(INDEX('Kontoplan'!$B$3:$B$302,MATCH('Journal'!D886,'Kontoplan'!$H$3:$H$302,0)),""))</f>
        <v/>
      </c>
      <c r="F1769" s="20">
        <f>IF('Journal'!G886="","",'Journal'!G886)</f>
        <v/>
      </c>
      <c r="G1769" s="20">
        <f>IF('Journal'!F886="","",'Journal'!F886)</f>
        <v/>
      </c>
      <c r="H1769" s="5">
        <f>IF('Journal'!I886="","",'Journal'!I886)</f>
        <v/>
      </c>
    </row>
    <row r="1770">
      <c r="A1770" s="18">
        <f>IF('Journal'!A886="","",'Journal'!A886)</f>
        <v/>
      </c>
      <c r="B1770" s="21">
        <f>IF('Journal'!B886="","",'Journal'!B886)</f>
        <v/>
      </c>
      <c r="C1770" s="5">
        <f>IF('Journal'!C886="","",'Journal'!C886)</f>
        <v/>
      </c>
      <c r="D1770" s="5">
        <f>IF('Journal'!E886="","",IFERROR(LEFT('Journal'!E886,FIND(" ",'Journal'!E886)-1),'Journal'!E886))</f>
        <v/>
      </c>
      <c r="E1770" s="5">
        <f>IF('Journal'!E886="","",IFERROR(INDEX('Kontoplan'!$B$3:$B$302,MATCH('Journal'!E886,'Kontoplan'!$H$3:$H$302,0)),""))</f>
        <v/>
      </c>
      <c r="F1770" s="20">
        <f>IF('Journal'!F886="","",'Journal'!F886)</f>
        <v/>
      </c>
      <c r="G1770" s="20">
        <f>IF('Journal'!G886="","",'Journal'!G886)</f>
        <v/>
      </c>
      <c r="H1770" s="5">
        <f>IF('Journal'!I886="","",'Journal'!I886)</f>
        <v/>
      </c>
    </row>
    <row r="1771">
      <c r="A1771" s="18">
        <f>IF('Journal'!A887="","",'Journal'!A887)</f>
        <v/>
      </c>
      <c r="B1771" s="21">
        <f>IF('Journal'!B887="","",'Journal'!B887)</f>
        <v/>
      </c>
      <c r="C1771" s="5">
        <f>IF('Journal'!C887="","",'Journal'!C887)</f>
        <v/>
      </c>
      <c r="D1771" s="5">
        <f>IF('Journal'!D887="","",IFERROR(LEFT('Journal'!D887,FIND(" ",'Journal'!D887)-1),'Journal'!D887))</f>
        <v/>
      </c>
      <c r="E1771" s="5">
        <f>IF('Journal'!D887="","",IFERROR(INDEX('Kontoplan'!$B$3:$B$302,MATCH('Journal'!D887,'Kontoplan'!$H$3:$H$302,0)),""))</f>
        <v/>
      </c>
      <c r="F1771" s="20">
        <f>IF('Journal'!G887="","",'Journal'!G887)</f>
        <v/>
      </c>
      <c r="G1771" s="20">
        <f>IF('Journal'!F887="","",'Journal'!F887)</f>
        <v/>
      </c>
      <c r="H1771" s="5">
        <f>IF('Journal'!I887="","",'Journal'!I887)</f>
        <v/>
      </c>
    </row>
    <row r="1772">
      <c r="A1772" s="18">
        <f>IF('Journal'!A887="","",'Journal'!A887)</f>
        <v/>
      </c>
      <c r="B1772" s="21">
        <f>IF('Journal'!B887="","",'Journal'!B887)</f>
        <v/>
      </c>
      <c r="C1772" s="5">
        <f>IF('Journal'!C887="","",'Journal'!C887)</f>
        <v/>
      </c>
      <c r="D1772" s="5">
        <f>IF('Journal'!E887="","",IFERROR(LEFT('Journal'!E887,FIND(" ",'Journal'!E887)-1),'Journal'!E887))</f>
        <v/>
      </c>
      <c r="E1772" s="5">
        <f>IF('Journal'!E887="","",IFERROR(INDEX('Kontoplan'!$B$3:$B$302,MATCH('Journal'!E887,'Kontoplan'!$H$3:$H$302,0)),""))</f>
        <v/>
      </c>
      <c r="F1772" s="20">
        <f>IF('Journal'!F887="","",'Journal'!F887)</f>
        <v/>
      </c>
      <c r="G1772" s="20">
        <f>IF('Journal'!G887="","",'Journal'!G887)</f>
        <v/>
      </c>
      <c r="H1772" s="5">
        <f>IF('Journal'!I887="","",'Journal'!I887)</f>
        <v/>
      </c>
    </row>
    <row r="1773">
      <c r="A1773" s="18">
        <f>IF('Journal'!A888="","",'Journal'!A888)</f>
        <v/>
      </c>
      <c r="B1773" s="21">
        <f>IF('Journal'!B888="","",'Journal'!B888)</f>
        <v/>
      </c>
      <c r="C1773" s="5">
        <f>IF('Journal'!C888="","",'Journal'!C888)</f>
        <v/>
      </c>
      <c r="D1773" s="5">
        <f>IF('Journal'!D888="","",IFERROR(LEFT('Journal'!D888,FIND(" ",'Journal'!D888)-1),'Journal'!D888))</f>
        <v/>
      </c>
      <c r="E1773" s="5">
        <f>IF('Journal'!D888="","",IFERROR(INDEX('Kontoplan'!$B$3:$B$302,MATCH('Journal'!D888,'Kontoplan'!$H$3:$H$302,0)),""))</f>
        <v/>
      </c>
      <c r="F1773" s="20">
        <f>IF('Journal'!G888="","",'Journal'!G888)</f>
        <v/>
      </c>
      <c r="G1773" s="20">
        <f>IF('Journal'!F888="","",'Journal'!F888)</f>
        <v/>
      </c>
      <c r="H1773" s="5">
        <f>IF('Journal'!I888="","",'Journal'!I888)</f>
        <v/>
      </c>
    </row>
    <row r="1774">
      <c r="A1774" s="18">
        <f>IF('Journal'!A888="","",'Journal'!A888)</f>
        <v/>
      </c>
      <c r="B1774" s="21">
        <f>IF('Journal'!B888="","",'Journal'!B888)</f>
        <v/>
      </c>
      <c r="C1774" s="5">
        <f>IF('Journal'!C888="","",'Journal'!C888)</f>
        <v/>
      </c>
      <c r="D1774" s="5">
        <f>IF('Journal'!E888="","",IFERROR(LEFT('Journal'!E888,FIND(" ",'Journal'!E888)-1),'Journal'!E888))</f>
        <v/>
      </c>
      <c r="E1774" s="5">
        <f>IF('Journal'!E888="","",IFERROR(INDEX('Kontoplan'!$B$3:$B$302,MATCH('Journal'!E888,'Kontoplan'!$H$3:$H$302,0)),""))</f>
        <v/>
      </c>
      <c r="F1774" s="20">
        <f>IF('Journal'!F888="","",'Journal'!F888)</f>
        <v/>
      </c>
      <c r="G1774" s="20">
        <f>IF('Journal'!G888="","",'Journal'!G888)</f>
        <v/>
      </c>
      <c r="H1774" s="5">
        <f>IF('Journal'!I888="","",'Journal'!I888)</f>
        <v/>
      </c>
    </row>
    <row r="1775">
      <c r="A1775" s="18">
        <f>IF('Journal'!A889="","",'Journal'!A889)</f>
        <v/>
      </c>
      <c r="B1775" s="21">
        <f>IF('Journal'!B889="","",'Journal'!B889)</f>
        <v/>
      </c>
      <c r="C1775" s="5">
        <f>IF('Journal'!C889="","",'Journal'!C889)</f>
        <v/>
      </c>
      <c r="D1775" s="5">
        <f>IF('Journal'!D889="","",IFERROR(LEFT('Journal'!D889,FIND(" ",'Journal'!D889)-1),'Journal'!D889))</f>
        <v/>
      </c>
      <c r="E1775" s="5">
        <f>IF('Journal'!D889="","",IFERROR(INDEX('Kontoplan'!$B$3:$B$302,MATCH('Journal'!D889,'Kontoplan'!$H$3:$H$302,0)),""))</f>
        <v/>
      </c>
      <c r="F1775" s="20">
        <f>IF('Journal'!G889="","",'Journal'!G889)</f>
        <v/>
      </c>
      <c r="G1775" s="20">
        <f>IF('Journal'!F889="","",'Journal'!F889)</f>
        <v/>
      </c>
      <c r="H1775" s="5">
        <f>IF('Journal'!I889="","",'Journal'!I889)</f>
        <v/>
      </c>
    </row>
    <row r="1776">
      <c r="A1776" s="18">
        <f>IF('Journal'!A889="","",'Journal'!A889)</f>
        <v/>
      </c>
      <c r="B1776" s="21">
        <f>IF('Journal'!B889="","",'Journal'!B889)</f>
        <v/>
      </c>
      <c r="C1776" s="5">
        <f>IF('Journal'!C889="","",'Journal'!C889)</f>
        <v/>
      </c>
      <c r="D1776" s="5">
        <f>IF('Journal'!E889="","",IFERROR(LEFT('Journal'!E889,FIND(" ",'Journal'!E889)-1),'Journal'!E889))</f>
        <v/>
      </c>
      <c r="E1776" s="5">
        <f>IF('Journal'!E889="","",IFERROR(INDEX('Kontoplan'!$B$3:$B$302,MATCH('Journal'!E889,'Kontoplan'!$H$3:$H$302,0)),""))</f>
        <v/>
      </c>
      <c r="F1776" s="20">
        <f>IF('Journal'!F889="","",'Journal'!F889)</f>
        <v/>
      </c>
      <c r="G1776" s="20">
        <f>IF('Journal'!G889="","",'Journal'!G889)</f>
        <v/>
      </c>
      <c r="H1776" s="5">
        <f>IF('Journal'!I889="","",'Journal'!I889)</f>
        <v/>
      </c>
    </row>
    <row r="1777">
      <c r="A1777" s="18">
        <f>IF('Journal'!A890="","",'Journal'!A890)</f>
        <v/>
      </c>
      <c r="B1777" s="21">
        <f>IF('Journal'!B890="","",'Journal'!B890)</f>
        <v/>
      </c>
      <c r="C1777" s="5">
        <f>IF('Journal'!C890="","",'Journal'!C890)</f>
        <v/>
      </c>
      <c r="D1777" s="5">
        <f>IF('Journal'!D890="","",IFERROR(LEFT('Journal'!D890,FIND(" ",'Journal'!D890)-1),'Journal'!D890))</f>
        <v/>
      </c>
      <c r="E1777" s="5">
        <f>IF('Journal'!D890="","",IFERROR(INDEX('Kontoplan'!$B$3:$B$302,MATCH('Journal'!D890,'Kontoplan'!$H$3:$H$302,0)),""))</f>
        <v/>
      </c>
      <c r="F1777" s="20">
        <f>IF('Journal'!G890="","",'Journal'!G890)</f>
        <v/>
      </c>
      <c r="G1777" s="20">
        <f>IF('Journal'!F890="","",'Journal'!F890)</f>
        <v/>
      </c>
      <c r="H1777" s="5">
        <f>IF('Journal'!I890="","",'Journal'!I890)</f>
        <v/>
      </c>
    </row>
    <row r="1778">
      <c r="A1778" s="18">
        <f>IF('Journal'!A890="","",'Journal'!A890)</f>
        <v/>
      </c>
      <c r="B1778" s="21">
        <f>IF('Journal'!B890="","",'Journal'!B890)</f>
        <v/>
      </c>
      <c r="C1778" s="5">
        <f>IF('Journal'!C890="","",'Journal'!C890)</f>
        <v/>
      </c>
      <c r="D1778" s="5">
        <f>IF('Journal'!E890="","",IFERROR(LEFT('Journal'!E890,FIND(" ",'Journal'!E890)-1),'Journal'!E890))</f>
        <v/>
      </c>
      <c r="E1778" s="5">
        <f>IF('Journal'!E890="","",IFERROR(INDEX('Kontoplan'!$B$3:$B$302,MATCH('Journal'!E890,'Kontoplan'!$H$3:$H$302,0)),""))</f>
        <v/>
      </c>
      <c r="F1778" s="20">
        <f>IF('Journal'!F890="","",'Journal'!F890)</f>
        <v/>
      </c>
      <c r="G1778" s="20">
        <f>IF('Journal'!G890="","",'Journal'!G890)</f>
        <v/>
      </c>
      <c r="H1778" s="5">
        <f>IF('Journal'!I890="","",'Journal'!I890)</f>
        <v/>
      </c>
    </row>
    <row r="1779">
      <c r="A1779" s="18">
        <f>IF('Journal'!A891="","",'Journal'!A891)</f>
        <v/>
      </c>
      <c r="B1779" s="21">
        <f>IF('Journal'!B891="","",'Journal'!B891)</f>
        <v/>
      </c>
      <c r="C1779" s="5">
        <f>IF('Journal'!C891="","",'Journal'!C891)</f>
        <v/>
      </c>
      <c r="D1779" s="5">
        <f>IF('Journal'!D891="","",IFERROR(LEFT('Journal'!D891,FIND(" ",'Journal'!D891)-1),'Journal'!D891))</f>
        <v/>
      </c>
      <c r="E1779" s="5">
        <f>IF('Journal'!D891="","",IFERROR(INDEX('Kontoplan'!$B$3:$B$302,MATCH('Journal'!D891,'Kontoplan'!$H$3:$H$302,0)),""))</f>
        <v/>
      </c>
      <c r="F1779" s="20">
        <f>IF('Journal'!G891="","",'Journal'!G891)</f>
        <v/>
      </c>
      <c r="G1779" s="20">
        <f>IF('Journal'!F891="","",'Journal'!F891)</f>
        <v/>
      </c>
      <c r="H1779" s="5">
        <f>IF('Journal'!I891="","",'Journal'!I891)</f>
        <v/>
      </c>
    </row>
    <row r="1780">
      <c r="A1780" s="18">
        <f>IF('Journal'!A891="","",'Journal'!A891)</f>
        <v/>
      </c>
      <c r="B1780" s="21">
        <f>IF('Journal'!B891="","",'Journal'!B891)</f>
        <v/>
      </c>
      <c r="C1780" s="5">
        <f>IF('Journal'!C891="","",'Journal'!C891)</f>
        <v/>
      </c>
      <c r="D1780" s="5">
        <f>IF('Journal'!E891="","",IFERROR(LEFT('Journal'!E891,FIND(" ",'Journal'!E891)-1),'Journal'!E891))</f>
        <v/>
      </c>
      <c r="E1780" s="5">
        <f>IF('Journal'!E891="","",IFERROR(INDEX('Kontoplan'!$B$3:$B$302,MATCH('Journal'!E891,'Kontoplan'!$H$3:$H$302,0)),""))</f>
        <v/>
      </c>
      <c r="F1780" s="20">
        <f>IF('Journal'!F891="","",'Journal'!F891)</f>
        <v/>
      </c>
      <c r="G1780" s="20">
        <f>IF('Journal'!G891="","",'Journal'!G891)</f>
        <v/>
      </c>
      <c r="H1780" s="5">
        <f>IF('Journal'!I891="","",'Journal'!I891)</f>
        <v/>
      </c>
    </row>
    <row r="1781">
      <c r="A1781" s="18">
        <f>IF('Journal'!A892="","",'Journal'!A892)</f>
        <v/>
      </c>
      <c r="B1781" s="21">
        <f>IF('Journal'!B892="","",'Journal'!B892)</f>
        <v/>
      </c>
      <c r="C1781" s="5">
        <f>IF('Journal'!C892="","",'Journal'!C892)</f>
        <v/>
      </c>
      <c r="D1781" s="5">
        <f>IF('Journal'!D892="","",IFERROR(LEFT('Journal'!D892,FIND(" ",'Journal'!D892)-1),'Journal'!D892))</f>
        <v/>
      </c>
      <c r="E1781" s="5">
        <f>IF('Journal'!D892="","",IFERROR(INDEX('Kontoplan'!$B$3:$B$302,MATCH('Journal'!D892,'Kontoplan'!$H$3:$H$302,0)),""))</f>
        <v/>
      </c>
      <c r="F1781" s="20">
        <f>IF('Journal'!G892="","",'Journal'!G892)</f>
        <v/>
      </c>
      <c r="G1781" s="20">
        <f>IF('Journal'!F892="","",'Journal'!F892)</f>
        <v/>
      </c>
      <c r="H1781" s="5">
        <f>IF('Journal'!I892="","",'Journal'!I892)</f>
        <v/>
      </c>
    </row>
    <row r="1782">
      <c r="A1782" s="18">
        <f>IF('Journal'!A892="","",'Journal'!A892)</f>
        <v/>
      </c>
      <c r="B1782" s="21">
        <f>IF('Journal'!B892="","",'Journal'!B892)</f>
        <v/>
      </c>
      <c r="C1782" s="5">
        <f>IF('Journal'!C892="","",'Journal'!C892)</f>
        <v/>
      </c>
      <c r="D1782" s="5">
        <f>IF('Journal'!E892="","",IFERROR(LEFT('Journal'!E892,FIND(" ",'Journal'!E892)-1),'Journal'!E892))</f>
        <v/>
      </c>
      <c r="E1782" s="5">
        <f>IF('Journal'!E892="","",IFERROR(INDEX('Kontoplan'!$B$3:$B$302,MATCH('Journal'!E892,'Kontoplan'!$H$3:$H$302,0)),""))</f>
        <v/>
      </c>
      <c r="F1782" s="20">
        <f>IF('Journal'!F892="","",'Journal'!F892)</f>
        <v/>
      </c>
      <c r="G1782" s="20">
        <f>IF('Journal'!G892="","",'Journal'!G892)</f>
        <v/>
      </c>
      <c r="H1782" s="5">
        <f>IF('Journal'!I892="","",'Journal'!I892)</f>
        <v/>
      </c>
    </row>
    <row r="1783">
      <c r="A1783" s="18">
        <f>IF('Journal'!A893="","",'Journal'!A893)</f>
        <v/>
      </c>
      <c r="B1783" s="21">
        <f>IF('Journal'!B893="","",'Journal'!B893)</f>
        <v/>
      </c>
      <c r="C1783" s="5">
        <f>IF('Journal'!C893="","",'Journal'!C893)</f>
        <v/>
      </c>
      <c r="D1783" s="5">
        <f>IF('Journal'!D893="","",IFERROR(LEFT('Journal'!D893,FIND(" ",'Journal'!D893)-1),'Journal'!D893))</f>
        <v/>
      </c>
      <c r="E1783" s="5">
        <f>IF('Journal'!D893="","",IFERROR(INDEX('Kontoplan'!$B$3:$B$302,MATCH('Journal'!D893,'Kontoplan'!$H$3:$H$302,0)),""))</f>
        <v/>
      </c>
      <c r="F1783" s="20">
        <f>IF('Journal'!G893="","",'Journal'!G893)</f>
        <v/>
      </c>
      <c r="G1783" s="20">
        <f>IF('Journal'!F893="","",'Journal'!F893)</f>
        <v/>
      </c>
      <c r="H1783" s="5">
        <f>IF('Journal'!I893="","",'Journal'!I893)</f>
        <v/>
      </c>
    </row>
    <row r="1784">
      <c r="A1784" s="18">
        <f>IF('Journal'!A893="","",'Journal'!A893)</f>
        <v/>
      </c>
      <c r="B1784" s="21">
        <f>IF('Journal'!B893="","",'Journal'!B893)</f>
        <v/>
      </c>
      <c r="C1784" s="5">
        <f>IF('Journal'!C893="","",'Journal'!C893)</f>
        <v/>
      </c>
      <c r="D1784" s="5">
        <f>IF('Journal'!E893="","",IFERROR(LEFT('Journal'!E893,FIND(" ",'Journal'!E893)-1),'Journal'!E893))</f>
        <v/>
      </c>
      <c r="E1784" s="5">
        <f>IF('Journal'!E893="","",IFERROR(INDEX('Kontoplan'!$B$3:$B$302,MATCH('Journal'!E893,'Kontoplan'!$H$3:$H$302,0)),""))</f>
        <v/>
      </c>
      <c r="F1784" s="20">
        <f>IF('Journal'!F893="","",'Journal'!F893)</f>
        <v/>
      </c>
      <c r="G1784" s="20">
        <f>IF('Journal'!G893="","",'Journal'!G893)</f>
        <v/>
      </c>
      <c r="H1784" s="5">
        <f>IF('Journal'!I893="","",'Journal'!I893)</f>
        <v/>
      </c>
    </row>
    <row r="1785">
      <c r="A1785" s="18">
        <f>IF('Journal'!A894="","",'Journal'!A894)</f>
        <v/>
      </c>
      <c r="B1785" s="21">
        <f>IF('Journal'!B894="","",'Journal'!B894)</f>
        <v/>
      </c>
      <c r="C1785" s="5">
        <f>IF('Journal'!C894="","",'Journal'!C894)</f>
        <v/>
      </c>
      <c r="D1785" s="5">
        <f>IF('Journal'!D894="","",IFERROR(LEFT('Journal'!D894,FIND(" ",'Journal'!D894)-1),'Journal'!D894))</f>
        <v/>
      </c>
      <c r="E1785" s="5">
        <f>IF('Journal'!D894="","",IFERROR(INDEX('Kontoplan'!$B$3:$B$302,MATCH('Journal'!D894,'Kontoplan'!$H$3:$H$302,0)),""))</f>
        <v/>
      </c>
      <c r="F1785" s="20">
        <f>IF('Journal'!G894="","",'Journal'!G894)</f>
        <v/>
      </c>
      <c r="G1785" s="20">
        <f>IF('Journal'!F894="","",'Journal'!F894)</f>
        <v/>
      </c>
      <c r="H1785" s="5">
        <f>IF('Journal'!I894="","",'Journal'!I894)</f>
        <v/>
      </c>
    </row>
    <row r="1786">
      <c r="A1786" s="18">
        <f>IF('Journal'!A894="","",'Journal'!A894)</f>
        <v/>
      </c>
      <c r="B1786" s="21">
        <f>IF('Journal'!B894="","",'Journal'!B894)</f>
        <v/>
      </c>
      <c r="C1786" s="5">
        <f>IF('Journal'!C894="","",'Journal'!C894)</f>
        <v/>
      </c>
      <c r="D1786" s="5">
        <f>IF('Journal'!E894="","",IFERROR(LEFT('Journal'!E894,FIND(" ",'Journal'!E894)-1),'Journal'!E894))</f>
        <v/>
      </c>
      <c r="E1786" s="5">
        <f>IF('Journal'!E894="","",IFERROR(INDEX('Kontoplan'!$B$3:$B$302,MATCH('Journal'!E894,'Kontoplan'!$H$3:$H$302,0)),""))</f>
        <v/>
      </c>
      <c r="F1786" s="20">
        <f>IF('Journal'!F894="","",'Journal'!F894)</f>
        <v/>
      </c>
      <c r="G1786" s="20">
        <f>IF('Journal'!G894="","",'Journal'!G894)</f>
        <v/>
      </c>
      <c r="H1786" s="5">
        <f>IF('Journal'!I894="","",'Journal'!I894)</f>
        <v/>
      </c>
    </row>
    <row r="1787">
      <c r="A1787" s="18">
        <f>IF('Journal'!A895="","",'Journal'!A895)</f>
        <v/>
      </c>
      <c r="B1787" s="21">
        <f>IF('Journal'!B895="","",'Journal'!B895)</f>
        <v/>
      </c>
      <c r="C1787" s="5">
        <f>IF('Journal'!C895="","",'Journal'!C895)</f>
        <v/>
      </c>
      <c r="D1787" s="5">
        <f>IF('Journal'!D895="","",IFERROR(LEFT('Journal'!D895,FIND(" ",'Journal'!D895)-1),'Journal'!D895))</f>
        <v/>
      </c>
      <c r="E1787" s="5">
        <f>IF('Journal'!D895="","",IFERROR(INDEX('Kontoplan'!$B$3:$B$302,MATCH('Journal'!D895,'Kontoplan'!$H$3:$H$302,0)),""))</f>
        <v/>
      </c>
      <c r="F1787" s="20">
        <f>IF('Journal'!G895="","",'Journal'!G895)</f>
        <v/>
      </c>
      <c r="G1787" s="20">
        <f>IF('Journal'!F895="","",'Journal'!F895)</f>
        <v/>
      </c>
      <c r="H1787" s="5">
        <f>IF('Journal'!I895="","",'Journal'!I895)</f>
        <v/>
      </c>
    </row>
    <row r="1788">
      <c r="A1788" s="18">
        <f>IF('Journal'!A895="","",'Journal'!A895)</f>
        <v/>
      </c>
      <c r="B1788" s="21">
        <f>IF('Journal'!B895="","",'Journal'!B895)</f>
        <v/>
      </c>
      <c r="C1788" s="5">
        <f>IF('Journal'!C895="","",'Journal'!C895)</f>
        <v/>
      </c>
      <c r="D1788" s="5">
        <f>IF('Journal'!E895="","",IFERROR(LEFT('Journal'!E895,FIND(" ",'Journal'!E895)-1),'Journal'!E895))</f>
        <v/>
      </c>
      <c r="E1788" s="5">
        <f>IF('Journal'!E895="","",IFERROR(INDEX('Kontoplan'!$B$3:$B$302,MATCH('Journal'!E895,'Kontoplan'!$H$3:$H$302,0)),""))</f>
        <v/>
      </c>
      <c r="F1788" s="20">
        <f>IF('Journal'!F895="","",'Journal'!F895)</f>
        <v/>
      </c>
      <c r="G1788" s="20">
        <f>IF('Journal'!G895="","",'Journal'!G895)</f>
        <v/>
      </c>
      <c r="H1788" s="5">
        <f>IF('Journal'!I895="","",'Journal'!I895)</f>
        <v/>
      </c>
    </row>
    <row r="1789">
      <c r="A1789" s="18">
        <f>IF('Journal'!A896="","",'Journal'!A896)</f>
        <v/>
      </c>
      <c r="B1789" s="21">
        <f>IF('Journal'!B896="","",'Journal'!B896)</f>
        <v/>
      </c>
      <c r="C1789" s="5">
        <f>IF('Journal'!C896="","",'Journal'!C896)</f>
        <v/>
      </c>
      <c r="D1789" s="5">
        <f>IF('Journal'!D896="","",IFERROR(LEFT('Journal'!D896,FIND(" ",'Journal'!D896)-1),'Journal'!D896))</f>
        <v/>
      </c>
      <c r="E1789" s="5">
        <f>IF('Journal'!D896="","",IFERROR(INDEX('Kontoplan'!$B$3:$B$302,MATCH('Journal'!D896,'Kontoplan'!$H$3:$H$302,0)),""))</f>
        <v/>
      </c>
      <c r="F1789" s="20">
        <f>IF('Journal'!G896="","",'Journal'!G896)</f>
        <v/>
      </c>
      <c r="G1789" s="20">
        <f>IF('Journal'!F896="","",'Journal'!F896)</f>
        <v/>
      </c>
      <c r="H1789" s="5">
        <f>IF('Journal'!I896="","",'Journal'!I896)</f>
        <v/>
      </c>
    </row>
    <row r="1790">
      <c r="A1790" s="18">
        <f>IF('Journal'!A896="","",'Journal'!A896)</f>
        <v/>
      </c>
      <c r="B1790" s="21">
        <f>IF('Journal'!B896="","",'Journal'!B896)</f>
        <v/>
      </c>
      <c r="C1790" s="5">
        <f>IF('Journal'!C896="","",'Journal'!C896)</f>
        <v/>
      </c>
      <c r="D1790" s="5">
        <f>IF('Journal'!E896="","",IFERROR(LEFT('Journal'!E896,FIND(" ",'Journal'!E896)-1),'Journal'!E896))</f>
        <v/>
      </c>
      <c r="E1790" s="5">
        <f>IF('Journal'!E896="","",IFERROR(INDEX('Kontoplan'!$B$3:$B$302,MATCH('Journal'!E896,'Kontoplan'!$H$3:$H$302,0)),""))</f>
        <v/>
      </c>
      <c r="F1790" s="20">
        <f>IF('Journal'!F896="","",'Journal'!F896)</f>
        <v/>
      </c>
      <c r="G1790" s="20">
        <f>IF('Journal'!G896="","",'Journal'!G896)</f>
        <v/>
      </c>
      <c r="H1790" s="5">
        <f>IF('Journal'!I896="","",'Journal'!I896)</f>
        <v/>
      </c>
    </row>
    <row r="1791">
      <c r="A1791" s="18">
        <f>IF('Journal'!A897="","",'Journal'!A897)</f>
        <v/>
      </c>
      <c r="B1791" s="21">
        <f>IF('Journal'!B897="","",'Journal'!B897)</f>
        <v/>
      </c>
      <c r="C1791" s="5">
        <f>IF('Journal'!C897="","",'Journal'!C897)</f>
        <v/>
      </c>
      <c r="D1791" s="5">
        <f>IF('Journal'!D897="","",IFERROR(LEFT('Journal'!D897,FIND(" ",'Journal'!D897)-1),'Journal'!D897))</f>
        <v/>
      </c>
      <c r="E1791" s="5">
        <f>IF('Journal'!D897="","",IFERROR(INDEX('Kontoplan'!$B$3:$B$302,MATCH('Journal'!D897,'Kontoplan'!$H$3:$H$302,0)),""))</f>
        <v/>
      </c>
      <c r="F1791" s="20">
        <f>IF('Journal'!G897="","",'Journal'!G897)</f>
        <v/>
      </c>
      <c r="G1791" s="20">
        <f>IF('Journal'!F897="","",'Journal'!F897)</f>
        <v/>
      </c>
      <c r="H1791" s="5">
        <f>IF('Journal'!I897="","",'Journal'!I897)</f>
        <v/>
      </c>
    </row>
    <row r="1792">
      <c r="A1792" s="18">
        <f>IF('Journal'!A897="","",'Journal'!A897)</f>
        <v/>
      </c>
      <c r="B1792" s="21">
        <f>IF('Journal'!B897="","",'Journal'!B897)</f>
        <v/>
      </c>
      <c r="C1792" s="5">
        <f>IF('Journal'!C897="","",'Journal'!C897)</f>
        <v/>
      </c>
      <c r="D1792" s="5">
        <f>IF('Journal'!E897="","",IFERROR(LEFT('Journal'!E897,FIND(" ",'Journal'!E897)-1),'Journal'!E897))</f>
        <v/>
      </c>
      <c r="E1792" s="5">
        <f>IF('Journal'!E897="","",IFERROR(INDEX('Kontoplan'!$B$3:$B$302,MATCH('Journal'!E897,'Kontoplan'!$H$3:$H$302,0)),""))</f>
        <v/>
      </c>
      <c r="F1792" s="20">
        <f>IF('Journal'!F897="","",'Journal'!F897)</f>
        <v/>
      </c>
      <c r="G1792" s="20">
        <f>IF('Journal'!G897="","",'Journal'!G897)</f>
        <v/>
      </c>
      <c r="H1792" s="5">
        <f>IF('Journal'!I897="","",'Journal'!I897)</f>
        <v/>
      </c>
    </row>
    <row r="1793">
      <c r="A1793" s="18">
        <f>IF('Journal'!A898="","",'Journal'!A898)</f>
        <v/>
      </c>
      <c r="B1793" s="21">
        <f>IF('Journal'!B898="","",'Journal'!B898)</f>
        <v/>
      </c>
      <c r="C1793" s="5">
        <f>IF('Journal'!C898="","",'Journal'!C898)</f>
        <v/>
      </c>
      <c r="D1793" s="5">
        <f>IF('Journal'!D898="","",IFERROR(LEFT('Journal'!D898,FIND(" ",'Journal'!D898)-1),'Journal'!D898))</f>
        <v/>
      </c>
      <c r="E1793" s="5">
        <f>IF('Journal'!D898="","",IFERROR(INDEX('Kontoplan'!$B$3:$B$302,MATCH('Journal'!D898,'Kontoplan'!$H$3:$H$302,0)),""))</f>
        <v/>
      </c>
      <c r="F1793" s="20">
        <f>IF('Journal'!G898="","",'Journal'!G898)</f>
        <v/>
      </c>
      <c r="G1793" s="20">
        <f>IF('Journal'!F898="","",'Journal'!F898)</f>
        <v/>
      </c>
      <c r="H1793" s="5">
        <f>IF('Journal'!I898="","",'Journal'!I898)</f>
        <v/>
      </c>
    </row>
    <row r="1794">
      <c r="A1794" s="18">
        <f>IF('Journal'!A898="","",'Journal'!A898)</f>
        <v/>
      </c>
      <c r="B1794" s="21">
        <f>IF('Journal'!B898="","",'Journal'!B898)</f>
        <v/>
      </c>
      <c r="C1794" s="5">
        <f>IF('Journal'!C898="","",'Journal'!C898)</f>
        <v/>
      </c>
      <c r="D1794" s="5">
        <f>IF('Journal'!E898="","",IFERROR(LEFT('Journal'!E898,FIND(" ",'Journal'!E898)-1),'Journal'!E898))</f>
        <v/>
      </c>
      <c r="E1794" s="5">
        <f>IF('Journal'!E898="","",IFERROR(INDEX('Kontoplan'!$B$3:$B$302,MATCH('Journal'!E898,'Kontoplan'!$H$3:$H$302,0)),""))</f>
        <v/>
      </c>
      <c r="F1794" s="20">
        <f>IF('Journal'!F898="","",'Journal'!F898)</f>
        <v/>
      </c>
      <c r="G1794" s="20">
        <f>IF('Journal'!G898="","",'Journal'!G898)</f>
        <v/>
      </c>
      <c r="H1794" s="5">
        <f>IF('Journal'!I898="","",'Journal'!I898)</f>
        <v/>
      </c>
    </row>
    <row r="1795">
      <c r="A1795" s="18">
        <f>IF('Journal'!A899="","",'Journal'!A899)</f>
        <v/>
      </c>
      <c r="B1795" s="21">
        <f>IF('Journal'!B899="","",'Journal'!B899)</f>
        <v/>
      </c>
      <c r="C1795" s="5">
        <f>IF('Journal'!C899="","",'Journal'!C899)</f>
        <v/>
      </c>
      <c r="D1795" s="5">
        <f>IF('Journal'!D899="","",IFERROR(LEFT('Journal'!D899,FIND(" ",'Journal'!D899)-1),'Journal'!D899))</f>
        <v/>
      </c>
      <c r="E1795" s="5">
        <f>IF('Journal'!D899="","",IFERROR(INDEX('Kontoplan'!$B$3:$B$302,MATCH('Journal'!D899,'Kontoplan'!$H$3:$H$302,0)),""))</f>
        <v/>
      </c>
      <c r="F1795" s="20">
        <f>IF('Journal'!G899="","",'Journal'!G899)</f>
        <v/>
      </c>
      <c r="G1795" s="20">
        <f>IF('Journal'!F899="","",'Journal'!F899)</f>
        <v/>
      </c>
      <c r="H1795" s="5">
        <f>IF('Journal'!I899="","",'Journal'!I899)</f>
        <v/>
      </c>
    </row>
    <row r="1796">
      <c r="A1796" s="18">
        <f>IF('Journal'!A899="","",'Journal'!A899)</f>
        <v/>
      </c>
      <c r="B1796" s="21">
        <f>IF('Journal'!B899="","",'Journal'!B899)</f>
        <v/>
      </c>
      <c r="C1796" s="5">
        <f>IF('Journal'!C899="","",'Journal'!C899)</f>
        <v/>
      </c>
      <c r="D1796" s="5">
        <f>IF('Journal'!E899="","",IFERROR(LEFT('Journal'!E899,FIND(" ",'Journal'!E899)-1),'Journal'!E899))</f>
        <v/>
      </c>
      <c r="E1796" s="5">
        <f>IF('Journal'!E899="","",IFERROR(INDEX('Kontoplan'!$B$3:$B$302,MATCH('Journal'!E899,'Kontoplan'!$H$3:$H$302,0)),""))</f>
        <v/>
      </c>
      <c r="F1796" s="20">
        <f>IF('Journal'!F899="","",'Journal'!F899)</f>
        <v/>
      </c>
      <c r="G1796" s="20">
        <f>IF('Journal'!G899="","",'Journal'!G899)</f>
        <v/>
      </c>
      <c r="H1796" s="5">
        <f>IF('Journal'!I899="","",'Journal'!I899)</f>
        <v/>
      </c>
    </row>
    <row r="1797">
      <c r="A1797" s="18">
        <f>IF('Journal'!A900="","",'Journal'!A900)</f>
        <v/>
      </c>
      <c r="B1797" s="21">
        <f>IF('Journal'!B900="","",'Journal'!B900)</f>
        <v/>
      </c>
      <c r="C1797" s="5">
        <f>IF('Journal'!C900="","",'Journal'!C900)</f>
        <v/>
      </c>
      <c r="D1797" s="5">
        <f>IF('Journal'!D900="","",IFERROR(LEFT('Journal'!D900,FIND(" ",'Journal'!D900)-1),'Journal'!D900))</f>
        <v/>
      </c>
      <c r="E1797" s="5">
        <f>IF('Journal'!D900="","",IFERROR(INDEX('Kontoplan'!$B$3:$B$302,MATCH('Journal'!D900,'Kontoplan'!$H$3:$H$302,0)),""))</f>
        <v/>
      </c>
      <c r="F1797" s="20">
        <f>IF('Journal'!G900="","",'Journal'!G900)</f>
        <v/>
      </c>
      <c r="G1797" s="20">
        <f>IF('Journal'!F900="","",'Journal'!F900)</f>
        <v/>
      </c>
      <c r="H1797" s="5">
        <f>IF('Journal'!I900="","",'Journal'!I900)</f>
        <v/>
      </c>
    </row>
    <row r="1798">
      <c r="A1798" s="18">
        <f>IF('Journal'!A900="","",'Journal'!A900)</f>
        <v/>
      </c>
      <c r="B1798" s="21">
        <f>IF('Journal'!B900="","",'Journal'!B900)</f>
        <v/>
      </c>
      <c r="C1798" s="5">
        <f>IF('Journal'!C900="","",'Journal'!C900)</f>
        <v/>
      </c>
      <c r="D1798" s="5">
        <f>IF('Journal'!E900="","",IFERROR(LEFT('Journal'!E900,FIND(" ",'Journal'!E900)-1),'Journal'!E900))</f>
        <v/>
      </c>
      <c r="E1798" s="5">
        <f>IF('Journal'!E900="","",IFERROR(INDEX('Kontoplan'!$B$3:$B$302,MATCH('Journal'!E900,'Kontoplan'!$H$3:$H$302,0)),""))</f>
        <v/>
      </c>
      <c r="F1798" s="20">
        <f>IF('Journal'!F900="","",'Journal'!F900)</f>
        <v/>
      </c>
      <c r="G1798" s="20">
        <f>IF('Journal'!G900="","",'Journal'!G900)</f>
        <v/>
      </c>
      <c r="H1798" s="5">
        <f>IF('Journal'!I900="","",'Journal'!I900)</f>
        <v/>
      </c>
    </row>
    <row r="1799">
      <c r="A1799" s="18">
        <f>IF('Journal'!A901="","",'Journal'!A901)</f>
        <v/>
      </c>
      <c r="B1799" s="21">
        <f>IF('Journal'!B901="","",'Journal'!B901)</f>
        <v/>
      </c>
      <c r="C1799" s="5">
        <f>IF('Journal'!C901="","",'Journal'!C901)</f>
        <v/>
      </c>
      <c r="D1799" s="5">
        <f>IF('Journal'!D901="","",IFERROR(LEFT('Journal'!D901,FIND(" ",'Journal'!D901)-1),'Journal'!D901))</f>
        <v/>
      </c>
      <c r="E1799" s="5">
        <f>IF('Journal'!D901="","",IFERROR(INDEX('Kontoplan'!$B$3:$B$302,MATCH('Journal'!D901,'Kontoplan'!$H$3:$H$302,0)),""))</f>
        <v/>
      </c>
      <c r="F1799" s="20">
        <f>IF('Journal'!G901="","",'Journal'!G901)</f>
        <v/>
      </c>
      <c r="G1799" s="20">
        <f>IF('Journal'!F901="","",'Journal'!F901)</f>
        <v/>
      </c>
      <c r="H1799" s="5">
        <f>IF('Journal'!I901="","",'Journal'!I901)</f>
        <v/>
      </c>
    </row>
    <row r="1800">
      <c r="A1800" s="18">
        <f>IF('Journal'!A901="","",'Journal'!A901)</f>
        <v/>
      </c>
      <c r="B1800" s="21">
        <f>IF('Journal'!B901="","",'Journal'!B901)</f>
        <v/>
      </c>
      <c r="C1800" s="5">
        <f>IF('Journal'!C901="","",'Journal'!C901)</f>
        <v/>
      </c>
      <c r="D1800" s="5">
        <f>IF('Journal'!E901="","",IFERROR(LEFT('Journal'!E901,FIND(" ",'Journal'!E901)-1),'Journal'!E901))</f>
        <v/>
      </c>
      <c r="E1800" s="5">
        <f>IF('Journal'!E901="","",IFERROR(INDEX('Kontoplan'!$B$3:$B$302,MATCH('Journal'!E901,'Kontoplan'!$H$3:$H$302,0)),""))</f>
        <v/>
      </c>
      <c r="F1800" s="20">
        <f>IF('Journal'!F901="","",'Journal'!F901)</f>
        <v/>
      </c>
      <c r="G1800" s="20">
        <f>IF('Journal'!G901="","",'Journal'!G901)</f>
        <v/>
      </c>
      <c r="H1800" s="5">
        <f>IF('Journal'!I901="","",'Journal'!I901)</f>
        <v/>
      </c>
    </row>
    <row r="1801">
      <c r="A1801" s="18">
        <f>IF('Journal'!A902="","",'Journal'!A902)</f>
        <v/>
      </c>
      <c r="B1801" s="21">
        <f>IF('Journal'!B902="","",'Journal'!B902)</f>
        <v/>
      </c>
      <c r="C1801" s="5">
        <f>IF('Journal'!C902="","",'Journal'!C902)</f>
        <v/>
      </c>
      <c r="D1801" s="5">
        <f>IF('Journal'!D902="","",IFERROR(LEFT('Journal'!D902,FIND(" ",'Journal'!D902)-1),'Journal'!D902))</f>
        <v/>
      </c>
      <c r="E1801" s="5">
        <f>IF('Journal'!D902="","",IFERROR(INDEX('Kontoplan'!$B$3:$B$302,MATCH('Journal'!D902,'Kontoplan'!$H$3:$H$302,0)),""))</f>
        <v/>
      </c>
      <c r="F1801" s="20">
        <f>IF('Journal'!G902="","",'Journal'!G902)</f>
        <v/>
      </c>
      <c r="G1801" s="20">
        <f>IF('Journal'!F902="","",'Journal'!F902)</f>
        <v/>
      </c>
      <c r="H1801" s="5">
        <f>IF('Journal'!I902="","",'Journal'!I902)</f>
        <v/>
      </c>
    </row>
    <row r="1802">
      <c r="A1802" s="18">
        <f>IF('Journal'!A902="","",'Journal'!A902)</f>
        <v/>
      </c>
      <c r="B1802" s="21">
        <f>IF('Journal'!B902="","",'Journal'!B902)</f>
        <v/>
      </c>
      <c r="C1802" s="5">
        <f>IF('Journal'!C902="","",'Journal'!C902)</f>
        <v/>
      </c>
      <c r="D1802" s="5">
        <f>IF('Journal'!E902="","",IFERROR(LEFT('Journal'!E902,FIND(" ",'Journal'!E902)-1),'Journal'!E902))</f>
        <v/>
      </c>
      <c r="E1802" s="5">
        <f>IF('Journal'!E902="","",IFERROR(INDEX('Kontoplan'!$B$3:$B$302,MATCH('Journal'!E902,'Kontoplan'!$H$3:$H$302,0)),""))</f>
        <v/>
      </c>
      <c r="F1802" s="20">
        <f>IF('Journal'!F902="","",'Journal'!F902)</f>
        <v/>
      </c>
      <c r="G1802" s="20">
        <f>IF('Journal'!G902="","",'Journal'!G902)</f>
        <v/>
      </c>
      <c r="H1802" s="5">
        <f>IF('Journal'!I902="","",'Journal'!I902)</f>
        <v/>
      </c>
    </row>
    <row r="1803">
      <c r="A1803" s="18">
        <f>IF('Journal'!A903="","",'Journal'!A903)</f>
        <v/>
      </c>
      <c r="B1803" s="21">
        <f>IF('Journal'!B903="","",'Journal'!B903)</f>
        <v/>
      </c>
      <c r="C1803" s="5">
        <f>IF('Journal'!C903="","",'Journal'!C903)</f>
        <v/>
      </c>
      <c r="D1803" s="5">
        <f>IF('Journal'!D903="","",IFERROR(LEFT('Journal'!D903,FIND(" ",'Journal'!D903)-1),'Journal'!D903))</f>
        <v/>
      </c>
      <c r="E1803" s="5">
        <f>IF('Journal'!D903="","",IFERROR(INDEX('Kontoplan'!$B$3:$B$302,MATCH('Journal'!D903,'Kontoplan'!$H$3:$H$302,0)),""))</f>
        <v/>
      </c>
      <c r="F1803" s="20">
        <f>IF('Journal'!G903="","",'Journal'!G903)</f>
        <v/>
      </c>
      <c r="G1803" s="20">
        <f>IF('Journal'!F903="","",'Journal'!F903)</f>
        <v/>
      </c>
      <c r="H1803" s="5">
        <f>IF('Journal'!I903="","",'Journal'!I903)</f>
        <v/>
      </c>
    </row>
    <row r="1804">
      <c r="A1804" s="18">
        <f>IF('Journal'!A903="","",'Journal'!A903)</f>
        <v/>
      </c>
      <c r="B1804" s="21">
        <f>IF('Journal'!B903="","",'Journal'!B903)</f>
        <v/>
      </c>
      <c r="C1804" s="5">
        <f>IF('Journal'!C903="","",'Journal'!C903)</f>
        <v/>
      </c>
      <c r="D1804" s="5">
        <f>IF('Journal'!E903="","",IFERROR(LEFT('Journal'!E903,FIND(" ",'Journal'!E903)-1),'Journal'!E903))</f>
        <v/>
      </c>
      <c r="E1804" s="5">
        <f>IF('Journal'!E903="","",IFERROR(INDEX('Kontoplan'!$B$3:$B$302,MATCH('Journal'!E903,'Kontoplan'!$H$3:$H$302,0)),""))</f>
        <v/>
      </c>
      <c r="F1804" s="20">
        <f>IF('Journal'!F903="","",'Journal'!F903)</f>
        <v/>
      </c>
      <c r="G1804" s="20">
        <f>IF('Journal'!G903="","",'Journal'!G903)</f>
        <v/>
      </c>
      <c r="H1804" s="5">
        <f>IF('Journal'!I903="","",'Journal'!I903)</f>
        <v/>
      </c>
    </row>
    <row r="1805">
      <c r="A1805" s="18">
        <f>IF('Journal'!A904="","",'Journal'!A904)</f>
        <v/>
      </c>
      <c r="B1805" s="21">
        <f>IF('Journal'!B904="","",'Journal'!B904)</f>
        <v/>
      </c>
      <c r="C1805" s="5">
        <f>IF('Journal'!C904="","",'Journal'!C904)</f>
        <v/>
      </c>
      <c r="D1805" s="5">
        <f>IF('Journal'!D904="","",IFERROR(LEFT('Journal'!D904,FIND(" ",'Journal'!D904)-1),'Journal'!D904))</f>
        <v/>
      </c>
      <c r="E1805" s="5">
        <f>IF('Journal'!D904="","",IFERROR(INDEX('Kontoplan'!$B$3:$B$302,MATCH('Journal'!D904,'Kontoplan'!$H$3:$H$302,0)),""))</f>
        <v/>
      </c>
      <c r="F1805" s="20">
        <f>IF('Journal'!G904="","",'Journal'!G904)</f>
        <v/>
      </c>
      <c r="G1805" s="20">
        <f>IF('Journal'!F904="","",'Journal'!F904)</f>
        <v/>
      </c>
      <c r="H1805" s="5">
        <f>IF('Journal'!I904="","",'Journal'!I904)</f>
        <v/>
      </c>
    </row>
    <row r="1806">
      <c r="A1806" s="18">
        <f>IF('Journal'!A904="","",'Journal'!A904)</f>
        <v/>
      </c>
      <c r="B1806" s="21">
        <f>IF('Journal'!B904="","",'Journal'!B904)</f>
        <v/>
      </c>
      <c r="C1806" s="5">
        <f>IF('Journal'!C904="","",'Journal'!C904)</f>
        <v/>
      </c>
      <c r="D1806" s="5">
        <f>IF('Journal'!E904="","",IFERROR(LEFT('Journal'!E904,FIND(" ",'Journal'!E904)-1),'Journal'!E904))</f>
        <v/>
      </c>
      <c r="E1806" s="5">
        <f>IF('Journal'!E904="","",IFERROR(INDEX('Kontoplan'!$B$3:$B$302,MATCH('Journal'!E904,'Kontoplan'!$H$3:$H$302,0)),""))</f>
        <v/>
      </c>
      <c r="F1806" s="20">
        <f>IF('Journal'!F904="","",'Journal'!F904)</f>
        <v/>
      </c>
      <c r="G1806" s="20">
        <f>IF('Journal'!G904="","",'Journal'!G904)</f>
        <v/>
      </c>
      <c r="H1806" s="5">
        <f>IF('Journal'!I904="","",'Journal'!I904)</f>
        <v/>
      </c>
    </row>
    <row r="1807">
      <c r="A1807" s="18">
        <f>IF('Journal'!A905="","",'Journal'!A905)</f>
        <v/>
      </c>
      <c r="B1807" s="21">
        <f>IF('Journal'!B905="","",'Journal'!B905)</f>
        <v/>
      </c>
      <c r="C1807" s="5">
        <f>IF('Journal'!C905="","",'Journal'!C905)</f>
        <v/>
      </c>
      <c r="D1807" s="5">
        <f>IF('Journal'!D905="","",IFERROR(LEFT('Journal'!D905,FIND(" ",'Journal'!D905)-1),'Journal'!D905))</f>
        <v/>
      </c>
      <c r="E1807" s="5">
        <f>IF('Journal'!D905="","",IFERROR(INDEX('Kontoplan'!$B$3:$B$302,MATCH('Journal'!D905,'Kontoplan'!$H$3:$H$302,0)),""))</f>
        <v/>
      </c>
      <c r="F1807" s="20">
        <f>IF('Journal'!G905="","",'Journal'!G905)</f>
        <v/>
      </c>
      <c r="G1807" s="20">
        <f>IF('Journal'!F905="","",'Journal'!F905)</f>
        <v/>
      </c>
      <c r="H1807" s="5">
        <f>IF('Journal'!I905="","",'Journal'!I905)</f>
        <v/>
      </c>
    </row>
    <row r="1808">
      <c r="A1808" s="18">
        <f>IF('Journal'!A905="","",'Journal'!A905)</f>
        <v/>
      </c>
      <c r="B1808" s="21">
        <f>IF('Journal'!B905="","",'Journal'!B905)</f>
        <v/>
      </c>
      <c r="C1808" s="5">
        <f>IF('Journal'!C905="","",'Journal'!C905)</f>
        <v/>
      </c>
      <c r="D1808" s="5">
        <f>IF('Journal'!E905="","",IFERROR(LEFT('Journal'!E905,FIND(" ",'Journal'!E905)-1),'Journal'!E905))</f>
        <v/>
      </c>
      <c r="E1808" s="5">
        <f>IF('Journal'!E905="","",IFERROR(INDEX('Kontoplan'!$B$3:$B$302,MATCH('Journal'!E905,'Kontoplan'!$H$3:$H$302,0)),""))</f>
        <v/>
      </c>
      <c r="F1808" s="20">
        <f>IF('Journal'!F905="","",'Journal'!F905)</f>
        <v/>
      </c>
      <c r="G1808" s="20">
        <f>IF('Journal'!G905="","",'Journal'!G905)</f>
        <v/>
      </c>
      <c r="H1808" s="5">
        <f>IF('Journal'!I905="","",'Journal'!I905)</f>
        <v/>
      </c>
    </row>
    <row r="1809">
      <c r="A1809" s="18">
        <f>IF('Journal'!A906="","",'Journal'!A906)</f>
        <v/>
      </c>
      <c r="B1809" s="21">
        <f>IF('Journal'!B906="","",'Journal'!B906)</f>
        <v/>
      </c>
      <c r="C1809" s="5">
        <f>IF('Journal'!C906="","",'Journal'!C906)</f>
        <v/>
      </c>
      <c r="D1809" s="5">
        <f>IF('Journal'!D906="","",IFERROR(LEFT('Journal'!D906,FIND(" ",'Journal'!D906)-1),'Journal'!D906))</f>
        <v/>
      </c>
      <c r="E1809" s="5">
        <f>IF('Journal'!D906="","",IFERROR(INDEX('Kontoplan'!$B$3:$B$302,MATCH('Journal'!D906,'Kontoplan'!$H$3:$H$302,0)),""))</f>
        <v/>
      </c>
      <c r="F1809" s="20">
        <f>IF('Journal'!G906="","",'Journal'!G906)</f>
        <v/>
      </c>
      <c r="G1809" s="20">
        <f>IF('Journal'!F906="","",'Journal'!F906)</f>
        <v/>
      </c>
      <c r="H1809" s="5">
        <f>IF('Journal'!I906="","",'Journal'!I906)</f>
        <v/>
      </c>
    </row>
    <row r="1810">
      <c r="A1810" s="18">
        <f>IF('Journal'!A906="","",'Journal'!A906)</f>
        <v/>
      </c>
      <c r="B1810" s="21">
        <f>IF('Journal'!B906="","",'Journal'!B906)</f>
        <v/>
      </c>
      <c r="C1810" s="5">
        <f>IF('Journal'!C906="","",'Journal'!C906)</f>
        <v/>
      </c>
      <c r="D1810" s="5">
        <f>IF('Journal'!E906="","",IFERROR(LEFT('Journal'!E906,FIND(" ",'Journal'!E906)-1),'Journal'!E906))</f>
        <v/>
      </c>
      <c r="E1810" s="5">
        <f>IF('Journal'!E906="","",IFERROR(INDEX('Kontoplan'!$B$3:$B$302,MATCH('Journal'!E906,'Kontoplan'!$H$3:$H$302,0)),""))</f>
        <v/>
      </c>
      <c r="F1810" s="20">
        <f>IF('Journal'!F906="","",'Journal'!F906)</f>
        <v/>
      </c>
      <c r="G1810" s="20">
        <f>IF('Journal'!G906="","",'Journal'!G906)</f>
        <v/>
      </c>
      <c r="H1810" s="5">
        <f>IF('Journal'!I906="","",'Journal'!I906)</f>
        <v/>
      </c>
    </row>
    <row r="1811">
      <c r="A1811" s="18">
        <f>IF('Journal'!A907="","",'Journal'!A907)</f>
        <v/>
      </c>
      <c r="B1811" s="21">
        <f>IF('Journal'!B907="","",'Journal'!B907)</f>
        <v/>
      </c>
      <c r="C1811" s="5">
        <f>IF('Journal'!C907="","",'Journal'!C907)</f>
        <v/>
      </c>
      <c r="D1811" s="5">
        <f>IF('Journal'!D907="","",IFERROR(LEFT('Journal'!D907,FIND(" ",'Journal'!D907)-1),'Journal'!D907))</f>
        <v/>
      </c>
      <c r="E1811" s="5">
        <f>IF('Journal'!D907="","",IFERROR(INDEX('Kontoplan'!$B$3:$B$302,MATCH('Journal'!D907,'Kontoplan'!$H$3:$H$302,0)),""))</f>
        <v/>
      </c>
      <c r="F1811" s="20">
        <f>IF('Journal'!G907="","",'Journal'!G907)</f>
        <v/>
      </c>
      <c r="G1811" s="20">
        <f>IF('Journal'!F907="","",'Journal'!F907)</f>
        <v/>
      </c>
      <c r="H1811" s="5">
        <f>IF('Journal'!I907="","",'Journal'!I907)</f>
        <v/>
      </c>
    </row>
    <row r="1812">
      <c r="A1812" s="18">
        <f>IF('Journal'!A907="","",'Journal'!A907)</f>
        <v/>
      </c>
      <c r="B1812" s="21">
        <f>IF('Journal'!B907="","",'Journal'!B907)</f>
        <v/>
      </c>
      <c r="C1812" s="5">
        <f>IF('Journal'!C907="","",'Journal'!C907)</f>
        <v/>
      </c>
      <c r="D1812" s="5">
        <f>IF('Journal'!E907="","",IFERROR(LEFT('Journal'!E907,FIND(" ",'Journal'!E907)-1),'Journal'!E907))</f>
        <v/>
      </c>
      <c r="E1812" s="5">
        <f>IF('Journal'!E907="","",IFERROR(INDEX('Kontoplan'!$B$3:$B$302,MATCH('Journal'!E907,'Kontoplan'!$H$3:$H$302,0)),""))</f>
        <v/>
      </c>
      <c r="F1812" s="20">
        <f>IF('Journal'!F907="","",'Journal'!F907)</f>
        <v/>
      </c>
      <c r="G1812" s="20">
        <f>IF('Journal'!G907="","",'Journal'!G907)</f>
        <v/>
      </c>
      <c r="H1812" s="5">
        <f>IF('Journal'!I907="","",'Journal'!I907)</f>
        <v/>
      </c>
    </row>
    <row r="1813">
      <c r="A1813" s="18">
        <f>IF('Journal'!A908="","",'Journal'!A908)</f>
        <v/>
      </c>
      <c r="B1813" s="21">
        <f>IF('Journal'!B908="","",'Journal'!B908)</f>
        <v/>
      </c>
      <c r="C1813" s="5">
        <f>IF('Journal'!C908="","",'Journal'!C908)</f>
        <v/>
      </c>
      <c r="D1813" s="5">
        <f>IF('Journal'!D908="","",IFERROR(LEFT('Journal'!D908,FIND(" ",'Journal'!D908)-1),'Journal'!D908))</f>
        <v/>
      </c>
      <c r="E1813" s="5">
        <f>IF('Journal'!D908="","",IFERROR(INDEX('Kontoplan'!$B$3:$B$302,MATCH('Journal'!D908,'Kontoplan'!$H$3:$H$302,0)),""))</f>
        <v/>
      </c>
      <c r="F1813" s="20">
        <f>IF('Journal'!G908="","",'Journal'!G908)</f>
        <v/>
      </c>
      <c r="G1813" s="20">
        <f>IF('Journal'!F908="","",'Journal'!F908)</f>
        <v/>
      </c>
      <c r="H1813" s="5">
        <f>IF('Journal'!I908="","",'Journal'!I908)</f>
        <v/>
      </c>
    </row>
    <row r="1814">
      <c r="A1814" s="18">
        <f>IF('Journal'!A908="","",'Journal'!A908)</f>
        <v/>
      </c>
      <c r="B1814" s="21">
        <f>IF('Journal'!B908="","",'Journal'!B908)</f>
        <v/>
      </c>
      <c r="C1814" s="5">
        <f>IF('Journal'!C908="","",'Journal'!C908)</f>
        <v/>
      </c>
      <c r="D1814" s="5">
        <f>IF('Journal'!E908="","",IFERROR(LEFT('Journal'!E908,FIND(" ",'Journal'!E908)-1),'Journal'!E908))</f>
        <v/>
      </c>
      <c r="E1814" s="5">
        <f>IF('Journal'!E908="","",IFERROR(INDEX('Kontoplan'!$B$3:$B$302,MATCH('Journal'!E908,'Kontoplan'!$H$3:$H$302,0)),""))</f>
        <v/>
      </c>
      <c r="F1814" s="20">
        <f>IF('Journal'!F908="","",'Journal'!F908)</f>
        <v/>
      </c>
      <c r="G1814" s="20">
        <f>IF('Journal'!G908="","",'Journal'!G908)</f>
        <v/>
      </c>
      <c r="H1814" s="5">
        <f>IF('Journal'!I908="","",'Journal'!I908)</f>
        <v/>
      </c>
    </row>
    <row r="1815">
      <c r="A1815" s="18">
        <f>IF('Journal'!A909="","",'Journal'!A909)</f>
        <v/>
      </c>
      <c r="B1815" s="21">
        <f>IF('Journal'!B909="","",'Journal'!B909)</f>
        <v/>
      </c>
      <c r="C1815" s="5">
        <f>IF('Journal'!C909="","",'Journal'!C909)</f>
        <v/>
      </c>
      <c r="D1815" s="5">
        <f>IF('Journal'!D909="","",IFERROR(LEFT('Journal'!D909,FIND(" ",'Journal'!D909)-1),'Journal'!D909))</f>
        <v/>
      </c>
      <c r="E1815" s="5">
        <f>IF('Journal'!D909="","",IFERROR(INDEX('Kontoplan'!$B$3:$B$302,MATCH('Journal'!D909,'Kontoplan'!$H$3:$H$302,0)),""))</f>
        <v/>
      </c>
      <c r="F1815" s="20">
        <f>IF('Journal'!G909="","",'Journal'!G909)</f>
        <v/>
      </c>
      <c r="G1815" s="20">
        <f>IF('Journal'!F909="","",'Journal'!F909)</f>
        <v/>
      </c>
      <c r="H1815" s="5">
        <f>IF('Journal'!I909="","",'Journal'!I909)</f>
        <v/>
      </c>
    </row>
    <row r="1816">
      <c r="A1816" s="18">
        <f>IF('Journal'!A909="","",'Journal'!A909)</f>
        <v/>
      </c>
      <c r="B1816" s="21">
        <f>IF('Journal'!B909="","",'Journal'!B909)</f>
        <v/>
      </c>
      <c r="C1816" s="5">
        <f>IF('Journal'!C909="","",'Journal'!C909)</f>
        <v/>
      </c>
      <c r="D1816" s="5">
        <f>IF('Journal'!E909="","",IFERROR(LEFT('Journal'!E909,FIND(" ",'Journal'!E909)-1),'Journal'!E909))</f>
        <v/>
      </c>
      <c r="E1816" s="5">
        <f>IF('Journal'!E909="","",IFERROR(INDEX('Kontoplan'!$B$3:$B$302,MATCH('Journal'!E909,'Kontoplan'!$H$3:$H$302,0)),""))</f>
        <v/>
      </c>
      <c r="F1816" s="20">
        <f>IF('Journal'!F909="","",'Journal'!F909)</f>
        <v/>
      </c>
      <c r="G1816" s="20">
        <f>IF('Journal'!G909="","",'Journal'!G909)</f>
        <v/>
      </c>
      <c r="H1816" s="5">
        <f>IF('Journal'!I909="","",'Journal'!I909)</f>
        <v/>
      </c>
    </row>
    <row r="1817">
      <c r="A1817" s="18">
        <f>IF('Journal'!A910="","",'Journal'!A910)</f>
        <v/>
      </c>
      <c r="B1817" s="21">
        <f>IF('Journal'!B910="","",'Journal'!B910)</f>
        <v/>
      </c>
      <c r="C1817" s="5">
        <f>IF('Journal'!C910="","",'Journal'!C910)</f>
        <v/>
      </c>
      <c r="D1817" s="5">
        <f>IF('Journal'!D910="","",IFERROR(LEFT('Journal'!D910,FIND(" ",'Journal'!D910)-1),'Journal'!D910))</f>
        <v/>
      </c>
      <c r="E1817" s="5">
        <f>IF('Journal'!D910="","",IFERROR(INDEX('Kontoplan'!$B$3:$B$302,MATCH('Journal'!D910,'Kontoplan'!$H$3:$H$302,0)),""))</f>
        <v/>
      </c>
      <c r="F1817" s="20">
        <f>IF('Journal'!G910="","",'Journal'!G910)</f>
        <v/>
      </c>
      <c r="G1817" s="20">
        <f>IF('Journal'!F910="","",'Journal'!F910)</f>
        <v/>
      </c>
      <c r="H1817" s="5">
        <f>IF('Journal'!I910="","",'Journal'!I910)</f>
        <v/>
      </c>
    </row>
    <row r="1818">
      <c r="A1818" s="18">
        <f>IF('Journal'!A910="","",'Journal'!A910)</f>
        <v/>
      </c>
      <c r="B1818" s="21">
        <f>IF('Journal'!B910="","",'Journal'!B910)</f>
        <v/>
      </c>
      <c r="C1818" s="5">
        <f>IF('Journal'!C910="","",'Journal'!C910)</f>
        <v/>
      </c>
      <c r="D1818" s="5">
        <f>IF('Journal'!E910="","",IFERROR(LEFT('Journal'!E910,FIND(" ",'Journal'!E910)-1),'Journal'!E910))</f>
        <v/>
      </c>
      <c r="E1818" s="5">
        <f>IF('Journal'!E910="","",IFERROR(INDEX('Kontoplan'!$B$3:$B$302,MATCH('Journal'!E910,'Kontoplan'!$H$3:$H$302,0)),""))</f>
        <v/>
      </c>
      <c r="F1818" s="20">
        <f>IF('Journal'!F910="","",'Journal'!F910)</f>
        <v/>
      </c>
      <c r="G1818" s="20">
        <f>IF('Journal'!G910="","",'Journal'!G910)</f>
        <v/>
      </c>
      <c r="H1818" s="5">
        <f>IF('Journal'!I910="","",'Journal'!I910)</f>
        <v/>
      </c>
    </row>
    <row r="1819">
      <c r="A1819" s="18">
        <f>IF('Journal'!A911="","",'Journal'!A911)</f>
        <v/>
      </c>
      <c r="B1819" s="21">
        <f>IF('Journal'!B911="","",'Journal'!B911)</f>
        <v/>
      </c>
      <c r="C1819" s="5">
        <f>IF('Journal'!C911="","",'Journal'!C911)</f>
        <v/>
      </c>
      <c r="D1819" s="5">
        <f>IF('Journal'!D911="","",IFERROR(LEFT('Journal'!D911,FIND(" ",'Journal'!D911)-1),'Journal'!D911))</f>
        <v/>
      </c>
      <c r="E1819" s="5">
        <f>IF('Journal'!D911="","",IFERROR(INDEX('Kontoplan'!$B$3:$B$302,MATCH('Journal'!D911,'Kontoplan'!$H$3:$H$302,0)),""))</f>
        <v/>
      </c>
      <c r="F1819" s="20">
        <f>IF('Journal'!G911="","",'Journal'!G911)</f>
        <v/>
      </c>
      <c r="G1819" s="20">
        <f>IF('Journal'!F911="","",'Journal'!F911)</f>
        <v/>
      </c>
      <c r="H1819" s="5">
        <f>IF('Journal'!I911="","",'Journal'!I911)</f>
        <v/>
      </c>
    </row>
    <row r="1820">
      <c r="A1820" s="18">
        <f>IF('Journal'!A911="","",'Journal'!A911)</f>
        <v/>
      </c>
      <c r="B1820" s="21">
        <f>IF('Journal'!B911="","",'Journal'!B911)</f>
        <v/>
      </c>
      <c r="C1820" s="5">
        <f>IF('Journal'!C911="","",'Journal'!C911)</f>
        <v/>
      </c>
      <c r="D1820" s="5">
        <f>IF('Journal'!E911="","",IFERROR(LEFT('Journal'!E911,FIND(" ",'Journal'!E911)-1),'Journal'!E911))</f>
        <v/>
      </c>
      <c r="E1820" s="5">
        <f>IF('Journal'!E911="","",IFERROR(INDEX('Kontoplan'!$B$3:$B$302,MATCH('Journal'!E911,'Kontoplan'!$H$3:$H$302,0)),""))</f>
        <v/>
      </c>
      <c r="F1820" s="20">
        <f>IF('Journal'!F911="","",'Journal'!F911)</f>
        <v/>
      </c>
      <c r="G1820" s="20">
        <f>IF('Journal'!G911="","",'Journal'!G911)</f>
        <v/>
      </c>
      <c r="H1820" s="5">
        <f>IF('Journal'!I911="","",'Journal'!I911)</f>
        <v/>
      </c>
    </row>
    <row r="1821">
      <c r="A1821" s="18">
        <f>IF('Journal'!A912="","",'Journal'!A912)</f>
        <v/>
      </c>
      <c r="B1821" s="21">
        <f>IF('Journal'!B912="","",'Journal'!B912)</f>
        <v/>
      </c>
      <c r="C1821" s="5">
        <f>IF('Journal'!C912="","",'Journal'!C912)</f>
        <v/>
      </c>
      <c r="D1821" s="5">
        <f>IF('Journal'!D912="","",IFERROR(LEFT('Journal'!D912,FIND(" ",'Journal'!D912)-1),'Journal'!D912))</f>
        <v/>
      </c>
      <c r="E1821" s="5">
        <f>IF('Journal'!D912="","",IFERROR(INDEX('Kontoplan'!$B$3:$B$302,MATCH('Journal'!D912,'Kontoplan'!$H$3:$H$302,0)),""))</f>
        <v/>
      </c>
      <c r="F1821" s="20">
        <f>IF('Journal'!G912="","",'Journal'!G912)</f>
        <v/>
      </c>
      <c r="G1821" s="20">
        <f>IF('Journal'!F912="","",'Journal'!F912)</f>
        <v/>
      </c>
      <c r="H1821" s="5">
        <f>IF('Journal'!I912="","",'Journal'!I912)</f>
        <v/>
      </c>
    </row>
    <row r="1822">
      <c r="A1822" s="18">
        <f>IF('Journal'!A912="","",'Journal'!A912)</f>
        <v/>
      </c>
      <c r="B1822" s="21">
        <f>IF('Journal'!B912="","",'Journal'!B912)</f>
        <v/>
      </c>
      <c r="C1822" s="5">
        <f>IF('Journal'!C912="","",'Journal'!C912)</f>
        <v/>
      </c>
      <c r="D1822" s="5">
        <f>IF('Journal'!E912="","",IFERROR(LEFT('Journal'!E912,FIND(" ",'Journal'!E912)-1),'Journal'!E912))</f>
        <v/>
      </c>
      <c r="E1822" s="5">
        <f>IF('Journal'!E912="","",IFERROR(INDEX('Kontoplan'!$B$3:$B$302,MATCH('Journal'!E912,'Kontoplan'!$H$3:$H$302,0)),""))</f>
        <v/>
      </c>
      <c r="F1822" s="20">
        <f>IF('Journal'!F912="","",'Journal'!F912)</f>
        <v/>
      </c>
      <c r="G1822" s="20">
        <f>IF('Journal'!G912="","",'Journal'!G912)</f>
        <v/>
      </c>
      <c r="H1822" s="5">
        <f>IF('Journal'!I912="","",'Journal'!I912)</f>
        <v/>
      </c>
    </row>
    <row r="1823">
      <c r="A1823" s="18">
        <f>IF('Journal'!A913="","",'Journal'!A913)</f>
        <v/>
      </c>
      <c r="B1823" s="21">
        <f>IF('Journal'!B913="","",'Journal'!B913)</f>
        <v/>
      </c>
      <c r="C1823" s="5">
        <f>IF('Journal'!C913="","",'Journal'!C913)</f>
        <v/>
      </c>
      <c r="D1823" s="5">
        <f>IF('Journal'!D913="","",IFERROR(LEFT('Journal'!D913,FIND(" ",'Journal'!D913)-1),'Journal'!D913))</f>
        <v/>
      </c>
      <c r="E1823" s="5">
        <f>IF('Journal'!D913="","",IFERROR(INDEX('Kontoplan'!$B$3:$B$302,MATCH('Journal'!D913,'Kontoplan'!$H$3:$H$302,0)),""))</f>
        <v/>
      </c>
      <c r="F1823" s="20">
        <f>IF('Journal'!G913="","",'Journal'!G913)</f>
        <v/>
      </c>
      <c r="G1823" s="20">
        <f>IF('Journal'!F913="","",'Journal'!F913)</f>
        <v/>
      </c>
      <c r="H1823" s="5">
        <f>IF('Journal'!I913="","",'Journal'!I913)</f>
        <v/>
      </c>
    </row>
    <row r="1824">
      <c r="A1824" s="18">
        <f>IF('Journal'!A913="","",'Journal'!A913)</f>
        <v/>
      </c>
      <c r="B1824" s="21">
        <f>IF('Journal'!B913="","",'Journal'!B913)</f>
        <v/>
      </c>
      <c r="C1824" s="5">
        <f>IF('Journal'!C913="","",'Journal'!C913)</f>
        <v/>
      </c>
      <c r="D1824" s="5">
        <f>IF('Journal'!E913="","",IFERROR(LEFT('Journal'!E913,FIND(" ",'Journal'!E913)-1),'Journal'!E913))</f>
        <v/>
      </c>
      <c r="E1824" s="5">
        <f>IF('Journal'!E913="","",IFERROR(INDEX('Kontoplan'!$B$3:$B$302,MATCH('Journal'!E913,'Kontoplan'!$H$3:$H$302,0)),""))</f>
        <v/>
      </c>
      <c r="F1824" s="20">
        <f>IF('Journal'!F913="","",'Journal'!F913)</f>
        <v/>
      </c>
      <c r="G1824" s="20">
        <f>IF('Journal'!G913="","",'Journal'!G913)</f>
        <v/>
      </c>
      <c r="H1824" s="5">
        <f>IF('Journal'!I913="","",'Journal'!I913)</f>
        <v/>
      </c>
    </row>
    <row r="1825">
      <c r="A1825" s="18">
        <f>IF('Journal'!A914="","",'Journal'!A914)</f>
        <v/>
      </c>
      <c r="B1825" s="21">
        <f>IF('Journal'!B914="","",'Journal'!B914)</f>
        <v/>
      </c>
      <c r="C1825" s="5">
        <f>IF('Journal'!C914="","",'Journal'!C914)</f>
        <v/>
      </c>
      <c r="D1825" s="5">
        <f>IF('Journal'!D914="","",IFERROR(LEFT('Journal'!D914,FIND(" ",'Journal'!D914)-1),'Journal'!D914))</f>
        <v/>
      </c>
      <c r="E1825" s="5">
        <f>IF('Journal'!D914="","",IFERROR(INDEX('Kontoplan'!$B$3:$B$302,MATCH('Journal'!D914,'Kontoplan'!$H$3:$H$302,0)),""))</f>
        <v/>
      </c>
      <c r="F1825" s="20">
        <f>IF('Journal'!G914="","",'Journal'!G914)</f>
        <v/>
      </c>
      <c r="G1825" s="20">
        <f>IF('Journal'!F914="","",'Journal'!F914)</f>
        <v/>
      </c>
      <c r="H1825" s="5">
        <f>IF('Journal'!I914="","",'Journal'!I914)</f>
        <v/>
      </c>
    </row>
    <row r="1826">
      <c r="A1826" s="18">
        <f>IF('Journal'!A914="","",'Journal'!A914)</f>
        <v/>
      </c>
      <c r="B1826" s="21">
        <f>IF('Journal'!B914="","",'Journal'!B914)</f>
        <v/>
      </c>
      <c r="C1826" s="5">
        <f>IF('Journal'!C914="","",'Journal'!C914)</f>
        <v/>
      </c>
      <c r="D1826" s="5">
        <f>IF('Journal'!E914="","",IFERROR(LEFT('Journal'!E914,FIND(" ",'Journal'!E914)-1),'Journal'!E914))</f>
        <v/>
      </c>
      <c r="E1826" s="5">
        <f>IF('Journal'!E914="","",IFERROR(INDEX('Kontoplan'!$B$3:$B$302,MATCH('Journal'!E914,'Kontoplan'!$H$3:$H$302,0)),""))</f>
        <v/>
      </c>
      <c r="F1826" s="20">
        <f>IF('Journal'!F914="","",'Journal'!F914)</f>
        <v/>
      </c>
      <c r="G1826" s="20">
        <f>IF('Journal'!G914="","",'Journal'!G914)</f>
        <v/>
      </c>
      <c r="H1826" s="5">
        <f>IF('Journal'!I914="","",'Journal'!I914)</f>
        <v/>
      </c>
    </row>
    <row r="1827">
      <c r="A1827" s="18">
        <f>IF('Journal'!A915="","",'Journal'!A915)</f>
        <v/>
      </c>
      <c r="B1827" s="21">
        <f>IF('Journal'!B915="","",'Journal'!B915)</f>
        <v/>
      </c>
      <c r="C1827" s="5">
        <f>IF('Journal'!C915="","",'Journal'!C915)</f>
        <v/>
      </c>
      <c r="D1827" s="5">
        <f>IF('Journal'!D915="","",IFERROR(LEFT('Journal'!D915,FIND(" ",'Journal'!D915)-1),'Journal'!D915))</f>
        <v/>
      </c>
      <c r="E1827" s="5">
        <f>IF('Journal'!D915="","",IFERROR(INDEX('Kontoplan'!$B$3:$B$302,MATCH('Journal'!D915,'Kontoplan'!$H$3:$H$302,0)),""))</f>
        <v/>
      </c>
      <c r="F1827" s="20">
        <f>IF('Journal'!G915="","",'Journal'!G915)</f>
        <v/>
      </c>
      <c r="G1827" s="20">
        <f>IF('Journal'!F915="","",'Journal'!F915)</f>
        <v/>
      </c>
      <c r="H1827" s="5">
        <f>IF('Journal'!I915="","",'Journal'!I915)</f>
        <v/>
      </c>
    </row>
    <row r="1828">
      <c r="A1828" s="18">
        <f>IF('Journal'!A915="","",'Journal'!A915)</f>
        <v/>
      </c>
      <c r="B1828" s="21">
        <f>IF('Journal'!B915="","",'Journal'!B915)</f>
        <v/>
      </c>
      <c r="C1828" s="5">
        <f>IF('Journal'!C915="","",'Journal'!C915)</f>
        <v/>
      </c>
      <c r="D1828" s="5">
        <f>IF('Journal'!E915="","",IFERROR(LEFT('Journal'!E915,FIND(" ",'Journal'!E915)-1),'Journal'!E915))</f>
        <v/>
      </c>
      <c r="E1828" s="5">
        <f>IF('Journal'!E915="","",IFERROR(INDEX('Kontoplan'!$B$3:$B$302,MATCH('Journal'!E915,'Kontoplan'!$H$3:$H$302,0)),""))</f>
        <v/>
      </c>
      <c r="F1828" s="20">
        <f>IF('Journal'!F915="","",'Journal'!F915)</f>
        <v/>
      </c>
      <c r="G1828" s="20">
        <f>IF('Journal'!G915="","",'Journal'!G915)</f>
        <v/>
      </c>
      <c r="H1828" s="5">
        <f>IF('Journal'!I915="","",'Journal'!I915)</f>
        <v/>
      </c>
    </row>
    <row r="1829">
      <c r="A1829" s="18">
        <f>IF('Journal'!A916="","",'Journal'!A916)</f>
        <v/>
      </c>
      <c r="B1829" s="21">
        <f>IF('Journal'!B916="","",'Journal'!B916)</f>
        <v/>
      </c>
      <c r="C1829" s="5">
        <f>IF('Journal'!C916="","",'Journal'!C916)</f>
        <v/>
      </c>
      <c r="D1829" s="5">
        <f>IF('Journal'!D916="","",IFERROR(LEFT('Journal'!D916,FIND(" ",'Journal'!D916)-1),'Journal'!D916))</f>
        <v/>
      </c>
      <c r="E1829" s="5">
        <f>IF('Journal'!D916="","",IFERROR(INDEX('Kontoplan'!$B$3:$B$302,MATCH('Journal'!D916,'Kontoplan'!$H$3:$H$302,0)),""))</f>
        <v/>
      </c>
      <c r="F1829" s="20">
        <f>IF('Journal'!G916="","",'Journal'!G916)</f>
        <v/>
      </c>
      <c r="G1829" s="20">
        <f>IF('Journal'!F916="","",'Journal'!F916)</f>
        <v/>
      </c>
      <c r="H1829" s="5">
        <f>IF('Journal'!I916="","",'Journal'!I916)</f>
        <v/>
      </c>
    </row>
    <row r="1830">
      <c r="A1830" s="18">
        <f>IF('Journal'!A916="","",'Journal'!A916)</f>
        <v/>
      </c>
      <c r="B1830" s="21">
        <f>IF('Journal'!B916="","",'Journal'!B916)</f>
        <v/>
      </c>
      <c r="C1830" s="5">
        <f>IF('Journal'!C916="","",'Journal'!C916)</f>
        <v/>
      </c>
      <c r="D1830" s="5">
        <f>IF('Journal'!E916="","",IFERROR(LEFT('Journal'!E916,FIND(" ",'Journal'!E916)-1),'Journal'!E916))</f>
        <v/>
      </c>
      <c r="E1830" s="5">
        <f>IF('Journal'!E916="","",IFERROR(INDEX('Kontoplan'!$B$3:$B$302,MATCH('Journal'!E916,'Kontoplan'!$H$3:$H$302,0)),""))</f>
        <v/>
      </c>
      <c r="F1830" s="20">
        <f>IF('Journal'!F916="","",'Journal'!F916)</f>
        <v/>
      </c>
      <c r="G1830" s="20">
        <f>IF('Journal'!G916="","",'Journal'!G916)</f>
        <v/>
      </c>
      <c r="H1830" s="5">
        <f>IF('Journal'!I916="","",'Journal'!I916)</f>
        <v/>
      </c>
    </row>
    <row r="1831">
      <c r="A1831" s="18">
        <f>IF('Journal'!A917="","",'Journal'!A917)</f>
        <v/>
      </c>
      <c r="B1831" s="21">
        <f>IF('Journal'!B917="","",'Journal'!B917)</f>
        <v/>
      </c>
      <c r="C1831" s="5">
        <f>IF('Journal'!C917="","",'Journal'!C917)</f>
        <v/>
      </c>
      <c r="D1831" s="5">
        <f>IF('Journal'!D917="","",IFERROR(LEFT('Journal'!D917,FIND(" ",'Journal'!D917)-1),'Journal'!D917))</f>
        <v/>
      </c>
      <c r="E1831" s="5">
        <f>IF('Journal'!D917="","",IFERROR(INDEX('Kontoplan'!$B$3:$B$302,MATCH('Journal'!D917,'Kontoplan'!$H$3:$H$302,0)),""))</f>
        <v/>
      </c>
      <c r="F1831" s="20">
        <f>IF('Journal'!G917="","",'Journal'!G917)</f>
        <v/>
      </c>
      <c r="G1831" s="20">
        <f>IF('Journal'!F917="","",'Journal'!F917)</f>
        <v/>
      </c>
      <c r="H1831" s="5">
        <f>IF('Journal'!I917="","",'Journal'!I917)</f>
        <v/>
      </c>
    </row>
    <row r="1832">
      <c r="A1832" s="18">
        <f>IF('Journal'!A917="","",'Journal'!A917)</f>
        <v/>
      </c>
      <c r="B1832" s="21">
        <f>IF('Journal'!B917="","",'Journal'!B917)</f>
        <v/>
      </c>
      <c r="C1832" s="5">
        <f>IF('Journal'!C917="","",'Journal'!C917)</f>
        <v/>
      </c>
      <c r="D1832" s="5">
        <f>IF('Journal'!E917="","",IFERROR(LEFT('Journal'!E917,FIND(" ",'Journal'!E917)-1),'Journal'!E917))</f>
        <v/>
      </c>
      <c r="E1832" s="5">
        <f>IF('Journal'!E917="","",IFERROR(INDEX('Kontoplan'!$B$3:$B$302,MATCH('Journal'!E917,'Kontoplan'!$H$3:$H$302,0)),""))</f>
        <v/>
      </c>
      <c r="F1832" s="20">
        <f>IF('Journal'!F917="","",'Journal'!F917)</f>
        <v/>
      </c>
      <c r="G1832" s="20">
        <f>IF('Journal'!G917="","",'Journal'!G917)</f>
        <v/>
      </c>
      <c r="H1832" s="5">
        <f>IF('Journal'!I917="","",'Journal'!I917)</f>
        <v/>
      </c>
    </row>
    <row r="1833">
      <c r="A1833" s="18">
        <f>IF('Journal'!A918="","",'Journal'!A918)</f>
        <v/>
      </c>
      <c r="B1833" s="21">
        <f>IF('Journal'!B918="","",'Journal'!B918)</f>
        <v/>
      </c>
      <c r="C1833" s="5">
        <f>IF('Journal'!C918="","",'Journal'!C918)</f>
        <v/>
      </c>
      <c r="D1833" s="5">
        <f>IF('Journal'!D918="","",IFERROR(LEFT('Journal'!D918,FIND(" ",'Journal'!D918)-1),'Journal'!D918))</f>
        <v/>
      </c>
      <c r="E1833" s="5">
        <f>IF('Journal'!D918="","",IFERROR(INDEX('Kontoplan'!$B$3:$B$302,MATCH('Journal'!D918,'Kontoplan'!$H$3:$H$302,0)),""))</f>
        <v/>
      </c>
      <c r="F1833" s="20">
        <f>IF('Journal'!G918="","",'Journal'!G918)</f>
        <v/>
      </c>
      <c r="G1833" s="20">
        <f>IF('Journal'!F918="","",'Journal'!F918)</f>
        <v/>
      </c>
      <c r="H1833" s="5">
        <f>IF('Journal'!I918="","",'Journal'!I918)</f>
        <v/>
      </c>
    </row>
    <row r="1834">
      <c r="A1834" s="18">
        <f>IF('Journal'!A918="","",'Journal'!A918)</f>
        <v/>
      </c>
      <c r="B1834" s="21">
        <f>IF('Journal'!B918="","",'Journal'!B918)</f>
        <v/>
      </c>
      <c r="C1834" s="5">
        <f>IF('Journal'!C918="","",'Journal'!C918)</f>
        <v/>
      </c>
      <c r="D1834" s="5">
        <f>IF('Journal'!E918="","",IFERROR(LEFT('Journal'!E918,FIND(" ",'Journal'!E918)-1),'Journal'!E918))</f>
        <v/>
      </c>
      <c r="E1834" s="5">
        <f>IF('Journal'!E918="","",IFERROR(INDEX('Kontoplan'!$B$3:$B$302,MATCH('Journal'!E918,'Kontoplan'!$H$3:$H$302,0)),""))</f>
        <v/>
      </c>
      <c r="F1834" s="20">
        <f>IF('Journal'!F918="","",'Journal'!F918)</f>
        <v/>
      </c>
      <c r="G1834" s="20">
        <f>IF('Journal'!G918="","",'Journal'!G918)</f>
        <v/>
      </c>
      <c r="H1834" s="5">
        <f>IF('Journal'!I918="","",'Journal'!I918)</f>
        <v/>
      </c>
    </row>
    <row r="1835">
      <c r="A1835" s="18">
        <f>IF('Journal'!A919="","",'Journal'!A919)</f>
        <v/>
      </c>
      <c r="B1835" s="21">
        <f>IF('Journal'!B919="","",'Journal'!B919)</f>
        <v/>
      </c>
      <c r="C1835" s="5">
        <f>IF('Journal'!C919="","",'Journal'!C919)</f>
        <v/>
      </c>
      <c r="D1835" s="5">
        <f>IF('Journal'!D919="","",IFERROR(LEFT('Journal'!D919,FIND(" ",'Journal'!D919)-1),'Journal'!D919))</f>
        <v/>
      </c>
      <c r="E1835" s="5">
        <f>IF('Journal'!D919="","",IFERROR(INDEX('Kontoplan'!$B$3:$B$302,MATCH('Journal'!D919,'Kontoplan'!$H$3:$H$302,0)),""))</f>
        <v/>
      </c>
      <c r="F1835" s="20">
        <f>IF('Journal'!G919="","",'Journal'!G919)</f>
        <v/>
      </c>
      <c r="G1835" s="20">
        <f>IF('Journal'!F919="","",'Journal'!F919)</f>
        <v/>
      </c>
      <c r="H1835" s="5">
        <f>IF('Journal'!I919="","",'Journal'!I919)</f>
        <v/>
      </c>
    </row>
    <row r="1836">
      <c r="A1836" s="18">
        <f>IF('Journal'!A919="","",'Journal'!A919)</f>
        <v/>
      </c>
      <c r="B1836" s="21">
        <f>IF('Journal'!B919="","",'Journal'!B919)</f>
        <v/>
      </c>
      <c r="C1836" s="5">
        <f>IF('Journal'!C919="","",'Journal'!C919)</f>
        <v/>
      </c>
      <c r="D1836" s="5">
        <f>IF('Journal'!E919="","",IFERROR(LEFT('Journal'!E919,FIND(" ",'Journal'!E919)-1),'Journal'!E919))</f>
        <v/>
      </c>
      <c r="E1836" s="5">
        <f>IF('Journal'!E919="","",IFERROR(INDEX('Kontoplan'!$B$3:$B$302,MATCH('Journal'!E919,'Kontoplan'!$H$3:$H$302,0)),""))</f>
        <v/>
      </c>
      <c r="F1836" s="20">
        <f>IF('Journal'!F919="","",'Journal'!F919)</f>
        <v/>
      </c>
      <c r="G1836" s="20">
        <f>IF('Journal'!G919="","",'Journal'!G919)</f>
        <v/>
      </c>
      <c r="H1836" s="5">
        <f>IF('Journal'!I919="","",'Journal'!I919)</f>
        <v/>
      </c>
    </row>
    <row r="1837">
      <c r="A1837" s="18">
        <f>IF('Journal'!A920="","",'Journal'!A920)</f>
        <v/>
      </c>
      <c r="B1837" s="21">
        <f>IF('Journal'!B920="","",'Journal'!B920)</f>
        <v/>
      </c>
      <c r="C1837" s="5">
        <f>IF('Journal'!C920="","",'Journal'!C920)</f>
        <v/>
      </c>
      <c r="D1837" s="5">
        <f>IF('Journal'!D920="","",IFERROR(LEFT('Journal'!D920,FIND(" ",'Journal'!D920)-1),'Journal'!D920))</f>
        <v/>
      </c>
      <c r="E1837" s="5">
        <f>IF('Journal'!D920="","",IFERROR(INDEX('Kontoplan'!$B$3:$B$302,MATCH('Journal'!D920,'Kontoplan'!$H$3:$H$302,0)),""))</f>
        <v/>
      </c>
      <c r="F1837" s="20">
        <f>IF('Journal'!G920="","",'Journal'!G920)</f>
        <v/>
      </c>
      <c r="G1837" s="20">
        <f>IF('Journal'!F920="","",'Journal'!F920)</f>
        <v/>
      </c>
      <c r="H1837" s="5">
        <f>IF('Journal'!I920="","",'Journal'!I920)</f>
        <v/>
      </c>
    </row>
    <row r="1838">
      <c r="A1838" s="18">
        <f>IF('Journal'!A920="","",'Journal'!A920)</f>
        <v/>
      </c>
      <c r="B1838" s="21">
        <f>IF('Journal'!B920="","",'Journal'!B920)</f>
        <v/>
      </c>
      <c r="C1838" s="5">
        <f>IF('Journal'!C920="","",'Journal'!C920)</f>
        <v/>
      </c>
      <c r="D1838" s="5">
        <f>IF('Journal'!E920="","",IFERROR(LEFT('Journal'!E920,FIND(" ",'Journal'!E920)-1),'Journal'!E920))</f>
        <v/>
      </c>
      <c r="E1838" s="5">
        <f>IF('Journal'!E920="","",IFERROR(INDEX('Kontoplan'!$B$3:$B$302,MATCH('Journal'!E920,'Kontoplan'!$H$3:$H$302,0)),""))</f>
        <v/>
      </c>
      <c r="F1838" s="20">
        <f>IF('Journal'!F920="","",'Journal'!F920)</f>
        <v/>
      </c>
      <c r="G1838" s="20">
        <f>IF('Journal'!G920="","",'Journal'!G920)</f>
        <v/>
      </c>
      <c r="H1838" s="5">
        <f>IF('Journal'!I920="","",'Journal'!I920)</f>
        <v/>
      </c>
    </row>
    <row r="1839">
      <c r="A1839" s="18">
        <f>IF('Journal'!A921="","",'Journal'!A921)</f>
        <v/>
      </c>
      <c r="B1839" s="21">
        <f>IF('Journal'!B921="","",'Journal'!B921)</f>
        <v/>
      </c>
      <c r="C1839" s="5">
        <f>IF('Journal'!C921="","",'Journal'!C921)</f>
        <v/>
      </c>
      <c r="D1839" s="5">
        <f>IF('Journal'!D921="","",IFERROR(LEFT('Journal'!D921,FIND(" ",'Journal'!D921)-1),'Journal'!D921))</f>
        <v/>
      </c>
      <c r="E1839" s="5">
        <f>IF('Journal'!D921="","",IFERROR(INDEX('Kontoplan'!$B$3:$B$302,MATCH('Journal'!D921,'Kontoplan'!$H$3:$H$302,0)),""))</f>
        <v/>
      </c>
      <c r="F1839" s="20">
        <f>IF('Journal'!G921="","",'Journal'!G921)</f>
        <v/>
      </c>
      <c r="G1839" s="20">
        <f>IF('Journal'!F921="","",'Journal'!F921)</f>
        <v/>
      </c>
      <c r="H1839" s="5">
        <f>IF('Journal'!I921="","",'Journal'!I921)</f>
        <v/>
      </c>
    </row>
    <row r="1840">
      <c r="A1840" s="18">
        <f>IF('Journal'!A921="","",'Journal'!A921)</f>
        <v/>
      </c>
      <c r="B1840" s="21">
        <f>IF('Journal'!B921="","",'Journal'!B921)</f>
        <v/>
      </c>
      <c r="C1840" s="5">
        <f>IF('Journal'!C921="","",'Journal'!C921)</f>
        <v/>
      </c>
      <c r="D1840" s="5">
        <f>IF('Journal'!E921="","",IFERROR(LEFT('Journal'!E921,FIND(" ",'Journal'!E921)-1),'Journal'!E921))</f>
        <v/>
      </c>
      <c r="E1840" s="5">
        <f>IF('Journal'!E921="","",IFERROR(INDEX('Kontoplan'!$B$3:$B$302,MATCH('Journal'!E921,'Kontoplan'!$H$3:$H$302,0)),""))</f>
        <v/>
      </c>
      <c r="F1840" s="20">
        <f>IF('Journal'!F921="","",'Journal'!F921)</f>
        <v/>
      </c>
      <c r="G1840" s="20">
        <f>IF('Journal'!G921="","",'Journal'!G921)</f>
        <v/>
      </c>
      <c r="H1840" s="5">
        <f>IF('Journal'!I921="","",'Journal'!I921)</f>
        <v/>
      </c>
    </row>
    <row r="1841">
      <c r="A1841" s="18">
        <f>IF('Journal'!A922="","",'Journal'!A922)</f>
        <v/>
      </c>
      <c r="B1841" s="21">
        <f>IF('Journal'!B922="","",'Journal'!B922)</f>
        <v/>
      </c>
      <c r="C1841" s="5">
        <f>IF('Journal'!C922="","",'Journal'!C922)</f>
        <v/>
      </c>
      <c r="D1841" s="5">
        <f>IF('Journal'!D922="","",IFERROR(LEFT('Journal'!D922,FIND(" ",'Journal'!D922)-1),'Journal'!D922))</f>
        <v/>
      </c>
      <c r="E1841" s="5">
        <f>IF('Journal'!D922="","",IFERROR(INDEX('Kontoplan'!$B$3:$B$302,MATCH('Journal'!D922,'Kontoplan'!$H$3:$H$302,0)),""))</f>
        <v/>
      </c>
      <c r="F1841" s="20">
        <f>IF('Journal'!G922="","",'Journal'!G922)</f>
        <v/>
      </c>
      <c r="G1841" s="20">
        <f>IF('Journal'!F922="","",'Journal'!F922)</f>
        <v/>
      </c>
      <c r="H1841" s="5">
        <f>IF('Journal'!I922="","",'Journal'!I922)</f>
        <v/>
      </c>
    </row>
    <row r="1842">
      <c r="A1842" s="18">
        <f>IF('Journal'!A922="","",'Journal'!A922)</f>
        <v/>
      </c>
      <c r="B1842" s="21">
        <f>IF('Journal'!B922="","",'Journal'!B922)</f>
        <v/>
      </c>
      <c r="C1842" s="5">
        <f>IF('Journal'!C922="","",'Journal'!C922)</f>
        <v/>
      </c>
      <c r="D1842" s="5">
        <f>IF('Journal'!E922="","",IFERROR(LEFT('Journal'!E922,FIND(" ",'Journal'!E922)-1),'Journal'!E922))</f>
        <v/>
      </c>
      <c r="E1842" s="5">
        <f>IF('Journal'!E922="","",IFERROR(INDEX('Kontoplan'!$B$3:$B$302,MATCH('Journal'!E922,'Kontoplan'!$H$3:$H$302,0)),""))</f>
        <v/>
      </c>
      <c r="F1842" s="20">
        <f>IF('Journal'!F922="","",'Journal'!F922)</f>
        <v/>
      </c>
      <c r="G1842" s="20">
        <f>IF('Journal'!G922="","",'Journal'!G922)</f>
        <v/>
      </c>
      <c r="H1842" s="5">
        <f>IF('Journal'!I922="","",'Journal'!I922)</f>
        <v/>
      </c>
    </row>
    <row r="1843">
      <c r="A1843" s="18">
        <f>IF('Journal'!A923="","",'Journal'!A923)</f>
        <v/>
      </c>
      <c r="B1843" s="21">
        <f>IF('Journal'!B923="","",'Journal'!B923)</f>
        <v/>
      </c>
      <c r="C1843" s="5">
        <f>IF('Journal'!C923="","",'Journal'!C923)</f>
        <v/>
      </c>
      <c r="D1843" s="5">
        <f>IF('Journal'!D923="","",IFERROR(LEFT('Journal'!D923,FIND(" ",'Journal'!D923)-1),'Journal'!D923))</f>
        <v/>
      </c>
      <c r="E1843" s="5">
        <f>IF('Journal'!D923="","",IFERROR(INDEX('Kontoplan'!$B$3:$B$302,MATCH('Journal'!D923,'Kontoplan'!$H$3:$H$302,0)),""))</f>
        <v/>
      </c>
      <c r="F1843" s="20">
        <f>IF('Journal'!G923="","",'Journal'!G923)</f>
        <v/>
      </c>
      <c r="G1843" s="20">
        <f>IF('Journal'!F923="","",'Journal'!F923)</f>
        <v/>
      </c>
      <c r="H1843" s="5">
        <f>IF('Journal'!I923="","",'Journal'!I923)</f>
        <v/>
      </c>
    </row>
    <row r="1844">
      <c r="A1844" s="18">
        <f>IF('Journal'!A923="","",'Journal'!A923)</f>
        <v/>
      </c>
      <c r="B1844" s="21">
        <f>IF('Journal'!B923="","",'Journal'!B923)</f>
        <v/>
      </c>
      <c r="C1844" s="5">
        <f>IF('Journal'!C923="","",'Journal'!C923)</f>
        <v/>
      </c>
      <c r="D1844" s="5">
        <f>IF('Journal'!E923="","",IFERROR(LEFT('Journal'!E923,FIND(" ",'Journal'!E923)-1),'Journal'!E923))</f>
        <v/>
      </c>
      <c r="E1844" s="5">
        <f>IF('Journal'!E923="","",IFERROR(INDEX('Kontoplan'!$B$3:$B$302,MATCH('Journal'!E923,'Kontoplan'!$H$3:$H$302,0)),""))</f>
        <v/>
      </c>
      <c r="F1844" s="20">
        <f>IF('Journal'!F923="","",'Journal'!F923)</f>
        <v/>
      </c>
      <c r="G1844" s="20">
        <f>IF('Journal'!G923="","",'Journal'!G923)</f>
        <v/>
      </c>
      <c r="H1844" s="5">
        <f>IF('Journal'!I923="","",'Journal'!I923)</f>
        <v/>
      </c>
    </row>
    <row r="1845">
      <c r="A1845" s="18">
        <f>IF('Journal'!A924="","",'Journal'!A924)</f>
        <v/>
      </c>
      <c r="B1845" s="21">
        <f>IF('Journal'!B924="","",'Journal'!B924)</f>
        <v/>
      </c>
      <c r="C1845" s="5">
        <f>IF('Journal'!C924="","",'Journal'!C924)</f>
        <v/>
      </c>
      <c r="D1845" s="5">
        <f>IF('Journal'!D924="","",IFERROR(LEFT('Journal'!D924,FIND(" ",'Journal'!D924)-1),'Journal'!D924))</f>
        <v/>
      </c>
      <c r="E1845" s="5">
        <f>IF('Journal'!D924="","",IFERROR(INDEX('Kontoplan'!$B$3:$B$302,MATCH('Journal'!D924,'Kontoplan'!$H$3:$H$302,0)),""))</f>
        <v/>
      </c>
      <c r="F1845" s="20">
        <f>IF('Journal'!G924="","",'Journal'!G924)</f>
        <v/>
      </c>
      <c r="G1845" s="20">
        <f>IF('Journal'!F924="","",'Journal'!F924)</f>
        <v/>
      </c>
      <c r="H1845" s="5">
        <f>IF('Journal'!I924="","",'Journal'!I924)</f>
        <v/>
      </c>
    </row>
    <row r="1846">
      <c r="A1846" s="18">
        <f>IF('Journal'!A924="","",'Journal'!A924)</f>
        <v/>
      </c>
      <c r="B1846" s="21">
        <f>IF('Journal'!B924="","",'Journal'!B924)</f>
        <v/>
      </c>
      <c r="C1846" s="5">
        <f>IF('Journal'!C924="","",'Journal'!C924)</f>
        <v/>
      </c>
      <c r="D1846" s="5">
        <f>IF('Journal'!E924="","",IFERROR(LEFT('Journal'!E924,FIND(" ",'Journal'!E924)-1),'Journal'!E924))</f>
        <v/>
      </c>
      <c r="E1846" s="5">
        <f>IF('Journal'!E924="","",IFERROR(INDEX('Kontoplan'!$B$3:$B$302,MATCH('Journal'!E924,'Kontoplan'!$H$3:$H$302,0)),""))</f>
        <v/>
      </c>
      <c r="F1846" s="20">
        <f>IF('Journal'!F924="","",'Journal'!F924)</f>
        <v/>
      </c>
      <c r="G1846" s="20">
        <f>IF('Journal'!G924="","",'Journal'!G924)</f>
        <v/>
      </c>
      <c r="H1846" s="5">
        <f>IF('Journal'!I924="","",'Journal'!I924)</f>
        <v/>
      </c>
    </row>
    <row r="1847">
      <c r="A1847" s="18">
        <f>IF('Journal'!A925="","",'Journal'!A925)</f>
        <v/>
      </c>
      <c r="B1847" s="21">
        <f>IF('Journal'!B925="","",'Journal'!B925)</f>
        <v/>
      </c>
      <c r="C1847" s="5">
        <f>IF('Journal'!C925="","",'Journal'!C925)</f>
        <v/>
      </c>
      <c r="D1847" s="5">
        <f>IF('Journal'!D925="","",IFERROR(LEFT('Journal'!D925,FIND(" ",'Journal'!D925)-1),'Journal'!D925))</f>
        <v/>
      </c>
      <c r="E1847" s="5">
        <f>IF('Journal'!D925="","",IFERROR(INDEX('Kontoplan'!$B$3:$B$302,MATCH('Journal'!D925,'Kontoplan'!$H$3:$H$302,0)),""))</f>
        <v/>
      </c>
      <c r="F1847" s="20">
        <f>IF('Journal'!G925="","",'Journal'!G925)</f>
        <v/>
      </c>
      <c r="G1847" s="20">
        <f>IF('Journal'!F925="","",'Journal'!F925)</f>
        <v/>
      </c>
      <c r="H1847" s="5">
        <f>IF('Journal'!I925="","",'Journal'!I925)</f>
        <v/>
      </c>
    </row>
    <row r="1848">
      <c r="A1848" s="18">
        <f>IF('Journal'!A925="","",'Journal'!A925)</f>
        <v/>
      </c>
      <c r="B1848" s="21">
        <f>IF('Journal'!B925="","",'Journal'!B925)</f>
        <v/>
      </c>
      <c r="C1848" s="5">
        <f>IF('Journal'!C925="","",'Journal'!C925)</f>
        <v/>
      </c>
      <c r="D1848" s="5">
        <f>IF('Journal'!E925="","",IFERROR(LEFT('Journal'!E925,FIND(" ",'Journal'!E925)-1),'Journal'!E925))</f>
        <v/>
      </c>
      <c r="E1848" s="5">
        <f>IF('Journal'!E925="","",IFERROR(INDEX('Kontoplan'!$B$3:$B$302,MATCH('Journal'!E925,'Kontoplan'!$H$3:$H$302,0)),""))</f>
        <v/>
      </c>
      <c r="F1848" s="20">
        <f>IF('Journal'!F925="","",'Journal'!F925)</f>
        <v/>
      </c>
      <c r="G1848" s="20">
        <f>IF('Journal'!G925="","",'Journal'!G925)</f>
        <v/>
      </c>
      <c r="H1848" s="5">
        <f>IF('Journal'!I925="","",'Journal'!I925)</f>
        <v/>
      </c>
    </row>
    <row r="1849">
      <c r="A1849" s="18">
        <f>IF('Journal'!A926="","",'Journal'!A926)</f>
        <v/>
      </c>
      <c r="B1849" s="21">
        <f>IF('Journal'!B926="","",'Journal'!B926)</f>
        <v/>
      </c>
      <c r="C1849" s="5">
        <f>IF('Journal'!C926="","",'Journal'!C926)</f>
        <v/>
      </c>
      <c r="D1849" s="5">
        <f>IF('Journal'!D926="","",IFERROR(LEFT('Journal'!D926,FIND(" ",'Journal'!D926)-1),'Journal'!D926))</f>
        <v/>
      </c>
      <c r="E1849" s="5">
        <f>IF('Journal'!D926="","",IFERROR(INDEX('Kontoplan'!$B$3:$B$302,MATCH('Journal'!D926,'Kontoplan'!$H$3:$H$302,0)),""))</f>
        <v/>
      </c>
      <c r="F1849" s="20">
        <f>IF('Journal'!G926="","",'Journal'!G926)</f>
        <v/>
      </c>
      <c r="G1849" s="20">
        <f>IF('Journal'!F926="","",'Journal'!F926)</f>
        <v/>
      </c>
      <c r="H1849" s="5">
        <f>IF('Journal'!I926="","",'Journal'!I926)</f>
        <v/>
      </c>
    </row>
    <row r="1850">
      <c r="A1850" s="18">
        <f>IF('Journal'!A926="","",'Journal'!A926)</f>
        <v/>
      </c>
      <c r="B1850" s="21">
        <f>IF('Journal'!B926="","",'Journal'!B926)</f>
        <v/>
      </c>
      <c r="C1850" s="5">
        <f>IF('Journal'!C926="","",'Journal'!C926)</f>
        <v/>
      </c>
      <c r="D1850" s="5">
        <f>IF('Journal'!E926="","",IFERROR(LEFT('Journal'!E926,FIND(" ",'Journal'!E926)-1),'Journal'!E926))</f>
        <v/>
      </c>
      <c r="E1850" s="5">
        <f>IF('Journal'!E926="","",IFERROR(INDEX('Kontoplan'!$B$3:$B$302,MATCH('Journal'!E926,'Kontoplan'!$H$3:$H$302,0)),""))</f>
        <v/>
      </c>
      <c r="F1850" s="20">
        <f>IF('Journal'!F926="","",'Journal'!F926)</f>
        <v/>
      </c>
      <c r="G1850" s="20">
        <f>IF('Journal'!G926="","",'Journal'!G926)</f>
        <v/>
      </c>
      <c r="H1850" s="5">
        <f>IF('Journal'!I926="","",'Journal'!I926)</f>
        <v/>
      </c>
    </row>
    <row r="1851">
      <c r="A1851" s="18">
        <f>IF('Journal'!A927="","",'Journal'!A927)</f>
        <v/>
      </c>
      <c r="B1851" s="21">
        <f>IF('Journal'!B927="","",'Journal'!B927)</f>
        <v/>
      </c>
      <c r="C1851" s="5">
        <f>IF('Journal'!C927="","",'Journal'!C927)</f>
        <v/>
      </c>
      <c r="D1851" s="5">
        <f>IF('Journal'!D927="","",IFERROR(LEFT('Journal'!D927,FIND(" ",'Journal'!D927)-1),'Journal'!D927))</f>
        <v/>
      </c>
      <c r="E1851" s="5">
        <f>IF('Journal'!D927="","",IFERROR(INDEX('Kontoplan'!$B$3:$B$302,MATCH('Journal'!D927,'Kontoplan'!$H$3:$H$302,0)),""))</f>
        <v/>
      </c>
      <c r="F1851" s="20">
        <f>IF('Journal'!G927="","",'Journal'!G927)</f>
        <v/>
      </c>
      <c r="G1851" s="20">
        <f>IF('Journal'!F927="","",'Journal'!F927)</f>
        <v/>
      </c>
      <c r="H1851" s="5">
        <f>IF('Journal'!I927="","",'Journal'!I927)</f>
        <v/>
      </c>
    </row>
    <row r="1852">
      <c r="A1852" s="18">
        <f>IF('Journal'!A927="","",'Journal'!A927)</f>
        <v/>
      </c>
      <c r="B1852" s="21">
        <f>IF('Journal'!B927="","",'Journal'!B927)</f>
        <v/>
      </c>
      <c r="C1852" s="5">
        <f>IF('Journal'!C927="","",'Journal'!C927)</f>
        <v/>
      </c>
      <c r="D1852" s="5">
        <f>IF('Journal'!E927="","",IFERROR(LEFT('Journal'!E927,FIND(" ",'Journal'!E927)-1),'Journal'!E927))</f>
        <v/>
      </c>
      <c r="E1852" s="5">
        <f>IF('Journal'!E927="","",IFERROR(INDEX('Kontoplan'!$B$3:$B$302,MATCH('Journal'!E927,'Kontoplan'!$H$3:$H$302,0)),""))</f>
        <v/>
      </c>
      <c r="F1852" s="20">
        <f>IF('Journal'!F927="","",'Journal'!F927)</f>
        <v/>
      </c>
      <c r="G1852" s="20">
        <f>IF('Journal'!G927="","",'Journal'!G927)</f>
        <v/>
      </c>
      <c r="H1852" s="5">
        <f>IF('Journal'!I927="","",'Journal'!I927)</f>
        <v/>
      </c>
    </row>
    <row r="1853">
      <c r="A1853" s="18">
        <f>IF('Journal'!A928="","",'Journal'!A928)</f>
        <v/>
      </c>
      <c r="B1853" s="21">
        <f>IF('Journal'!B928="","",'Journal'!B928)</f>
        <v/>
      </c>
      <c r="C1853" s="5">
        <f>IF('Journal'!C928="","",'Journal'!C928)</f>
        <v/>
      </c>
      <c r="D1853" s="5">
        <f>IF('Journal'!D928="","",IFERROR(LEFT('Journal'!D928,FIND(" ",'Journal'!D928)-1),'Journal'!D928))</f>
        <v/>
      </c>
      <c r="E1853" s="5">
        <f>IF('Journal'!D928="","",IFERROR(INDEX('Kontoplan'!$B$3:$B$302,MATCH('Journal'!D928,'Kontoplan'!$H$3:$H$302,0)),""))</f>
        <v/>
      </c>
      <c r="F1853" s="20">
        <f>IF('Journal'!G928="","",'Journal'!G928)</f>
        <v/>
      </c>
      <c r="G1853" s="20">
        <f>IF('Journal'!F928="","",'Journal'!F928)</f>
        <v/>
      </c>
      <c r="H1853" s="5">
        <f>IF('Journal'!I928="","",'Journal'!I928)</f>
        <v/>
      </c>
    </row>
    <row r="1854">
      <c r="A1854" s="18">
        <f>IF('Journal'!A928="","",'Journal'!A928)</f>
        <v/>
      </c>
      <c r="B1854" s="21">
        <f>IF('Journal'!B928="","",'Journal'!B928)</f>
        <v/>
      </c>
      <c r="C1854" s="5">
        <f>IF('Journal'!C928="","",'Journal'!C928)</f>
        <v/>
      </c>
      <c r="D1854" s="5">
        <f>IF('Journal'!E928="","",IFERROR(LEFT('Journal'!E928,FIND(" ",'Journal'!E928)-1),'Journal'!E928))</f>
        <v/>
      </c>
      <c r="E1854" s="5">
        <f>IF('Journal'!E928="","",IFERROR(INDEX('Kontoplan'!$B$3:$B$302,MATCH('Journal'!E928,'Kontoplan'!$H$3:$H$302,0)),""))</f>
        <v/>
      </c>
      <c r="F1854" s="20">
        <f>IF('Journal'!F928="","",'Journal'!F928)</f>
        <v/>
      </c>
      <c r="G1854" s="20">
        <f>IF('Journal'!G928="","",'Journal'!G928)</f>
        <v/>
      </c>
      <c r="H1854" s="5">
        <f>IF('Journal'!I928="","",'Journal'!I928)</f>
        <v/>
      </c>
    </row>
    <row r="1855">
      <c r="A1855" s="18">
        <f>IF('Journal'!A929="","",'Journal'!A929)</f>
        <v/>
      </c>
      <c r="B1855" s="21">
        <f>IF('Journal'!B929="","",'Journal'!B929)</f>
        <v/>
      </c>
      <c r="C1855" s="5">
        <f>IF('Journal'!C929="","",'Journal'!C929)</f>
        <v/>
      </c>
      <c r="D1855" s="5">
        <f>IF('Journal'!D929="","",IFERROR(LEFT('Journal'!D929,FIND(" ",'Journal'!D929)-1),'Journal'!D929))</f>
        <v/>
      </c>
      <c r="E1855" s="5">
        <f>IF('Journal'!D929="","",IFERROR(INDEX('Kontoplan'!$B$3:$B$302,MATCH('Journal'!D929,'Kontoplan'!$H$3:$H$302,0)),""))</f>
        <v/>
      </c>
      <c r="F1855" s="20">
        <f>IF('Journal'!G929="","",'Journal'!G929)</f>
        <v/>
      </c>
      <c r="G1855" s="20">
        <f>IF('Journal'!F929="","",'Journal'!F929)</f>
        <v/>
      </c>
      <c r="H1855" s="5">
        <f>IF('Journal'!I929="","",'Journal'!I929)</f>
        <v/>
      </c>
    </row>
    <row r="1856">
      <c r="A1856" s="18">
        <f>IF('Journal'!A929="","",'Journal'!A929)</f>
        <v/>
      </c>
      <c r="B1856" s="21">
        <f>IF('Journal'!B929="","",'Journal'!B929)</f>
        <v/>
      </c>
      <c r="C1856" s="5">
        <f>IF('Journal'!C929="","",'Journal'!C929)</f>
        <v/>
      </c>
      <c r="D1856" s="5">
        <f>IF('Journal'!E929="","",IFERROR(LEFT('Journal'!E929,FIND(" ",'Journal'!E929)-1),'Journal'!E929))</f>
        <v/>
      </c>
      <c r="E1856" s="5">
        <f>IF('Journal'!E929="","",IFERROR(INDEX('Kontoplan'!$B$3:$B$302,MATCH('Journal'!E929,'Kontoplan'!$H$3:$H$302,0)),""))</f>
        <v/>
      </c>
      <c r="F1856" s="20">
        <f>IF('Journal'!F929="","",'Journal'!F929)</f>
        <v/>
      </c>
      <c r="G1856" s="20">
        <f>IF('Journal'!G929="","",'Journal'!G929)</f>
        <v/>
      </c>
      <c r="H1856" s="5">
        <f>IF('Journal'!I929="","",'Journal'!I929)</f>
        <v/>
      </c>
    </row>
    <row r="1857">
      <c r="A1857" s="18">
        <f>IF('Journal'!A930="","",'Journal'!A930)</f>
        <v/>
      </c>
      <c r="B1857" s="21">
        <f>IF('Journal'!B930="","",'Journal'!B930)</f>
        <v/>
      </c>
      <c r="C1857" s="5">
        <f>IF('Journal'!C930="","",'Journal'!C930)</f>
        <v/>
      </c>
      <c r="D1857" s="5">
        <f>IF('Journal'!D930="","",IFERROR(LEFT('Journal'!D930,FIND(" ",'Journal'!D930)-1),'Journal'!D930))</f>
        <v/>
      </c>
      <c r="E1857" s="5">
        <f>IF('Journal'!D930="","",IFERROR(INDEX('Kontoplan'!$B$3:$B$302,MATCH('Journal'!D930,'Kontoplan'!$H$3:$H$302,0)),""))</f>
        <v/>
      </c>
      <c r="F1857" s="20">
        <f>IF('Journal'!G930="","",'Journal'!G930)</f>
        <v/>
      </c>
      <c r="G1857" s="20">
        <f>IF('Journal'!F930="","",'Journal'!F930)</f>
        <v/>
      </c>
      <c r="H1857" s="5">
        <f>IF('Journal'!I930="","",'Journal'!I930)</f>
        <v/>
      </c>
    </row>
    <row r="1858">
      <c r="A1858" s="18">
        <f>IF('Journal'!A930="","",'Journal'!A930)</f>
        <v/>
      </c>
      <c r="B1858" s="21">
        <f>IF('Journal'!B930="","",'Journal'!B930)</f>
        <v/>
      </c>
      <c r="C1858" s="5">
        <f>IF('Journal'!C930="","",'Journal'!C930)</f>
        <v/>
      </c>
      <c r="D1858" s="5">
        <f>IF('Journal'!E930="","",IFERROR(LEFT('Journal'!E930,FIND(" ",'Journal'!E930)-1),'Journal'!E930))</f>
        <v/>
      </c>
      <c r="E1858" s="5">
        <f>IF('Journal'!E930="","",IFERROR(INDEX('Kontoplan'!$B$3:$B$302,MATCH('Journal'!E930,'Kontoplan'!$H$3:$H$302,0)),""))</f>
        <v/>
      </c>
      <c r="F1858" s="20">
        <f>IF('Journal'!F930="","",'Journal'!F930)</f>
        <v/>
      </c>
      <c r="G1858" s="20">
        <f>IF('Journal'!G930="","",'Journal'!G930)</f>
        <v/>
      </c>
      <c r="H1858" s="5">
        <f>IF('Journal'!I930="","",'Journal'!I930)</f>
        <v/>
      </c>
    </row>
    <row r="1859">
      <c r="A1859" s="18">
        <f>IF('Journal'!A931="","",'Journal'!A931)</f>
        <v/>
      </c>
      <c r="B1859" s="21">
        <f>IF('Journal'!B931="","",'Journal'!B931)</f>
        <v/>
      </c>
      <c r="C1859" s="5">
        <f>IF('Journal'!C931="","",'Journal'!C931)</f>
        <v/>
      </c>
      <c r="D1859" s="5">
        <f>IF('Journal'!D931="","",IFERROR(LEFT('Journal'!D931,FIND(" ",'Journal'!D931)-1),'Journal'!D931))</f>
        <v/>
      </c>
      <c r="E1859" s="5">
        <f>IF('Journal'!D931="","",IFERROR(INDEX('Kontoplan'!$B$3:$B$302,MATCH('Journal'!D931,'Kontoplan'!$H$3:$H$302,0)),""))</f>
        <v/>
      </c>
      <c r="F1859" s="20">
        <f>IF('Journal'!G931="","",'Journal'!G931)</f>
        <v/>
      </c>
      <c r="G1859" s="20">
        <f>IF('Journal'!F931="","",'Journal'!F931)</f>
        <v/>
      </c>
      <c r="H1859" s="5">
        <f>IF('Journal'!I931="","",'Journal'!I931)</f>
        <v/>
      </c>
    </row>
    <row r="1860">
      <c r="A1860" s="18">
        <f>IF('Journal'!A931="","",'Journal'!A931)</f>
        <v/>
      </c>
      <c r="B1860" s="21">
        <f>IF('Journal'!B931="","",'Journal'!B931)</f>
        <v/>
      </c>
      <c r="C1860" s="5">
        <f>IF('Journal'!C931="","",'Journal'!C931)</f>
        <v/>
      </c>
      <c r="D1860" s="5">
        <f>IF('Journal'!E931="","",IFERROR(LEFT('Journal'!E931,FIND(" ",'Journal'!E931)-1),'Journal'!E931))</f>
        <v/>
      </c>
      <c r="E1860" s="5">
        <f>IF('Journal'!E931="","",IFERROR(INDEX('Kontoplan'!$B$3:$B$302,MATCH('Journal'!E931,'Kontoplan'!$H$3:$H$302,0)),""))</f>
        <v/>
      </c>
      <c r="F1860" s="20">
        <f>IF('Journal'!F931="","",'Journal'!F931)</f>
        <v/>
      </c>
      <c r="G1860" s="20">
        <f>IF('Journal'!G931="","",'Journal'!G931)</f>
        <v/>
      </c>
      <c r="H1860" s="5">
        <f>IF('Journal'!I931="","",'Journal'!I931)</f>
        <v/>
      </c>
    </row>
    <row r="1861">
      <c r="A1861" s="18">
        <f>IF('Journal'!A932="","",'Journal'!A932)</f>
        <v/>
      </c>
      <c r="B1861" s="21">
        <f>IF('Journal'!B932="","",'Journal'!B932)</f>
        <v/>
      </c>
      <c r="C1861" s="5">
        <f>IF('Journal'!C932="","",'Journal'!C932)</f>
        <v/>
      </c>
      <c r="D1861" s="5">
        <f>IF('Journal'!D932="","",IFERROR(LEFT('Journal'!D932,FIND(" ",'Journal'!D932)-1),'Journal'!D932))</f>
        <v/>
      </c>
      <c r="E1861" s="5">
        <f>IF('Journal'!D932="","",IFERROR(INDEX('Kontoplan'!$B$3:$B$302,MATCH('Journal'!D932,'Kontoplan'!$H$3:$H$302,0)),""))</f>
        <v/>
      </c>
      <c r="F1861" s="20">
        <f>IF('Journal'!G932="","",'Journal'!G932)</f>
        <v/>
      </c>
      <c r="G1861" s="20">
        <f>IF('Journal'!F932="","",'Journal'!F932)</f>
        <v/>
      </c>
      <c r="H1861" s="5">
        <f>IF('Journal'!I932="","",'Journal'!I932)</f>
        <v/>
      </c>
    </row>
    <row r="1862">
      <c r="A1862" s="18">
        <f>IF('Journal'!A932="","",'Journal'!A932)</f>
        <v/>
      </c>
      <c r="B1862" s="21">
        <f>IF('Journal'!B932="","",'Journal'!B932)</f>
        <v/>
      </c>
      <c r="C1862" s="5">
        <f>IF('Journal'!C932="","",'Journal'!C932)</f>
        <v/>
      </c>
      <c r="D1862" s="5">
        <f>IF('Journal'!E932="","",IFERROR(LEFT('Journal'!E932,FIND(" ",'Journal'!E932)-1),'Journal'!E932))</f>
        <v/>
      </c>
      <c r="E1862" s="5">
        <f>IF('Journal'!E932="","",IFERROR(INDEX('Kontoplan'!$B$3:$B$302,MATCH('Journal'!E932,'Kontoplan'!$H$3:$H$302,0)),""))</f>
        <v/>
      </c>
      <c r="F1862" s="20">
        <f>IF('Journal'!F932="","",'Journal'!F932)</f>
        <v/>
      </c>
      <c r="G1862" s="20">
        <f>IF('Journal'!G932="","",'Journal'!G932)</f>
        <v/>
      </c>
      <c r="H1862" s="5">
        <f>IF('Journal'!I932="","",'Journal'!I932)</f>
        <v/>
      </c>
    </row>
    <row r="1863">
      <c r="A1863" s="18">
        <f>IF('Journal'!A933="","",'Journal'!A933)</f>
        <v/>
      </c>
      <c r="B1863" s="21">
        <f>IF('Journal'!B933="","",'Journal'!B933)</f>
        <v/>
      </c>
      <c r="C1863" s="5">
        <f>IF('Journal'!C933="","",'Journal'!C933)</f>
        <v/>
      </c>
      <c r="D1863" s="5">
        <f>IF('Journal'!D933="","",IFERROR(LEFT('Journal'!D933,FIND(" ",'Journal'!D933)-1),'Journal'!D933))</f>
        <v/>
      </c>
      <c r="E1863" s="5">
        <f>IF('Journal'!D933="","",IFERROR(INDEX('Kontoplan'!$B$3:$B$302,MATCH('Journal'!D933,'Kontoplan'!$H$3:$H$302,0)),""))</f>
        <v/>
      </c>
      <c r="F1863" s="20">
        <f>IF('Journal'!G933="","",'Journal'!G933)</f>
        <v/>
      </c>
      <c r="G1863" s="20">
        <f>IF('Journal'!F933="","",'Journal'!F933)</f>
        <v/>
      </c>
      <c r="H1863" s="5">
        <f>IF('Journal'!I933="","",'Journal'!I933)</f>
        <v/>
      </c>
    </row>
    <row r="1864">
      <c r="A1864" s="18">
        <f>IF('Journal'!A933="","",'Journal'!A933)</f>
        <v/>
      </c>
      <c r="B1864" s="21">
        <f>IF('Journal'!B933="","",'Journal'!B933)</f>
        <v/>
      </c>
      <c r="C1864" s="5">
        <f>IF('Journal'!C933="","",'Journal'!C933)</f>
        <v/>
      </c>
      <c r="D1864" s="5">
        <f>IF('Journal'!E933="","",IFERROR(LEFT('Journal'!E933,FIND(" ",'Journal'!E933)-1),'Journal'!E933))</f>
        <v/>
      </c>
      <c r="E1864" s="5">
        <f>IF('Journal'!E933="","",IFERROR(INDEX('Kontoplan'!$B$3:$B$302,MATCH('Journal'!E933,'Kontoplan'!$H$3:$H$302,0)),""))</f>
        <v/>
      </c>
      <c r="F1864" s="20">
        <f>IF('Journal'!F933="","",'Journal'!F933)</f>
        <v/>
      </c>
      <c r="G1864" s="20">
        <f>IF('Journal'!G933="","",'Journal'!G933)</f>
        <v/>
      </c>
      <c r="H1864" s="5">
        <f>IF('Journal'!I933="","",'Journal'!I933)</f>
        <v/>
      </c>
    </row>
    <row r="1865">
      <c r="A1865" s="18">
        <f>IF('Journal'!A934="","",'Journal'!A934)</f>
        <v/>
      </c>
      <c r="B1865" s="21">
        <f>IF('Journal'!B934="","",'Journal'!B934)</f>
        <v/>
      </c>
      <c r="C1865" s="5">
        <f>IF('Journal'!C934="","",'Journal'!C934)</f>
        <v/>
      </c>
      <c r="D1865" s="5">
        <f>IF('Journal'!D934="","",IFERROR(LEFT('Journal'!D934,FIND(" ",'Journal'!D934)-1),'Journal'!D934))</f>
        <v/>
      </c>
      <c r="E1865" s="5">
        <f>IF('Journal'!D934="","",IFERROR(INDEX('Kontoplan'!$B$3:$B$302,MATCH('Journal'!D934,'Kontoplan'!$H$3:$H$302,0)),""))</f>
        <v/>
      </c>
      <c r="F1865" s="20">
        <f>IF('Journal'!G934="","",'Journal'!G934)</f>
        <v/>
      </c>
      <c r="G1865" s="20">
        <f>IF('Journal'!F934="","",'Journal'!F934)</f>
        <v/>
      </c>
      <c r="H1865" s="5">
        <f>IF('Journal'!I934="","",'Journal'!I934)</f>
        <v/>
      </c>
    </row>
    <row r="1866">
      <c r="A1866" s="18">
        <f>IF('Journal'!A934="","",'Journal'!A934)</f>
        <v/>
      </c>
      <c r="B1866" s="21">
        <f>IF('Journal'!B934="","",'Journal'!B934)</f>
        <v/>
      </c>
      <c r="C1866" s="5">
        <f>IF('Journal'!C934="","",'Journal'!C934)</f>
        <v/>
      </c>
      <c r="D1866" s="5">
        <f>IF('Journal'!E934="","",IFERROR(LEFT('Journal'!E934,FIND(" ",'Journal'!E934)-1),'Journal'!E934))</f>
        <v/>
      </c>
      <c r="E1866" s="5">
        <f>IF('Journal'!E934="","",IFERROR(INDEX('Kontoplan'!$B$3:$B$302,MATCH('Journal'!E934,'Kontoplan'!$H$3:$H$302,0)),""))</f>
        <v/>
      </c>
      <c r="F1866" s="20">
        <f>IF('Journal'!F934="","",'Journal'!F934)</f>
        <v/>
      </c>
      <c r="G1866" s="20">
        <f>IF('Journal'!G934="","",'Journal'!G934)</f>
        <v/>
      </c>
      <c r="H1866" s="5">
        <f>IF('Journal'!I934="","",'Journal'!I934)</f>
        <v/>
      </c>
    </row>
    <row r="1867">
      <c r="A1867" s="18">
        <f>IF('Journal'!A935="","",'Journal'!A935)</f>
        <v/>
      </c>
      <c r="B1867" s="21">
        <f>IF('Journal'!B935="","",'Journal'!B935)</f>
        <v/>
      </c>
      <c r="C1867" s="5">
        <f>IF('Journal'!C935="","",'Journal'!C935)</f>
        <v/>
      </c>
      <c r="D1867" s="5">
        <f>IF('Journal'!D935="","",IFERROR(LEFT('Journal'!D935,FIND(" ",'Journal'!D935)-1),'Journal'!D935))</f>
        <v/>
      </c>
      <c r="E1867" s="5">
        <f>IF('Journal'!D935="","",IFERROR(INDEX('Kontoplan'!$B$3:$B$302,MATCH('Journal'!D935,'Kontoplan'!$H$3:$H$302,0)),""))</f>
        <v/>
      </c>
      <c r="F1867" s="20">
        <f>IF('Journal'!G935="","",'Journal'!G935)</f>
        <v/>
      </c>
      <c r="G1867" s="20">
        <f>IF('Journal'!F935="","",'Journal'!F935)</f>
        <v/>
      </c>
      <c r="H1867" s="5">
        <f>IF('Journal'!I935="","",'Journal'!I935)</f>
        <v/>
      </c>
    </row>
    <row r="1868">
      <c r="A1868" s="18">
        <f>IF('Journal'!A935="","",'Journal'!A935)</f>
        <v/>
      </c>
      <c r="B1868" s="21">
        <f>IF('Journal'!B935="","",'Journal'!B935)</f>
        <v/>
      </c>
      <c r="C1868" s="5">
        <f>IF('Journal'!C935="","",'Journal'!C935)</f>
        <v/>
      </c>
      <c r="D1868" s="5">
        <f>IF('Journal'!E935="","",IFERROR(LEFT('Journal'!E935,FIND(" ",'Journal'!E935)-1),'Journal'!E935))</f>
        <v/>
      </c>
      <c r="E1868" s="5">
        <f>IF('Journal'!E935="","",IFERROR(INDEX('Kontoplan'!$B$3:$B$302,MATCH('Journal'!E935,'Kontoplan'!$H$3:$H$302,0)),""))</f>
        <v/>
      </c>
      <c r="F1868" s="20">
        <f>IF('Journal'!F935="","",'Journal'!F935)</f>
        <v/>
      </c>
      <c r="G1868" s="20">
        <f>IF('Journal'!G935="","",'Journal'!G935)</f>
        <v/>
      </c>
      <c r="H1868" s="5">
        <f>IF('Journal'!I935="","",'Journal'!I935)</f>
        <v/>
      </c>
    </row>
    <row r="1869">
      <c r="A1869" s="18">
        <f>IF('Journal'!A936="","",'Journal'!A936)</f>
        <v/>
      </c>
      <c r="B1869" s="21">
        <f>IF('Journal'!B936="","",'Journal'!B936)</f>
        <v/>
      </c>
      <c r="C1869" s="5">
        <f>IF('Journal'!C936="","",'Journal'!C936)</f>
        <v/>
      </c>
      <c r="D1869" s="5">
        <f>IF('Journal'!D936="","",IFERROR(LEFT('Journal'!D936,FIND(" ",'Journal'!D936)-1),'Journal'!D936))</f>
        <v/>
      </c>
      <c r="E1869" s="5">
        <f>IF('Journal'!D936="","",IFERROR(INDEX('Kontoplan'!$B$3:$B$302,MATCH('Journal'!D936,'Kontoplan'!$H$3:$H$302,0)),""))</f>
        <v/>
      </c>
      <c r="F1869" s="20">
        <f>IF('Journal'!G936="","",'Journal'!G936)</f>
        <v/>
      </c>
      <c r="G1869" s="20">
        <f>IF('Journal'!F936="","",'Journal'!F936)</f>
        <v/>
      </c>
      <c r="H1869" s="5">
        <f>IF('Journal'!I936="","",'Journal'!I936)</f>
        <v/>
      </c>
    </row>
    <row r="1870">
      <c r="A1870" s="18">
        <f>IF('Journal'!A936="","",'Journal'!A936)</f>
        <v/>
      </c>
      <c r="B1870" s="21">
        <f>IF('Journal'!B936="","",'Journal'!B936)</f>
        <v/>
      </c>
      <c r="C1870" s="5">
        <f>IF('Journal'!C936="","",'Journal'!C936)</f>
        <v/>
      </c>
      <c r="D1870" s="5">
        <f>IF('Journal'!E936="","",IFERROR(LEFT('Journal'!E936,FIND(" ",'Journal'!E936)-1),'Journal'!E936))</f>
        <v/>
      </c>
      <c r="E1870" s="5">
        <f>IF('Journal'!E936="","",IFERROR(INDEX('Kontoplan'!$B$3:$B$302,MATCH('Journal'!E936,'Kontoplan'!$H$3:$H$302,0)),""))</f>
        <v/>
      </c>
      <c r="F1870" s="20">
        <f>IF('Journal'!F936="","",'Journal'!F936)</f>
        <v/>
      </c>
      <c r="G1870" s="20">
        <f>IF('Journal'!G936="","",'Journal'!G936)</f>
        <v/>
      </c>
      <c r="H1870" s="5">
        <f>IF('Journal'!I936="","",'Journal'!I936)</f>
        <v/>
      </c>
    </row>
    <row r="1871">
      <c r="A1871" s="18">
        <f>IF('Journal'!A937="","",'Journal'!A937)</f>
        <v/>
      </c>
      <c r="B1871" s="21">
        <f>IF('Journal'!B937="","",'Journal'!B937)</f>
        <v/>
      </c>
      <c r="C1871" s="5">
        <f>IF('Journal'!C937="","",'Journal'!C937)</f>
        <v/>
      </c>
      <c r="D1871" s="5">
        <f>IF('Journal'!D937="","",IFERROR(LEFT('Journal'!D937,FIND(" ",'Journal'!D937)-1),'Journal'!D937))</f>
        <v/>
      </c>
      <c r="E1871" s="5">
        <f>IF('Journal'!D937="","",IFERROR(INDEX('Kontoplan'!$B$3:$B$302,MATCH('Journal'!D937,'Kontoplan'!$H$3:$H$302,0)),""))</f>
        <v/>
      </c>
      <c r="F1871" s="20">
        <f>IF('Journal'!G937="","",'Journal'!G937)</f>
        <v/>
      </c>
      <c r="G1871" s="20">
        <f>IF('Journal'!F937="","",'Journal'!F937)</f>
        <v/>
      </c>
      <c r="H1871" s="5">
        <f>IF('Journal'!I937="","",'Journal'!I937)</f>
        <v/>
      </c>
    </row>
    <row r="1872">
      <c r="A1872" s="18">
        <f>IF('Journal'!A937="","",'Journal'!A937)</f>
        <v/>
      </c>
      <c r="B1872" s="21">
        <f>IF('Journal'!B937="","",'Journal'!B937)</f>
        <v/>
      </c>
      <c r="C1872" s="5">
        <f>IF('Journal'!C937="","",'Journal'!C937)</f>
        <v/>
      </c>
      <c r="D1872" s="5">
        <f>IF('Journal'!E937="","",IFERROR(LEFT('Journal'!E937,FIND(" ",'Journal'!E937)-1),'Journal'!E937))</f>
        <v/>
      </c>
      <c r="E1872" s="5">
        <f>IF('Journal'!E937="","",IFERROR(INDEX('Kontoplan'!$B$3:$B$302,MATCH('Journal'!E937,'Kontoplan'!$H$3:$H$302,0)),""))</f>
        <v/>
      </c>
      <c r="F1872" s="20">
        <f>IF('Journal'!F937="","",'Journal'!F937)</f>
        <v/>
      </c>
      <c r="G1872" s="20">
        <f>IF('Journal'!G937="","",'Journal'!G937)</f>
        <v/>
      </c>
      <c r="H1872" s="5">
        <f>IF('Journal'!I937="","",'Journal'!I937)</f>
        <v/>
      </c>
    </row>
    <row r="1873">
      <c r="A1873" s="18">
        <f>IF('Journal'!A938="","",'Journal'!A938)</f>
        <v/>
      </c>
      <c r="B1873" s="21">
        <f>IF('Journal'!B938="","",'Journal'!B938)</f>
        <v/>
      </c>
      <c r="C1873" s="5">
        <f>IF('Journal'!C938="","",'Journal'!C938)</f>
        <v/>
      </c>
      <c r="D1873" s="5">
        <f>IF('Journal'!D938="","",IFERROR(LEFT('Journal'!D938,FIND(" ",'Journal'!D938)-1),'Journal'!D938))</f>
        <v/>
      </c>
      <c r="E1873" s="5">
        <f>IF('Journal'!D938="","",IFERROR(INDEX('Kontoplan'!$B$3:$B$302,MATCH('Journal'!D938,'Kontoplan'!$H$3:$H$302,0)),""))</f>
        <v/>
      </c>
      <c r="F1873" s="20">
        <f>IF('Journal'!G938="","",'Journal'!G938)</f>
        <v/>
      </c>
      <c r="G1873" s="20">
        <f>IF('Journal'!F938="","",'Journal'!F938)</f>
        <v/>
      </c>
      <c r="H1873" s="5">
        <f>IF('Journal'!I938="","",'Journal'!I938)</f>
        <v/>
      </c>
    </row>
    <row r="1874">
      <c r="A1874" s="18">
        <f>IF('Journal'!A938="","",'Journal'!A938)</f>
        <v/>
      </c>
      <c r="B1874" s="21">
        <f>IF('Journal'!B938="","",'Journal'!B938)</f>
        <v/>
      </c>
      <c r="C1874" s="5">
        <f>IF('Journal'!C938="","",'Journal'!C938)</f>
        <v/>
      </c>
      <c r="D1874" s="5">
        <f>IF('Journal'!E938="","",IFERROR(LEFT('Journal'!E938,FIND(" ",'Journal'!E938)-1),'Journal'!E938))</f>
        <v/>
      </c>
      <c r="E1874" s="5">
        <f>IF('Journal'!E938="","",IFERROR(INDEX('Kontoplan'!$B$3:$B$302,MATCH('Journal'!E938,'Kontoplan'!$H$3:$H$302,0)),""))</f>
        <v/>
      </c>
      <c r="F1874" s="20">
        <f>IF('Journal'!F938="","",'Journal'!F938)</f>
        <v/>
      </c>
      <c r="G1874" s="20">
        <f>IF('Journal'!G938="","",'Journal'!G938)</f>
        <v/>
      </c>
      <c r="H1874" s="5">
        <f>IF('Journal'!I938="","",'Journal'!I938)</f>
        <v/>
      </c>
    </row>
    <row r="1875">
      <c r="A1875" s="18">
        <f>IF('Journal'!A939="","",'Journal'!A939)</f>
        <v/>
      </c>
      <c r="B1875" s="21">
        <f>IF('Journal'!B939="","",'Journal'!B939)</f>
        <v/>
      </c>
      <c r="C1875" s="5">
        <f>IF('Journal'!C939="","",'Journal'!C939)</f>
        <v/>
      </c>
      <c r="D1875" s="5">
        <f>IF('Journal'!D939="","",IFERROR(LEFT('Journal'!D939,FIND(" ",'Journal'!D939)-1),'Journal'!D939))</f>
        <v/>
      </c>
      <c r="E1875" s="5">
        <f>IF('Journal'!D939="","",IFERROR(INDEX('Kontoplan'!$B$3:$B$302,MATCH('Journal'!D939,'Kontoplan'!$H$3:$H$302,0)),""))</f>
        <v/>
      </c>
      <c r="F1875" s="20">
        <f>IF('Journal'!G939="","",'Journal'!G939)</f>
        <v/>
      </c>
      <c r="G1875" s="20">
        <f>IF('Journal'!F939="","",'Journal'!F939)</f>
        <v/>
      </c>
      <c r="H1875" s="5">
        <f>IF('Journal'!I939="","",'Journal'!I939)</f>
        <v/>
      </c>
    </row>
    <row r="1876">
      <c r="A1876" s="18">
        <f>IF('Journal'!A939="","",'Journal'!A939)</f>
        <v/>
      </c>
      <c r="B1876" s="21">
        <f>IF('Journal'!B939="","",'Journal'!B939)</f>
        <v/>
      </c>
      <c r="C1876" s="5">
        <f>IF('Journal'!C939="","",'Journal'!C939)</f>
        <v/>
      </c>
      <c r="D1876" s="5">
        <f>IF('Journal'!E939="","",IFERROR(LEFT('Journal'!E939,FIND(" ",'Journal'!E939)-1),'Journal'!E939))</f>
        <v/>
      </c>
      <c r="E1876" s="5">
        <f>IF('Journal'!E939="","",IFERROR(INDEX('Kontoplan'!$B$3:$B$302,MATCH('Journal'!E939,'Kontoplan'!$H$3:$H$302,0)),""))</f>
        <v/>
      </c>
      <c r="F1876" s="20">
        <f>IF('Journal'!F939="","",'Journal'!F939)</f>
        <v/>
      </c>
      <c r="G1876" s="20">
        <f>IF('Journal'!G939="","",'Journal'!G939)</f>
        <v/>
      </c>
      <c r="H1876" s="5">
        <f>IF('Journal'!I939="","",'Journal'!I939)</f>
        <v/>
      </c>
    </row>
    <row r="1877">
      <c r="A1877" s="18">
        <f>IF('Journal'!A940="","",'Journal'!A940)</f>
        <v/>
      </c>
      <c r="B1877" s="21">
        <f>IF('Journal'!B940="","",'Journal'!B940)</f>
        <v/>
      </c>
      <c r="C1877" s="5">
        <f>IF('Journal'!C940="","",'Journal'!C940)</f>
        <v/>
      </c>
      <c r="D1877" s="5">
        <f>IF('Journal'!D940="","",IFERROR(LEFT('Journal'!D940,FIND(" ",'Journal'!D940)-1),'Journal'!D940))</f>
        <v/>
      </c>
      <c r="E1877" s="5">
        <f>IF('Journal'!D940="","",IFERROR(INDEX('Kontoplan'!$B$3:$B$302,MATCH('Journal'!D940,'Kontoplan'!$H$3:$H$302,0)),""))</f>
        <v/>
      </c>
      <c r="F1877" s="20">
        <f>IF('Journal'!G940="","",'Journal'!G940)</f>
        <v/>
      </c>
      <c r="G1877" s="20">
        <f>IF('Journal'!F940="","",'Journal'!F940)</f>
        <v/>
      </c>
      <c r="H1877" s="5">
        <f>IF('Journal'!I940="","",'Journal'!I940)</f>
        <v/>
      </c>
    </row>
    <row r="1878">
      <c r="A1878" s="18">
        <f>IF('Journal'!A940="","",'Journal'!A940)</f>
        <v/>
      </c>
      <c r="B1878" s="21">
        <f>IF('Journal'!B940="","",'Journal'!B940)</f>
        <v/>
      </c>
      <c r="C1878" s="5">
        <f>IF('Journal'!C940="","",'Journal'!C940)</f>
        <v/>
      </c>
      <c r="D1878" s="5">
        <f>IF('Journal'!E940="","",IFERROR(LEFT('Journal'!E940,FIND(" ",'Journal'!E940)-1),'Journal'!E940))</f>
        <v/>
      </c>
      <c r="E1878" s="5">
        <f>IF('Journal'!E940="","",IFERROR(INDEX('Kontoplan'!$B$3:$B$302,MATCH('Journal'!E940,'Kontoplan'!$H$3:$H$302,0)),""))</f>
        <v/>
      </c>
      <c r="F1878" s="20">
        <f>IF('Journal'!F940="","",'Journal'!F940)</f>
        <v/>
      </c>
      <c r="G1878" s="20">
        <f>IF('Journal'!G940="","",'Journal'!G940)</f>
        <v/>
      </c>
      <c r="H1878" s="5">
        <f>IF('Journal'!I940="","",'Journal'!I940)</f>
        <v/>
      </c>
    </row>
    <row r="1879">
      <c r="A1879" s="18">
        <f>IF('Journal'!A941="","",'Journal'!A941)</f>
        <v/>
      </c>
      <c r="B1879" s="21">
        <f>IF('Journal'!B941="","",'Journal'!B941)</f>
        <v/>
      </c>
      <c r="C1879" s="5">
        <f>IF('Journal'!C941="","",'Journal'!C941)</f>
        <v/>
      </c>
      <c r="D1879" s="5">
        <f>IF('Journal'!D941="","",IFERROR(LEFT('Journal'!D941,FIND(" ",'Journal'!D941)-1),'Journal'!D941))</f>
        <v/>
      </c>
      <c r="E1879" s="5">
        <f>IF('Journal'!D941="","",IFERROR(INDEX('Kontoplan'!$B$3:$B$302,MATCH('Journal'!D941,'Kontoplan'!$H$3:$H$302,0)),""))</f>
        <v/>
      </c>
      <c r="F1879" s="20">
        <f>IF('Journal'!G941="","",'Journal'!G941)</f>
        <v/>
      </c>
      <c r="G1879" s="20">
        <f>IF('Journal'!F941="","",'Journal'!F941)</f>
        <v/>
      </c>
      <c r="H1879" s="5">
        <f>IF('Journal'!I941="","",'Journal'!I941)</f>
        <v/>
      </c>
    </row>
    <row r="1880">
      <c r="A1880" s="18">
        <f>IF('Journal'!A941="","",'Journal'!A941)</f>
        <v/>
      </c>
      <c r="B1880" s="21">
        <f>IF('Journal'!B941="","",'Journal'!B941)</f>
        <v/>
      </c>
      <c r="C1880" s="5">
        <f>IF('Journal'!C941="","",'Journal'!C941)</f>
        <v/>
      </c>
      <c r="D1880" s="5">
        <f>IF('Journal'!E941="","",IFERROR(LEFT('Journal'!E941,FIND(" ",'Journal'!E941)-1),'Journal'!E941))</f>
        <v/>
      </c>
      <c r="E1880" s="5">
        <f>IF('Journal'!E941="","",IFERROR(INDEX('Kontoplan'!$B$3:$B$302,MATCH('Journal'!E941,'Kontoplan'!$H$3:$H$302,0)),""))</f>
        <v/>
      </c>
      <c r="F1880" s="20">
        <f>IF('Journal'!F941="","",'Journal'!F941)</f>
        <v/>
      </c>
      <c r="G1880" s="20">
        <f>IF('Journal'!G941="","",'Journal'!G941)</f>
        <v/>
      </c>
      <c r="H1880" s="5">
        <f>IF('Journal'!I941="","",'Journal'!I941)</f>
        <v/>
      </c>
    </row>
    <row r="1881">
      <c r="A1881" s="18">
        <f>IF('Journal'!A942="","",'Journal'!A942)</f>
        <v/>
      </c>
      <c r="B1881" s="21">
        <f>IF('Journal'!B942="","",'Journal'!B942)</f>
        <v/>
      </c>
      <c r="C1881" s="5">
        <f>IF('Journal'!C942="","",'Journal'!C942)</f>
        <v/>
      </c>
      <c r="D1881" s="5">
        <f>IF('Journal'!D942="","",IFERROR(LEFT('Journal'!D942,FIND(" ",'Journal'!D942)-1),'Journal'!D942))</f>
        <v/>
      </c>
      <c r="E1881" s="5">
        <f>IF('Journal'!D942="","",IFERROR(INDEX('Kontoplan'!$B$3:$B$302,MATCH('Journal'!D942,'Kontoplan'!$H$3:$H$302,0)),""))</f>
        <v/>
      </c>
      <c r="F1881" s="20">
        <f>IF('Journal'!G942="","",'Journal'!G942)</f>
        <v/>
      </c>
      <c r="G1881" s="20">
        <f>IF('Journal'!F942="","",'Journal'!F942)</f>
        <v/>
      </c>
      <c r="H1881" s="5">
        <f>IF('Journal'!I942="","",'Journal'!I942)</f>
        <v/>
      </c>
    </row>
    <row r="1882">
      <c r="A1882" s="18">
        <f>IF('Journal'!A942="","",'Journal'!A942)</f>
        <v/>
      </c>
      <c r="B1882" s="21">
        <f>IF('Journal'!B942="","",'Journal'!B942)</f>
        <v/>
      </c>
      <c r="C1882" s="5">
        <f>IF('Journal'!C942="","",'Journal'!C942)</f>
        <v/>
      </c>
      <c r="D1882" s="5">
        <f>IF('Journal'!E942="","",IFERROR(LEFT('Journal'!E942,FIND(" ",'Journal'!E942)-1),'Journal'!E942))</f>
        <v/>
      </c>
      <c r="E1882" s="5">
        <f>IF('Journal'!E942="","",IFERROR(INDEX('Kontoplan'!$B$3:$B$302,MATCH('Journal'!E942,'Kontoplan'!$H$3:$H$302,0)),""))</f>
        <v/>
      </c>
      <c r="F1882" s="20">
        <f>IF('Journal'!F942="","",'Journal'!F942)</f>
        <v/>
      </c>
      <c r="G1882" s="20">
        <f>IF('Journal'!G942="","",'Journal'!G942)</f>
        <v/>
      </c>
      <c r="H1882" s="5">
        <f>IF('Journal'!I942="","",'Journal'!I942)</f>
        <v/>
      </c>
    </row>
    <row r="1883">
      <c r="A1883" s="18">
        <f>IF('Journal'!A943="","",'Journal'!A943)</f>
        <v/>
      </c>
      <c r="B1883" s="21">
        <f>IF('Journal'!B943="","",'Journal'!B943)</f>
        <v/>
      </c>
      <c r="C1883" s="5">
        <f>IF('Journal'!C943="","",'Journal'!C943)</f>
        <v/>
      </c>
      <c r="D1883" s="5">
        <f>IF('Journal'!D943="","",IFERROR(LEFT('Journal'!D943,FIND(" ",'Journal'!D943)-1),'Journal'!D943))</f>
        <v/>
      </c>
      <c r="E1883" s="5">
        <f>IF('Journal'!D943="","",IFERROR(INDEX('Kontoplan'!$B$3:$B$302,MATCH('Journal'!D943,'Kontoplan'!$H$3:$H$302,0)),""))</f>
        <v/>
      </c>
      <c r="F1883" s="20">
        <f>IF('Journal'!G943="","",'Journal'!G943)</f>
        <v/>
      </c>
      <c r="G1883" s="20">
        <f>IF('Journal'!F943="","",'Journal'!F943)</f>
        <v/>
      </c>
      <c r="H1883" s="5">
        <f>IF('Journal'!I943="","",'Journal'!I943)</f>
        <v/>
      </c>
    </row>
    <row r="1884">
      <c r="A1884" s="18">
        <f>IF('Journal'!A943="","",'Journal'!A943)</f>
        <v/>
      </c>
      <c r="B1884" s="21">
        <f>IF('Journal'!B943="","",'Journal'!B943)</f>
        <v/>
      </c>
      <c r="C1884" s="5">
        <f>IF('Journal'!C943="","",'Journal'!C943)</f>
        <v/>
      </c>
      <c r="D1884" s="5">
        <f>IF('Journal'!E943="","",IFERROR(LEFT('Journal'!E943,FIND(" ",'Journal'!E943)-1),'Journal'!E943))</f>
        <v/>
      </c>
      <c r="E1884" s="5">
        <f>IF('Journal'!E943="","",IFERROR(INDEX('Kontoplan'!$B$3:$B$302,MATCH('Journal'!E943,'Kontoplan'!$H$3:$H$302,0)),""))</f>
        <v/>
      </c>
      <c r="F1884" s="20">
        <f>IF('Journal'!F943="","",'Journal'!F943)</f>
        <v/>
      </c>
      <c r="G1884" s="20">
        <f>IF('Journal'!G943="","",'Journal'!G943)</f>
        <v/>
      </c>
      <c r="H1884" s="5">
        <f>IF('Journal'!I943="","",'Journal'!I943)</f>
        <v/>
      </c>
    </row>
    <row r="1885">
      <c r="A1885" s="18">
        <f>IF('Journal'!A944="","",'Journal'!A944)</f>
        <v/>
      </c>
      <c r="B1885" s="21">
        <f>IF('Journal'!B944="","",'Journal'!B944)</f>
        <v/>
      </c>
      <c r="C1885" s="5">
        <f>IF('Journal'!C944="","",'Journal'!C944)</f>
        <v/>
      </c>
      <c r="D1885" s="5">
        <f>IF('Journal'!D944="","",IFERROR(LEFT('Journal'!D944,FIND(" ",'Journal'!D944)-1),'Journal'!D944))</f>
        <v/>
      </c>
      <c r="E1885" s="5">
        <f>IF('Journal'!D944="","",IFERROR(INDEX('Kontoplan'!$B$3:$B$302,MATCH('Journal'!D944,'Kontoplan'!$H$3:$H$302,0)),""))</f>
        <v/>
      </c>
      <c r="F1885" s="20">
        <f>IF('Journal'!G944="","",'Journal'!G944)</f>
        <v/>
      </c>
      <c r="G1885" s="20">
        <f>IF('Journal'!F944="","",'Journal'!F944)</f>
        <v/>
      </c>
      <c r="H1885" s="5">
        <f>IF('Journal'!I944="","",'Journal'!I944)</f>
        <v/>
      </c>
    </row>
    <row r="1886">
      <c r="A1886" s="18">
        <f>IF('Journal'!A944="","",'Journal'!A944)</f>
        <v/>
      </c>
      <c r="B1886" s="21">
        <f>IF('Journal'!B944="","",'Journal'!B944)</f>
        <v/>
      </c>
      <c r="C1886" s="5">
        <f>IF('Journal'!C944="","",'Journal'!C944)</f>
        <v/>
      </c>
      <c r="D1886" s="5">
        <f>IF('Journal'!E944="","",IFERROR(LEFT('Journal'!E944,FIND(" ",'Journal'!E944)-1),'Journal'!E944))</f>
        <v/>
      </c>
      <c r="E1886" s="5">
        <f>IF('Journal'!E944="","",IFERROR(INDEX('Kontoplan'!$B$3:$B$302,MATCH('Journal'!E944,'Kontoplan'!$H$3:$H$302,0)),""))</f>
        <v/>
      </c>
      <c r="F1886" s="20">
        <f>IF('Journal'!F944="","",'Journal'!F944)</f>
        <v/>
      </c>
      <c r="G1886" s="20">
        <f>IF('Journal'!G944="","",'Journal'!G944)</f>
        <v/>
      </c>
      <c r="H1886" s="5">
        <f>IF('Journal'!I944="","",'Journal'!I944)</f>
        <v/>
      </c>
    </row>
    <row r="1887">
      <c r="A1887" s="18">
        <f>IF('Journal'!A945="","",'Journal'!A945)</f>
        <v/>
      </c>
      <c r="B1887" s="21">
        <f>IF('Journal'!B945="","",'Journal'!B945)</f>
        <v/>
      </c>
      <c r="C1887" s="5">
        <f>IF('Journal'!C945="","",'Journal'!C945)</f>
        <v/>
      </c>
      <c r="D1887" s="5">
        <f>IF('Journal'!D945="","",IFERROR(LEFT('Journal'!D945,FIND(" ",'Journal'!D945)-1),'Journal'!D945))</f>
        <v/>
      </c>
      <c r="E1887" s="5">
        <f>IF('Journal'!D945="","",IFERROR(INDEX('Kontoplan'!$B$3:$B$302,MATCH('Journal'!D945,'Kontoplan'!$H$3:$H$302,0)),""))</f>
        <v/>
      </c>
      <c r="F1887" s="20">
        <f>IF('Journal'!G945="","",'Journal'!G945)</f>
        <v/>
      </c>
      <c r="G1887" s="20">
        <f>IF('Journal'!F945="","",'Journal'!F945)</f>
        <v/>
      </c>
      <c r="H1887" s="5">
        <f>IF('Journal'!I945="","",'Journal'!I945)</f>
        <v/>
      </c>
    </row>
    <row r="1888">
      <c r="A1888" s="18">
        <f>IF('Journal'!A945="","",'Journal'!A945)</f>
        <v/>
      </c>
      <c r="B1888" s="21">
        <f>IF('Journal'!B945="","",'Journal'!B945)</f>
        <v/>
      </c>
      <c r="C1888" s="5">
        <f>IF('Journal'!C945="","",'Journal'!C945)</f>
        <v/>
      </c>
      <c r="D1888" s="5">
        <f>IF('Journal'!E945="","",IFERROR(LEFT('Journal'!E945,FIND(" ",'Journal'!E945)-1),'Journal'!E945))</f>
        <v/>
      </c>
      <c r="E1888" s="5">
        <f>IF('Journal'!E945="","",IFERROR(INDEX('Kontoplan'!$B$3:$B$302,MATCH('Journal'!E945,'Kontoplan'!$H$3:$H$302,0)),""))</f>
        <v/>
      </c>
      <c r="F1888" s="20">
        <f>IF('Journal'!F945="","",'Journal'!F945)</f>
        <v/>
      </c>
      <c r="G1888" s="20">
        <f>IF('Journal'!G945="","",'Journal'!G945)</f>
        <v/>
      </c>
      <c r="H1888" s="5">
        <f>IF('Journal'!I945="","",'Journal'!I945)</f>
        <v/>
      </c>
    </row>
    <row r="1889">
      <c r="A1889" s="18">
        <f>IF('Journal'!A946="","",'Journal'!A946)</f>
        <v/>
      </c>
      <c r="B1889" s="21">
        <f>IF('Journal'!B946="","",'Journal'!B946)</f>
        <v/>
      </c>
      <c r="C1889" s="5">
        <f>IF('Journal'!C946="","",'Journal'!C946)</f>
        <v/>
      </c>
      <c r="D1889" s="5">
        <f>IF('Journal'!D946="","",IFERROR(LEFT('Journal'!D946,FIND(" ",'Journal'!D946)-1),'Journal'!D946))</f>
        <v/>
      </c>
      <c r="E1889" s="5">
        <f>IF('Journal'!D946="","",IFERROR(INDEX('Kontoplan'!$B$3:$B$302,MATCH('Journal'!D946,'Kontoplan'!$H$3:$H$302,0)),""))</f>
        <v/>
      </c>
      <c r="F1889" s="20">
        <f>IF('Journal'!G946="","",'Journal'!G946)</f>
        <v/>
      </c>
      <c r="G1889" s="20">
        <f>IF('Journal'!F946="","",'Journal'!F946)</f>
        <v/>
      </c>
      <c r="H1889" s="5">
        <f>IF('Journal'!I946="","",'Journal'!I946)</f>
        <v/>
      </c>
    </row>
    <row r="1890">
      <c r="A1890" s="18">
        <f>IF('Journal'!A946="","",'Journal'!A946)</f>
        <v/>
      </c>
      <c r="B1890" s="21">
        <f>IF('Journal'!B946="","",'Journal'!B946)</f>
        <v/>
      </c>
      <c r="C1890" s="5">
        <f>IF('Journal'!C946="","",'Journal'!C946)</f>
        <v/>
      </c>
      <c r="D1890" s="5">
        <f>IF('Journal'!E946="","",IFERROR(LEFT('Journal'!E946,FIND(" ",'Journal'!E946)-1),'Journal'!E946))</f>
        <v/>
      </c>
      <c r="E1890" s="5">
        <f>IF('Journal'!E946="","",IFERROR(INDEX('Kontoplan'!$B$3:$B$302,MATCH('Journal'!E946,'Kontoplan'!$H$3:$H$302,0)),""))</f>
        <v/>
      </c>
      <c r="F1890" s="20">
        <f>IF('Journal'!F946="","",'Journal'!F946)</f>
        <v/>
      </c>
      <c r="G1890" s="20">
        <f>IF('Journal'!G946="","",'Journal'!G946)</f>
        <v/>
      </c>
      <c r="H1890" s="5">
        <f>IF('Journal'!I946="","",'Journal'!I946)</f>
        <v/>
      </c>
    </row>
    <row r="1891">
      <c r="A1891" s="18">
        <f>IF('Journal'!A947="","",'Journal'!A947)</f>
        <v/>
      </c>
      <c r="B1891" s="21">
        <f>IF('Journal'!B947="","",'Journal'!B947)</f>
        <v/>
      </c>
      <c r="C1891" s="5">
        <f>IF('Journal'!C947="","",'Journal'!C947)</f>
        <v/>
      </c>
      <c r="D1891" s="5">
        <f>IF('Journal'!D947="","",IFERROR(LEFT('Journal'!D947,FIND(" ",'Journal'!D947)-1),'Journal'!D947))</f>
        <v/>
      </c>
      <c r="E1891" s="5">
        <f>IF('Journal'!D947="","",IFERROR(INDEX('Kontoplan'!$B$3:$B$302,MATCH('Journal'!D947,'Kontoplan'!$H$3:$H$302,0)),""))</f>
        <v/>
      </c>
      <c r="F1891" s="20">
        <f>IF('Journal'!G947="","",'Journal'!G947)</f>
        <v/>
      </c>
      <c r="G1891" s="20">
        <f>IF('Journal'!F947="","",'Journal'!F947)</f>
        <v/>
      </c>
      <c r="H1891" s="5">
        <f>IF('Journal'!I947="","",'Journal'!I947)</f>
        <v/>
      </c>
    </row>
    <row r="1892">
      <c r="A1892" s="18">
        <f>IF('Journal'!A947="","",'Journal'!A947)</f>
        <v/>
      </c>
      <c r="B1892" s="21">
        <f>IF('Journal'!B947="","",'Journal'!B947)</f>
        <v/>
      </c>
      <c r="C1892" s="5">
        <f>IF('Journal'!C947="","",'Journal'!C947)</f>
        <v/>
      </c>
      <c r="D1892" s="5">
        <f>IF('Journal'!E947="","",IFERROR(LEFT('Journal'!E947,FIND(" ",'Journal'!E947)-1),'Journal'!E947))</f>
        <v/>
      </c>
      <c r="E1892" s="5">
        <f>IF('Journal'!E947="","",IFERROR(INDEX('Kontoplan'!$B$3:$B$302,MATCH('Journal'!E947,'Kontoplan'!$H$3:$H$302,0)),""))</f>
        <v/>
      </c>
      <c r="F1892" s="20">
        <f>IF('Journal'!F947="","",'Journal'!F947)</f>
        <v/>
      </c>
      <c r="G1892" s="20">
        <f>IF('Journal'!G947="","",'Journal'!G947)</f>
        <v/>
      </c>
      <c r="H1892" s="5">
        <f>IF('Journal'!I947="","",'Journal'!I947)</f>
        <v/>
      </c>
    </row>
    <row r="1893">
      <c r="A1893" s="18">
        <f>IF('Journal'!A948="","",'Journal'!A948)</f>
        <v/>
      </c>
      <c r="B1893" s="21">
        <f>IF('Journal'!B948="","",'Journal'!B948)</f>
        <v/>
      </c>
      <c r="C1893" s="5">
        <f>IF('Journal'!C948="","",'Journal'!C948)</f>
        <v/>
      </c>
      <c r="D1893" s="5">
        <f>IF('Journal'!D948="","",IFERROR(LEFT('Journal'!D948,FIND(" ",'Journal'!D948)-1),'Journal'!D948))</f>
        <v/>
      </c>
      <c r="E1893" s="5">
        <f>IF('Journal'!D948="","",IFERROR(INDEX('Kontoplan'!$B$3:$B$302,MATCH('Journal'!D948,'Kontoplan'!$H$3:$H$302,0)),""))</f>
        <v/>
      </c>
      <c r="F1893" s="20">
        <f>IF('Journal'!G948="","",'Journal'!G948)</f>
        <v/>
      </c>
      <c r="G1893" s="20">
        <f>IF('Journal'!F948="","",'Journal'!F948)</f>
        <v/>
      </c>
      <c r="H1893" s="5">
        <f>IF('Journal'!I948="","",'Journal'!I948)</f>
        <v/>
      </c>
    </row>
    <row r="1894">
      <c r="A1894" s="18">
        <f>IF('Journal'!A948="","",'Journal'!A948)</f>
        <v/>
      </c>
      <c r="B1894" s="21">
        <f>IF('Journal'!B948="","",'Journal'!B948)</f>
        <v/>
      </c>
      <c r="C1894" s="5">
        <f>IF('Journal'!C948="","",'Journal'!C948)</f>
        <v/>
      </c>
      <c r="D1894" s="5">
        <f>IF('Journal'!E948="","",IFERROR(LEFT('Journal'!E948,FIND(" ",'Journal'!E948)-1),'Journal'!E948))</f>
        <v/>
      </c>
      <c r="E1894" s="5">
        <f>IF('Journal'!E948="","",IFERROR(INDEX('Kontoplan'!$B$3:$B$302,MATCH('Journal'!E948,'Kontoplan'!$H$3:$H$302,0)),""))</f>
        <v/>
      </c>
      <c r="F1894" s="20">
        <f>IF('Journal'!F948="","",'Journal'!F948)</f>
        <v/>
      </c>
      <c r="G1894" s="20">
        <f>IF('Journal'!G948="","",'Journal'!G948)</f>
        <v/>
      </c>
      <c r="H1894" s="5">
        <f>IF('Journal'!I948="","",'Journal'!I948)</f>
        <v/>
      </c>
    </row>
    <row r="1895">
      <c r="A1895" s="18">
        <f>IF('Journal'!A949="","",'Journal'!A949)</f>
        <v/>
      </c>
      <c r="B1895" s="21">
        <f>IF('Journal'!B949="","",'Journal'!B949)</f>
        <v/>
      </c>
      <c r="C1895" s="5">
        <f>IF('Journal'!C949="","",'Journal'!C949)</f>
        <v/>
      </c>
      <c r="D1895" s="5">
        <f>IF('Journal'!D949="","",IFERROR(LEFT('Journal'!D949,FIND(" ",'Journal'!D949)-1),'Journal'!D949))</f>
        <v/>
      </c>
      <c r="E1895" s="5">
        <f>IF('Journal'!D949="","",IFERROR(INDEX('Kontoplan'!$B$3:$B$302,MATCH('Journal'!D949,'Kontoplan'!$H$3:$H$302,0)),""))</f>
        <v/>
      </c>
      <c r="F1895" s="20">
        <f>IF('Journal'!G949="","",'Journal'!G949)</f>
        <v/>
      </c>
      <c r="G1895" s="20">
        <f>IF('Journal'!F949="","",'Journal'!F949)</f>
        <v/>
      </c>
      <c r="H1895" s="5">
        <f>IF('Journal'!I949="","",'Journal'!I949)</f>
        <v/>
      </c>
    </row>
    <row r="1896">
      <c r="A1896" s="18">
        <f>IF('Journal'!A949="","",'Journal'!A949)</f>
        <v/>
      </c>
      <c r="B1896" s="21">
        <f>IF('Journal'!B949="","",'Journal'!B949)</f>
        <v/>
      </c>
      <c r="C1896" s="5">
        <f>IF('Journal'!C949="","",'Journal'!C949)</f>
        <v/>
      </c>
      <c r="D1896" s="5">
        <f>IF('Journal'!E949="","",IFERROR(LEFT('Journal'!E949,FIND(" ",'Journal'!E949)-1),'Journal'!E949))</f>
        <v/>
      </c>
      <c r="E1896" s="5">
        <f>IF('Journal'!E949="","",IFERROR(INDEX('Kontoplan'!$B$3:$B$302,MATCH('Journal'!E949,'Kontoplan'!$H$3:$H$302,0)),""))</f>
        <v/>
      </c>
      <c r="F1896" s="20">
        <f>IF('Journal'!F949="","",'Journal'!F949)</f>
        <v/>
      </c>
      <c r="G1896" s="20">
        <f>IF('Journal'!G949="","",'Journal'!G949)</f>
        <v/>
      </c>
      <c r="H1896" s="5">
        <f>IF('Journal'!I949="","",'Journal'!I949)</f>
        <v/>
      </c>
    </row>
    <row r="1897">
      <c r="A1897" s="18">
        <f>IF('Journal'!A950="","",'Journal'!A950)</f>
        <v/>
      </c>
      <c r="B1897" s="21">
        <f>IF('Journal'!B950="","",'Journal'!B950)</f>
        <v/>
      </c>
      <c r="C1897" s="5">
        <f>IF('Journal'!C950="","",'Journal'!C950)</f>
        <v/>
      </c>
      <c r="D1897" s="5">
        <f>IF('Journal'!D950="","",IFERROR(LEFT('Journal'!D950,FIND(" ",'Journal'!D950)-1),'Journal'!D950))</f>
        <v/>
      </c>
      <c r="E1897" s="5">
        <f>IF('Journal'!D950="","",IFERROR(INDEX('Kontoplan'!$B$3:$B$302,MATCH('Journal'!D950,'Kontoplan'!$H$3:$H$302,0)),""))</f>
        <v/>
      </c>
      <c r="F1897" s="20">
        <f>IF('Journal'!G950="","",'Journal'!G950)</f>
        <v/>
      </c>
      <c r="G1897" s="20">
        <f>IF('Journal'!F950="","",'Journal'!F950)</f>
        <v/>
      </c>
      <c r="H1897" s="5">
        <f>IF('Journal'!I950="","",'Journal'!I950)</f>
        <v/>
      </c>
    </row>
    <row r="1898">
      <c r="A1898" s="18">
        <f>IF('Journal'!A950="","",'Journal'!A950)</f>
        <v/>
      </c>
      <c r="B1898" s="21">
        <f>IF('Journal'!B950="","",'Journal'!B950)</f>
        <v/>
      </c>
      <c r="C1898" s="5">
        <f>IF('Journal'!C950="","",'Journal'!C950)</f>
        <v/>
      </c>
      <c r="D1898" s="5">
        <f>IF('Journal'!E950="","",IFERROR(LEFT('Journal'!E950,FIND(" ",'Journal'!E950)-1),'Journal'!E950))</f>
        <v/>
      </c>
      <c r="E1898" s="5">
        <f>IF('Journal'!E950="","",IFERROR(INDEX('Kontoplan'!$B$3:$B$302,MATCH('Journal'!E950,'Kontoplan'!$H$3:$H$302,0)),""))</f>
        <v/>
      </c>
      <c r="F1898" s="20">
        <f>IF('Journal'!F950="","",'Journal'!F950)</f>
        <v/>
      </c>
      <c r="G1898" s="20">
        <f>IF('Journal'!G950="","",'Journal'!G950)</f>
        <v/>
      </c>
      <c r="H1898" s="5">
        <f>IF('Journal'!I950="","",'Journal'!I950)</f>
        <v/>
      </c>
    </row>
    <row r="1899">
      <c r="A1899" s="18">
        <f>IF('Journal'!A951="","",'Journal'!A951)</f>
        <v/>
      </c>
      <c r="B1899" s="21">
        <f>IF('Journal'!B951="","",'Journal'!B951)</f>
        <v/>
      </c>
      <c r="C1899" s="5">
        <f>IF('Journal'!C951="","",'Journal'!C951)</f>
        <v/>
      </c>
      <c r="D1899" s="5">
        <f>IF('Journal'!D951="","",IFERROR(LEFT('Journal'!D951,FIND(" ",'Journal'!D951)-1),'Journal'!D951))</f>
        <v/>
      </c>
      <c r="E1899" s="5">
        <f>IF('Journal'!D951="","",IFERROR(INDEX('Kontoplan'!$B$3:$B$302,MATCH('Journal'!D951,'Kontoplan'!$H$3:$H$302,0)),""))</f>
        <v/>
      </c>
      <c r="F1899" s="20">
        <f>IF('Journal'!G951="","",'Journal'!G951)</f>
        <v/>
      </c>
      <c r="G1899" s="20">
        <f>IF('Journal'!F951="","",'Journal'!F951)</f>
        <v/>
      </c>
      <c r="H1899" s="5">
        <f>IF('Journal'!I951="","",'Journal'!I951)</f>
        <v/>
      </c>
    </row>
    <row r="1900">
      <c r="A1900" s="18">
        <f>IF('Journal'!A951="","",'Journal'!A951)</f>
        <v/>
      </c>
      <c r="B1900" s="21">
        <f>IF('Journal'!B951="","",'Journal'!B951)</f>
        <v/>
      </c>
      <c r="C1900" s="5">
        <f>IF('Journal'!C951="","",'Journal'!C951)</f>
        <v/>
      </c>
      <c r="D1900" s="5">
        <f>IF('Journal'!E951="","",IFERROR(LEFT('Journal'!E951,FIND(" ",'Journal'!E951)-1),'Journal'!E951))</f>
        <v/>
      </c>
      <c r="E1900" s="5">
        <f>IF('Journal'!E951="","",IFERROR(INDEX('Kontoplan'!$B$3:$B$302,MATCH('Journal'!E951,'Kontoplan'!$H$3:$H$302,0)),""))</f>
        <v/>
      </c>
      <c r="F1900" s="20">
        <f>IF('Journal'!F951="","",'Journal'!F951)</f>
        <v/>
      </c>
      <c r="G1900" s="20">
        <f>IF('Journal'!G951="","",'Journal'!G951)</f>
        <v/>
      </c>
      <c r="H1900" s="5">
        <f>IF('Journal'!I951="","",'Journal'!I951)</f>
        <v/>
      </c>
    </row>
    <row r="1901">
      <c r="A1901" s="18">
        <f>IF('Journal'!A952="","",'Journal'!A952)</f>
        <v/>
      </c>
      <c r="B1901" s="21">
        <f>IF('Journal'!B952="","",'Journal'!B952)</f>
        <v/>
      </c>
      <c r="C1901" s="5">
        <f>IF('Journal'!C952="","",'Journal'!C952)</f>
        <v/>
      </c>
      <c r="D1901" s="5">
        <f>IF('Journal'!D952="","",IFERROR(LEFT('Journal'!D952,FIND(" ",'Journal'!D952)-1),'Journal'!D952))</f>
        <v/>
      </c>
      <c r="E1901" s="5">
        <f>IF('Journal'!D952="","",IFERROR(INDEX('Kontoplan'!$B$3:$B$302,MATCH('Journal'!D952,'Kontoplan'!$H$3:$H$302,0)),""))</f>
        <v/>
      </c>
      <c r="F1901" s="20">
        <f>IF('Journal'!G952="","",'Journal'!G952)</f>
        <v/>
      </c>
      <c r="G1901" s="20">
        <f>IF('Journal'!F952="","",'Journal'!F952)</f>
        <v/>
      </c>
      <c r="H1901" s="5">
        <f>IF('Journal'!I952="","",'Journal'!I952)</f>
        <v/>
      </c>
    </row>
    <row r="1902">
      <c r="A1902" s="18">
        <f>IF('Journal'!A952="","",'Journal'!A952)</f>
        <v/>
      </c>
      <c r="B1902" s="21">
        <f>IF('Journal'!B952="","",'Journal'!B952)</f>
        <v/>
      </c>
      <c r="C1902" s="5">
        <f>IF('Journal'!C952="","",'Journal'!C952)</f>
        <v/>
      </c>
      <c r="D1902" s="5">
        <f>IF('Journal'!E952="","",IFERROR(LEFT('Journal'!E952,FIND(" ",'Journal'!E952)-1),'Journal'!E952))</f>
        <v/>
      </c>
      <c r="E1902" s="5">
        <f>IF('Journal'!E952="","",IFERROR(INDEX('Kontoplan'!$B$3:$B$302,MATCH('Journal'!E952,'Kontoplan'!$H$3:$H$302,0)),""))</f>
        <v/>
      </c>
      <c r="F1902" s="20">
        <f>IF('Journal'!F952="","",'Journal'!F952)</f>
        <v/>
      </c>
      <c r="G1902" s="20">
        <f>IF('Journal'!G952="","",'Journal'!G952)</f>
        <v/>
      </c>
      <c r="H1902" s="5">
        <f>IF('Journal'!I952="","",'Journal'!I952)</f>
        <v/>
      </c>
    </row>
    <row r="1903">
      <c r="A1903" s="18">
        <f>IF('Journal'!A953="","",'Journal'!A953)</f>
        <v/>
      </c>
      <c r="B1903" s="21">
        <f>IF('Journal'!B953="","",'Journal'!B953)</f>
        <v/>
      </c>
      <c r="C1903" s="5">
        <f>IF('Journal'!C953="","",'Journal'!C953)</f>
        <v/>
      </c>
      <c r="D1903" s="5">
        <f>IF('Journal'!D953="","",IFERROR(LEFT('Journal'!D953,FIND(" ",'Journal'!D953)-1),'Journal'!D953))</f>
        <v/>
      </c>
      <c r="E1903" s="5">
        <f>IF('Journal'!D953="","",IFERROR(INDEX('Kontoplan'!$B$3:$B$302,MATCH('Journal'!D953,'Kontoplan'!$H$3:$H$302,0)),""))</f>
        <v/>
      </c>
      <c r="F1903" s="20">
        <f>IF('Journal'!G953="","",'Journal'!G953)</f>
        <v/>
      </c>
      <c r="G1903" s="20">
        <f>IF('Journal'!F953="","",'Journal'!F953)</f>
        <v/>
      </c>
      <c r="H1903" s="5">
        <f>IF('Journal'!I953="","",'Journal'!I953)</f>
        <v/>
      </c>
    </row>
    <row r="1904">
      <c r="A1904" s="18">
        <f>IF('Journal'!A953="","",'Journal'!A953)</f>
        <v/>
      </c>
      <c r="B1904" s="21">
        <f>IF('Journal'!B953="","",'Journal'!B953)</f>
        <v/>
      </c>
      <c r="C1904" s="5">
        <f>IF('Journal'!C953="","",'Journal'!C953)</f>
        <v/>
      </c>
      <c r="D1904" s="5">
        <f>IF('Journal'!E953="","",IFERROR(LEFT('Journal'!E953,FIND(" ",'Journal'!E953)-1),'Journal'!E953))</f>
        <v/>
      </c>
      <c r="E1904" s="5">
        <f>IF('Journal'!E953="","",IFERROR(INDEX('Kontoplan'!$B$3:$B$302,MATCH('Journal'!E953,'Kontoplan'!$H$3:$H$302,0)),""))</f>
        <v/>
      </c>
      <c r="F1904" s="20">
        <f>IF('Journal'!F953="","",'Journal'!F953)</f>
        <v/>
      </c>
      <c r="G1904" s="20">
        <f>IF('Journal'!G953="","",'Journal'!G953)</f>
        <v/>
      </c>
      <c r="H1904" s="5">
        <f>IF('Journal'!I953="","",'Journal'!I953)</f>
        <v/>
      </c>
    </row>
    <row r="1905">
      <c r="A1905" s="18">
        <f>IF('Journal'!A954="","",'Journal'!A954)</f>
        <v/>
      </c>
      <c r="B1905" s="21">
        <f>IF('Journal'!B954="","",'Journal'!B954)</f>
        <v/>
      </c>
      <c r="C1905" s="5">
        <f>IF('Journal'!C954="","",'Journal'!C954)</f>
        <v/>
      </c>
      <c r="D1905" s="5">
        <f>IF('Journal'!D954="","",IFERROR(LEFT('Journal'!D954,FIND(" ",'Journal'!D954)-1),'Journal'!D954))</f>
        <v/>
      </c>
      <c r="E1905" s="5">
        <f>IF('Journal'!D954="","",IFERROR(INDEX('Kontoplan'!$B$3:$B$302,MATCH('Journal'!D954,'Kontoplan'!$H$3:$H$302,0)),""))</f>
        <v/>
      </c>
      <c r="F1905" s="20">
        <f>IF('Journal'!G954="","",'Journal'!G954)</f>
        <v/>
      </c>
      <c r="G1905" s="20">
        <f>IF('Journal'!F954="","",'Journal'!F954)</f>
        <v/>
      </c>
      <c r="H1905" s="5">
        <f>IF('Journal'!I954="","",'Journal'!I954)</f>
        <v/>
      </c>
    </row>
    <row r="1906">
      <c r="A1906" s="18">
        <f>IF('Journal'!A954="","",'Journal'!A954)</f>
        <v/>
      </c>
      <c r="B1906" s="21">
        <f>IF('Journal'!B954="","",'Journal'!B954)</f>
        <v/>
      </c>
      <c r="C1906" s="5">
        <f>IF('Journal'!C954="","",'Journal'!C954)</f>
        <v/>
      </c>
      <c r="D1906" s="5">
        <f>IF('Journal'!E954="","",IFERROR(LEFT('Journal'!E954,FIND(" ",'Journal'!E954)-1),'Journal'!E954))</f>
        <v/>
      </c>
      <c r="E1906" s="5">
        <f>IF('Journal'!E954="","",IFERROR(INDEX('Kontoplan'!$B$3:$B$302,MATCH('Journal'!E954,'Kontoplan'!$H$3:$H$302,0)),""))</f>
        <v/>
      </c>
      <c r="F1906" s="20">
        <f>IF('Journal'!F954="","",'Journal'!F954)</f>
        <v/>
      </c>
      <c r="G1906" s="20">
        <f>IF('Journal'!G954="","",'Journal'!G954)</f>
        <v/>
      </c>
      <c r="H1906" s="5">
        <f>IF('Journal'!I954="","",'Journal'!I954)</f>
        <v/>
      </c>
    </row>
    <row r="1907">
      <c r="A1907" s="18">
        <f>IF('Journal'!A955="","",'Journal'!A955)</f>
        <v/>
      </c>
      <c r="B1907" s="21">
        <f>IF('Journal'!B955="","",'Journal'!B955)</f>
        <v/>
      </c>
      <c r="C1907" s="5">
        <f>IF('Journal'!C955="","",'Journal'!C955)</f>
        <v/>
      </c>
      <c r="D1907" s="5">
        <f>IF('Journal'!D955="","",IFERROR(LEFT('Journal'!D955,FIND(" ",'Journal'!D955)-1),'Journal'!D955))</f>
        <v/>
      </c>
      <c r="E1907" s="5">
        <f>IF('Journal'!D955="","",IFERROR(INDEX('Kontoplan'!$B$3:$B$302,MATCH('Journal'!D955,'Kontoplan'!$H$3:$H$302,0)),""))</f>
        <v/>
      </c>
      <c r="F1907" s="20">
        <f>IF('Journal'!G955="","",'Journal'!G955)</f>
        <v/>
      </c>
      <c r="G1907" s="20">
        <f>IF('Journal'!F955="","",'Journal'!F955)</f>
        <v/>
      </c>
      <c r="H1907" s="5">
        <f>IF('Journal'!I955="","",'Journal'!I955)</f>
        <v/>
      </c>
    </row>
    <row r="1908">
      <c r="A1908" s="18">
        <f>IF('Journal'!A955="","",'Journal'!A955)</f>
        <v/>
      </c>
      <c r="B1908" s="21">
        <f>IF('Journal'!B955="","",'Journal'!B955)</f>
        <v/>
      </c>
      <c r="C1908" s="5">
        <f>IF('Journal'!C955="","",'Journal'!C955)</f>
        <v/>
      </c>
      <c r="D1908" s="5">
        <f>IF('Journal'!E955="","",IFERROR(LEFT('Journal'!E955,FIND(" ",'Journal'!E955)-1),'Journal'!E955))</f>
        <v/>
      </c>
      <c r="E1908" s="5">
        <f>IF('Journal'!E955="","",IFERROR(INDEX('Kontoplan'!$B$3:$B$302,MATCH('Journal'!E955,'Kontoplan'!$H$3:$H$302,0)),""))</f>
        <v/>
      </c>
      <c r="F1908" s="20">
        <f>IF('Journal'!F955="","",'Journal'!F955)</f>
        <v/>
      </c>
      <c r="G1908" s="20">
        <f>IF('Journal'!G955="","",'Journal'!G955)</f>
        <v/>
      </c>
      <c r="H1908" s="5">
        <f>IF('Journal'!I955="","",'Journal'!I955)</f>
        <v/>
      </c>
    </row>
    <row r="1909">
      <c r="A1909" s="18">
        <f>IF('Journal'!A956="","",'Journal'!A956)</f>
        <v/>
      </c>
      <c r="B1909" s="21">
        <f>IF('Journal'!B956="","",'Journal'!B956)</f>
        <v/>
      </c>
      <c r="C1909" s="5">
        <f>IF('Journal'!C956="","",'Journal'!C956)</f>
        <v/>
      </c>
      <c r="D1909" s="5">
        <f>IF('Journal'!D956="","",IFERROR(LEFT('Journal'!D956,FIND(" ",'Journal'!D956)-1),'Journal'!D956))</f>
        <v/>
      </c>
      <c r="E1909" s="5">
        <f>IF('Journal'!D956="","",IFERROR(INDEX('Kontoplan'!$B$3:$B$302,MATCH('Journal'!D956,'Kontoplan'!$H$3:$H$302,0)),""))</f>
        <v/>
      </c>
      <c r="F1909" s="20">
        <f>IF('Journal'!G956="","",'Journal'!G956)</f>
        <v/>
      </c>
      <c r="G1909" s="20">
        <f>IF('Journal'!F956="","",'Journal'!F956)</f>
        <v/>
      </c>
      <c r="H1909" s="5">
        <f>IF('Journal'!I956="","",'Journal'!I956)</f>
        <v/>
      </c>
    </row>
    <row r="1910">
      <c r="A1910" s="18">
        <f>IF('Journal'!A956="","",'Journal'!A956)</f>
        <v/>
      </c>
      <c r="B1910" s="21">
        <f>IF('Journal'!B956="","",'Journal'!B956)</f>
        <v/>
      </c>
      <c r="C1910" s="5">
        <f>IF('Journal'!C956="","",'Journal'!C956)</f>
        <v/>
      </c>
      <c r="D1910" s="5">
        <f>IF('Journal'!E956="","",IFERROR(LEFT('Journal'!E956,FIND(" ",'Journal'!E956)-1),'Journal'!E956))</f>
        <v/>
      </c>
      <c r="E1910" s="5">
        <f>IF('Journal'!E956="","",IFERROR(INDEX('Kontoplan'!$B$3:$B$302,MATCH('Journal'!E956,'Kontoplan'!$H$3:$H$302,0)),""))</f>
        <v/>
      </c>
      <c r="F1910" s="20">
        <f>IF('Journal'!F956="","",'Journal'!F956)</f>
        <v/>
      </c>
      <c r="G1910" s="20">
        <f>IF('Journal'!G956="","",'Journal'!G956)</f>
        <v/>
      </c>
      <c r="H1910" s="5">
        <f>IF('Journal'!I956="","",'Journal'!I956)</f>
        <v/>
      </c>
    </row>
    <row r="1911">
      <c r="A1911" s="18">
        <f>IF('Journal'!A957="","",'Journal'!A957)</f>
        <v/>
      </c>
      <c r="B1911" s="21">
        <f>IF('Journal'!B957="","",'Journal'!B957)</f>
        <v/>
      </c>
      <c r="C1911" s="5">
        <f>IF('Journal'!C957="","",'Journal'!C957)</f>
        <v/>
      </c>
      <c r="D1911" s="5">
        <f>IF('Journal'!D957="","",IFERROR(LEFT('Journal'!D957,FIND(" ",'Journal'!D957)-1),'Journal'!D957))</f>
        <v/>
      </c>
      <c r="E1911" s="5">
        <f>IF('Journal'!D957="","",IFERROR(INDEX('Kontoplan'!$B$3:$B$302,MATCH('Journal'!D957,'Kontoplan'!$H$3:$H$302,0)),""))</f>
        <v/>
      </c>
      <c r="F1911" s="20">
        <f>IF('Journal'!G957="","",'Journal'!G957)</f>
        <v/>
      </c>
      <c r="G1911" s="20">
        <f>IF('Journal'!F957="","",'Journal'!F957)</f>
        <v/>
      </c>
      <c r="H1911" s="5">
        <f>IF('Journal'!I957="","",'Journal'!I957)</f>
        <v/>
      </c>
    </row>
    <row r="1912">
      <c r="A1912" s="18">
        <f>IF('Journal'!A957="","",'Journal'!A957)</f>
        <v/>
      </c>
      <c r="B1912" s="21">
        <f>IF('Journal'!B957="","",'Journal'!B957)</f>
        <v/>
      </c>
      <c r="C1912" s="5">
        <f>IF('Journal'!C957="","",'Journal'!C957)</f>
        <v/>
      </c>
      <c r="D1912" s="5">
        <f>IF('Journal'!E957="","",IFERROR(LEFT('Journal'!E957,FIND(" ",'Journal'!E957)-1),'Journal'!E957))</f>
        <v/>
      </c>
      <c r="E1912" s="5">
        <f>IF('Journal'!E957="","",IFERROR(INDEX('Kontoplan'!$B$3:$B$302,MATCH('Journal'!E957,'Kontoplan'!$H$3:$H$302,0)),""))</f>
        <v/>
      </c>
      <c r="F1912" s="20">
        <f>IF('Journal'!F957="","",'Journal'!F957)</f>
        <v/>
      </c>
      <c r="G1912" s="20">
        <f>IF('Journal'!G957="","",'Journal'!G957)</f>
        <v/>
      </c>
      <c r="H1912" s="5">
        <f>IF('Journal'!I957="","",'Journal'!I957)</f>
        <v/>
      </c>
    </row>
    <row r="1913">
      <c r="A1913" s="18">
        <f>IF('Journal'!A958="","",'Journal'!A958)</f>
        <v/>
      </c>
      <c r="B1913" s="21">
        <f>IF('Journal'!B958="","",'Journal'!B958)</f>
        <v/>
      </c>
      <c r="C1913" s="5">
        <f>IF('Journal'!C958="","",'Journal'!C958)</f>
        <v/>
      </c>
      <c r="D1913" s="5">
        <f>IF('Journal'!D958="","",IFERROR(LEFT('Journal'!D958,FIND(" ",'Journal'!D958)-1),'Journal'!D958))</f>
        <v/>
      </c>
      <c r="E1913" s="5">
        <f>IF('Journal'!D958="","",IFERROR(INDEX('Kontoplan'!$B$3:$B$302,MATCH('Journal'!D958,'Kontoplan'!$H$3:$H$302,0)),""))</f>
        <v/>
      </c>
      <c r="F1913" s="20">
        <f>IF('Journal'!G958="","",'Journal'!G958)</f>
        <v/>
      </c>
      <c r="G1913" s="20">
        <f>IF('Journal'!F958="","",'Journal'!F958)</f>
        <v/>
      </c>
      <c r="H1913" s="5">
        <f>IF('Journal'!I958="","",'Journal'!I958)</f>
        <v/>
      </c>
    </row>
    <row r="1914">
      <c r="A1914" s="18">
        <f>IF('Journal'!A958="","",'Journal'!A958)</f>
        <v/>
      </c>
      <c r="B1914" s="21">
        <f>IF('Journal'!B958="","",'Journal'!B958)</f>
        <v/>
      </c>
      <c r="C1914" s="5">
        <f>IF('Journal'!C958="","",'Journal'!C958)</f>
        <v/>
      </c>
      <c r="D1914" s="5">
        <f>IF('Journal'!E958="","",IFERROR(LEFT('Journal'!E958,FIND(" ",'Journal'!E958)-1),'Journal'!E958))</f>
        <v/>
      </c>
      <c r="E1914" s="5">
        <f>IF('Journal'!E958="","",IFERROR(INDEX('Kontoplan'!$B$3:$B$302,MATCH('Journal'!E958,'Kontoplan'!$H$3:$H$302,0)),""))</f>
        <v/>
      </c>
      <c r="F1914" s="20">
        <f>IF('Journal'!F958="","",'Journal'!F958)</f>
        <v/>
      </c>
      <c r="G1914" s="20">
        <f>IF('Journal'!G958="","",'Journal'!G958)</f>
        <v/>
      </c>
      <c r="H1914" s="5">
        <f>IF('Journal'!I958="","",'Journal'!I958)</f>
        <v/>
      </c>
    </row>
    <row r="1915">
      <c r="A1915" s="18">
        <f>IF('Journal'!A959="","",'Journal'!A959)</f>
        <v/>
      </c>
      <c r="B1915" s="21">
        <f>IF('Journal'!B959="","",'Journal'!B959)</f>
        <v/>
      </c>
      <c r="C1915" s="5">
        <f>IF('Journal'!C959="","",'Journal'!C959)</f>
        <v/>
      </c>
      <c r="D1915" s="5">
        <f>IF('Journal'!D959="","",IFERROR(LEFT('Journal'!D959,FIND(" ",'Journal'!D959)-1),'Journal'!D959))</f>
        <v/>
      </c>
      <c r="E1915" s="5">
        <f>IF('Journal'!D959="","",IFERROR(INDEX('Kontoplan'!$B$3:$B$302,MATCH('Journal'!D959,'Kontoplan'!$H$3:$H$302,0)),""))</f>
        <v/>
      </c>
      <c r="F1915" s="20">
        <f>IF('Journal'!G959="","",'Journal'!G959)</f>
        <v/>
      </c>
      <c r="G1915" s="20">
        <f>IF('Journal'!F959="","",'Journal'!F959)</f>
        <v/>
      </c>
      <c r="H1915" s="5">
        <f>IF('Journal'!I959="","",'Journal'!I959)</f>
        <v/>
      </c>
    </row>
    <row r="1916">
      <c r="A1916" s="18">
        <f>IF('Journal'!A959="","",'Journal'!A959)</f>
        <v/>
      </c>
      <c r="B1916" s="21">
        <f>IF('Journal'!B959="","",'Journal'!B959)</f>
        <v/>
      </c>
      <c r="C1916" s="5">
        <f>IF('Journal'!C959="","",'Journal'!C959)</f>
        <v/>
      </c>
      <c r="D1916" s="5">
        <f>IF('Journal'!E959="","",IFERROR(LEFT('Journal'!E959,FIND(" ",'Journal'!E959)-1),'Journal'!E959))</f>
        <v/>
      </c>
      <c r="E1916" s="5">
        <f>IF('Journal'!E959="","",IFERROR(INDEX('Kontoplan'!$B$3:$B$302,MATCH('Journal'!E959,'Kontoplan'!$H$3:$H$302,0)),""))</f>
        <v/>
      </c>
      <c r="F1916" s="20">
        <f>IF('Journal'!F959="","",'Journal'!F959)</f>
        <v/>
      </c>
      <c r="G1916" s="20">
        <f>IF('Journal'!G959="","",'Journal'!G959)</f>
        <v/>
      </c>
      <c r="H1916" s="5">
        <f>IF('Journal'!I959="","",'Journal'!I959)</f>
        <v/>
      </c>
    </row>
    <row r="1917">
      <c r="A1917" s="18">
        <f>IF('Journal'!A960="","",'Journal'!A960)</f>
        <v/>
      </c>
      <c r="B1917" s="21">
        <f>IF('Journal'!B960="","",'Journal'!B960)</f>
        <v/>
      </c>
      <c r="C1917" s="5">
        <f>IF('Journal'!C960="","",'Journal'!C960)</f>
        <v/>
      </c>
      <c r="D1917" s="5">
        <f>IF('Journal'!D960="","",IFERROR(LEFT('Journal'!D960,FIND(" ",'Journal'!D960)-1),'Journal'!D960))</f>
        <v/>
      </c>
      <c r="E1917" s="5">
        <f>IF('Journal'!D960="","",IFERROR(INDEX('Kontoplan'!$B$3:$B$302,MATCH('Journal'!D960,'Kontoplan'!$H$3:$H$302,0)),""))</f>
        <v/>
      </c>
      <c r="F1917" s="20">
        <f>IF('Journal'!G960="","",'Journal'!G960)</f>
        <v/>
      </c>
      <c r="G1917" s="20">
        <f>IF('Journal'!F960="","",'Journal'!F960)</f>
        <v/>
      </c>
      <c r="H1917" s="5">
        <f>IF('Journal'!I960="","",'Journal'!I960)</f>
        <v/>
      </c>
    </row>
    <row r="1918">
      <c r="A1918" s="18">
        <f>IF('Journal'!A960="","",'Journal'!A960)</f>
        <v/>
      </c>
      <c r="B1918" s="21">
        <f>IF('Journal'!B960="","",'Journal'!B960)</f>
        <v/>
      </c>
      <c r="C1918" s="5">
        <f>IF('Journal'!C960="","",'Journal'!C960)</f>
        <v/>
      </c>
      <c r="D1918" s="5">
        <f>IF('Journal'!E960="","",IFERROR(LEFT('Journal'!E960,FIND(" ",'Journal'!E960)-1),'Journal'!E960))</f>
        <v/>
      </c>
      <c r="E1918" s="5">
        <f>IF('Journal'!E960="","",IFERROR(INDEX('Kontoplan'!$B$3:$B$302,MATCH('Journal'!E960,'Kontoplan'!$H$3:$H$302,0)),""))</f>
        <v/>
      </c>
      <c r="F1918" s="20">
        <f>IF('Journal'!F960="","",'Journal'!F960)</f>
        <v/>
      </c>
      <c r="G1918" s="20">
        <f>IF('Journal'!G960="","",'Journal'!G960)</f>
        <v/>
      </c>
      <c r="H1918" s="5">
        <f>IF('Journal'!I960="","",'Journal'!I960)</f>
        <v/>
      </c>
    </row>
    <row r="1919">
      <c r="A1919" s="18">
        <f>IF('Journal'!A961="","",'Journal'!A961)</f>
        <v/>
      </c>
      <c r="B1919" s="21">
        <f>IF('Journal'!B961="","",'Journal'!B961)</f>
        <v/>
      </c>
      <c r="C1919" s="5">
        <f>IF('Journal'!C961="","",'Journal'!C961)</f>
        <v/>
      </c>
      <c r="D1919" s="5">
        <f>IF('Journal'!D961="","",IFERROR(LEFT('Journal'!D961,FIND(" ",'Journal'!D961)-1),'Journal'!D961))</f>
        <v/>
      </c>
      <c r="E1919" s="5">
        <f>IF('Journal'!D961="","",IFERROR(INDEX('Kontoplan'!$B$3:$B$302,MATCH('Journal'!D961,'Kontoplan'!$H$3:$H$302,0)),""))</f>
        <v/>
      </c>
      <c r="F1919" s="20">
        <f>IF('Journal'!G961="","",'Journal'!G961)</f>
        <v/>
      </c>
      <c r="G1919" s="20">
        <f>IF('Journal'!F961="","",'Journal'!F961)</f>
        <v/>
      </c>
      <c r="H1919" s="5">
        <f>IF('Journal'!I961="","",'Journal'!I961)</f>
        <v/>
      </c>
    </row>
    <row r="1920">
      <c r="A1920" s="18">
        <f>IF('Journal'!A961="","",'Journal'!A961)</f>
        <v/>
      </c>
      <c r="B1920" s="21">
        <f>IF('Journal'!B961="","",'Journal'!B961)</f>
        <v/>
      </c>
      <c r="C1920" s="5">
        <f>IF('Journal'!C961="","",'Journal'!C961)</f>
        <v/>
      </c>
      <c r="D1920" s="5">
        <f>IF('Journal'!E961="","",IFERROR(LEFT('Journal'!E961,FIND(" ",'Journal'!E961)-1),'Journal'!E961))</f>
        <v/>
      </c>
      <c r="E1920" s="5">
        <f>IF('Journal'!E961="","",IFERROR(INDEX('Kontoplan'!$B$3:$B$302,MATCH('Journal'!E961,'Kontoplan'!$H$3:$H$302,0)),""))</f>
        <v/>
      </c>
      <c r="F1920" s="20">
        <f>IF('Journal'!F961="","",'Journal'!F961)</f>
        <v/>
      </c>
      <c r="G1920" s="20">
        <f>IF('Journal'!G961="","",'Journal'!G961)</f>
        <v/>
      </c>
      <c r="H1920" s="5">
        <f>IF('Journal'!I961="","",'Journal'!I961)</f>
        <v/>
      </c>
    </row>
    <row r="1921">
      <c r="A1921" s="18">
        <f>IF('Journal'!A962="","",'Journal'!A962)</f>
        <v/>
      </c>
      <c r="B1921" s="21">
        <f>IF('Journal'!B962="","",'Journal'!B962)</f>
        <v/>
      </c>
      <c r="C1921" s="5">
        <f>IF('Journal'!C962="","",'Journal'!C962)</f>
        <v/>
      </c>
      <c r="D1921" s="5">
        <f>IF('Journal'!D962="","",IFERROR(LEFT('Journal'!D962,FIND(" ",'Journal'!D962)-1),'Journal'!D962))</f>
        <v/>
      </c>
      <c r="E1921" s="5">
        <f>IF('Journal'!D962="","",IFERROR(INDEX('Kontoplan'!$B$3:$B$302,MATCH('Journal'!D962,'Kontoplan'!$H$3:$H$302,0)),""))</f>
        <v/>
      </c>
      <c r="F1921" s="20">
        <f>IF('Journal'!G962="","",'Journal'!G962)</f>
        <v/>
      </c>
      <c r="G1921" s="20">
        <f>IF('Journal'!F962="","",'Journal'!F962)</f>
        <v/>
      </c>
      <c r="H1921" s="5">
        <f>IF('Journal'!I962="","",'Journal'!I962)</f>
        <v/>
      </c>
    </row>
    <row r="1922">
      <c r="A1922" s="18">
        <f>IF('Journal'!A962="","",'Journal'!A962)</f>
        <v/>
      </c>
      <c r="B1922" s="21">
        <f>IF('Journal'!B962="","",'Journal'!B962)</f>
        <v/>
      </c>
      <c r="C1922" s="5">
        <f>IF('Journal'!C962="","",'Journal'!C962)</f>
        <v/>
      </c>
      <c r="D1922" s="5">
        <f>IF('Journal'!E962="","",IFERROR(LEFT('Journal'!E962,FIND(" ",'Journal'!E962)-1),'Journal'!E962))</f>
        <v/>
      </c>
      <c r="E1922" s="5">
        <f>IF('Journal'!E962="","",IFERROR(INDEX('Kontoplan'!$B$3:$B$302,MATCH('Journal'!E962,'Kontoplan'!$H$3:$H$302,0)),""))</f>
        <v/>
      </c>
      <c r="F1922" s="20">
        <f>IF('Journal'!F962="","",'Journal'!F962)</f>
        <v/>
      </c>
      <c r="G1922" s="20">
        <f>IF('Journal'!G962="","",'Journal'!G962)</f>
        <v/>
      </c>
      <c r="H1922" s="5">
        <f>IF('Journal'!I962="","",'Journal'!I962)</f>
        <v/>
      </c>
    </row>
    <row r="1923">
      <c r="A1923" s="18">
        <f>IF('Journal'!A963="","",'Journal'!A963)</f>
        <v/>
      </c>
      <c r="B1923" s="21">
        <f>IF('Journal'!B963="","",'Journal'!B963)</f>
        <v/>
      </c>
      <c r="C1923" s="5">
        <f>IF('Journal'!C963="","",'Journal'!C963)</f>
        <v/>
      </c>
      <c r="D1923" s="5">
        <f>IF('Journal'!D963="","",IFERROR(LEFT('Journal'!D963,FIND(" ",'Journal'!D963)-1),'Journal'!D963))</f>
        <v/>
      </c>
      <c r="E1923" s="5">
        <f>IF('Journal'!D963="","",IFERROR(INDEX('Kontoplan'!$B$3:$B$302,MATCH('Journal'!D963,'Kontoplan'!$H$3:$H$302,0)),""))</f>
        <v/>
      </c>
      <c r="F1923" s="20">
        <f>IF('Journal'!G963="","",'Journal'!G963)</f>
        <v/>
      </c>
      <c r="G1923" s="20">
        <f>IF('Journal'!F963="","",'Journal'!F963)</f>
        <v/>
      </c>
      <c r="H1923" s="5">
        <f>IF('Journal'!I963="","",'Journal'!I963)</f>
        <v/>
      </c>
    </row>
    <row r="1924">
      <c r="A1924" s="18">
        <f>IF('Journal'!A963="","",'Journal'!A963)</f>
        <v/>
      </c>
      <c r="B1924" s="21">
        <f>IF('Journal'!B963="","",'Journal'!B963)</f>
        <v/>
      </c>
      <c r="C1924" s="5">
        <f>IF('Journal'!C963="","",'Journal'!C963)</f>
        <v/>
      </c>
      <c r="D1924" s="5">
        <f>IF('Journal'!E963="","",IFERROR(LEFT('Journal'!E963,FIND(" ",'Journal'!E963)-1),'Journal'!E963))</f>
        <v/>
      </c>
      <c r="E1924" s="5">
        <f>IF('Journal'!E963="","",IFERROR(INDEX('Kontoplan'!$B$3:$B$302,MATCH('Journal'!E963,'Kontoplan'!$H$3:$H$302,0)),""))</f>
        <v/>
      </c>
      <c r="F1924" s="20">
        <f>IF('Journal'!F963="","",'Journal'!F963)</f>
        <v/>
      </c>
      <c r="G1924" s="20">
        <f>IF('Journal'!G963="","",'Journal'!G963)</f>
        <v/>
      </c>
      <c r="H1924" s="5">
        <f>IF('Journal'!I963="","",'Journal'!I963)</f>
        <v/>
      </c>
    </row>
    <row r="1925">
      <c r="A1925" s="18">
        <f>IF('Journal'!A964="","",'Journal'!A964)</f>
        <v/>
      </c>
      <c r="B1925" s="21">
        <f>IF('Journal'!B964="","",'Journal'!B964)</f>
        <v/>
      </c>
      <c r="C1925" s="5">
        <f>IF('Journal'!C964="","",'Journal'!C964)</f>
        <v/>
      </c>
      <c r="D1925" s="5">
        <f>IF('Journal'!D964="","",IFERROR(LEFT('Journal'!D964,FIND(" ",'Journal'!D964)-1),'Journal'!D964))</f>
        <v/>
      </c>
      <c r="E1925" s="5">
        <f>IF('Journal'!D964="","",IFERROR(INDEX('Kontoplan'!$B$3:$B$302,MATCH('Journal'!D964,'Kontoplan'!$H$3:$H$302,0)),""))</f>
        <v/>
      </c>
      <c r="F1925" s="20">
        <f>IF('Journal'!G964="","",'Journal'!G964)</f>
        <v/>
      </c>
      <c r="G1925" s="20">
        <f>IF('Journal'!F964="","",'Journal'!F964)</f>
        <v/>
      </c>
      <c r="H1925" s="5">
        <f>IF('Journal'!I964="","",'Journal'!I964)</f>
        <v/>
      </c>
    </row>
    <row r="1926">
      <c r="A1926" s="18">
        <f>IF('Journal'!A964="","",'Journal'!A964)</f>
        <v/>
      </c>
      <c r="B1926" s="21">
        <f>IF('Journal'!B964="","",'Journal'!B964)</f>
        <v/>
      </c>
      <c r="C1926" s="5">
        <f>IF('Journal'!C964="","",'Journal'!C964)</f>
        <v/>
      </c>
      <c r="D1926" s="5">
        <f>IF('Journal'!E964="","",IFERROR(LEFT('Journal'!E964,FIND(" ",'Journal'!E964)-1),'Journal'!E964))</f>
        <v/>
      </c>
      <c r="E1926" s="5">
        <f>IF('Journal'!E964="","",IFERROR(INDEX('Kontoplan'!$B$3:$B$302,MATCH('Journal'!E964,'Kontoplan'!$H$3:$H$302,0)),""))</f>
        <v/>
      </c>
      <c r="F1926" s="20">
        <f>IF('Journal'!F964="","",'Journal'!F964)</f>
        <v/>
      </c>
      <c r="G1926" s="20">
        <f>IF('Journal'!G964="","",'Journal'!G964)</f>
        <v/>
      </c>
      <c r="H1926" s="5">
        <f>IF('Journal'!I964="","",'Journal'!I964)</f>
        <v/>
      </c>
    </row>
    <row r="1927">
      <c r="A1927" s="18">
        <f>IF('Journal'!A965="","",'Journal'!A965)</f>
        <v/>
      </c>
      <c r="B1927" s="21">
        <f>IF('Journal'!B965="","",'Journal'!B965)</f>
        <v/>
      </c>
      <c r="C1927" s="5">
        <f>IF('Journal'!C965="","",'Journal'!C965)</f>
        <v/>
      </c>
      <c r="D1927" s="5">
        <f>IF('Journal'!D965="","",IFERROR(LEFT('Journal'!D965,FIND(" ",'Journal'!D965)-1),'Journal'!D965))</f>
        <v/>
      </c>
      <c r="E1927" s="5">
        <f>IF('Journal'!D965="","",IFERROR(INDEX('Kontoplan'!$B$3:$B$302,MATCH('Journal'!D965,'Kontoplan'!$H$3:$H$302,0)),""))</f>
        <v/>
      </c>
      <c r="F1927" s="20">
        <f>IF('Journal'!G965="","",'Journal'!G965)</f>
        <v/>
      </c>
      <c r="G1927" s="20">
        <f>IF('Journal'!F965="","",'Journal'!F965)</f>
        <v/>
      </c>
      <c r="H1927" s="5">
        <f>IF('Journal'!I965="","",'Journal'!I965)</f>
        <v/>
      </c>
    </row>
    <row r="1928">
      <c r="A1928" s="18">
        <f>IF('Journal'!A965="","",'Journal'!A965)</f>
        <v/>
      </c>
      <c r="B1928" s="21">
        <f>IF('Journal'!B965="","",'Journal'!B965)</f>
        <v/>
      </c>
      <c r="C1928" s="5">
        <f>IF('Journal'!C965="","",'Journal'!C965)</f>
        <v/>
      </c>
      <c r="D1928" s="5">
        <f>IF('Journal'!E965="","",IFERROR(LEFT('Journal'!E965,FIND(" ",'Journal'!E965)-1),'Journal'!E965))</f>
        <v/>
      </c>
      <c r="E1928" s="5">
        <f>IF('Journal'!E965="","",IFERROR(INDEX('Kontoplan'!$B$3:$B$302,MATCH('Journal'!E965,'Kontoplan'!$H$3:$H$302,0)),""))</f>
        <v/>
      </c>
      <c r="F1928" s="20">
        <f>IF('Journal'!F965="","",'Journal'!F965)</f>
        <v/>
      </c>
      <c r="G1928" s="20">
        <f>IF('Journal'!G965="","",'Journal'!G965)</f>
        <v/>
      </c>
      <c r="H1928" s="5">
        <f>IF('Journal'!I965="","",'Journal'!I965)</f>
        <v/>
      </c>
    </row>
    <row r="1929">
      <c r="A1929" s="18">
        <f>IF('Journal'!A966="","",'Journal'!A966)</f>
        <v/>
      </c>
      <c r="B1929" s="21">
        <f>IF('Journal'!B966="","",'Journal'!B966)</f>
        <v/>
      </c>
      <c r="C1929" s="5">
        <f>IF('Journal'!C966="","",'Journal'!C966)</f>
        <v/>
      </c>
      <c r="D1929" s="5">
        <f>IF('Journal'!D966="","",IFERROR(LEFT('Journal'!D966,FIND(" ",'Journal'!D966)-1),'Journal'!D966))</f>
        <v/>
      </c>
      <c r="E1929" s="5">
        <f>IF('Journal'!D966="","",IFERROR(INDEX('Kontoplan'!$B$3:$B$302,MATCH('Journal'!D966,'Kontoplan'!$H$3:$H$302,0)),""))</f>
        <v/>
      </c>
      <c r="F1929" s="20">
        <f>IF('Journal'!G966="","",'Journal'!G966)</f>
        <v/>
      </c>
      <c r="G1929" s="20">
        <f>IF('Journal'!F966="","",'Journal'!F966)</f>
        <v/>
      </c>
      <c r="H1929" s="5">
        <f>IF('Journal'!I966="","",'Journal'!I966)</f>
        <v/>
      </c>
    </row>
    <row r="1930">
      <c r="A1930" s="18">
        <f>IF('Journal'!A966="","",'Journal'!A966)</f>
        <v/>
      </c>
      <c r="B1930" s="21">
        <f>IF('Journal'!B966="","",'Journal'!B966)</f>
        <v/>
      </c>
      <c r="C1930" s="5">
        <f>IF('Journal'!C966="","",'Journal'!C966)</f>
        <v/>
      </c>
      <c r="D1930" s="5">
        <f>IF('Journal'!E966="","",IFERROR(LEFT('Journal'!E966,FIND(" ",'Journal'!E966)-1),'Journal'!E966))</f>
        <v/>
      </c>
      <c r="E1930" s="5">
        <f>IF('Journal'!E966="","",IFERROR(INDEX('Kontoplan'!$B$3:$B$302,MATCH('Journal'!E966,'Kontoplan'!$H$3:$H$302,0)),""))</f>
        <v/>
      </c>
      <c r="F1930" s="20">
        <f>IF('Journal'!F966="","",'Journal'!F966)</f>
        <v/>
      </c>
      <c r="G1930" s="20">
        <f>IF('Journal'!G966="","",'Journal'!G966)</f>
        <v/>
      </c>
      <c r="H1930" s="5">
        <f>IF('Journal'!I966="","",'Journal'!I966)</f>
        <v/>
      </c>
    </row>
    <row r="1931">
      <c r="A1931" s="18">
        <f>IF('Journal'!A967="","",'Journal'!A967)</f>
        <v/>
      </c>
      <c r="B1931" s="21">
        <f>IF('Journal'!B967="","",'Journal'!B967)</f>
        <v/>
      </c>
      <c r="C1931" s="5">
        <f>IF('Journal'!C967="","",'Journal'!C967)</f>
        <v/>
      </c>
      <c r="D1931" s="5">
        <f>IF('Journal'!D967="","",IFERROR(LEFT('Journal'!D967,FIND(" ",'Journal'!D967)-1),'Journal'!D967))</f>
        <v/>
      </c>
      <c r="E1931" s="5">
        <f>IF('Journal'!D967="","",IFERROR(INDEX('Kontoplan'!$B$3:$B$302,MATCH('Journal'!D967,'Kontoplan'!$H$3:$H$302,0)),""))</f>
        <v/>
      </c>
      <c r="F1931" s="20">
        <f>IF('Journal'!G967="","",'Journal'!G967)</f>
        <v/>
      </c>
      <c r="G1931" s="20">
        <f>IF('Journal'!F967="","",'Journal'!F967)</f>
        <v/>
      </c>
      <c r="H1931" s="5">
        <f>IF('Journal'!I967="","",'Journal'!I967)</f>
        <v/>
      </c>
    </row>
    <row r="1932">
      <c r="A1932" s="18">
        <f>IF('Journal'!A967="","",'Journal'!A967)</f>
        <v/>
      </c>
      <c r="B1932" s="21">
        <f>IF('Journal'!B967="","",'Journal'!B967)</f>
        <v/>
      </c>
      <c r="C1932" s="5">
        <f>IF('Journal'!C967="","",'Journal'!C967)</f>
        <v/>
      </c>
      <c r="D1932" s="5">
        <f>IF('Journal'!E967="","",IFERROR(LEFT('Journal'!E967,FIND(" ",'Journal'!E967)-1),'Journal'!E967))</f>
        <v/>
      </c>
      <c r="E1932" s="5">
        <f>IF('Journal'!E967="","",IFERROR(INDEX('Kontoplan'!$B$3:$B$302,MATCH('Journal'!E967,'Kontoplan'!$H$3:$H$302,0)),""))</f>
        <v/>
      </c>
      <c r="F1932" s="20">
        <f>IF('Journal'!F967="","",'Journal'!F967)</f>
        <v/>
      </c>
      <c r="G1932" s="20">
        <f>IF('Journal'!G967="","",'Journal'!G967)</f>
        <v/>
      </c>
      <c r="H1932" s="5">
        <f>IF('Journal'!I967="","",'Journal'!I967)</f>
        <v/>
      </c>
    </row>
    <row r="1933">
      <c r="A1933" s="18">
        <f>IF('Journal'!A968="","",'Journal'!A968)</f>
        <v/>
      </c>
      <c r="B1933" s="21">
        <f>IF('Journal'!B968="","",'Journal'!B968)</f>
        <v/>
      </c>
      <c r="C1933" s="5">
        <f>IF('Journal'!C968="","",'Journal'!C968)</f>
        <v/>
      </c>
      <c r="D1933" s="5">
        <f>IF('Journal'!D968="","",IFERROR(LEFT('Journal'!D968,FIND(" ",'Journal'!D968)-1),'Journal'!D968))</f>
        <v/>
      </c>
      <c r="E1933" s="5">
        <f>IF('Journal'!D968="","",IFERROR(INDEX('Kontoplan'!$B$3:$B$302,MATCH('Journal'!D968,'Kontoplan'!$H$3:$H$302,0)),""))</f>
        <v/>
      </c>
      <c r="F1933" s="20">
        <f>IF('Journal'!G968="","",'Journal'!G968)</f>
        <v/>
      </c>
      <c r="G1933" s="20">
        <f>IF('Journal'!F968="","",'Journal'!F968)</f>
        <v/>
      </c>
      <c r="H1933" s="5">
        <f>IF('Journal'!I968="","",'Journal'!I968)</f>
        <v/>
      </c>
    </row>
    <row r="1934">
      <c r="A1934" s="18">
        <f>IF('Journal'!A968="","",'Journal'!A968)</f>
        <v/>
      </c>
      <c r="B1934" s="21">
        <f>IF('Journal'!B968="","",'Journal'!B968)</f>
        <v/>
      </c>
      <c r="C1934" s="5">
        <f>IF('Journal'!C968="","",'Journal'!C968)</f>
        <v/>
      </c>
      <c r="D1934" s="5">
        <f>IF('Journal'!E968="","",IFERROR(LEFT('Journal'!E968,FIND(" ",'Journal'!E968)-1),'Journal'!E968))</f>
        <v/>
      </c>
      <c r="E1934" s="5">
        <f>IF('Journal'!E968="","",IFERROR(INDEX('Kontoplan'!$B$3:$B$302,MATCH('Journal'!E968,'Kontoplan'!$H$3:$H$302,0)),""))</f>
        <v/>
      </c>
      <c r="F1934" s="20">
        <f>IF('Journal'!F968="","",'Journal'!F968)</f>
        <v/>
      </c>
      <c r="G1934" s="20">
        <f>IF('Journal'!G968="","",'Journal'!G968)</f>
        <v/>
      </c>
      <c r="H1934" s="5">
        <f>IF('Journal'!I968="","",'Journal'!I968)</f>
        <v/>
      </c>
    </row>
    <row r="1935">
      <c r="A1935" s="18">
        <f>IF('Journal'!A969="","",'Journal'!A969)</f>
        <v/>
      </c>
      <c r="B1935" s="21">
        <f>IF('Journal'!B969="","",'Journal'!B969)</f>
        <v/>
      </c>
      <c r="C1935" s="5">
        <f>IF('Journal'!C969="","",'Journal'!C969)</f>
        <v/>
      </c>
      <c r="D1935" s="5">
        <f>IF('Journal'!D969="","",IFERROR(LEFT('Journal'!D969,FIND(" ",'Journal'!D969)-1),'Journal'!D969))</f>
        <v/>
      </c>
      <c r="E1935" s="5">
        <f>IF('Journal'!D969="","",IFERROR(INDEX('Kontoplan'!$B$3:$B$302,MATCH('Journal'!D969,'Kontoplan'!$H$3:$H$302,0)),""))</f>
        <v/>
      </c>
      <c r="F1935" s="20">
        <f>IF('Journal'!G969="","",'Journal'!G969)</f>
        <v/>
      </c>
      <c r="G1935" s="20">
        <f>IF('Journal'!F969="","",'Journal'!F969)</f>
        <v/>
      </c>
      <c r="H1935" s="5">
        <f>IF('Journal'!I969="","",'Journal'!I969)</f>
        <v/>
      </c>
    </row>
    <row r="1936">
      <c r="A1936" s="18">
        <f>IF('Journal'!A969="","",'Journal'!A969)</f>
        <v/>
      </c>
      <c r="B1936" s="21">
        <f>IF('Journal'!B969="","",'Journal'!B969)</f>
        <v/>
      </c>
      <c r="C1936" s="5">
        <f>IF('Journal'!C969="","",'Journal'!C969)</f>
        <v/>
      </c>
      <c r="D1936" s="5">
        <f>IF('Journal'!E969="","",IFERROR(LEFT('Journal'!E969,FIND(" ",'Journal'!E969)-1),'Journal'!E969))</f>
        <v/>
      </c>
      <c r="E1936" s="5">
        <f>IF('Journal'!E969="","",IFERROR(INDEX('Kontoplan'!$B$3:$B$302,MATCH('Journal'!E969,'Kontoplan'!$H$3:$H$302,0)),""))</f>
        <v/>
      </c>
      <c r="F1936" s="20">
        <f>IF('Journal'!F969="","",'Journal'!F969)</f>
        <v/>
      </c>
      <c r="G1936" s="20">
        <f>IF('Journal'!G969="","",'Journal'!G969)</f>
        <v/>
      </c>
      <c r="H1936" s="5">
        <f>IF('Journal'!I969="","",'Journal'!I969)</f>
        <v/>
      </c>
    </row>
    <row r="1937">
      <c r="A1937" s="18">
        <f>IF('Journal'!A970="","",'Journal'!A970)</f>
        <v/>
      </c>
      <c r="B1937" s="21">
        <f>IF('Journal'!B970="","",'Journal'!B970)</f>
        <v/>
      </c>
      <c r="C1937" s="5">
        <f>IF('Journal'!C970="","",'Journal'!C970)</f>
        <v/>
      </c>
      <c r="D1937" s="5">
        <f>IF('Journal'!D970="","",IFERROR(LEFT('Journal'!D970,FIND(" ",'Journal'!D970)-1),'Journal'!D970))</f>
        <v/>
      </c>
      <c r="E1937" s="5">
        <f>IF('Journal'!D970="","",IFERROR(INDEX('Kontoplan'!$B$3:$B$302,MATCH('Journal'!D970,'Kontoplan'!$H$3:$H$302,0)),""))</f>
        <v/>
      </c>
      <c r="F1937" s="20">
        <f>IF('Journal'!G970="","",'Journal'!G970)</f>
        <v/>
      </c>
      <c r="G1937" s="20">
        <f>IF('Journal'!F970="","",'Journal'!F970)</f>
        <v/>
      </c>
      <c r="H1937" s="5">
        <f>IF('Journal'!I970="","",'Journal'!I970)</f>
        <v/>
      </c>
    </row>
    <row r="1938">
      <c r="A1938" s="18">
        <f>IF('Journal'!A970="","",'Journal'!A970)</f>
        <v/>
      </c>
      <c r="B1938" s="21">
        <f>IF('Journal'!B970="","",'Journal'!B970)</f>
        <v/>
      </c>
      <c r="C1938" s="5">
        <f>IF('Journal'!C970="","",'Journal'!C970)</f>
        <v/>
      </c>
      <c r="D1938" s="5">
        <f>IF('Journal'!E970="","",IFERROR(LEFT('Journal'!E970,FIND(" ",'Journal'!E970)-1),'Journal'!E970))</f>
        <v/>
      </c>
      <c r="E1938" s="5">
        <f>IF('Journal'!E970="","",IFERROR(INDEX('Kontoplan'!$B$3:$B$302,MATCH('Journal'!E970,'Kontoplan'!$H$3:$H$302,0)),""))</f>
        <v/>
      </c>
      <c r="F1938" s="20">
        <f>IF('Journal'!F970="","",'Journal'!F970)</f>
        <v/>
      </c>
      <c r="G1938" s="20">
        <f>IF('Journal'!G970="","",'Journal'!G970)</f>
        <v/>
      </c>
      <c r="H1938" s="5">
        <f>IF('Journal'!I970="","",'Journal'!I970)</f>
        <v/>
      </c>
    </row>
    <row r="1939">
      <c r="A1939" s="18">
        <f>IF('Journal'!A971="","",'Journal'!A971)</f>
        <v/>
      </c>
      <c r="B1939" s="21">
        <f>IF('Journal'!B971="","",'Journal'!B971)</f>
        <v/>
      </c>
      <c r="C1939" s="5">
        <f>IF('Journal'!C971="","",'Journal'!C971)</f>
        <v/>
      </c>
      <c r="D1939" s="5">
        <f>IF('Journal'!D971="","",IFERROR(LEFT('Journal'!D971,FIND(" ",'Journal'!D971)-1),'Journal'!D971))</f>
        <v/>
      </c>
      <c r="E1939" s="5">
        <f>IF('Journal'!D971="","",IFERROR(INDEX('Kontoplan'!$B$3:$B$302,MATCH('Journal'!D971,'Kontoplan'!$H$3:$H$302,0)),""))</f>
        <v/>
      </c>
      <c r="F1939" s="20">
        <f>IF('Journal'!G971="","",'Journal'!G971)</f>
        <v/>
      </c>
      <c r="G1939" s="20">
        <f>IF('Journal'!F971="","",'Journal'!F971)</f>
        <v/>
      </c>
      <c r="H1939" s="5">
        <f>IF('Journal'!I971="","",'Journal'!I971)</f>
        <v/>
      </c>
    </row>
    <row r="1940">
      <c r="A1940" s="18">
        <f>IF('Journal'!A971="","",'Journal'!A971)</f>
        <v/>
      </c>
      <c r="B1940" s="21">
        <f>IF('Journal'!B971="","",'Journal'!B971)</f>
        <v/>
      </c>
      <c r="C1940" s="5">
        <f>IF('Journal'!C971="","",'Journal'!C971)</f>
        <v/>
      </c>
      <c r="D1940" s="5">
        <f>IF('Journal'!E971="","",IFERROR(LEFT('Journal'!E971,FIND(" ",'Journal'!E971)-1),'Journal'!E971))</f>
        <v/>
      </c>
      <c r="E1940" s="5">
        <f>IF('Journal'!E971="","",IFERROR(INDEX('Kontoplan'!$B$3:$B$302,MATCH('Journal'!E971,'Kontoplan'!$H$3:$H$302,0)),""))</f>
        <v/>
      </c>
      <c r="F1940" s="20">
        <f>IF('Journal'!F971="","",'Journal'!F971)</f>
        <v/>
      </c>
      <c r="G1940" s="20">
        <f>IF('Journal'!G971="","",'Journal'!G971)</f>
        <v/>
      </c>
      <c r="H1940" s="5">
        <f>IF('Journal'!I971="","",'Journal'!I971)</f>
        <v/>
      </c>
    </row>
    <row r="1941">
      <c r="A1941" s="18">
        <f>IF('Journal'!A972="","",'Journal'!A972)</f>
        <v/>
      </c>
      <c r="B1941" s="21">
        <f>IF('Journal'!B972="","",'Journal'!B972)</f>
        <v/>
      </c>
      <c r="C1941" s="5">
        <f>IF('Journal'!C972="","",'Journal'!C972)</f>
        <v/>
      </c>
      <c r="D1941" s="5">
        <f>IF('Journal'!D972="","",IFERROR(LEFT('Journal'!D972,FIND(" ",'Journal'!D972)-1),'Journal'!D972))</f>
        <v/>
      </c>
      <c r="E1941" s="5">
        <f>IF('Journal'!D972="","",IFERROR(INDEX('Kontoplan'!$B$3:$B$302,MATCH('Journal'!D972,'Kontoplan'!$H$3:$H$302,0)),""))</f>
        <v/>
      </c>
      <c r="F1941" s="20">
        <f>IF('Journal'!G972="","",'Journal'!G972)</f>
        <v/>
      </c>
      <c r="G1941" s="20">
        <f>IF('Journal'!F972="","",'Journal'!F972)</f>
        <v/>
      </c>
      <c r="H1941" s="5">
        <f>IF('Journal'!I972="","",'Journal'!I972)</f>
        <v/>
      </c>
    </row>
    <row r="1942">
      <c r="A1942" s="18">
        <f>IF('Journal'!A972="","",'Journal'!A972)</f>
        <v/>
      </c>
      <c r="B1942" s="21">
        <f>IF('Journal'!B972="","",'Journal'!B972)</f>
        <v/>
      </c>
      <c r="C1942" s="5">
        <f>IF('Journal'!C972="","",'Journal'!C972)</f>
        <v/>
      </c>
      <c r="D1942" s="5">
        <f>IF('Journal'!E972="","",IFERROR(LEFT('Journal'!E972,FIND(" ",'Journal'!E972)-1),'Journal'!E972))</f>
        <v/>
      </c>
      <c r="E1942" s="5">
        <f>IF('Journal'!E972="","",IFERROR(INDEX('Kontoplan'!$B$3:$B$302,MATCH('Journal'!E972,'Kontoplan'!$H$3:$H$302,0)),""))</f>
        <v/>
      </c>
      <c r="F1942" s="20">
        <f>IF('Journal'!F972="","",'Journal'!F972)</f>
        <v/>
      </c>
      <c r="G1942" s="20">
        <f>IF('Journal'!G972="","",'Journal'!G972)</f>
        <v/>
      </c>
      <c r="H1942" s="5">
        <f>IF('Journal'!I972="","",'Journal'!I972)</f>
        <v/>
      </c>
    </row>
    <row r="1943">
      <c r="A1943" s="18">
        <f>IF('Journal'!A973="","",'Journal'!A973)</f>
        <v/>
      </c>
      <c r="B1943" s="21">
        <f>IF('Journal'!B973="","",'Journal'!B973)</f>
        <v/>
      </c>
      <c r="C1943" s="5">
        <f>IF('Journal'!C973="","",'Journal'!C973)</f>
        <v/>
      </c>
      <c r="D1943" s="5">
        <f>IF('Journal'!D973="","",IFERROR(LEFT('Journal'!D973,FIND(" ",'Journal'!D973)-1),'Journal'!D973))</f>
        <v/>
      </c>
      <c r="E1943" s="5">
        <f>IF('Journal'!D973="","",IFERROR(INDEX('Kontoplan'!$B$3:$B$302,MATCH('Journal'!D973,'Kontoplan'!$H$3:$H$302,0)),""))</f>
        <v/>
      </c>
      <c r="F1943" s="20">
        <f>IF('Journal'!G973="","",'Journal'!G973)</f>
        <v/>
      </c>
      <c r="G1943" s="20">
        <f>IF('Journal'!F973="","",'Journal'!F973)</f>
        <v/>
      </c>
      <c r="H1943" s="5">
        <f>IF('Journal'!I973="","",'Journal'!I973)</f>
        <v/>
      </c>
    </row>
    <row r="1944">
      <c r="A1944" s="18">
        <f>IF('Journal'!A973="","",'Journal'!A973)</f>
        <v/>
      </c>
      <c r="B1944" s="21">
        <f>IF('Journal'!B973="","",'Journal'!B973)</f>
        <v/>
      </c>
      <c r="C1944" s="5">
        <f>IF('Journal'!C973="","",'Journal'!C973)</f>
        <v/>
      </c>
      <c r="D1944" s="5">
        <f>IF('Journal'!E973="","",IFERROR(LEFT('Journal'!E973,FIND(" ",'Journal'!E973)-1),'Journal'!E973))</f>
        <v/>
      </c>
      <c r="E1944" s="5">
        <f>IF('Journal'!E973="","",IFERROR(INDEX('Kontoplan'!$B$3:$B$302,MATCH('Journal'!E973,'Kontoplan'!$H$3:$H$302,0)),""))</f>
        <v/>
      </c>
      <c r="F1944" s="20">
        <f>IF('Journal'!F973="","",'Journal'!F973)</f>
        <v/>
      </c>
      <c r="G1944" s="20">
        <f>IF('Journal'!G973="","",'Journal'!G973)</f>
        <v/>
      </c>
      <c r="H1944" s="5">
        <f>IF('Journal'!I973="","",'Journal'!I973)</f>
        <v/>
      </c>
    </row>
    <row r="1945">
      <c r="A1945" s="18">
        <f>IF('Journal'!A974="","",'Journal'!A974)</f>
        <v/>
      </c>
      <c r="B1945" s="21">
        <f>IF('Journal'!B974="","",'Journal'!B974)</f>
        <v/>
      </c>
      <c r="C1945" s="5">
        <f>IF('Journal'!C974="","",'Journal'!C974)</f>
        <v/>
      </c>
      <c r="D1945" s="5">
        <f>IF('Journal'!D974="","",IFERROR(LEFT('Journal'!D974,FIND(" ",'Journal'!D974)-1),'Journal'!D974))</f>
        <v/>
      </c>
      <c r="E1945" s="5">
        <f>IF('Journal'!D974="","",IFERROR(INDEX('Kontoplan'!$B$3:$B$302,MATCH('Journal'!D974,'Kontoplan'!$H$3:$H$302,0)),""))</f>
        <v/>
      </c>
      <c r="F1945" s="20">
        <f>IF('Journal'!G974="","",'Journal'!G974)</f>
        <v/>
      </c>
      <c r="G1945" s="20">
        <f>IF('Journal'!F974="","",'Journal'!F974)</f>
        <v/>
      </c>
      <c r="H1945" s="5">
        <f>IF('Journal'!I974="","",'Journal'!I974)</f>
        <v/>
      </c>
    </row>
    <row r="1946">
      <c r="A1946" s="18">
        <f>IF('Journal'!A974="","",'Journal'!A974)</f>
        <v/>
      </c>
      <c r="B1946" s="21">
        <f>IF('Journal'!B974="","",'Journal'!B974)</f>
        <v/>
      </c>
      <c r="C1946" s="5">
        <f>IF('Journal'!C974="","",'Journal'!C974)</f>
        <v/>
      </c>
      <c r="D1946" s="5">
        <f>IF('Journal'!E974="","",IFERROR(LEFT('Journal'!E974,FIND(" ",'Journal'!E974)-1),'Journal'!E974))</f>
        <v/>
      </c>
      <c r="E1946" s="5">
        <f>IF('Journal'!E974="","",IFERROR(INDEX('Kontoplan'!$B$3:$B$302,MATCH('Journal'!E974,'Kontoplan'!$H$3:$H$302,0)),""))</f>
        <v/>
      </c>
      <c r="F1946" s="20">
        <f>IF('Journal'!F974="","",'Journal'!F974)</f>
        <v/>
      </c>
      <c r="G1946" s="20">
        <f>IF('Journal'!G974="","",'Journal'!G974)</f>
        <v/>
      </c>
      <c r="H1946" s="5">
        <f>IF('Journal'!I974="","",'Journal'!I974)</f>
        <v/>
      </c>
    </row>
    <row r="1947">
      <c r="A1947" s="18">
        <f>IF('Journal'!A975="","",'Journal'!A975)</f>
        <v/>
      </c>
      <c r="B1947" s="21">
        <f>IF('Journal'!B975="","",'Journal'!B975)</f>
        <v/>
      </c>
      <c r="C1947" s="5">
        <f>IF('Journal'!C975="","",'Journal'!C975)</f>
        <v/>
      </c>
      <c r="D1947" s="5">
        <f>IF('Journal'!D975="","",IFERROR(LEFT('Journal'!D975,FIND(" ",'Journal'!D975)-1),'Journal'!D975))</f>
        <v/>
      </c>
      <c r="E1947" s="5">
        <f>IF('Journal'!D975="","",IFERROR(INDEX('Kontoplan'!$B$3:$B$302,MATCH('Journal'!D975,'Kontoplan'!$H$3:$H$302,0)),""))</f>
        <v/>
      </c>
      <c r="F1947" s="20">
        <f>IF('Journal'!G975="","",'Journal'!G975)</f>
        <v/>
      </c>
      <c r="G1947" s="20">
        <f>IF('Journal'!F975="","",'Journal'!F975)</f>
        <v/>
      </c>
      <c r="H1947" s="5">
        <f>IF('Journal'!I975="","",'Journal'!I975)</f>
        <v/>
      </c>
    </row>
    <row r="1948">
      <c r="A1948" s="18">
        <f>IF('Journal'!A975="","",'Journal'!A975)</f>
        <v/>
      </c>
      <c r="B1948" s="21">
        <f>IF('Journal'!B975="","",'Journal'!B975)</f>
        <v/>
      </c>
      <c r="C1948" s="5">
        <f>IF('Journal'!C975="","",'Journal'!C975)</f>
        <v/>
      </c>
      <c r="D1948" s="5">
        <f>IF('Journal'!E975="","",IFERROR(LEFT('Journal'!E975,FIND(" ",'Journal'!E975)-1),'Journal'!E975))</f>
        <v/>
      </c>
      <c r="E1948" s="5">
        <f>IF('Journal'!E975="","",IFERROR(INDEX('Kontoplan'!$B$3:$B$302,MATCH('Journal'!E975,'Kontoplan'!$H$3:$H$302,0)),""))</f>
        <v/>
      </c>
      <c r="F1948" s="20">
        <f>IF('Journal'!F975="","",'Journal'!F975)</f>
        <v/>
      </c>
      <c r="G1948" s="20">
        <f>IF('Journal'!G975="","",'Journal'!G975)</f>
        <v/>
      </c>
      <c r="H1948" s="5">
        <f>IF('Journal'!I975="","",'Journal'!I975)</f>
        <v/>
      </c>
    </row>
    <row r="1949">
      <c r="A1949" s="18">
        <f>IF('Journal'!A976="","",'Journal'!A976)</f>
        <v/>
      </c>
      <c r="B1949" s="21">
        <f>IF('Journal'!B976="","",'Journal'!B976)</f>
        <v/>
      </c>
      <c r="C1949" s="5">
        <f>IF('Journal'!C976="","",'Journal'!C976)</f>
        <v/>
      </c>
      <c r="D1949" s="5">
        <f>IF('Journal'!D976="","",IFERROR(LEFT('Journal'!D976,FIND(" ",'Journal'!D976)-1),'Journal'!D976))</f>
        <v/>
      </c>
      <c r="E1949" s="5">
        <f>IF('Journal'!D976="","",IFERROR(INDEX('Kontoplan'!$B$3:$B$302,MATCH('Journal'!D976,'Kontoplan'!$H$3:$H$302,0)),""))</f>
        <v/>
      </c>
      <c r="F1949" s="20">
        <f>IF('Journal'!G976="","",'Journal'!G976)</f>
        <v/>
      </c>
      <c r="G1949" s="20">
        <f>IF('Journal'!F976="","",'Journal'!F976)</f>
        <v/>
      </c>
      <c r="H1949" s="5">
        <f>IF('Journal'!I976="","",'Journal'!I976)</f>
        <v/>
      </c>
    </row>
    <row r="1950">
      <c r="A1950" s="18">
        <f>IF('Journal'!A976="","",'Journal'!A976)</f>
        <v/>
      </c>
      <c r="B1950" s="21">
        <f>IF('Journal'!B976="","",'Journal'!B976)</f>
        <v/>
      </c>
      <c r="C1950" s="5">
        <f>IF('Journal'!C976="","",'Journal'!C976)</f>
        <v/>
      </c>
      <c r="D1950" s="5">
        <f>IF('Journal'!E976="","",IFERROR(LEFT('Journal'!E976,FIND(" ",'Journal'!E976)-1),'Journal'!E976))</f>
        <v/>
      </c>
      <c r="E1950" s="5">
        <f>IF('Journal'!E976="","",IFERROR(INDEX('Kontoplan'!$B$3:$B$302,MATCH('Journal'!E976,'Kontoplan'!$H$3:$H$302,0)),""))</f>
        <v/>
      </c>
      <c r="F1950" s="20">
        <f>IF('Journal'!F976="","",'Journal'!F976)</f>
        <v/>
      </c>
      <c r="G1950" s="20">
        <f>IF('Journal'!G976="","",'Journal'!G976)</f>
        <v/>
      </c>
      <c r="H1950" s="5">
        <f>IF('Journal'!I976="","",'Journal'!I976)</f>
        <v/>
      </c>
    </row>
    <row r="1951">
      <c r="A1951" s="18">
        <f>IF('Journal'!A977="","",'Journal'!A977)</f>
        <v/>
      </c>
      <c r="B1951" s="21">
        <f>IF('Journal'!B977="","",'Journal'!B977)</f>
        <v/>
      </c>
      <c r="C1951" s="5">
        <f>IF('Journal'!C977="","",'Journal'!C977)</f>
        <v/>
      </c>
      <c r="D1951" s="5">
        <f>IF('Journal'!D977="","",IFERROR(LEFT('Journal'!D977,FIND(" ",'Journal'!D977)-1),'Journal'!D977))</f>
        <v/>
      </c>
      <c r="E1951" s="5">
        <f>IF('Journal'!D977="","",IFERROR(INDEX('Kontoplan'!$B$3:$B$302,MATCH('Journal'!D977,'Kontoplan'!$H$3:$H$302,0)),""))</f>
        <v/>
      </c>
      <c r="F1951" s="20">
        <f>IF('Journal'!G977="","",'Journal'!G977)</f>
        <v/>
      </c>
      <c r="G1951" s="20">
        <f>IF('Journal'!F977="","",'Journal'!F977)</f>
        <v/>
      </c>
      <c r="H1951" s="5">
        <f>IF('Journal'!I977="","",'Journal'!I977)</f>
        <v/>
      </c>
    </row>
    <row r="1952">
      <c r="A1952" s="18">
        <f>IF('Journal'!A977="","",'Journal'!A977)</f>
        <v/>
      </c>
      <c r="B1952" s="21">
        <f>IF('Journal'!B977="","",'Journal'!B977)</f>
        <v/>
      </c>
      <c r="C1952" s="5">
        <f>IF('Journal'!C977="","",'Journal'!C977)</f>
        <v/>
      </c>
      <c r="D1952" s="5">
        <f>IF('Journal'!E977="","",IFERROR(LEFT('Journal'!E977,FIND(" ",'Journal'!E977)-1),'Journal'!E977))</f>
        <v/>
      </c>
      <c r="E1952" s="5">
        <f>IF('Journal'!E977="","",IFERROR(INDEX('Kontoplan'!$B$3:$B$302,MATCH('Journal'!E977,'Kontoplan'!$H$3:$H$302,0)),""))</f>
        <v/>
      </c>
      <c r="F1952" s="20">
        <f>IF('Journal'!F977="","",'Journal'!F977)</f>
        <v/>
      </c>
      <c r="G1952" s="20">
        <f>IF('Journal'!G977="","",'Journal'!G977)</f>
        <v/>
      </c>
      <c r="H1952" s="5">
        <f>IF('Journal'!I977="","",'Journal'!I977)</f>
        <v/>
      </c>
    </row>
    <row r="1953">
      <c r="A1953" s="18">
        <f>IF('Journal'!A978="","",'Journal'!A978)</f>
        <v/>
      </c>
      <c r="B1953" s="21">
        <f>IF('Journal'!B978="","",'Journal'!B978)</f>
        <v/>
      </c>
      <c r="C1953" s="5">
        <f>IF('Journal'!C978="","",'Journal'!C978)</f>
        <v/>
      </c>
      <c r="D1953" s="5">
        <f>IF('Journal'!D978="","",IFERROR(LEFT('Journal'!D978,FIND(" ",'Journal'!D978)-1),'Journal'!D978))</f>
        <v/>
      </c>
      <c r="E1953" s="5">
        <f>IF('Journal'!D978="","",IFERROR(INDEX('Kontoplan'!$B$3:$B$302,MATCH('Journal'!D978,'Kontoplan'!$H$3:$H$302,0)),""))</f>
        <v/>
      </c>
      <c r="F1953" s="20">
        <f>IF('Journal'!G978="","",'Journal'!G978)</f>
        <v/>
      </c>
      <c r="G1953" s="20">
        <f>IF('Journal'!F978="","",'Journal'!F978)</f>
        <v/>
      </c>
      <c r="H1953" s="5">
        <f>IF('Journal'!I978="","",'Journal'!I978)</f>
        <v/>
      </c>
    </row>
    <row r="1954">
      <c r="A1954" s="18">
        <f>IF('Journal'!A978="","",'Journal'!A978)</f>
        <v/>
      </c>
      <c r="B1954" s="21">
        <f>IF('Journal'!B978="","",'Journal'!B978)</f>
        <v/>
      </c>
      <c r="C1954" s="5">
        <f>IF('Journal'!C978="","",'Journal'!C978)</f>
        <v/>
      </c>
      <c r="D1954" s="5">
        <f>IF('Journal'!E978="","",IFERROR(LEFT('Journal'!E978,FIND(" ",'Journal'!E978)-1),'Journal'!E978))</f>
        <v/>
      </c>
      <c r="E1954" s="5">
        <f>IF('Journal'!E978="","",IFERROR(INDEX('Kontoplan'!$B$3:$B$302,MATCH('Journal'!E978,'Kontoplan'!$H$3:$H$302,0)),""))</f>
        <v/>
      </c>
      <c r="F1954" s="20">
        <f>IF('Journal'!F978="","",'Journal'!F978)</f>
        <v/>
      </c>
      <c r="G1954" s="20">
        <f>IF('Journal'!G978="","",'Journal'!G978)</f>
        <v/>
      </c>
      <c r="H1954" s="5">
        <f>IF('Journal'!I978="","",'Journal'!I978)</f>
        <v/>
      </c>
    </row>
    <row r="1955">
      <c r="A1955" s="18">
        <f>IF('Journal'!A979="","",'Journal'!A979)</f>
        <v/>
      </c>
      <c r="B1955" s="21">
        <f>IF('Journal'!B979="","",'Journal'!B979)</f>
        <v/>
      </c>
      <c r="C1955" s="5">
        <f>IF('Journal'!C979="","",'Journal'!C979)</f>
        <v/>
      </c>
      <c r="D1955" s="5">
        <f>IF('Journal'!D979="","",IFERROR(LEFT('Journal'!D979,FIND(" ",'Journal'!D979)-1),'Journal'!D979))</f>
        <v/>
      </c>
      <c r="E1955" s="5">
        <f>IF('Journal'!D979="","",IFERROR(INDEX('Kontoplan'!$B$3:$B$302,MATCH('Journal'!D979,'Kontoplan'!$H$3:$H$302,0)),""))</f>
        <v/>
      </c>
      <c r="F1955" s="20">
        <f>IF('Journal'!G979="","",'Journal'!G979)</f>
        <v/>
      </c>
      <c r="G1955" s="20">
        <f>IF('Journal'!F979="","",'Journal'!F979)</f>
        <v/>
      </c>
      <c r="H1955" s="5">
        <f>IF('Journal'!I979="","",'Journal'!I979)</f>
        <v/>
      </c>
    </row>
    <row r="1956">
      <c r="A1956" s="18">
        <f>IF('Journal'!A979="","",'Journal'!A979)</f>
        <v/>
      </c>
      <c r="B1956" s="21">
        <f>IF('Journal'!B979="","",'Journal'!B979)</f>
        <v/>
      </c>
      <c r="C1956" s="5">
        <f>IF('Journal'!C979="","",'Journal'!C979)</f>
        <v/>
      </c>
      <c r="D1956" s="5">
        <f>IF('Journal'!E979="","",IFERROR(LEFT('Journal'!E979,FIND(" ",'Journal'!E979)-1),'Journal'!E979))</f>
        <v/>
      </c>
      <c r="E1956" s="5">
        <f>IF('Journal'!E979="","",IFERROR(INDEX('Kontoplan'!$B$3:$B$302,MATCH('Journal'!E979,'Kontoplan'!$H$3:$H$302,0)),""))</f>
        <v/>
      </c>
      <c r="F1956" s="20">
        <f>IF('Journal'!F979="","",'Journal'!F979)</f>
        <v/>
      </c>
      <c r="G1956" s="20">
        <f>IF('Journal'!G979="","",'Journal'!G979)</f>
        <v/>
      </c>
      <c r="H1956" s="5">
        <f>IF('Journal'!I979="","",'Journal'!I979)</f>
        <v/>
      </c>
    </row>
    <row r="1957">
      <c r="A1957" s="18">
        <f>IF('Journal'!A980="","",'Journal'!A980)</f>
        <v/>
      </c>
      <c r="B1957" s="21">
        <f>IF('Journal'!B980="","",'Journal'!B980)</f>
        <v/>
      </c>
      <c r="C1957" s="5">
        <f>IF('Journal'!C980="","",'Journal'!C980)</f>
        <v/>
      </c>
      <c r="D1957" s="5">
        <f>IF('Journal'!D980="","",IFERROR(LEFT('Journal'!D980,FIND(" ",'Journal'!D980)-1),'Journal'!D980))</f>
        <v/>
      </c>
      <c r="E1957" s="5">
        <f>IF('Journal'!D980="","",IFERROR(INDEX('Kontoplan'!$B$3:$B$302,MATCH('Journal'!D980,'Kontoplan'!$H$3:$H$302,0)),""))</f>
        <v/>
      </c>
      <c r="F1957" s="20">
        <f>IF('Journal'!G980="","",'Journal'!G980)</f>
        <v/>
      </c>
      <c r="G1957" s="20">
        <f>IF('Journal'!F980="","",'Journal'!F980)</f>
        <v/>
      </c>
      <c r="H1957" s="5">
        <f>IF('Journal'!I980="","",'Journal'!I980)</f>
        <v/>
      </c>
    </row>
    <row r="1958">
      <c r="A1958" s="18">
        <f>IF('Journal'!A980="","",'Journal'!A980)</f>
        <v/>
      </c>
      <c r="B1958" s="21">
        <f>IF('Journal'!B980="","",'Journal'!B980)</f>
        <v/>
      </c>
      <c r="C1958" s="5">
        <f>IF('Journal'!C980="","",'Journal'!C980)</f>
        <v/>
      </c>
      <c r="D1958" s="5">
        <f>IF('Journal'!E980="","",IFERROR(LEFT('Journal'!E980,FIND(" ",'Journal'!E980)-1),'Journal'!E980))</f>
        <v/>
      </c>
      <c r="E1958" s="5">
        <f>IF('Journal'!E980="","",IFERROR(INDEX('Kontoplan'!$B$3:$B$302,MATCH('Journal'!E980,'Kontoplan'!$H$3:$H$302,0)),""))</f>
        <v/>
      </c>
      <c r="F1958" s="20">
        <f>IF('Journal'!F980="","",'Journal'!F980)</f>
        <v/>
      </c>
      <c r="G1958" s="20">
        <f>IF('Journal'!G980="","",'Journal'!G980)</f>
        <v/>
      </c>
      <c r="H1958" s="5">
        <f>IF('Journal'!I980="","",'Journal'!I980)</f>
        <v/>
      </c>
    </row>
    <row r="1959">
      <c r="A1959" s="18">
        <f>IF('Journal'!A981="","",'Journal'!A981)</f>
        <v/>
      </c>
      <c r="B1959" s="21">
        <f>IF('Journal'!B981="","",'Journal'!B981)</f>
        <v/>
      </c>
      <c r="C1959" s="5">
        <f>IF('Journal'!C981="","",'Journal'!C981)</f>
        <v/>
      </c>
      <c r="D1959" s="5">
        <f>IF('Journal'!D981="","",IFERROR(LEFT('Journal'!D981,FIND(" ",'Journal'!D981)-1),'Journal'!D981))</f>
        <v/>
      </c>
      <c r="E1959" s="5">
        <f>IF('Journal'!D981="","",IFERROR(INDEX('Kontoplan'!$B$3:$B$302,MATCH('Journal'!D981,'Kontoplan'!$H$3:$H$302,0)),""))</f>
        <v/>
      </c>
      <c r="F1959" s="20">
        <f>IF('Journal'!G981="","",'Journal'!G981)</f>
        <v/>
      </c>
      <c r="G1959" s="20">
        <f>IF('Journal'!F981="","",'Journal'!F981)</f>
        <v/>
      </c>
      <c r="H1959" s="5">
        <f>IF('Journal'!I981="","",'Journal'!I981)</f>
        <v/>
      </c>
    </row>
    <row r="1960">
      <c r="A1960" s="18">
        <f>IF('Journal'!A981="","",'Journal'!A981)</f>
        <v/>
      </c>
      <c r="B1960" s="21">
        <f>IF('Journal'!B981="","",'Journal'!B981)</f>
        <v/>
      </c>
      <c r="C1960" s="5">
        <f>IF('Journal'!C981="","",'Journal'!C981)</f>
        <v/>
      </c>
      <c r="D1960" s="5">
        <f>IF('Journal'!E981="","",IFERROR(LEFT('Journal'!E981,FIND(" ",'Journal'!E981)-1),'Journal'!E981))</f>
        <v/>
      </c>
      <c r="E1960" s="5">
        <f>IF('Journal'!E981="","",IFERROR(INDEX('Kontoplan'!$B$3:$B$302,MATCH('Journal'!E981,'Kontoplan'!$H$3:$H$302,0)),""))</f>
        <v/>
      </c>
      <c r="F1960" s="20">
        <f>IF('Journal'!F981="","",'Journal'!F981)</f>
        <v/>
      </c>
      <c r="G1960" s="20">
        <f>IF('Journal'!G981="","",'Journal'!G981)</f>
        <v/>
      </c>
      <c r="H1960" s="5">
        <f>IF('Journal'!I981="","",'Journal'!I981)</f>
        <v/>
      </c>
    </row>
    <row r="1961">
      <c r="A1961" s="18">
        <f>IF('Journal'!A982="","",'Journal'!A982)</f>
        <v/>
      </c>
      <c r="B1961" s="21">
        <f>IF('Journal'!B982="","",'Journal'!B982)</f>
        <v/>
      </c>
      <c r="C1961" s="5">
        <f>IF('Journal'!C982="","",'Journal'!C982)</f>
        <v/>
      </c>
      <c r="D1961" s="5">
        <f>IF('Journal'!D982="","",IFERROR(LEFT('Journal'!D982,FIND(" ",'Journal'!D982)-1),'Journal'!D982))</f>
        <v/>
      </c>
      <c r="E1961" s="5">
        <f>IF('Journal'!D982="","",IFERROR(INDEX('Kontoplan'!$B$3:$B$302,MATCH('Journal'!D982,'Kontoplan'!$H$3:$H$302,0)),""))</f>
        <v/>
      </c>
      <c r="F1961" s="20">
        <f>IF('Journal'!G982="","",'Journal'!G982)</f>
        <v/>
      </c>
      <c r="G1961" s="20">
        <f>IF('Journal'!F982="","",'Journal'!F982)</f>
        <v/>
      </c>
      <c r="H1961" s="5">
        <f>IF('Journal'!I982="","",'Journal'!I982)</f>
        <v/>
      </c>
    </row>
    <row r="1962">
      <c r="A1962" s="18">
        <f>IF('Journal'!A982="","",'Journal'!A982)</f>
        <v/>
      </c>
      <c r="B1962" s="21">
        <f>IF('Journal'!B982="","",'Journal'!B982)</f>
        <v/>
      </c>
      <c r="C1962" s="5">
        <f>IF('Journal'!C982="","",'Journal'!C982)</f>
        <v/>
      </c>
      <c r="D1962" s="5">
        <f>IF('Journal'!E982="","",IFERROR(LEFT('Journal'!E982,FIND(" ",'Journal'!E982)-1),'Journal'!E982))</f>
        <v/>
      </c>
      <c r="E1962" s="5">
        <f>IF('Journal'!E982="","",IFERROR(INDEX('Kontoplan'!$B$3:$B$302,MATCH('Journal'!E982,'Kontoplan'!$H$3:$H$302,0)),""))</f>
        <v/>
      </c>
      <c r="F1962" s="20">
        <f>IF('Journal'!F982="","",'Journal'!F982)</f>
        <v/>
      </c>
      <c r="G1962" s="20">
        <f>IF('Journal'!G982="","",'Journal'!G982)</f>
        <v/>
      </c>
      <c r="H1962" s="5">
        <f>IF('Journal'!I982="","",'Journal'!I982)</f>
        <v/>
      </c>
    </row>
    <row r="1963">
      <c r="A1963" s="18">
        <f>IF('Journal'!A983="","",'Journal'!A983)</f>
        <v/>
      </c>
      <c r="B1963" s="21">
        <f>IF('Journal'!B983="","",'Journal'!B983)</f>
        <v/>
      </c>
      <c r="C1963" s="5">
        <f>IF('Journal'!C983="","",'Journal'!C983)</f>
        <v/>
      </c>
      <c r="D1963" s="5">
        <f>IF('Journal'!D983="","",IFERROR(LEFT('Journal'!D983,FIND(" ",'Journal'!D983)-1),'Journal'!D983))</f>
        <v/>
      </c>
      <c r="E1963" s="5">
        <f>IF('Journal'!D983="","",IFERROR(INDEX('Kontoplan'!$B$3:$B$302,MATCH('Journal'!D983,'Kontoplan'!$H$3:$H$302,0)),""))</f>
        <v/>
      </c>
      <c r="F1963" s="20">
        <f>IF('Journal'!G983="","",'Journal'!G983)</f>
        <v/>
      </c>
      <c r="G1963" s="20">
        <f>IF('Journal'!F983="","",'Journal'!F983)</f>
        <v/>
      </c>
      <c r="H1963" s="5">
        <f>IF('Journal'!I983="","",'Journal'!I983)</f>
        <v/>
      </c>
    </row>
    <row r="1964">
      <c r="A1964" s="18">
        <f>IF('Journal'!A983="","",'Journal'!A983)</f>
        <v/>
      </c>
      <c r="B1964" s="21">
        <f>IF('Journal'!B983="","",'Journal'!B983)</f>
        <v/>
      </c>
      <c r="C1964" s="5">
        <f>IF('Journal'!C983="","",'Journal'!C983)</f>
        <v/>
      </c>
      <c r="D1964" s="5">
        <f>IF('Journal'!E983="","",IFERROR(LEFT('Journal'!E983,FIND(" ",'Journal'!E983)-1),'Journal'!E983))</f>
        <v/>
      </c>
      <c r="E1964" s="5">
        <f>IF('Journal'!E983="","",IFERROR(INDEX('Kontoplan'!$B$3:$B$302,MATCH('Journal'!E983,'Kontoplan'!$H$3:$H$302,0)),""))</f>
        <v/>
      </c>
      <c r="F1964" s="20">
        <f>IF('Journal'!F983="","",'Journal'!F983)</f>
        <v/>
      </c>
      <c r="G1964" s="20">
        <f>IF('Journal'!G983="","",'Journal'!G983)</f>
        <v/>
      </c>
      <c r="H1964" s="5">
        <f>IF('Journal'!I983="","",'Journal'!I983)</f>
        <v/>
      </c>
    </row>
    <row r="1965">
      <c r="A1965" s="18">
        <f>IF('Journal'!A984="","",'Journal'!A984)</f>
        <v/>
      </c>
      <c r="B1965" s="21">
        <f>IF('Journal'!B984="","",'Journal'!B984)</f>
        <v/>
      </c>
      <c r="C1965" s="5">
        <f>IF('Journal'!C984="","",'Journal'!C984)</f>
        <v/>
      </c>
      <c r="D1965" s="5">
        <f>IF('Journal'!D984="","",IFERROR(LEFT('Journal'!D984,FIND(" ",'Journal'!D984)-1),'Journal'!D984))</f>
        <v/>
      </c>
      <c r="E1965" s="5">
        <f>IF('Journal'!D984="","",IFERROR(INDEX('Kontoplan'!$B$3:$B$302,MATCH('Journal'!D984,'Kontoplan'!$H$3:$H$302,0)),""))</f>
        <v/>
      </c>
      <c r="F1965" s="20">
        <f>IF('Journal'!G984="","",'Journal'!G984)</f>
        <v/>
      </c>
      <c r="G1965" s="20">
        <f>IF('Journal'!F984="","",'Journal'!F984)</f>
        <v/>
      </c>
      <c r="H1965" s="5">
        <f>IF('Journal'!I984="","",'Journal'!I984)</f>
        <v/>
      </c>
    </row>
    <row r="1966">
      <c r="A1966" s="18">
        <f>IF('Journal'!A984="","",'Journal'!A984)</f>
        <v/>
      </c>
      <c r="B1966" s="21">
        <f>IF('Journal'!B984="","",'Journal'!B984)</f>
        <v/>
      </c>
      <c r="C1966" s="5">
        <f>IF('Journal'!C984="","",'Journal'!C984)</f>
        <v/>
      </c>
      <c r="D1966" s="5">
        <f>IF('Journal'!E984="","",IFERROR(LEFT('Journal'!E984,FIND(" ",'Journal'!E984)-1),'Journal'!E984))</f>
        <v/>
      </c>
      <c r="E1966" s="5">
        <f>IF('Journal'!E984="","",IFERROR(INDEX('Kontoplan'!$B$3:$B$302,MATCH('Journal'!E984,'Kontoplan'!$H$3:$H$302,0)),""))</f>
        <v/>
      </c>
      <c r="F1966" s="20">
        <f>IF('Journal'!F984="","",'Journal'!F984)</f>
        <v/>
      </c>
      <c r="G1966" s="20">
        <f>IF('Journal'!G984="","",'Journal'!G984)</f>
        <v/>
      </c>
      <c r="H1966" s="5">
        <f>IF('Journal'!I984="","",'Journal'!I984)</f>
        <v/>
      </c>
    </row>
    <row r="1967">
      <c r="A1967" s="18">
        <f>IF('Journal'!A985="","",'Journal'!A985)</f>
        <v/>
      </c>
      <c r="B1967" s="21">
        <f>IF('Journal'!B985="","",'Journal'!B985)</f>
        <v/>
      </c>
      <c r="C1967" s="5">
        <f>IF('Journal'!C985="","",'Journal'!C985)</f>
        <v/>
      </c>
      <c r="D1967" s="5">
        <f>IF('Journal'!D985="","",IFERROR(LEFT('Journal'!D985,FIND(" ",'Journal'!D985)-1),'Journal'!D985))</f>
        <v/>
      </c>
      <c r="E1967" s="5">
        <f>IF('Journal'!D985="","",IFERROR(INDEX('Kontoplan'!$B$3:$B$302,MATCH('Journal'!D985,'Kontoplan'!$H$3:$H$302,0)),""))</f>
        <v/>
      </c>
      <c r="F1967" s="20">
        <f>IF('Journal'!G985="","",'Journal'!G985)</f>
        <v/>
      </c>
      <c r="G1967" s="20">
        <f>IF('Journal'!F985="","",'Journal'!F985)</f>
        <v/>
      </c>
      <c r="H1967" s="5">
        <f>IF('Journal'!I985="","",'Journal'!I985)</f>
        <v/>
      </c>
    </row>
    <row r="1968">
      <c r="A1968" s="18">
        <f>IF('Journal'!A985="","",'Journal'!A985)</f>
        <v/>
      </c>
      <c r="B1968" s="21">
        <f>IF('Journal'!B985="","",'Journal'!B985)</f>
        <v/>
      </c>
      <c r="C1968" s="5">
        <f>IF('Journal'!C985="","",'Journal'!C985)</f>
        <v/>
      </c>
      <c r="D1968" s="5">
        <f>IF('Journal'!E985="","",IFERROR(LEFT('Journal'!E985,FIND(" ",'Journal'!E985)-1),'Journal'!E985))</f>
        <v/>
      </c>
      <c r="E1968" s="5">
        <f>IF('Journal'!E985="","",IFERROR(INDEX('Kontoplan'!$B$3:$B$302,MATCH('Journal'!E985,'Kontoplan'!$H$3:$H$302,0)),""))</f>
        <v/>
      </c>
      <c r="F1968" s="20">
        <f>IF('Journal'!F985="","",'Journal'!F985)</f>
        <v/>
      </c>
      <c r="G1968" s="20">
        <f>IF('Journal'!G985="","",'Journal'!G985)</f>
        <v/>
      </c>
      <c r="H1968" s="5">
        <f>IF('Journal'!I985="","",'Journal'!I985)</f>
        <v/>
      </c>
    </row>
    <row r="1969">
      <c r="A1969" s="18">
        <f>IF('Journal'!A986="","",'Journal'!A986)</f>
        <v/>
      </c>
      <c r="B1969" s="21">
        <f>IF('Journal'!B986="","",'Journal'!B986)</f>
        <v/>
      </c>
      <c r="C1969" s="5">
        <f>IF('Journal'!C986="","",'Journal'!C986)</f>
        <v/>
      </c>
      <c r="D1969" s="5">
        <f>IF('Journal'!D986="","",IFERROR(LEFT('Journal'!D986,FIND(" ",'Journal'!D986)-1),'Journal'!D986))</f>
        <v/>
      </c>
      <c r="E1969" s="5">
        <f>IF('Journal'!D986="","",IFERROR(INDEX('Kontoplan'!$B$3:$B$302,MATCH('Journal'!D986,'Kontoplan'!$H$3:$H$302,0)),""))</f>
        <v/>
      </c>
      <c r="F1969" s="20">
        <f>IF('Journal'!G986="","",'Journal'!G986)</f>
        <v/>
      </c>
      <c r="G1969" s="20">
        <f>IF('Journal'!F986="","",'Journal'!F986)</f>
        <v/>
      </c>
      <c r="H1969" s="5">
        <f>IF('Journal'!I986="","",'Journal'!I986)</f>
        <v/>
      </c>
    </row>
    <row r="1970">
      <c r="A1970" s="18">
        <f>IF('Journal'!A986="","",'Journal'!A986)</f>
        <v/>
      </c>
      <c r="B1970" s="21">
        <f>IF('Journal'!B986="","",'Journal'!B986)</f>
        <v/>
      </c>
      <c r="C1970" s="5">
        <f>IF('Journal'!C986="","",'Journal'!C986)</f>
        <v/>
      </c>
      <c r="D1970" s="5">
        <f>IF('Journal'!E986="","",IFERROR(LEFT('Journal'!E986,FIND(" ",'Journal'!E986)-1),'Journal'!E986))</f>
        <v/>
      </c>
      <c r="E1970" s="5">
        <f>IF('Journal'!E986="","",IFERROR(INDEX('Kontoplan'!$B$3:$B$302,MATCH('Journal'!E986,'Kontoplan'!$H$3:$H$302,0)),""))</f>
        <v/>
      </c>
      <c r="F1970" s="20">
        <f>IF('Journal'!F986="","",'Journal'!F986)</f>
        <v/>
      </c>
      <c r="G1970" s="20">
        <f>IF('Journal'!G986="","",'Journal'!G986)</f>
        <v/>
      </c>
      <c r="H1970" s="5">
        <f>IF('Journal'!I986="","",'Journal'!I986)</f>
        <v/>
      </c>
    </row>
    <row r="1971">
      <c r="A1971" s="18">
        <f>IF('Journal'!A987="","",'Journal'!A987)</f>
        <v/>
      </c>
      <c r="B1971" s="21">
        <f>IF('Journal'!B987="","",'Journal'!B987)</f>
        <v/>
      </c>
      <c r="C1971" s="5">
        <f>IF('Journal'!C987="","",'Journal'!C987)</f>
        <v/>
      </c>
      <c r="D1971" s="5">
        <f>IF('Journal'!D987="","",IFERROR(LEFT('Journal'!D987,FIND(" ",'Journal'!D987)-1),'Journal'!D987))</f>
        <v/>
      </c>
      <c r="E1971" s="5">
        <f>IF('Journal'!D987="","",IFERROR(INDEX('Kontoplan'!$B$3:$B$302,MATCH('Journal'!D987,'Kontoplan'!$H$3:$H$302,0)),""))</f>
        <v/>
      </c>
      <c r="F1971" s="20">
        <f>IF('Journal'!G987="","",'Journal'!G987)</f>
        <v/>
      </c>
      <c r="G1971" s="20">
        <f>IF('Journal'!F987="","",'Journal'!F987)</f>
        <v/>
      </c>
      <c r="H1971" s="5">
        <f>IF('Journal'!I987="","",'Journal'!I987)</f>
        <v/>
      </c>
    </row>
    <row r="1972">
      <c r="A1972" s="18">
        <f>IF('Journal'!A987="","",'Journal'!A987)</f>
        <v/>
      </c>
      <c r="B1972" s="21">
        <f>IF('Journal'!B987="","",'Journal'!B987)</f>
        <v/>
      </c>
      <c r="C1972" s="5">
        <f>IF('Journal'!C987="","",'Journal'!C987)</f>
        <v/>
      </c>
      <c r="D1972" s="5">
        <f>IF('Journal'!E987="","",IFERROR(LEFT('Journal'!E987,FIND(" ",'Journal'!E987)-1),'Journal'!E987))</f>
        <v/>
      </c>
      <c r="E1972" s="5">
        <f>IF('Journal'!E987="","",IFERROR(INDEX('Kontoplan'!$B$3:$B$302,MATCH('Journal'!E987,'Kontoplan'!$H$3:$H$302,0)),""))</f>
        <v/>
      </c>
      <c r="F1972" s="20">
        <f>IF('Journal'!F987="","",'Journal'!F987)</f>
        <v/>
      </c>
      <c r="G1972" s="20">
        <f>IF('Journal'!G987="","",'Journal'!G987)</f>
        <v/>
      </c>
      <c r="H1972" s="5">
        <f>IF('Journal'!I987="","",'Journal'!I987)</f>
        <v/>
      </c>
    </row>
    <row r="1973">
      <c r="A1973" s="18">
        <f>IF('Journal'!A988="","",'Journal'!A988)</f>
        <v/>
      </c>
      <c r="B1973" s="21">
        <f>IF('Journal'!B988="","",'Journal'!B988)</f>
        <v/>
      </c>
      <c r="C1973" s="5">
        <f>IF('Journal'!C988="","",'Journal'!C988)</f>
        <v/>
      </c>
      <c r="D1973" s="5">
        <f>IF('Journal'!D988="","",IFERROR(LEFT('Journal'!D988,FIND(" ",'Journal'!D988)-1),'Journal'!D988))</f>
        <v/>
      </c>
      <c r="E1973" s="5">
        <f>IF('Journal'!D988="","",IFERROR(INDEX('Kontoplan'!$B$3:$B$302,MATCH('Journal'!D988,'Kontoplan'!$H$3:$H$302,0)),""))</f>
        <v/>
      </c>
      <c r="F1973" s="20">
        <f>IF('Journal'!G988="","",'Journal'!G988)</f>
        <v/>
      </c>
      <c r="G1973" s="20">
        <f>IF('Journal'!F988="","",'Journal'!F988)</f>
        <v/>
      </c>
      <c r="H1973" s="5">
        <f>IF('Journal'!I988="","",'Journal'!I988)</f>
        <v/>
      </c>
    </row>
    <row r="1974">
      <c r="A1974" s="18">
        <f>IF('Journal'!A988="","",'Journal'!A988)</f>
        <v/>
      </c>
      <c r="B1974" s="21">
        <f>IF('Journal'!B988="","",'Journal'!B988)</f>
        <v/>
      </c>
      <c r="C1974" s="5">
        <f>IF('Journal'!C988="","",'Journal'!C988)</f>
        <v/>
      </c>
      <c r="D1974" s="5">
        <f>IF('Journal'!E988="","",IFERROR(LEFT('Journal'!E988,FIND(" ",'Journal'!E988)-1),'Journal'!E988))</f>
        <v/>
      </c>
      <c r="E1974" s="5">
        <f>IF('Journal'!E988="","",IFERROR(INDEX('Kontoplan'!$B$3:$B$302,MATCH('Journal'!E988,'Kontoplan'!$H$3:$H$302,0)),""))</f>
        <v/>
      </c>
      <c r="F1974" s="20">
        <f>IF('Journal'!F988="","",'Journal'!F988)</f>
        <v/>
      </c>
      <c r="G1974" s="20">
        <f>IF('Journal'!G988="","",'Journal'!G988)</f>
        <v/>
      </c>
      <c r="H1974" s="5">
        <f>IF('Journal'!I988="","",'Journal'!I988)</f>
        <v/>
      </c>
    </row>
    <row r="1975">
      <c r="A1975" s="18">
        <f>IF('Journal'!A989="","",'Journal'!A989)</f>
        <v/>
      </c>
      <c r="B1975" s="21">
        <f>IF('Journal'!B989="","",'Journal'!B989)</f>
        <v/>
      </c>
      <c r="C1975" s="5">
        <f>IF('Journal'!C989="","",'Journal'!C989)</f>
        <v/>
      </c>
      <c r="D1975" s="5">
        <f>IF('Journal'!D989="","",IFERROR(LEFT('Journal'!D989,FIND(" ",'Journal'!D989)-1),'Journal'!D989))</f>
        <v/>
      </c>
      <c r="E1975" s="5">
        <f>IF('Journal'!D989="","",IFERROR(INDEX('Kontoplan'!$B$3:$B$302,MATCH('Journal'!D989,'Kontoplan'!$H$3:$H$302,0)),""))</f>
        <v/>
      </c>
      <c r="F1975" s="20">
        <f>IF('Journal'!G989="","",'Journal'!G989)</f>
        <v/>
      </c>
      <c r="G1975" s="20">
        <f>IF('Journal'!F989="","",'Journal'!F989)</f>
        <v/>
      </c>
      <c r="H1975" s="5">
        <f>IF('Journal'!I989="","",'Journal'!I989)</f>
        <v/>
      </c>
    </row>
    <row r="1976">
      <c r="A1976" s="18">
        <f>IF('Journal'!A989="","",'Journal'!A989)</f>
        <v/>
      </c>
      <c r="B1976" s="21">
        <f>IF('Journal'!B989="","",'Journal'!B989)</f>
        <v/>
      </c>
      <c r="C1976" s="5">
        <f>IF('Journal'!C989="","",'Journal'!C989)</f>
        <v/>
      </c>
      <c r="D1976" s="5">
        <f>IF('Journal'!E989="","",IFERROR(LEFT('Journal'!E989,FIND(" ",'Journal'!E989)-1),'Journal'!E989))</f>
        <v/>
      </c>
      <c r="E1976" s="5">
        <f>IF('Journal'!E989="","",IFERROR(INDEX('Kontoplan'!$B$3:$B$302,MATCH('Journal'!E989,'Kontoplan'!$H$3:$H$302,0)),""))</f>
        <v/>
      </c>
      <c r="F1976" s="20">
        <f>IF('Journal'!F989="","",'Journal'!F989)</f>
        <v/>
      </c>
      <c r="G1976" s="20">
        <f>IF('Journal'!G989="","",'Journal'!G989)</f>
        <v/>
      </c>
      <c r="H1976" s="5">
        <f>IF('Journal'!I989="","",'Journal'!I989)</f>
        <v/>
      </c>
    </row>
    <row r="1977">
      <c r="A1977" s="18">
        <f>IF('Journal'!A990="","",'Journal'!A990)</f>
        <v/>
      </c>
      <c r="B1977" s="21">
        <f>IF('Journal'!B990="","",'Journal'!B990)</f>
        <v/>
      </c>
      <c r="C1977" s="5">
        <f>IF('Journal'!C990="","",'Journal'!C990)</f>
        <v/>
      </c>
      <c r="D1977" s="5">
        <f>IF('Journal'!D990="","",IFERROR(LEFT('Journal'!D990,FIND(" ",'Journal'!D990)-1),'Journal'!D990))</f>
        <v/>
      </c>
      <c r="E1977" s="5">
        <f>IF('Journal'!D990="","",IFERROR(INDEX('Kontoplan'!$B$3:$B$302,MATCH('Journal'!D990,'Kontoplan'!$H$3:$H$302,0)),""))</f>
        <v/>
      </c>
      <c r="F1977" s="20">
        <f>IF('Journal'!G990="","",'Journal'!G990)</f>
        <v/>
      </c>
      <c r="G1977" s="20">
        <f>IF('Journal'!F990="","",'Journal'!F990)</f>
        <v/>
      </c>
      <c r="H1977" s="5">
        <f>IF('Journal'!I990="","",'Journal'!I990)</f>
        <v/>
      </c>
    </row>
    <row r="1978">
      <c r="A1978" s="18">
        <f>IF('Journal'!A990="","",'Journal'!A990)</f>
        <v/>
      </c>
      <c r="B1978" s="21">
        <f>IF('Journal'!B990="","",'Journal'!B990)</f>
        <v/>
      </c>
      <c r="C1978" s="5">
        <f>IF('Journal'!C990="","",'Journal'!C990)</f>
        <v/>
      </c>
      <c r="D1978" s="5">
        <f>IF('Journal'!E990="","",IFERROR(LEFT('Journal'!E990,FIND(" ",'Journal'!E990)-1),'Journal'!E990))</f>
        <v/>
      </c>
      <c r="E1978" s="5">
        <f>IF('Journal'!E990="","",IFERROR(INDEX('Kontoplan'!$B$3:$B$302,MATCH('Journal'!E990,'Kontoplan'!$H$3:$H$302,0)),""))</f>
        <v/>
      </c>
      <c r="F1978" s="20">
        <f>IF('Journal'!F990="","",'Journal'!F990)</f>
        <v/>
      </c>
      <c r="G1978" s="20">
        <f>IF('Journal'!G990="","",'Journal'!G990)</f>
        <v/>
      </c>
      <c r="H1978" s="5">
        <f>IF('Journal'!I990="","",'Journal'!I990)</f>
        <v/>
      </c>
    </row>
    <row r="1979">
      <c r="A1979" s="18">
        <f>IF('Journal'!A991="","",'Journal'!A991)</f>
        <v/>
      </c>
      <c r="B1979" s="21">
        <f>IF('Journal'!B991="","",'Journal'!B991)</f>
        <v/>
      </c>
      <c r="C1979" s="5">
        <f>IF('Journal'!C991="","",'Journal'!C991)</f>
        <v/>
      </c>
      <c r="D1979" s="5">
        <f>IF('Journal'!D991="","",IFERROR(LEFT('Journal'!D991,FIND(" ",'Journal'!D991)-1),'Journal'!D991))</f>
        <v/>
      </c>
      <c r="E1979" s="5">
        <f>IF('Journal'!D991="","",IFERROR(INDEX('Kontoplan'!$B$3:$B$302,MATCH('Journal'!D991,'Kontoplan'!$H$3:$H$302,0)),""))</f>
        <v/>
      </c>
      <c r="F1979" s="20">
        <f>IF('Journal'!G991="","",'Journal'!G991)</f>
        <v/>
      </c>
      <c r="G1979" s="20">
        <f>IF('Journal'!F991="","",'Journal'!F991)</f>
        <v/>
      </c>
      <c r="H1979" s="5">
        <f>IF('Journal'!I991="","",'Journal'!I991)</f>
        <v/>
      </c>
    </row>
    <row r="1980">
      <c r="A1980" s="18">
        <f>IF('Journal'!A991="","",'Journal'!A991)</f>
        <v/>
      </c>
      <c r="B1980" s="21">
        <f>IF('Journal'!B991="","",'Journal'!B991)</f>
        <v/>
      </c>
      <c r="C1980" s="5">
        <f>IF('Journal'!C991="","",'Journal'!C991)</f>
        <v/>
      </c>
      <c r="D1980" s="5">
        <f>IF('Journal'!E991="","",IFERROR(LEFT('Journal'!E991,FIND(" ",'Journal'!E991)-1),'Journal'!E991))</f>
        <v/>
      </c>
      <c r="E1980" s="5">
        <f>IF('Journal'!E991="","",IFERROR(INDEX('Kontoplan'!$B$3:$B$302,MATCH('Journal'!E991,'Kontoplan'!$H$3:$H$302,0)),""))</f>
        <v/>
      </c>
      <c r="F1980" s="20">
        <f>IF('Journal'!F991="","",'Journal'!F991)</f>
        <v/>
      </c>
      <c r="G1980" s="20">
        <f>IF('Journal'!G991="","",'Journal'!G991)</f>
        <v/>
      </c>
      <c r="H1980" s="5">
        <f>IF('Journal'!I991="","",'Journal'!I991)</f>
        <v/>
      </c>
    </row>
    <row r="1981">
      <c r="A1981" s="18">
        <f>IF('Journal'!A992="","",'Journal'!A992)</f>
        <v/>
      </c>
      <c r="B1981" s="21">
        <f>IF('Journal'!B992="","",'Journal'!B992)</f>
        <v/>
      </c>
      <c r="C1981" s="5">
        <f>IF('Journal'!C992="","",'Journal'!C992)</f>
        <v/>
      </c>
      <c r="D1981" s="5">
        <f>IF('Journal'!D992="","",IFERROR(LEFT('Journal'!D992,FIND(" ",'Journal'!D992)-1),'Journal'!D992))</f>
        <v/>
      </c>
      <c r="E1981" s="5">
        <f>IF('Journal'!D992="","",IFERROR(INDEX('Kontoplan'!$B$3:$B$302,MATCH('Journal'!D992,'Kontoplan'!$H$3:$H$302,0)),""))</f>
        <v/>
      </c>
      <c r="F1981" s="20">
        <f>IF('Journal'!G992="","",'Journal'!G992)</f>
        <v/>
      </c>
      <c r="G1981" s="20">
        <f>IF('Journal'!F992="","",'Journal'!F992)</f>
        <v/>
      </c>
      <c r="H1981" s="5">
        <f>IF('Journal'!I992="","",'Journal'!I992)</f>
        <v/>
      </c>
    </row>
    <row r="1982">
      <c r="A1982" s="18">
        <f>IF('Journal'!A992="","",'Journal'!A992)</f>
        <v/>
      </c>
      <c r="B1982" s="21">
        <f>IF('Journal'!B992="","",'Journal'!B992)</f>
        <v/>
      </c>
      <c r="C1982" s="5">
        <f>IF('Journal'!C992="","",'Journal'!C992)</f>
        <v/>
      </c>
      <c r="D1982" s="5">
        <f>IF('Journal'!E992="","",IFERROR(LEFT('Journal'!E992,FIND(" ",'Journal'!E992)-1),'Journal'!E992))</f>
        <v/>
      </c>
      <c r="E1982" s="5">
        <f>IF('Journal'!E992="","",IFERROR(INDEX('Kontoplan'!$B$3:$B$302,MATCH('Journal'!E992,'Kontoplan'!$H$3:$H$302,0)),""))</f>
        <v/>
      </c>
      <c r="F1982" s="20">
        <f>IF('Journal'!F992="","",'Journal'!F992)</f>
        <v/>
      </c>
      <c r="G1982" s="20">
        <f>IF('Journal'!G992="","",'Journal'!G992)</f>
        <v/>
      </c>
      <c r="H1982" s="5">
        <f>IF('Journal'!I992="","",'Journal'!I992)</f>
        <v/>
      </c>
    </row>
    <row r="1983">
      <c r="A1983" s="18">
        <f>IF('Journal'!A993="","",'Journal'!A993)</f>
        <v/>
      </c>
      <c r="B1983" s="21">
        <f>IF('Journal'!B993="","",'Journal'!B993)</f>
        <v/>
      </c>
      <c r="C1983" s="5">
        <f>IF('Journal'!C993="","",'Journal'!C993)</f>
        <v/>
      </c>
      <c r="D1983" s="5">
        <f>IF('Journal'!D993="","",IFERROR(LEFT('Journal'!D993,FIND(" ",'Journal'!D993)-1),'Journal'!D993))</f>
        <v/>
      </c>
      <c r="E1983" s="5">
        <f>IF('Journal'!D993="","",IFERROR(INDEX('Kontoplan'!$B$3:$B$302,MATCH('Journal'!D993,'Kontoplan'!$H$3:$H$302,0)),""))</f>
        <v/>
      </c>
      <c r="F1983" s="20">
        <f>IF('Journal'!G993="","",'Journal'!G993)</f>
        <v/>
      </c>
      <c r="G1983" s="20">
        <f>IF('Journal'!F993="","",'Journal'!F993)</f>
        <v/>
      </c>
      <c r="H1983" s="5">
        <f>IF('Journal'!I993="","",'Journal'!I993)</f>
        <v/>
      </c>
    </row>
    <row r="1984">
      <c r="A1984" s="18">
        <f>IF('Journal'!A993="","",'Journal'!A993)</f>
        <v/>
      </c>
      <c r="B1984" s="21">
        <f>IF('Journal'!B993="","",'Journal'!B993)</f>
        <v/>
      </c>
      <c r="C1984" s="5">
        <f>IF('Journal'!C993="","",'Journal'!C993)</f>
        <v/>
      </c>
      <c r="D1984" s="5">
        <f>IF('Journal'!E993="","",IFERROR(LEFT('Journal'!E993,FIND(" ",'Journal'!E993)-1),'Journal'!E993))</f>
        <v/>
      </c>
      <c r="E1984" s="5">
        <f>IF('Journal'!E993="","",IFERROR(INDEX('Kontoplan'!$B$3:$B$302,MATCH('Journal'!E993,'Kontoplan'!$H$3:$H$302,0)),""))</f>
        <v/>
      </c>
      <c r="F1984" s="20">
        <f>IF('Journal'!F993="","",'Journal'!F993)</f>
        <v/>
      </c>
      <c r="G1984" s="20">
        <f>IF('Journal'!G993="","",'Journal'!G993)</f>
        <v/>
      </c>
      <c r="H1984" s="5">
        <f>IF('Journal'!I993="","",'Journal'!I993)</f>
        <v/>
      </c>
    </row>
    <row r="1985">
      <c r="A1985" s="18">
        <f>IF('Journal'!A994="","",'Journal'!A994)</f>
        <v/>
      </c>
      <c r="B1985" s="21">
        <f>IF('Journal'!B994="","",'Journal'!B994)</f>
        <v/>
      </c>
      <c r="C1985" s="5">
        <f>IF('Journal'!C994="","",'Journal'!C994)</f>
        <v/>
      </c>
      <c r="D1985" s="5">
        <f>IF('Journal'!D994="","",IFERROR(LEFT('Journal'!D994,FIND(" ",'Journal'!D994)-1),'Journal'!D994))</f>
        <v/>
      </c>
      <c r="E1985" s="5">
        <f>IF('Journal'!D994="","",IFERROR(INDEX('Kontoplan'!$B$3:$B$302,MATCH('Journal'!D994,'Kontoplan'!$H$3:$H$302,0)),""))</f>
        <v/>
      </c>
      <c r="F1985" s="20">
        <f>IF('Journal'!G994="","",'Journal'!G994)</f>
        <v/>
      </c>
      <c r="G1985" s="20">
        <f>IF('Journal'!F994="","",'Journal'!F994)</f>
        <v/>
      </c>
      <c r="H1985" s="5">
        <f>IF('Journal'!I994="","",'Journal'!I994)</f>
        <v/>
      </c>
    </row>
    <row r="1986">
      <c r="A1986" s="18">
        <f>IF('Journal'!A994="","",'Journal'!A994)</f>
        <v/>
      </c>
      <c r="B1986" s="21">
        <f>IF('Journal'!B994="","",'Journal'!B994)</f>
        <v/>
      </c>
      <c r="C1986" s="5">
        <f>IF('Journal'!C994="","",'Journal'!C994)</f>
        <v/>
      </c>
      <c r="D1986" s="5">
        <f>IF('Journal'!E994="","",IFERROR(LEFT('Journal'!E994,FIND(" ",'Journal'!E994)-1),'Journal'!E994))</f>
        <v/>
      </c>
      <c r="E1986" s="5">
        <f>IF('Journal'!E994="","",IFERROR(INDEX('Kontoplan'!$B$3:$B$302,MATCH('Journal'!E994,'Kontoplan'!$H$3:$H$302,0)),""))</f>
        <v/>
      </c>
      <c r="F1986" s="20">
        <f>IF('Journal'!F994="","",'Journal'!F994)</f>
        <v/>
      </c>
      <c r="G1986" s="20">
        <f>IF('Journal'!G994="","",'Journal'!G994)</f>
        <v/>
      </c>
      <c r="H1986" s="5">
        <f>IF('Journal'!I994="","",'Journal'!I994)</f>
        <v/>
      </c>
    </row>
    <row r="1987">
      <c r="A1987" s="18">
        <f>IF('Journal'!A995="","",'Journal'!A995)</f>
        <v/>
      </c>
      <c r="B1987" s="21">
        <f>IF('Journal'!B995="","",'Journal'!B995)</f>
        <v/>
      </c>
      <c r="C1987" s="5">
        <f>IF('Journal'!C995="","",'Journal'!C995)</f>
        <v/>
      </c>
      <c r="D1987" s="5">
        <f>IF('Journal'!D995="","",IFERROR(LEFT('Journal'!D995,FIND(" ",'Journal'!D995)-1),'Journal'!D995))</f>
        <v/>
      </c>
      <c r="E1987" s="5">
        <f>IF('Journal'!D995="","",IFERROR(INDEX('Kontoplan'!$B$3:$B$302,MATCH('Journal'!D995,'Kontoplan'!$H$3:$H$302,0)),""))</f>
        <v/>
      </c>
      <c r="F1987" s="20">
        <f>IF('Journal'!G995="","",'Journal'!G995)</f>
        <v/>
      </c>
      <c r="G1987" s="20">
        <f>IF('Journal'!F995="","",'Journal'!F995)</f>
        <v/>
      </c>
      <c r="H1987" s="5">
        <f>IF('Journal'!I995="","",'Journal'!I995)</f>
        <v/>
      </c>
    </row>
    <row r="1988">
      <c r="A1988" s="18">
        <f>IF('Journal'!A995="","",'Journal'!A995)</f>
        <v/>
      </c>
      <c r="B1988" s="21">
        <f>IF('Journal'!B995="","",'Journal'!B995)</f>
        <v/>
      </c>
      <c r="C1988" s="5">
        <f>IF('Journal'!C995="","",'Journal'!C995)</f>
        <v/>
      </c>
      <c r="D1988" s="5">
        <f>IF('Journal'!E995="","",IFERROR(LEFT('Journal'!E995,FIND(" ",'Journal'!E995)-1),'Journal'!E995))</f>
        <v/>
      </c>
      <c r="E1988" s="5">
        <f>IF('Journal'!E995="","",IFERROR(INDEX('Kontoplan'!$B$3:$B$302,MATCH('Journal'!E995,'Kontoplan'!$H$3:$H$302,0)),""))</f>
        <v/>
      </c>
      <c r="F1988" s="20">
        <f>IF('Journal'!F995="","",'Journal'!F995)</f>
        <v/>
      </c>
      <c r="G1988" s="20">
        <f>IF('Journal'!G995="","",'Journal'!G995)</f>
        <v/>
      </c>
      <c r="H1988" s="5">
        <f>IF('Journal'!I995="","",'Journal'!I995)</f>
        <v/>
      </c>
    </row>
    <row r="1989">
      <c r="A1989" s="18">
        <f>IF('Journal'!A996="","",'Journal'!A996)</f>
        <v/>
      </c>
      <c r="B1989" s="21">
        <f>IF('Journal'!B996="","",'Journal'!B996)</f>
        <v/>
      </c>
      <c r="C1989" s="5">
        <f>IF('Journal'!C996="","",'Journal'!C996)</f>
        <v/>
      </c>
      <c r="D1989" s="5">
        <f>IF('Journal'!D996="","",IFERROR(LEFT('Journal'!D996,FIND(" ",'Journal'!D996)-1),'Journal'!D996))</f>
        <v/>
      </c>
      <c r="E1989" s="5">
        <f>IF('Journal'!D996="","",IFERROR(INDEX('Kontoplan'!$B$3:$B$302,MATCH('Journal'!D996,'Kontoplan'!$H$3:$H$302,0)),""))</f>
        <v/>
      </c>
      <c r="F1989" s="20">
        <f>IF('Journal'!G996="","",'Journal'!G996)</f>
        <v/>
      </c>
      <c r="G1989" s="20">
        <f>IF('Journal'!F996="","",'Journal'!F996)</f>
        <v/>
      </c>
      <c r="H1989" s="5">
        <f>IF('Journal'!I996="","",'Journal'!I996)</f>
        <v/>
      </c>
    </row>
    <row r="1990">
      <c r="A1990" s="18">
        <f>IF('Journal'!A996="","",'Journal'!A996)</f>
        <v/>
      </c>
      <c r="B1990" s="21">
        <f>IF('Journal'!B996="","",'Journal'!B996)</f>
        <v/>
      </c>
      <c r="C1990" s="5">
        <f>IF('Journal'!C996="","",'Journal'!C996)</f>
        <v/>
      </c>
      <c r="D1990" s="5">
        <f>IF('Journal'!E996="","",IFERROR(LEFT('Journal'!E996,FIND(" ",'Journal'!E996)-1),'Journal'!E996))</f>
        <v/>
      </c>
      <c r="E1990" s="5">
        <f>IF('Journal'!E996="","",IFERROR(INDEX('Kontoplan'!$B$3:$B$302,MATCH('Journal'!E996,'Kontoplan'!$H$3:$H$302,0)),""))</f>
        <v/>
      </c>
      <c r="F1990" s="20">
        <f>IF('Journal'!F996="","",'Journal'!F996)</f>
        <v/>
      </c>
      <c r="G1990" s="20">
        <f>IF('Journal'!G996="","",'Journal'!G996)</f>
        <v/>
      </c>
      <c r="H1990" s="5">
        <f>IF('Journal'!I996="","",'Journal'!I996)</f>
        <v/>
      </c>
    </row>
    <row r="1991">
      <c r="A1991" s="18">
        <f>IF('Journal'!A997="","",'Journal'!A997)</f>
        <v/>
      </c>
      <c r="B1991" s="21">
        <f>IF('Journal'!B997="","",'Journal'!B997)</f>
        <v/>
      </c>
      <c r="C1991" s="5">
        <f>IF('Journal'!C997="","",'Journal'!C997)</f>
        <v/>
      </c>
      <c r="D1991" s="5">
        <f>IF('Journal'!D997="","",IFERROR(LEFT('Journal'!D997,FIND(" ",'Journal'!D997)-1),'Journal'!D997))</f>
        <v/>
      </c>
      <c r="E1991" s="5">
        <f>IF('Journal'!D997="","",IFERROR(INDEX('Kontoplan'!$B$3:$B$302,MATCH('Journal'!D997,'Kontoplan'!$H$3:$H$302,0)),""))</f>
        <v/>
      </c>
      <c r="F1991" s="20">
        <f>IF('Journal'!G997="","",'Journal'!G997)</f>
        <v/>
      </c>
      <c r="G1991" s="20">
        <f>IF('Journal'!F997="","",'Journal'!F997)</f>
        <v/>
      </c>
      <c r="H1991" s="5">
        <f>IF('Journal'!I997="","",'Journal'!I997)</f>
        <v/>
      </c>
    </row>
    <row r="1992">
      <c r="A1992" s="18">
        <f>IF('Journal'!A997="","",'Journal'!A997)</f>
        <v/>
      </c>
      <c r="B1992" s="21">
        <f>IF('Journal'!B997="","",'Journal'!B997)</f>
        <v/>
      </c>
      <c r="C1992" s="5">
        <f>IF('Journal'!C997="","",'Journal'!C997)</f>
        <v/>
      </c>
      <c r="D1992" s="5">
        <f>IF('Journal'!E997="","",IFERROR(LEFT('Journal'!E997,FIND(" ",'Journal'!E997)-1),'Journal'!E997))</f>
        <v/>
      </c>
      <c r="E1992" s="5">
        <f>IF('Journal'!E997="","",IFERROR(INDEX('Kontoplan'!$B$3:$B$302,MATCH('Journal'!E997,'Kontoplan'!$H$3:$H$302,0)),""))</f>
        <v/>
      </c>
      <c r="F1992" s="20">
        <f>IF('Journal'!F997="","",'Journal'!F997)</f>
        <v/>
      </c>
      <c r="G1992" s="20">
        <f>IF('Journal'!G997="","",'Journal'!G997)</f>
        <v/>
      </c>
      <c r="H1992" s="5">
        <f>IF('Journal'!I997="","",'Journal'!I997)</f>
        <v/>
      </c>
    </row>
    <row r="1993">
      <c r="A1993" s="18">
        <f>IF('Journal'!A998="","",'Journal'!A998)</f>
        <v/>
      </c>
      <c r="B1993" s="21">
        <f>IF('Journal'!B998="","",'Journal'!B998)</f>
        <v/>
      </c>
      <c r="C1993" s="5">
        <f>IF('Journal'!C998="","",'Journal'!C998)</f>
        <v/>
      </c>
      <c r="D1993" s="5">
        <f>IF('Journal'!D998="","",IFERROR(LEFT('Journal'!D998,FIND(" ",'Journal'!D998)-1),'Journal'!D998))</f>
        <v/>
      </c>
      <c r="E1993" s="5">
        <f>IF('Journal'!D998="","",IFERROR(INDEX('Kontoplan'!$B$3:$B$302,MATCH('Journal'!D998,'Kontoplan'!$H$3:$H$302,0)),""))</f>
        <v/>
      </c>
      <c r="F1993" s="20">
        <f>IF('Journal'!G998="","",'Journal'!G998)</f>
        <v/>
      </c>
      <c r="G1993" s="20">
        <f>IF('Journal'!F998="","",'Journal'!F998)</f>
        <v/>
      </c>
      <c r="H1993" s="5">
        <f>IF('Journal'!I998="","",'Journal'!I998)</f>
        <v/>
      </c>
    </row>
    <row r="1994">
      <c r="A1994" s="18">
        <f>IF('Journal'!A998="","",'Journal'!A998)</f>
        <v/>
      </c>
      <c r="B1994" s="21">
        <f>IF('Journal'!B998="","",'Journal'!B998)</f>
        <v/>
      </c>
      <c r="C1994" s="5">
        <f>IF('Journal'!C998="","",'Journal'!C998)</f>
        <v/>
      </c>
      <c r="D1994" s="5">
        <f>IF('Journal'!E998="","",IFERROR(LEFT('Journal'!E998,FIND(" ",'Journal'!E998)-1),'Journal'!E998))</f>
        <v/>
      </c>
      <c r="E1994" s="5">
        <f>IF('Journal'!E998="","",IFERROR(INDEX('Kontoplan'!$B$3:$B$302,MATCH('Journal'!E998,'Kontoplan'!$H$3:$H$302,0)),""))</f>
        <v/>
      </c>
      <c r="F1994" s="20">
        <f>IF('Journal'!F998="","",'Journal'!F998)</f>
        <v/>
      </c>
      <c r="G1994" s="20">
        <f>IF('Journal'!G998="","",'Journal'!G998)</f>
        <v/>
      </c>
      <c r="H1994" s="5">
        <f>IF('Journal'!I998="","",'Journal'!I998)</f>
        <v/>
      </c>
    </row>
    <row r="1995">
      <c r="A1995" s="18">
        <f>IF('Journal'!A999="","",'Journal'!A999)</f>
        <v/>
      </c>
      <c r="B1995" s="21">
        <f>IF('Journal'!B999="","",'Journal'!B999)</f>
        <v/>
      </c>
      <c r="C1995" s="5">
        <f>IF('Journal'!C999="","",'Journal'!C999)</f>
        <v/>
      </c>
      <c r="D1995" s="5">
        <f>IF('Journal'!D999="","",IFERROR(LEFT('Journal'!D999,FIND(" ",'Journal'!D999)-1),'Journal'!D999))</f>
        <v/>
      </c>
      <c r="E1995" s="5">
        <f>IF('Journal'!D999="","",IFERROR(INDEX('Kontoplan'!$B$3:$B$302,MATCH('Journal'!D999,'Kontoplan'!$H$3:$H$302,0)),""))</f>
        <v/>
      </c>
      <c r="F1995" s="20">
        <f>IF('Journal'!G999="","",'Journal'!G999)</f>
        <v/>
      </c>
      <c r="G1995" s="20">
        <f>IF('Journal'!F999="","",'Journal'!F999)</f>
        <v/>
      </c>
      <c r="H1995" s="5">
        <f>IF('Journal'!I999="","",'Journal'!I999)</f>
        <v/>
      </c>
    </row>
    <row r="1996">
      <c r="A1996" s="18">
        <f>IF('Journal'!A999="","",'Journal'!A999)</f>
        <v/>
      </c>
      <c r="B1996" s="21">
        <f>IF('Journal'!B999="","",'Journal'!B999)</f>
        <v/>
      </c>
      <c r="C1996" s="5">
        <f>IF('Journal'!C999="","",'Journal'!C999)</f>
        <v/>
      </c>
      <c r="D1996" s="5">
        <f>IF('Journal'!E999="","",IFERROR(LEFT('Journal'!E999,FIND(" ",'Journal'!E999)-1),'Journal'!E999))</f>
        <v/>
      </c>
      <c r="E1996" s="5">
        <f>IF('Journal'!E999="","",IFERROR(INDEX('Kontoplan'!$B$3:$B$302,MATCH('Journal'!E999,'Kontoplan'!$H$3:$H$302,0)),""))</f>
        <v/>
      </c>
      <c r="F1996" s="20">
        <f>IF('Journal'!F999="","",'Journal'!F999)</f>
        <v/>
      </c>
      <c r="G1996" s="20">
        <f>IF('Journal'!G999="","",'Journal'!G999)</f>
        <v/>
      </c>
      <c r="H1996" s="5">
        <f>IF('Journal'!I999="","",'Journal'!I999)</f>
        <v/>
      </c>
    </row>
    <row r="1997">
      <c r="A1997" s="18">
        <f>IF('Journal'!A1000="","",'Journal'!A1000)</f>
        <v/>
      </c>
      <c r="B1997" s="21">
        <f>IF('Journal'!B1000="","",'Journal'!B1000)</f>
        <v/>
      </c>
      <c r="C1997" s="5">
        <f>IF('Journal'!C1000="","",'Journal'!C1000)</f>
        <v/>
      </c>
      <c r="D1997" s="5">
        <f>IF('Journal'!D1000="","",IFERROR(LEFT('Journal'!D1000,FIND(" ",'Journal'!D1000)-1),'Journal'!D1000))</f>
        <v/>
      </c>
      <c r="E1997" s="5">
        <f>IF('Journal'!D1000="","",IFERROR(INDEX('Kontoplan'!$B$3:$B$302,MATCH('Journal'!D1000,'Kontoplan'!$H$3:$H$302,0)),""))</f>
        <v/>
      </c>
      <c r="F1997" s="20">
        <f>IF('Journal'!G1000="","",'Journal'!G1000)</f>
        <v/>
      </c>
      <c r="G1997" s="20">
        <f>IF('Journal'!F1000="","",'Journal'!F1000)</f>
        <v/>
      </c>
      <c r="H1997" s="5">
        <f>IF('Journal'!I1000="","",'Journal'!I1000)</f>
        <v/>
      </c>
    </row>
    <row r="1998">
      <c r="A1998" s="18">
        <f>IF('Journal'!A1000="","",'Journal'!A1000)</f>
        <v/>
      </c>
      <c r="B1998" s="21">
        <f>IF('Journal'!B1000="","",'Journal'!B1000)</f>
        <v/>
      </c>
      <c r="C1998" s="5">
        <f>IF('Journal'!C1000="","",'Journal'!C1000)</f>
        <v/>
      </c>
      <c r="D1998" s="5">
        <f>IF('Journal'!E1000="","",IFERROR(LEFT('Journal'!E1000,FIND(" ",'Journal'!E1000)-1),'Journal'!E1000))</f>
        <v/>
      </c>
      <c r="E1998" s="5">
        <f>IF('Journal'!E1000="","",IFERROR(INDEX('Kontoplan'!$B$3:$B$302,MATCH('Journal'!E1000,'Kontoplan'!$H$3:$H$302,0)),""))</f>
        <v/>
      </c>
      <c r="F1998" s="20">
        <f>IF('Journal'!F1000="","",'Journal'!F1000)</f>
        <v/>
      </c>
      <c r="G1998" s="20">
        <f>IF('Journal'!G1000="","",'Journal'!G1000)</f>
        <v/>
      </c>
      <c r="H1998" s="5">
        <f>IF('Journal'!I1000="","",'Journal'!I1000)</f>
        <v/>
      </c>
    </row>
    <row r="1999">
      <c r="A1999" s="18">
        <f>IF('Journal'!A1001="","",'Journal'!A1001)</f>
        <v/>
      </c>
      <c r="B1999" s="21">
        <f>IF('Journal'!B1001="","",'Journal'!B1001)</f>
        <v/>
      </c>
      <c r="C1999" s="5">
        <f>IF('Journal'!C1001="","",'Journal'!C1001)</f>
        <v/>
      </c>
      <c r="D1999" s="5">
        <f>IF('Journal'!D1001="","",IFERROR(LEFT('Journal'!D1001,FIND(" ",'Journal'!D1001)-1),'Journal'!D1001))</f>
        <v/>
      </c>
      <c r="E1999" s="5">
        <f>IF('Journal'!D1001="","",IFERROR(INDEX('Kontoplan'!$B$3:$B$302,MATCH('Journal'!D1001,'Kontoplan'!$H$3:$H$302,0)),""))</f>
        <v/>
      </c>
      <c r="F1999" s="20">
        <f>IF('Journal'!G1001="","",'Journal'!G1001)</f>
        <v/>
      </c>
      <c r="G1999" s="20">
        <f>IF('Journal'!F1001="","",'Journal'!F1001)</f>
        <v/>
      </c>
      <c r="H1999" s="5">
        <f>IF('Journal'!I1001="","",'Journal'!I1001)</f>
        <v/>
      </c>
    </row>
    <row r="2000">
      <c r="A2000" s="18">
        <f>IF('Journal'!A1001="","",'Journal'!A1001)</f>
        <v/>
      </c>
      <c r="B2000" s="21">
        <f>IF('Journal'!B1001="","",'Journal'!B1001)</f>
        <v/>
      </c>
      <c r="C2000" s="5">
        <f>IF('Journal'!C1001="","",'Journal'!C1001)</f>
        <v/>
      </c>
      <c r="D2000" s="5">
        <f>IF('Journal'!E1001="","",IFERROR(LEFT('Journal'!E1001,FIND(" ",'Journal'!E1001)-1),'Journal'!E1001))</f>
        <v/>
      </c>
      <c r="E2000" s="5">
        <f>IF('Journal'!E1001="","",IFERROR(INDEX('Kontoplan'!$B$3:$B$302,MATCH('Journal'!E1001,'Kontoplan'!$H$3:$H$302,0)),""))</f>
        <v/>
      </c>
      <c r="F2000" s="20">
        <f>IF('Journal'!F1001="","",'Journal'!F1001)</f>
        <v/>
      </c>
      <c r="G2000" s="20">
        <f>IF('Journal'!G1001="","",'Journal'!G1001)</f>
        <v/>
      </c>
      <c r="H2000" s="5">
        <f>IF('Journal'!I1001="","",'Journal'!I1001)</f>
        <v/>
      </c>
    </row>
    <row r="2001">
      <c r="A2001" s="18">
        <f>IF('Journal'!A1002="","",'Journal'!A1002)</f>
        <v/>
      </c>
      <c r="B2001" s="21">
        <f>IF('Journal'!B1002="","",'Journal'!B1002)</f>
        <v/>
      </c>
      <c r="C2001" s="5">
        <f>IF('Journal'!C1002="","",'Journal'!C1002)</f>
        <v/>
      </c>
      <c r="D2001" s="5">
        <f>IF('Journal'!D1002="","",IFERROR(LEFT('Journal'!D1002,FIND(" ",'Journal'!D1002)-1),'Journal'!D1002))</f>
        <v/>
      </c>
      <c r="E2001" s="5">
        <f>IF('Journal'!D1002="","",IFERROR(INDEX('Kontoplan'!$B$3:$B$302,MATCH('Journal'!D1002,'Kontoplan'!$H$3:$H$302,0)),""))</f>
        <v/>
      </c>
      <c r="F2001" s="20">
        <f>IF('Journal'!G1002="","",'Journal'!G1002)</f>
        <v/>
      </c>
      <c r="G2001" s="20">
        <f>IF('Journal'!F1002="","",'Journal'!F1002)</f>
        <v/>
      </c>
      <c r="H2001" s="5">
        <f>IF('Journal'!I1002="","",'Journal'!I1002)</f>
        <v/>
      </c>
    </row>
    <row r="2002">
      <c r="A2002" s="18">
        <f>IF('Journal'!A1002="","",'Journal'!A1002)</f>
        <v/>
      </c>
      <c r="B2002" s="21">
        <f>IF('Journal'!B1002="","",'Journal'!B1002)</f>
        <v/>
      </c>
      <c r="C2002" s="5">
        <f>IF('Journal'!C1002="","",'Journal'!C1002)</f>
        <v/>
      </c>
      <c r="D2002" s="5">
        <f>IF('Journal'!E1002="","",IFERROR(LEFT('Journal'!E1002,FIND(" ",'Journal'!E1002)-1),'Journal'!E1002))</f>
        <v/>
      </c>
      <c r="E2002" s="5">
        <f>IF('Journal'!E1002="","",IFERROR(INDEX('Kontoplan'!$B$3:$B$302,MATCH('Journal'!E1002,'Kontoplan'!$H$3:$H$302,0)),""))</f>
        <v/>
      </c>
      <c r="F2002" s="20">
        <f>IF('Journal'!F1002="","",'Journal'!F1002)</f>
        <v/>
      </c>
      <c r="G2002" s="20">
        <f>IF('Journal'!G1002="","",'Journal'!G1002)</f>
        <v/>
      </c>
      <c r="H2002" s="5">
        <f>IF('Journal'!I1002="","",'Journal'!I1002)</f>
        <v/>
      </c>
    </row>
    <row r="2003">
      <c r="A2003" s="18">
        <f>IF('Journal'!A1003="","",'Journal'!A1003)</f>
        <v/>
      </c>
      <c r="B2003" s="21">
        <f>IF('Journal'!B1003="","",'Journal'!B1003)</f>
        <v/>
      </c>
      <c r="C2003" s="5">
        <f>IF('Journal'!C1003="","",'Journal'!C1003)</f>
        <v/>
      </c>
      <c r="D2003" s="5">
        <f>IF('Journal'!D1003="","",IFERROR(LEFT('Journal'!D1003,FIND(" ",'Journal'!D1003)-1),'Journal'!D1003))</f>
        <v/>
      </c>
      <c r="E2003" s="5">
        <f>IF('Journal'!D1003="","",IFERROR(INDEX('Kontoplan'!$B$3:$B$302,MATCH('Journal'!D1003,'Kontoplan'!$H$3:$H$302,0)),""))</f>
        <v/>
      </c>
      <c r="F2003" s="20">
        <f>IF('Journal'!G1003="","",'Journal'!G1003)</f>
        <v/>
      </c>
      <c r="G2003" s="20">
        <f>IF('Journal'!F1003="","",'Journal'!F1003)</f>
        <v/>
      </c>
      <c r="H2003" s="5">
        <f>IF('Journal'!I1003="","",'Journal'!I1003)</f>
        <v/>
      </c>
    </row>
    <row r="2004">
      <c r="A2004" s="18">
        <f>IF('Journal'!A1003="","",'Journal'!A1003)</f>
        <v/>
      </c>
      <c r="B2004" s="21">
        <f>IF('Journal'!B1003="","",'Journal'!B1003)</f>
        <v/>
      </c>
      <c r="C2004" s="5">
        <f>IF('Journal'!C1003="","",'Journal'!C1003)</f>
        <v/>
      </c>
      <c r="D2004" s="5">
        <f>IF('Journal'!E1003="","",IFERROR(LEFT('Journal'!E1003,FIND(" ",'Journal'!E1003)-1),'Journal'!E1003))</f>
        <v/>
      </c>
      <c r="E2004" s="5">
        <f>IF('Journal'!E1003="","",IFERROR(INDEX('Kontoplan'!$B$3:$B$302,MATCH('Journal'!E1003,'Kontoplan'!$H$3:$H$302,0)),""))</f>
        <v/>
      </c>
      <c r="F2004" s="20">
        <f>IF('Journal'!F1003="","",'Journal'!F1003)</f>
        <v/>
      </c>
      <c r="G2004" s="20">
        <f>IF('Journal'!G1003="","",'Journal'!G1003)</f>
        <v/>
      </c>
      <c r="H2004" s="5">
        <f>IF('Journal'!I1003="","",'Journal'!I1003)</f>
        <v/>
      </c>
    </row>
    <row r="2005">
      <c r="A2005" s="18">
        <f>IF('Journal'!A1004="","",'Journal'!A1004)</f>
        <v/>
      </c>
      <c r="B2005" s="21">
        <f>IF('Journal'!B1004="","",'Journal'!B1004)</f>
        <v/>
      </c>
      <c r="C2005" s="5">
        <f>IF('Journal'!C1004="","",'Journal'!C1004)</f>
        <v/>
      </c>
      <c r="D2005" s="5">
        <f>IF('Journal'!D1004="","",IFERROR(LEFT('Journal'!D1004,FIND(" ",'Journal'!D1004)-1),'Journal'!D1004))</f>
        <v/>
      </c>
      <c r="E2005" s="5">
        <f>IF('Journal'!D1004="","",IFERROR(INDEX('Kontoplan'!$B$3:$B$302,MATCH('Journal'!D1004,'Kontoplan'!$H$3:$H$302,0)),""))</f>
        <v/>
      </c>
      <c r="F2005" s="20">
        <f>IF('Journal'!G1004="","",'Journal'!G1004)</f>
        <v/>
      </c>
      <c r="G2005" s="20">
        <f>IF('Journal'!F1004="","",'Journal'!F1004)</f>
        <v/>
      </c>
      <c r="H2005" s="5">
        <f>IF('Journal'!I1004="","",'Journal'!I1004)</f>
        <v/>
      </c>
    </row>
    <row r="2006">
      <c r="A2006" s="18">
        <f>IF('Journal'!A1004="","",'Journal'!A1004)</f>
        <v/>
      </c>
      <c r="B2006" s="21">
        <f>IF('Journal'!B1004="","",'Journal'!B1004)</f>
        <v/>
      </c>
      <c r="C2006" s="5">
        <f>IF('Journal'!C1004="","",'Journal'!C1004)</f>
        <v/>
      </c>
      <c r="D2006" s="5">
        <f>IF('Journal'!E1004="","",IFERROR(LEFT('Journal'!E1004,FIND(" ",'Journal'!E1004)-1),'Journal'!E1004))</f>
        <v/>
      </c>
      <c r="E2006" s="5">
        <f>IF('Journal'!E1004="","",IFERROR(INDEX('Kontoplan'!$B$3:$B$302,MATCH('Journal'!E1004,'Kontoplan'!$H$3:$H$302,0)),""))</f>
        <v/>
      </c>
      <c r="F2006" s="20">
        <f>IF('Journal'!F1004="","",'Journal'!F1004)</f>
        <v/>
      </c>
      <c r="G2006" s="20">
        <f>IF('Journal'!G1004="","",'Journal'!G1004)</f>
        <v/>
      </c>
      <c r="H2006" s="5">
        <f>IF('Journal'!I1004="","",'Journal'!I1004)</f>
        <v/>
      </c>
    </row>
    <row r="2007">
      <c r="A2007" s="18">
        <f>IF('Journal'!A1005="","",'Journal'!A1005)</f>
        <v/>
      </c>
      <c r="B2007" s="21">
        <f>IF('Journal'!B1005="","",'Journal'!B1005)</f>
        <v/>
      </c>
      <c r="C2007" s="5">
        <f>IF('Journal'!C1005="","",'Journal'!C1005)</f>
        <v/>
      </c>
      <c r="D2007" s="5">
        <f>IF('Journal'!D1005="","",IFERROR(LEFT('Journal'!D1005,FIND(" ",'Journal'!D1005)-1),'Journal'!D1005))</f>
        <v/>
      </c>
      <c r="E2007" s="5">
        <f>IF('Journal'!D1005="","",IFERROR(INDEX('Kontoplan'!$B$3:$B$302,MATCH('Journal'!D1005,'Kontoplan'!$H$3:$H$302,0)),""))</f>
        <v/>
      </c>
      <c r="F2007" s="20">
        <f>IF('Journal'!G1005="","",'Journal'!G1005)</f>
        <v/>
      </c>
      <c r="G2007" s="20">
        <f>IF('Journal'!F1005="","",'Journal'!F1005)</f>
        <v/>
      </c>
      <c r="H2007" s="5">
        <f>IF('Journal'!I1005="","",'Journal'!I1005)</f>
        <v/>
      </c>
    </row>
    <row r="2008">
      <c r="A2008" s="18">
        <f>IF('Journal'!A1005="","",'Journal'!A1005)</f>
        <v/>
      </c>
      <c r="B2008" s="21">
        <f>IF('Journal'!B1005="","",'Journal'!B1005)</f>
        <v/>
      </c>
      <c r="C2008" s="5">
        <f>IF('Journal'!C1005="","",'Journal'!C1005)</f>
        <v/>
      </c>
      <c r="D2008" s="5">
        <f>IF('Journal'!E1005="","",IFERROR(LEFT('Journal'!E1005,FIND(" ",'Journal'!E1005)-1),'Journal'!E1005))</f>
        <v/>
      </c>
      <c r="E2008" s="5">
        <f>IF('Journal'!E1005="","",IFERROR(INDEX('Kontoplan'!$B$3:$B$302,MATCH('Journal'!E1005,'Kontoplan'!$H$3:$H$302,0)),""))</f>
        <v/>
      </c>
      <c r="F2008" s="20">
        <f>IF('Journal'!F1005="","",'Journal'!F1005)</f>
        <v/>
      </c>
      <c r="G2008" s="20">
        <f>IF('Journal'!G1005="","",'Journal'!G1005)</f>
        <v/>
      </c>
      <c r="H2008" s="5">
        <f>IF('Journal'!I1005="","",'Journal'!I1005)</f>
        <v/>
      </c>
    </row>
    <row r="2009">
      <c r="A2009" s="18">
        <f>IF('Journal'!A1006="","",'Journal'!A1006)</f>
        <v/>
      </c>
      <c r="B2009" s="21">
        <f>IF('Journal'!B1006="","",'Journal'!B1006)</f>
        <v/>
      </c>
      <c r="C2009" s="5">
        <f>IF('Journal'!C1006="","",'Journal'!C1006)</f>
        <v/>
      </c>
      <c r="D2009" s="5">
        <f>IF('Journal'!D1006="","",IFERROR(LEFT('Journal'!D1006,FIND(" ",'Journal'!D1006)-1),'Journal'!D1006))</f>
        <v/>
      </c>
      <c r="E2009" s="5">
        <f>IF('Journal'!D1006="","",IFERROR(INDEX('Kontoplan'!$B$3:$B$302,MATCH('Journal'!D1006,'Kontoplan'!$H$3:$H$302,0)),""))</f>
        <v/>
      </c>
      <c r="F2009" s="20">
        <f>IF('Journal'!G1006="","",'Journal'!G1006)</f>
        <v/>
      </c>
      <c r="G2009" s="20">
        <f>IF('Journal'!F1006="","",'Journal'!F1006)</f>
        <v/>
      </c>
      <c r="H2009" s="5">
        <f>IF('Journal'!I1006="","",'Journal'!I1006)</f>
        <v/>
      </c>
    </row>
    <row r="2010">
      <c r="A2010" s="18">
        <f>IF('Journal'!A1006="","",'Journal'!A1006)</f>
        <v/>
      </c>
      <c r="B2010" s="21">
        <f>IF('Journal'!B1006="","",'Journal'!B1006)</f>
        <v/>
      </c>
      <c r="C2010" s="5">
        <f>IF('Journal'!C1006="","",'Journal'!C1006)</f>
        <v/>
      </c>
      <c r="D2010" s="5">
        <f>IF('Journal'!E1006="","",IFERROR(LEFT('Journal'!E1006,FIND(" ",'Journal'!E1006)-1),'Journal'!E1006))</f>
        <v/>
      </c>
      <c r="E2010" s="5">
        <f>IF('Journal'!E1006="","",IFERROR(INDEX('Kontoplan'!$B$3:$B$302,MATCH('Journal'!E1006,'Kontoplan'!$H$3:$H$302,0)),""))</f>
        <v/>
      </c>
      <c r="F2010" s="20">
        <f>IF('Journal'!F1006="","",'Journal'!F1006)</f>
        <v/>
      </c>
      <c r="G2010" s="20">
        <f>IF('Journal'!G1006="","",'Journal'!G1006)</f>
        <v/>
      </c>
      <c r="H2010" s="5">
        <f>IF('Journal'!I1006="","",'Journal'!I1006)</f>
        <v/>
      </c>
    </row>
    <row r="2011">
      <c r="A2011" s="18">
        <f>IF('Journal'!A1007="","",'Journal'!A1007)</f>
        <v/>
      </c>
      <c r="B2011" s="21">
        <f>IF('Journal'!B1007="","",'Journal'!B1007)</f>
        <v/>
      </c>
      <c r="C2011" s="5">
        <f>IF('Journal'!C1007="","",'Journal'!C1007)</f>
        <v/>
      </c>
      <c r="D2011" s="5">
        <f>IF('Journal'!D1007="","",IFERROR(LEFT('Journal'!D1007,FIND(" ",'Journal'!D1007)-1),'Journal'!D1007))</f>
        <v/>
      </c>
      <c r="E2011" s="5">
        <f>IF('Journal'!D1007="","",IFERROR(INDEX('Kontoplan'!$B$3:$B$302,MATCH('Journal'!D1007,'Kontoplan'!$H$3:$H$302,0)),""))</f>
        <v/>
      </c>
      <c r="F2011" s="20">
        <f>IF('Journal'!G1007="","",'Journal'!G1007)</f>
        <v/>
      </c>
      <c r="G2011" s="20">
        <f>IF('Journal'!F1007="","",'Journal'!F1007)</f>
        <v/>
      </c>
      <c r="H2011" s="5">
        <f>IF('Journal'!I1007="","",'Journal'!I1007)</f>
        <v/>
      </c>
    </row>
    <row r="2012">
      <c r="A2012" s="18">
        <f>IF('Journal'!A1007="","",'Journal'!A1007)</f>
        <v/>
      </c>
      <c r="B2012" s="21">
        <f>IF('Journal'!B1007="","",'Journal'!B1007)</f>
        <v/>
      </c>
      <c r="C2012" s="5">
        <f>IF('Journal'!C1007="","",'Journal'!C1007)</f>
        <v/>
      </c>
      <c r="D2012" s="5">
        <f>IF('Journal'!E1007="","",IFERROR(LEFT('Journal'!E1007,FIND(" ",'Journal'!E1007)-1),'Journal'!E1007))</f>
        <v/>
      </c>
      <c r="E2012" s="5">
        <f>IF('Journal'!E1007="","",IFERROR(INDEX('Kontoplan'!$B$3:$B$302,MATCH('Journal'!E1007,'Kontoplan'!$H$3:$H$302,0)),""))</f>
        <v/>
      </c>
      <c r="F2012" s="20">
        <f>IF('Journal'!F1007="","",'Journal'!F1007)</f>
        <v/>
      </c>
      <c r="G2012" s="20">
        <f>IF('Journal'!G1007="","",'Journal'!G1007)</f>
        <v/>
      </c>
      <c r="H2012" s="5">
        <f>IF('Journal'!I1007="","",'Journal'!I1007)</f>
        <v/>
      </c>
    </row>
    <row r="2013">
      <c r="A2013" s="18">
        <f>IF('Journal'!A1008="","",'Journal'!A1008)</f>
        <v/>
      </c>
      <c r="B2013" s="21">
        <f>IF('Journal'!B1008="","",'Journal'!B1008)</f>
        <v/>
      </c>
      <c r="C2013" s="5">
        <f>IF('Journal'!C1008="","",'Journal'!C1008)</f>
        <v/>
      </c>
      <c r="D2013" s="5">
        <f>IF('Journal'!D1008="","",IFERROR(LEFT('Journal'!D1008,FIND(" ",'Journal'!D1008)-1),'Journal'!D1008))</f>
        <v/>
      </c>
      <c r="E2013" s="5">
        <f>IF('Journal'!D1008="","",IFERROR(INDEX('Kontoplan'!$B$3:$B$302,MATCH('Journal'!D1008,'Kontoplan'!$H$3:$H$302,0)),""))</f>
        <v/>
      </c>
      <c r="F2013" s="20">
        <f>IF('Journal'!G1008="","",'Journal'!G1008)</f>
        <v/>
      </c>
      <c r="G2013" s="20">
        <f>IF('Journal'!F1008="","",'Journal'!F1008)</f>
        <v/>
      </c>
      <c r="H2013" s="5">
        <f>IF('Journal'!I1008="","",'Journal'!I1008)</f>
        <v/>
      </c>
    </row>
    <row r="2014">
      <c r="A2014" s="18">
        <f>IF('Journal'!A1008="","",'Journal'!A1008)</f>
        <v/>
      </c>
      <c r="B2014" s="21">
        <f>IF('Journal'!B1008="","",'Journal'!B1008)</f>
        <v/>
      </c>
      <c r="C2014" s="5">
        <f>IF('Journal'!C1008="","",'Journal'!C1008)</f>
        <v/>
      </c>
      <c r="D2014" s="5">
        <f>IF('Journal'!E1008="","",IFERROR(LEFT('Journal'!E1008,FIND(" ",'Journal'!E1008)-1),'Journal'!E1008))</f>
        <v/>
      </c>
      <c r="E2014" s="5">
        <f>IF('Journal'!E1008="","",IFERROR(INDEX('Kontoplan'!$B$3:$B$302,MATCH('Journal'!E1008,'Kontoplan'!$H$3:$H$302,0)),""))</f>
        <v/>
      </c>
      <c r="F2014" s="20">
        <f>IF('Journal'!F1008="","",'Journal'!F1008)</f>
        <v/>
      </c>
      <c r="G2014" s="20">
        <f>IF('Journal'!G1008="","",'Journal'!G1008)</f>
        <v/>
      </c>
      <c r="H2014" s="5">
        <f>IF('Journal'!I1008="","",'Journal'!I1008)</f>
        <v/>
      </c>
    </row>
    <row r="2015">
      <c r="A2015" s="18">
        <f>IF('Journal'!A1009="","",'Journal'!A1009)</f>
        <v/>
      </c>
      <c r="B2015" s="21">
        <f>IF('Journal'!B1009="","",'Journal'!B1009)</f>
        <v/>
      </c>
      <c r="C2015" s="5">
        <f>IF('Journal'!C1009="","",'Journal'!C1009)</f>
        <v/>
      </c>
      <c r="D2015" s="5">
        <f>IF('Journal'!D1009="","",IFERROR(LEFT('Journal'!D1009,FIND(" ",'Journal'!D1009)-1),'Journal'!D1009))</f>
        <v/>
      </c>
      <c r="E2015" s="5">
        <f>IF('Journal'!D1009="","",IFERROR(INDEX('Kontoplan'!$B$3:$B$302,MATCH('Journal'!D1009,'Kontoplan'!$H$3:$H$302,0)),""))</f>
        <v/>
      </c>
      <c r="F2015" s="20">
        <f>IF('Journal'!G1009="","",'Journal'!G1009)</f>
        <v/>
      </c>
      <c r="G2015" s="20">
        <f>IF('Journal'!F1009="","",'Journal'!F1009)</f>
        <v/>
      </c>
      <c r="H2015" s="5">
        <f>IF('Journal'!I1009="","",'Journal'!I1009)</f>
        <v/>
      </c>
    </row>
    <row r="2016">
      <c r="A2016" s="18">
        <f>IF('Journal'!A1009="","",'Journal'!A1009)</f>
        <v/>
      </c>
      <c r="B2016" s="21">
        <f>IF('Journal'!B1009="","",'Journal'!B1009)</f>
        <v/>
      </c>
      <c r="C2016" s="5">
        <f>IF('Journal'!C1009="","",'Journal'!C1009)</f>
        <v/>
      </c>
      <c r="D2016" s="5">
        <f>IF('Journal'!E1009="","",IFERROR(LEFT('Journal'!E1009,FIND(" ",'Journal'!E1009)-1),'Journal'!E1009))</f>
        <v/>
      </c>
      <c r="E2016" s="5">
        <f>IF('Journal'!E1009="","",IFERROR(INDEX('Kontoplan'!$B$3:$B$302,MATCH('Journal'!E1009,'Kontoplan'!$H$3:$H$302,0)),""))</f>
        <v/>
      </c>
      <c r="F2016" s="20">
        <f>IF('Journal'!F1009="","",'Journal'!F1009)</f>
        <v/>
      </c>
      <c r="G2016" s="20">
        <f>IF('Journal'!G1009="","",'Journal'!G1009)</f>
        <v/>
      </c>
      <c r="H2016" s="5">
        <f>IF('Journal'!I1009="","",'Journal'!I1009)</f>
        <v/>
      </c>
    </row>
    <row r="2017">
      <c r="A2017" s="18">
        <f>IF('Journal'!A1010="","",'Journal'!A1010)</f>
        <v/>
      </c>
      <c r="B2017" s="21">
        <f>IF('Journal'!B1010="","",'Journal'!B1010)</f>
        <v/>
      </c>
      <c r="C2017" s="5">
        <f>IF('Journal'!C1010="","",'Journal'!C1010)</f>
        <v/>
      </c>
      <c r="D2017" s="5">
        <f>IF('Journal'!D1010="","",IFERROR(LEFT('Journal'!D1010,FIND(" ",'Journal'!D1010)-1),'Journal'!D1010))</f>
        <v/>
      </c>
      <c r="E2017" s="5">
        <f>IF('Journal'!D1010="","",IFERROR(INDEX('Kontoplan'!$B$3:$B$302,MATCH('Journal'!D1010,'Kontoplan'!$H$3:$H$302,0)),""))</f>
        <v/>
      </c>
      <c r="F2017" s="20">
        <f>IF('Journal'!G1010="","",'Journal'!G1010)</f>
        <v/>
      </c>
      <c r="G2017" s="20">
        <f>IF('Journal'!F1010="","",'Journal'!F1010)</f>
        <v/>
      </c>
      <c r="H2017" s="5">
        <f>IF('Journal'!I1010="","",'Journal'!I1010)</f>
        <v/>
      </c>
    </row>
    <row r="2018">
      <c r="A2018" s="18">
        <f>IF('Journal'!A1010="","",'Journal'!A1010)</f>
        <v/>
      </c>
      <c r="B2018" s="21">
        <f>IF('Journal'!B1010="","",'Journal'!B1010)</f>
        <v/>
      </c>
      <c r="C2018" s="5">
        <f>IF('Journal'!C1010="","",'Journal'!C1010)</f>
        <v/>
      </c>
      <c r="D2018" s="5">
        <f>IF('Journal'!E1010="","",IFERROR(LEFT('Journal'!E1010,FIND(" ",'Journal'!E1010)-1),'Journal'!E1010))</f>
        <v/>
      </c>
      <c r="E2018" s="5">
        <f>IF('Journal'!E1010="","",IFERROR(INDEX('Kontoplan'!$B$3:$B$302,MATCH('Journal'!E1010,'Kontoplan'!$H$3:$H$302,0)),""))</f>
        <v/>
      </c>
      <c r="F2018" s="20">
        <f>IF('Journal'!F1010="","",'Journal'!F1010)</f>
        <v/>
      </c>
      <c r="G2018" s="20">
        <f>IF('Journal'!G1010="","",'Journal'!G1010)</f>
        <v/>
      </c>
      <c r="H2018" s="5">
        <f>IF('Journal'!I1010="","",'Journal'!I1010)</f>
        <v/>
      </c>
    </row>
    <row r="2019">
      <c r="A2019" s="18">
        <f>IF('Journal'!A1011="","",'Journal'!A1011)</f>
        <v/>
      </c>
      <c r="B2019" s="21">
        <f>IF('Journal'!B1011="","",'Journal'!B1011)</f>
        <v/>
      </c>
      <c r="C2019" s="5">
        <f>IF('Journal'!C1011="","",'Journal'!C1011)</f>
        <v/>
      </c>
      <c r="D2019" s="5">
        <f>IF('Journal'!D1011="","",IFERROR(LEFT('Journal'!D1011,FIND(" ",'Journal'!D1011)-1),'Journal'!D1011))</f>
        <v/>
      </c>
      <c r="E2019" s="5">
        <f>IF('Journal'!D1011="","",IFERROR(INDEX('Kontoplan'!$B$3:$B$302,MATCH('Journal'!D1011,'Kontoplan'!$H$3:$H$302,0)),""))</f>
        <v/>
      </c>
      <c r="F2019" s="20">
        <f>IF('Journal'!G1011="","",'Journal'!G1011)</f>
        <v/>
      </c>
      <c r="G2019" s="20">
        <f>IF('Journal'!F1011="","",'Journal'!F1011)</f>
        <v/>
      </c>
      <c r="H2019" s="5">
        <f>IF('Journal'!I1011="","",'Journal'!I1011)</f>
        <v/>
      </c>
    </row>
    <row r="2020">
      <c r="A2020" s="18">
        <f>IF('Journal'!A1011="","",'Journal'!A1011)</f>
        <v/>
      </c>
      <c r="B2020" s="21">
        <f>IF('Journal'!B1011="","",'Journal'!B1011)</f>
        <v/>
      </c>
      <c r="C2020" s="5">
        <f>IF('Journal'!C1011="","",'Journal'!C1011)</f>
        <v/>
      </c>
      <c r="D2020" s="5">
        <f>IF('Journal'!E1011="","",IFERROR(LEFT('Journal'!E1011,FIND(" ",'Journal'!E1011)-1),'Journal'!E1011))</f>
        <v/>
      </c>
      <c r="E2020" s="5">
        <f>IF('Journal'!E1011="","",IFERROR(INDEX('Kontoplan'!$B$3:$B$302,MATCH('Journal'!E1011,'Kontoplan'!$H$3:$H$302,0)),""))</f>
        <v/>
      </c>
      <c r="F2020" s="20">
        <f>IF('Journal'!F1011="","",'Journal'!F1011)</f>
        <v/>
      </c>
      <c r="G2020" s="20">
        <f>IF('Journal'!G1011="","",'Journal'!G1011)</f>
        <v/>
      </c>
      <c r="H2020" s="5">
        <f>IF('Journal'!I1011="","",'Journal'!I1011)</f>
        <v/>
      </c>
    </row>
    <row r="2021">
      <c r="A2021" s="18">
        <f>IF('Journal'!A1012="","",'Journal'!A1012)</f>
        <v/>
      </c>
      <c r="B2021" s="21">
        <f>IF('Journal'!B1012="","",'Journal'!B1012)</f>
        <v/>
      </c>
      <c r="C2021" s="5">
        <f>IF('Journal'!C1012="","",'Journal'!C1012)</f>
        <v/>
      </c>
      <c r="D2021" s="5">
        <f>IF('Journal'!D1012="","",IFERROR(LEFT('Journal'!D1012,FIND(" ",'Journal'!D1012)-1),'Journal'!D1012))</f>
        <v/>
      </c>
      <c r="E2021" s="5">
        <f>IF('Journal'!D1012="","",IFERROR(INDEX('Kontoplan'!$B$3:$B$302,MATCH('Journal'!D1012,'Kontoplan'!$H$3:$H$302,0)),""))</f>
        <v/>
      </c>
      <c r="F2021" s="20">
        <f>IF('Journal'!G1012="","",'Journal'!G1012)</f>
        <v/>
      </c>
      <c r="G2021" s="20">
        <f>IF('Journal'!F1012="","",'Journal'!F1012)</f>
        <v/>
      </c>
      <c r="H2021" s="5">
        <f>IF('Journal'!I1012="","",'Journal'!I1012)</f>
        <v/>
      </c>
    </row>
    <row r="2022">
      <c r="A2022" s="18">
        <f>IF('Journal'!A1012="","",'Journal'!A1012)</f>
        <v/>
      </c>
      <c r="B2022" s="21">
        <f>IF('Journal'!B1012="","",'Journal'!B1012)</f>
        <v/>
      </c>
      <c r="C2022" s="5">
        <f>IF('Journal'!C1012="","",'Journal'!C1012)</f>
        <v/>
      </c>
      <c r="D2022" s="5">
        <f>IF('Journal'!E1012="","",IFERROR(LEFT('Journal'!E1012,FIND(" ",'Journal'!E1012)-1),'Journal'!E1012))</f>
        <v/>
      </c>
      <c r="E2022" s="5">
        <f>IF('Journal'!E1012="","",IFERROR(INDEX('Kontoplan'!$B$3:$B$302,MATCH('Journal'!E1012,'Kontoplan'!$H$3:$H$302,0)),""))</f>
        <v/>
      </c>
      <c r="F2022" s="20">
        <f>IF('Journal'!F1012="","",'Journal'!F1012)</f>
        <v/>
      </c>
      <c r="G2022" s="20">
        <f>IF('Journal'!G1012="","",'Journal'!G1012)</f>
        <v/>
      </c>
      <c r="H2022" s="5">
        <f>IF('Journal'!I1012="","",'Journal'!I1012)</f>
        <v/>
      </c>
    </row>
    <row r="2023">
      <c r="A2023" s="18">
        <f>IF('Journal'!A1013="","",'Journal'!A1013)</f>
        <v/>
      </c>
      <c r="B2023" s="21">
        <f>IF('Journal'!B1013="","",'Journal'!B1013)</f>
        <v/>
      </c>
      <c r="C2023" s="5">
        <f>IF('Journal'!C1013="","",'Journal'!C1013)</f>
        <v/>
      </c>
      <c r="D2023" s="5">
        <f>IF('Journal'!D1013="","",IFERROR(LEFT('Journal'!D1013,FIND(" ",'Journal'!D1013)-1),'Journal'!D1013))</f>
        <v/>
      </c>
      <c r="E2023" s="5">
        <f>IF('Journal'!D1013="","",IFERROR(INDEX('Kontoplan'!$B$3:$B$302,MATCH('Journal'!D1013,'Kontoplan'!$H$3:$H$302,0)),""))</f>
        <v/>
      </c>
      <c r="F2023" s="20">
        <f>IF('Journal'!G1013="","",'Journal'!G1013)</f>
        <v/>
      </c>
      <c r="G2023" s="20">
        <f>IF('Journal'!F1013="","",'Journal'!F1013)</f>
        <v/>
      </c>
      <c r="H2023" s="5">
        <f>IF('Journal'!I1013="","",'Journal'!I1013)</f>
        <v/>
      </c>
    </row>
    <row r="2024">
      <c r="A2024" s="18">
        <f>IF('Journal'!A1013="","",'Journal'!A1013)</f>
        <v/>
      </c>
      <c r="B2024" s="21">
        <f>IF('Journal'!B1013="","",'Journal'!B1013)</f>
        <v/>
      </c>
      <c r="C2024" s="5">
        <f>IF('Journal'!C1013="","",'Journal'!C1013)</f>
        <v/>
      </c>
      <c r="D2024" s="5">
        <f>IF('Journal'!E1013="","",IFERROR(LEFT('Journal'!E1013,FIND(" ",'Journal'!E1013)-1),'Journal'!E1013))</f>
        <v/>
      </c>
      <c r="E2024" s="5">
        <f>IF('Journal'!E1013="","",IFERROR(INDEX('Kontoplan'!$B$3:$B$302,MATCH('Journal'!E1013,'Kontoplan'!$H$3:$H$302,0)),""))</f>
        <v/>
      </c>
      <c r="F2024" s="20">
        <f>IF('Journal'!F1013="","",'Journal'!F1013)</f>
        <v/>
      </c>
      <c r="G2024" s="20">
        <f>IF('Journal'!G1013="","",'Journal'!G1013)</f>
        <v/>
      </c>
      <c r="H2024" s="5">
        <f>IF('Journal'!I1013="","",'Journal'!I1013)</f>
        <v/>
      </c>
    </row>
    <row r="2025">
      <c r="A2025" s="18">
        <f>IF('Journal'!A1014="","",'Journal'!A1014)</f>
        <v/>
      </c>
      <c r="B2025" s="21">
        <f>IF('Journal'!B1014="","",'Journal'!B1014)</f>
        <v/>
      </c>
      <c r="C2025" s="5">
        <f>IF('Journal'!C1014="","",'Journal'!C1014)</f>
        <v/>
      </c>
      <c r="D2025" s="5">
        <f>IF('Journal'!D1014="","",IFERROR(LEFT('Journal'!D1014,FIND(" ",'Journal'!D1014)-1),'Journal'!D1014))</f>
        <v/>
      </c>
      <c r="E2025" s="5">
        <f>IF('Journal'!D1014="","",IFERROR(INDEX('Kontoplan'!$B$3:$B$302,MATCH('Journal'!D1014,'Kontoplan'!$H$3:$H$302,0)),""))</f>
        <v/>
      </c>
      <c r="F2025" s="20">
        <f>IF('Journal'!G1014="","",'Journal'!G1014)</f>
        <v/>
      </c>
      <c r="G2025" s="20">
        <f>IF('Journal'!F1014="","",'Journal'!F1014)</f>
        <v/>
      </c>
      <c r="H2025" s="5">
        <f>IF('Journal'!I1014="","",'Journal'!I1014)</f>
        <v/>
      </c>
    </row>
    <row r="2026">
      <c r="A2026" s="18">
        <f>IF('Journal'!A1014="","",'Journal'!A1014)</f>
        <v/>
      </c>
      <c r="B2026" s="21">
        <f>IF('Journal'!B1014="","",'Journal'!B1014)</f>
        <v/>
      </c>
      <c r="C2026" s="5">
        <f>IF('Journal'!C1014="","",'Journal'!C1014)</f>
        <v/>
      </c>
      <c r="D2026" s="5">
        <f>IF('Journal'!E1014="","",IFERROR(LEFT('Journal'!E1014,FIND(" ",'Journal'!E1014)-1),'Journal'!E1014))</f>
        <v/>
      </c>
      <c r="E2026" s="5">
        <f>IF('Journal'!E1014="","",IFERROR(INDEX('Kontoplan'!$B$3:$B$302,MATCH('Journal'!E1014,'Kontoplan'!$H$3:$H$302,0)),""))</f>
        <v/>
      </c>
      <c r="F2026" s="20">
        <f>IF('Journal'!F1014="","",'Journal'!F1014)</f>
        <v/>
      </c>
      <c r="G2026" s="20">
        <f>IF('Journal'!G1014="","",'Journal'!G1014)</f>
        <v/>
      </c>
      <c r="H2026" s="5">
        <f>IF('Journal'!I1014="","",'Journal'!I1014)</f>
        <v/>
      </c>
    </row>
    <row r="2027">
      <c r="A2027" s="18">
        <f>IF('Journal'!A1015="","",'Journal'!A1015)</f>
        <v/>
      </c>
      <c r="B2027" s="21">
        <f>IF('Journal'!B1015="","",'Journal'!B1015)</f>
        <v/>
      </c>
      <c r="C2027" s="5">
        <f>IF('Journal'!C1015="","",'Journal'!C1015)</f>
        <v/>
      </c>
      <c r="D2027" s="5">
        <f>IF('Journal'!D1015="","",IFERROR(LEFT('Journal'!D1015,FIND(" ",'Journal'!D1015)-1),'Journal'!D1015))</f>
        <v/>
      </c>
      <c r="E2027" s="5">
        <f>IF('Journal'!D1015="","",IFERROR(INDEX('Kontoplan'!$B$3:$B$302,MATCH('Journal'!D1015,'Kontoplan'!$H$3:$H$302,0)),""))</f>
        <v/>
      </c>
      <c r="F2027" s="20">
        <f>IF('Journal'!G1015="","",'Journal'!G1015)</f>
        <v/>
      </c>
      <c r="G2027" s="20">
        <f>IF('Journal'!F1015="","",'Journal'!F1015)</f>
        <v/>
      </c>
      <c r="H2027" s="5">
        <f>IF('Journal'!I1015="","",'Journal'!I1015)</f>
        <v/>
      </c>
    </row>
    <row r="2028">
      <c r="A2028" s="18">
        <f>IF('Journal'!A1015="","",'Journal'!A1015)</f>
        <v/>
      </c>
      <c r="B2028" s="21">
        <f>IF('Journal'!B1015="","",'Journal'!B1015)</f>
        <v/>
      </c>
      <c r="C2028" s="5">
        <f>IF('Journal'!C1015="","",'Journal'!C1015)</f>
        <v/>
      </c>
      <c r="D2028" s="5">
        <f>IF('Journal'!E1015="","",IFERROR(LEFT('Journal'!E1015,FIND(" ",'Journal'!E1015)-1),'Journal'!E1015))</f>
        <v/>
      </c>
      <c r="E2028" s="5">
        <f>IF('Journal'!E1015="","",IFERROR(INDEX('Kontoplan'!$B$3:$B$302,MATCH('Journal'!E1015,'Kontoplan'!$H$3:$H$302,0)),""))</f>
        <v/>
      </c>
      <c r="F2028" s="20">
        <f>IF('Journal'!F1015="","",'Journal'!F1015)</f>
        <v/>
      </c>
      <c r="G2028" s="20">
        <f>IF('Journal'!G1015="","",'Journal'!G1015)</f>
        <v/>
      </c>
      <c r="H2028" s="5">
        <f>IF('Journal'!I1015="","",'Journal'!I1015)</f>
        <v/>
      </c>
    </row>
    <row r="2029">
      <c r="A2029" s="18">
        <f>IF('Journal'!A1016="","",'Journal'!A1016)</f>
        <v/>
      </c>
      <c r="B2029" s="21">
        <f>IF('Journal'!B1016="","",'Journal'!B1016)</f>
        <v/>
      </c>
      <c r="C2029" s="5">
        <f>IF('Journal'!C1016="","",'Journal'!C1016)</f>
        <v/>
      </c>
      <c r="D2029" s="5">
        <f>IF('Journal'!D1016="","",IFERROR(LEFT('Journal'!D1016,FIND(" ",'Journal'!D1016)-1),'Journal'!D1016))</f>
        <v/>
      </c>
      <c r="E2029" s="5">
        <f>IF('Journal'!D1016="","",IFERROR(INDEX('Kontoplan'!$B$3:$B$302,MATCH('Journal'!D1016,'Kontoplan'!$H$3:$H$302,0)),""))</f>
        <v/>
      </c>
      <c r="F2029" s="20">
        <f>IF('Journal'!G1016="","",'Journal'!G1016)</f>
        <v/>
      </c>
      <c r="G2029" s="20">
        <f>IF('Journal'!F1016="","",'Journal'!F1016)</f>
        <v/>
      </c>
      <c r="H2029" s="5">
        <f>IF('Journal'!I1016="","",'Journal'!I1016)</f>
        <v/>
      </c>
    </row>
    <row r="2030">
      <c r="A2030" s="18">
        <f>IF('Journal'!A1016="","",'Journal'!A1016)</f>
        <v/>
      </c>
      <c r="B2030" s="21">
        <f>IF('Journal'!B1016="","",'Journal'!B1016)</f>
        <v/>
      </c>
      <c r="C2030" s="5">
        <f>IF('Journal'!C1016="","",'Journal'!C1016)</f>
        <v/>
      </c>
      <c r="D2030" s="5">
        <f>IF('Journal'!E1016="","",IFERROR(LEFT('Journal'!E1016,FIND(" ",'Journal'!E1016)-1),'Journal'!E1016))</f>
        <v/>
      </c>
      <c r="E2030" s="5">
        <f>IF('Journal'!E1016="","",IFERROR(INDEX('Kontoplan'!$B$3:$B$302,MATCH('Journal'!E1016,'Kontoplan'!$H$3:$H$302,0)),""))</f>
        <v/>
      </c>
      <c r="F2030" s="20">
        <f>IF('Journal'!F1016="","",'Journal'!F1016)</f>
        <v/>
      </c>
      <c r="G2030" s="20">
        <f>IF('Journal'!G1016="","",'Journal'!G1016)</f>
        <v/>
      </c>
      <c r="H2030" s="5">
        <f>IF('Journal'!I1016="","",'Journal'!I1016)</f>
        <v/>
      </c>
    </row>
    <row r="2031">
      <c r="A2031" s="18">
        <f>IF('Journal'!A1017="","",'Journal'!A1017)</f>
        <v/>
      </c>
      <c r="B2031" s="21">
        <f>IF('Journal'!B1017="","",'Journal'!B1017)</f>
        <v/>
      </c>
      <c r="C2031" s="5">
        <f>IF('Journal'!C1017="","",'Journal'!C1017)</f>
        <v/>
      </c>
      <c r="D2031" s="5">
        <f>IF('Journal'!D1017="","",IFERROR(LEFT('Journal'!D1017,FIND(" ",'Journal'!D1017)-1),'Journal'!D1017))</f>
        <v/>
      </c>
      <c r="E2031" s="5">
        <f>IF('Journal'!D1017="","",IFERROR(INDEX('Kontoplan'!$B$3:$B$302,MATCH('Journal'!D1017,'Kontoplan'!$H$3:$H$302,0)),""))</f>
        <v/>
      </c>
      <c r="F2031" s="20">
        <f>IF('Journal'!G1017="","",'Journal'!G1017)</f>
        <v/>
      </c>
      <c r="G2031" s="20">
        <f>IF('Journal'!F1017="","",'Journal'!F1017)</f>
        <v/>
      </c>
      <c r="H2031" s="5">
        <f>IF('Journal'!I1017="","",'Journal'!I1017)</f>
        <v/>
      </c>
    </row>
    <row r="2032">
      <c r="A2032" s="18">
        <f>IF('Journal'!A1017="","",'Journal'!A1017)</f>
        <v/>
      </c>
      <c r="B2032" s="21">
        <f>IF('Journal'!B1017="","",'Journal'!B1017)</f>
        <v/>
      </c>
      <c r="C2032" s="5">
        <f>IF('Journal'!C1017="","",'Journal'!C1017)</f>
        <v/>
      </c>
      <c r="D2032" s="5">
        <f>IF('Journal'!E1017="","",IFERROR(LEFT('Journal'!E1017,FIND(" ",'Journal'!E1017)-1),'Journal'!E1017))</f>
        <v/>
      </c>
      <c r="E2032" s="5">
        <f>IF('Journal'!E1017="","",IFERROR(INDEX('Kontoplan'!$B$3:$B$302,MATCH('Journal'!E1017,'Kontoplan'!$H$3:$H$302,0)),""))</f>
        <v/>
      </c>
      <c r="F2032" s="20">
        <f>IF('Journal'!F1017="","",'Journal'!F1017)</f>
        <v/>
      </c>
      <c r="G2032" s="20">
        <f>IF('Journal'!G1017="","",'Journal'!G1017)</f>
        <v/>
      </c>
      <c r="H2032" s="5">
        <f>IF('Journal'!I1017="","",'Journal'!I1017)</f>
        <v/>
      </c>
    </row>
    <row r="2033">
      <c r="A2033" s="18">
        <f>IF('Journal'!A1018="","",'Journal'!A1018)</f>
        <v/>
      </c>
      <c r="B2033" s="21">
        <f>IF('Journal'!B1018="","",'Journal'!B1018)</f>
        <v/>
      </c>
      <c r="C2033" s="5">
        <f>IF('Journal'!C1018="","",'Journal'!C1018)</f>
        <v/>
      </c>
      <c r="D2033" s="5">
        <f>IF('Journal'!D1018="","",IFERROR(LEFT('Journal'!D1018,FIND(" ",'Journal'!D1018)-1),'Journal'!D1018))</f>
        <v/>
      </c>
      <c r="E2033" s="5">
        <f>IF('Journal'!D1018="","",IFERROR(INDEX('Kontoplan'!$B$3:$B$302,MATCH('Journal'!D1018,'Kontoplan'!$H$3:$H$302,0)),""))</f>
        <v/>
      </c>
      <c r="F2033" s="20">
        <f>IF('Journal'!G1018="","",'Journal'!G1018)</f>
        <v/>
      </c>
      <c r="G2033" s="20">
        <f>IF('Journal'!F1018="","",'Journal'!F1018)</f>
        <v/>
      </c>
      <c r="H2033" s="5">
        <f>IF('Journal'!I1018="","",'Journal'!I1018)</f>
        <v/>
      </c>
    </row>
    <row r="2034">
      <c r="A2034" s="18">
        <f>IF('Journal'!A1018="","",'Journal'!A1018)</f>
        <v/>
      </c>
      <c r="B2034" s="21">
        <f>IF('Journal'!B1018="","",'Journal'!B1018)</f>
        <v/>
      </c>
      <c r="C2034" s="5">
        <f>IF('Journal'!C1018="","",'Journal'!C1018)</f>
        <v/>
      </c>
      <c r="D2034" s="5">
        <f>IF('Journal'!E1018="","",IFERROR(LEFT('Journal'!E1018,FIND(" ",'Journal'!E1018)-1),'Journal'!E1018))</f>
        <v/>
      </c>
      <c r="E2034" s="5">
        <f>IF('Journal'!E1018="","",IFERROR(INDEX('Kontoplan'!$B$3:$B$302,MATCH('Journal'!E1018,'Kontoplan'!$H$3:$H$302,0)),""))</f>
        <v/>
      </c>
      <c r="F2034" s="20">
        <f>IF('Journal'!F1018="","",'Journal'!F1018)</f>
        <v/>
      </c>
      <c r="G2034" s="20">
        <f>IF('Journal'!G1018="","",'Journal'!G1018)</f>
        <v/>
      </c>
      <c r="H2034" s="5">
        <f>IF('Journal'!I1018="","",'Journal'!I1018)</f>
        <v/>
      </c>
    </row>
    <row r="2035">
      <c r="A2035" s="18">
        <f>IF('Journal'!A1019="","",'Journal'!A1019)</f>
        <v/>
      </c>
      <c r="B2035" s="21">
        <f>IF('Journal'!B1019="","",'Journal'!B1019)</f>
        <v/>
      </c>
      <c r="C2035" s="5">
        <f>IF('Journal'!C1019="","",'Journal'!C1019)</f>
        <v/>
      </c>
      <c r="D2035" s="5">
        <f>IF('Journal'!D1019="","",IFERROR(LEFT('Journal'!D1019,FIND(" ",'Journal'!D1019)-1),'Journal'!D1019))</f>
        <v/>
      </c>
      <c r="E2035" s="5">
        <f>IF('Journal'!D1019="","",IFERROR(INDEX('Kontoplan'!$B$3:$B$302,MATCH('Journal'!D1019,'Kontoplan'!$H$3:$H$302,0)),""))</f>
        <v/>
      </c>
      <c r="F2035" s="20">
        <f>IF('Journal'!G1019="","",'Journal'!G1019)</f>
        <v/>
      </c>
      <c r="G2035" s="20">
        <f>IF('Journal'!F1019="","",'Journal'!F1019)</f>
        <v/>
      </c>
      <c r="H2035" s="5">
        <f>IF('Journal'!I1019="","",'Journal'!I1019)</f>
        <v/>
      </c>
    </row>
    <row r="2036">
      <c r="A2036" s="18">
        <f>IF('Journal'!A1019="","",'Journal'!A1019)</f>
        <v/>
      </c>
      <c r="B2036" s="21">
        <f>IF('Journal'!B1019="","",'Journal'!B1019)</f>
        <v/>
      </c>
      <c r="C2036" s="5">
        <f>IF('Journal'!C1019="","",'Journal'!C1019)</f>
        <v/>
      </c>
      <c r="D2036" s="5">
        <f>IF('Journal'!E1019="","",IFERROR(LEFT('Journal'!E1019,FIND(" ",'Journal'!E1019)-1),'Journal'!E1019))</f>
        <v/>
      </c>
      <c r="E2036" s="5">
        <f>IF('Journal'!E1019="","",IFERROR(INDEX('Kontoplan'!$B$3:$B$302,MATCH('Journal'!E1019,'Kontoplan'!$H$3:$H$302,0)),""))</f>
        <v/>
      </c>
      <c r="F2036" s="20">
        <f>IF('Journal'!F1019="","",'Journal'!F1019)</f>
        <v/>
      </c>
      <c r="G2036" s="20">
        <f>IF('Journal'!G1019="","",'Journal'!G1019)</f>
        <v/>
      </c>
      <c r="H2036" s="5">
        <f>IF('Journal'!I1019="","",'Journal'!I1019)</f>
        <v/>
      </c>
    </row>
    <row r="2037">
      <c r="A2037" s="18">
        <f>IF('Journal'!A1020="","",'Journal'!A1020)</f>
        <v/>
      </c>
      <c r="B2037" s="21">
        <f>IF('Journal'!B1020="","",'Journal'!B1020)</f>
        <v/>
      </c>
      <c r="C2037" s="5">
        <f>IF('Journal'!C1020="","",'Journal'!C1020)</f>
        <v/>
      </c>
      <c r="D2037" s="5">
        <f>IF('Journal'!D1020="","",IFERROR(LEFT('Journal'!D1020,FIND(" ",'Journal'!D1020)-1),'Journal'!D1020))</f>
        <v/>
      </c>
      <c r="E2037" s="5">
        <f>IF('Journal'!D1020="","",IFERROR(INDEX('Kontoplan'!$B$3:$B$302,MATCH('Journal'!D1020,'Kontoplan'!$H$3:$H$302,0)),""))</f>
        <v/>
      </c>
      <c r="F2037" s="20">
        <f>IF('Journal'!G1020="","",'Journal'!G1020)</f>
        <v/>
      </c>
      <c r="G2037" s="20">
        <f>IF('Journal'!F1020="","",'Journal'!F1020)</f>
        <v/>
      </c>
      <c r="H2037" s="5">
        <f>IF('Journal'!I1020="","",'Journal'!I1020)</f>
        <v/>
      </c>
    </row>
    <row r="2038">
      <c r="A2038" s="18">
        <f>IF('Journal'!A1020="","",'Journal'!A1020)</f>
        <v/>
      </c>
      <c r="B2038" s="21">
        <f>IF('Journal'!B1020="","",'Journal'!B1020)</f>
        <v/>
      </c>
      <c r="C2038" s="5">
        <f>IF('Journal'!C1020="","",'Journal'!C1020)</f>
        <v/>
      </c>
      <c r="D2038" s="5">
        <f>IF('Journal'!E1020="","",IFERROR(LEFT('Journal'!E1020,FIND(" ",'Journal'!E1020)-1),'Journal'!E1020))</f>
        <v/>
      </c>
      <c r="E2038" s="5">
        <f>IF('Journal'!E1020="","",IFERROR(INDEX('Kontoplan'!$B$3:$B$302,MATCH('Journal'!E1020,'Kontoplan'!$H$3:$H$302,0)),""))</f>
        <v/>
      </c>
      <c r="F2038" s="20">
        <f>IF('Journal'!F1020="","",'Journal'!F1020)</f>
        <v/>
      </c>
      <c r="G2038" s="20">
        <f>IF('Journal'!G1020="","",'Journal'!G1020)</f>
        <v/>
      </c>
      <c r="H2038" s="5">
        <f>IF('Journal'!I1020="","",'Journal'!I1020)</f>
        <v/>
      </c>
    </row>
    <row r="2039">
      <c r="A2039" s="18">
        <f>IF('Journal'!A1021="","",'Journal'!A1021)</f>
        <v/>
      </c>
      <c r="B2039" s="21">
        <f>IF('Journal'!B1021="","",'Journal'!B1021)</f>
        <v/>
      </c>
      <c r="C2039" s="5">
        <f>IF('Journal'!C1021="","",'Journal'!C1021)</f>
        <v/>
      </c>
      <c r="D2039" s="5">
        <f>IF('Journal'!D1021="","",IFERROR(LEFT('Journal'!D1021,FIND(" ",'Journal'!D1021)-1),'Journal'!D1021))</f>
        <v/>
      </c>
      <c r="E2039" s="5">
        <f>IF('Journal'!D1021="","",IFERROR(INDEX('Kontoplan'!$B$3:$B$302,MATCH('Journal'!D1021,'Kontoplan'!$H$3:$H$302,0)),""))</f>
        <v/>
      </c>
      <c r="F2039" s="20">
        <f>IF('Journal'!G1021="","",'Journal'!G1021)</f>
        <v/>
      </c>
      <c r="G2039" s="20">
        <f>IF('Journal'!F1021="","",'Journal'!F1021)</f>
        <v/>
      </c>
      <c r="H2039" s="5">
        <f>IF('Journal'!I1021="","",'Journal'!I1021)</f>
        <v/>
      </c>
    </row>
    <row r="2040">
      <c r="A2040" s="18">
        <f>IF('Journal'!A1021="","",'Journal'!A1021)</f>
        <v/>
      </c>
      <c r="B2040" s="21">
        <f>IF('Journal'!B1021="","",'Journal'!B1021)</f>
        <v/>
      </c>
      <c r="C2040" s="5">
        <f>IF('Journal'!C1021="","",'Journal'!C1021)</f>
        <v/>
      </c>
      <c r="D2040" s="5">
        <f>IF('Journal'!E1021="","",IFERROR(LEFT('Journal'!E1021,FIND(" ",'Journal'!E1021)-1),'Journal'!E1021))</f>
        <v/>
      </c>
      <c r="E2040" s="5">
        <f>IF('Journal'!E1021="","",IFERROR(INDEX('Kontoplan'!$B$3:$B$302,MATCH('Journal'!E1021,'Kontoplan'!$H$3:$H$302,0)),""))</f>
        <v/>
      </c>
      <c r="F2040" s="20">
        <f>IF('Journal'!F1021="","",'Journal'!F1021)</f>
        <v/>
      </c>
      <c r="G2040" s="20">
        <f>IF('Journal'!G1021="","",'Journal'!G1021)</f>
        <v/>
      </c>
      <c r="H2040" s="5">
        <f>IF('Journal'!I1021="","",'Journal'!I1021)</f>
        <v/>
      </c>
    </row>
    <row r="2041">
      <c r="A2041" s="18">
        <f>IF('Journal'!A1022="","",'Journal'!A1022)</f>
        <v/>
      </c>
      <c r="B2041" s="21">
        <f>IF('Journal'!B1022="","",'Journal'!B1022)</f>
        <v/>
      </c>
      <c r="C2041" s="5">
        <f>IF('Journal'!C1022="","",'Journal'!C1022)</f>
        <v/>
      </c>
      <c r="D2041" s="5">
        <f>IF('Journal'!D1022="","",IFERROR(LEFT('Journal'!D1022,FIND(" ",'Journal'!D1022)-1),'Journal'!D1022))</f>
        <v/>
      </c>
      <c r="E2041" s="5">
        <f>IF('Journal'!D1022="","",IFERROR(INDEX('Kontoplan'!$B$3:$B$302,MATCH('Journal'!D1022,'Kontoplan'!$H$3:$H$302,0)),""))</f>
        <v/>
      </c>
      <c r="F2041" s="20">
        <f>IF('Journal'!G1022="","",'Journal'!G1022)</f>
        <v/>
      </c>
      <c r="G2041" s="20">
        <f>IF('Journal'!F1022="","",'Journal'!F1022)</f>
        <v/>
      </c>
      <c r="H2041" s="5">
        <f>IF('Journal'!I1022="","",'Journal'!I1022)</f>
        <v/>
      </c>
    </row>
    <row r="2042">
      <c r="A2042" s="18">
        <f>IF('Journal'!A1022="","",'Journal'!A1022)</f>
        <v/>
      </c>
      <c r="B2042" s="21">
        <f>IF('Journal'!B1022="","",'Journal'!B1022)</f>
        <v/>
      </c>
      <c r="C2042" s="5">
        <f>IF('Journal'!C1022="","",'Journal'!C1022)</f>
        <v/>
      </c>
      <c r="D2042" s="5">
        <f>IF('Journal'!E1022="","",IFERROR(LEFT('Journal'!E1022,FIND(" ",'Journal'!E1022)-1),'Journal'!E1022))</f>
        <v/>
      </c>
      <c r="E2042" s="5">
        <f>IF('Journal'!E1022="","",IFERROR(INDEX('Kontoplan'!$B$3:$B$302,MATCH('Journal'!E1022,'Kontoplan'!$H$3:$H$302,0)),""))</f>
        <v/>
      </c>
      <c r="F2042" s="20">
        <f>IF('Journal'!F1022="","",'Journal'!F1022)</f>
        <v/>
      </c>
      <c r="G2042" s="20">
        <f>IF('Journal'!G1022="","",'Journal'!G1022)</f>
        <v/>
      </c>
      <c r="H2042" s="5">
        <f>IF('Journal'!I1022="","",'Journal'!I1022)</f>
        <v/>
      </c>
    </row>
    <row r="2043">
      <c r="A2043" s="18">
        <f>IF('Journal'!A1023="","",'Journal'!A1023)</f>
        <v/>
      </c>
      <c r="B2043" s="21">
        <f>IF('Journal'!B1023="","",'Journal'!B1023)</f>
        <v/>
      </c>
      <c r="C2043" s="5">
        <f>IF('Journal'!C1023="","",'Journal'!C1023)</f>
        <v/>
      </c>
      <c r="D2043" s="5">
        <f>IF('Journal'!D1023="","",IFERROR(LEFT('Journal'!D1023,FIND(" ",'Journal'!D1023)-1),'Journal'!D1023))</f>
        <v/>
      </c>
      <c r="E2043" s="5">
        <f>IF('Journal'!D1023="","",IFERROR(INDEX('Kontoplan'!$B$3:$B$302,MATCH('Journal'!D1023,'Kontoplan'!$H$3:$H$302,0)),""))</f>
        <v/>
      </c>
      <c r="F2043" s="20">
        <f>IF('Journal'!G1023="","",'Journal'!G1023)</f>
        <v/>
      </c>
      <c r="G2043" s="20">
        <f>IF('Journal'!F1023="","",'Journal'!F1023)</f>
        <v/>
      </c>
      <c r="H2043" s="5">
        <f>IF('Journal'!I1023="","",'Journal'!I1023)</f>
        <v/>
      </c>
    </row>
    <row r="2044">
      <c r="A2044" s="18">
        <f>IF('Journal'!A1023="","",'Journal'!A1023)</f>
        <v/>
      </c>
      <c r="B2044" s="21">
        <f>IF('Journal'!B1023="","",'Journal'!B1023)</f>
        <v/>
      </c>
      <c r="C2044" s="5">
        <f>IF('Journal'!C1023="","",'Journal'!C1023)</f>
        <v/>
      </c>
      <c r="D2044" s="5">
        <f>IF('Journal'!E1023="","",IFERROR(LEFT('Journal'!E1023,FIND(" ",'Journal'!E1023)-1),'Journal'!E1023))</f>
        <v/>
      </c>
      <c r="E2044" s="5">
        <f>IF('Journal'!E1023="","",IFERROR(INDEX('Kontoplan'!$B$3:$B$302,MATCH('Journal'!E1023,'Kontoplan'!$H$3:$H$302,0)),""))</f>
        <v/>
      </c>
      <c r="F2044" s="20">
        <f>IF('Journal'!F1023="","",'Journal'!F1023)</f>
        <v/>
      </c>
      <c r="G2044" s="20">
        <f>IF('Journal'!G1023="","",'Journal'!G1023)</f>
        <v/>
      </c>
      <c r="H2044" s="5">
        <f>IF('Journal'!I1023="","",'Journal'!I1023)</f>
        <v/>
      </c>
    </row>
    <row r="2045">
      <c r="A2045" s="18">
        <f>IF('Journal'!A1024="","",'Journal'!A1024)</f>
        <v/>
      </c>
      <c r="B2045" s="21">
        <f>IF('Journal'!B1024="","",'Journal'!B1024)</f>
        <v/>
      </c>
      <c r="C2045" s="5">
        <f>IF('Journal'!C1024="","",'Journal'!C1024)</f>
        <v/>
      </c>
      <c r="D2045" s="5">
        <f>IF('Journal'!D1024="","",IFERROR(LEFT('Journal'!D1024,FIND(" ",'Journal'!D1024)-1),'Journal'!D1024))</f>
        <v/>
      </c>
      <c r="E2045" s="5">
        <f>IF('Journal'!D1024="","",IFERROR(INDEX('Kontoplan'!$B$3:$B$302,MATCH('Journal'!D1024,'Kontoplan'!$H$3:$H$302,0)),""))</f>
        <v/>
      </c>
      <c r="F2045" s="20">
        <f>IF('Journal'!G1024="","",'Journal'!G1024)</f>
        <v/>
      </c>
      <c r="G2045" s="20">
        <f>IF('Journal'!F1024="","",'Journal'!F1024)</f>
        <v/>
      </c>
      <c r="H2045" s="5">
        <f>IF('Journal'!I1024="","",'Journal'!I1024)</f>
        <v/>
      </c>
    </row>
    <row r="2046">
      <c r="A2046" s="18">
        <f>IF('Journal'!A1024="","",'Journal'!A1024)</f>
        <v/>
      </c>
      <c r="B2046" s="21">
        <f>IF('Journal'!B1024="","",'Journal'!B1024)</f>
        <v/>
      </c>
      <c r="C2046" s="5">
        <f>IF('Journal'!C1024="","",'Journal'!C1024)</f>
        <v/>
      </c>
      <c r="D2046" s="5">
        <f>IF('Journal'!E1024="","",IFERROR(LEFT('Journal'!E1024,FIND(" ",'Journal'!E1024)-1),'Journal'!E1024))</f>
        <v/>
      </c>
      <c r="E2046" s="5">
        <f>IF('Journal'!E1024="","",IFERROR(INDEX('Kontoplan'!$B$3:$B$302,MATCH('Journal'!E1024,'Kontoplan'!$H$3:$H$302,0)),""))</f>
        <v/>
      </c>
      <c r="F2046" s="20">
        <f>IF('Journal'!F1024="","",'Journal'!F1024)</f>
        <v/>
      </c>
      <c r="G2046" s="20">
        <f>IF('Journal'!G1024="","",'Journal'!G1024)</f>
        <v/>
      </c>
      <c r="H2046" s="5">
        <f>IF('Journal'!I1024="","",'Journal'!I1024)</f>
        <v/>
      </c>
    </row>
    <row r="2047">
      <c r="A2047" s="18">
        <f>IF('Journal'!A1025="","",'Journal'!A1025)</f>
        <v/>
      </c>
      <c r="B2047" s="21">
        <f>IF('Journal'!B1025="","",'Journal'!B1025)</f>
        <v/>
      </c>
      <c r="C2047" s="5">
        <f>IF('Journal'!C1025="","",'Journal'!C1025)</f>
        <v/>
      </c>
      <c r="D2047" s="5">
        <f>IF('Journal'!D1025="","",IFERROR(LEFT('Journal'!D1025,FIND(" ",'Journal'!D1025)-1),'Journal'!D1025))</f>
        <v/>
      </c>
      <c r="E2047" s="5">
        <f>IF('Journal'!D1025="","",IFERROR(INDEX('Kontoplan'!$B$3:$B$302,MATCH('Journal'!D1025,'Kontoplan'!$H$3:$H$302,0)),""))</f>
        <v/>
      </c>
      <c r="F2047" s="20">
        <f>IF('Journal'!G1025="","",'Journal'!G1025)</f>
        <v/>
      </c>
      <c r="G2047" s="20">
        <f>IF('Journal'!F1025="","",'Journal'!F1025)</f>
        <v/>
      </c>
      <c r="H2047" s="5">
        <f>IF('Journal'!I1025="","",'Journal'!I1025)</f>
        <v/>
      </c>
    </row>
    <row r="2048">
      <c r="A2048" s="18">
        <f>IF('Journal'!A1025="","",'Journal'!A1025)</f>
        <v/>
      </c>
      <c r="B2048" s="21">
        <f>IF('Journal'!B1025="","",'Journal'!B1025)</f>
        <v/>
      </c>
      <c r="C2048" s="5">
        <f>IF('Journal'!C1025="","",'Journal'!C1025)</f>
        <v/>
      </c>
      <c r="D2048" s="5">
        <f>IF('Journal'!E1025="","",IFERROR(LEFT('Journal'!E1025,FIND(" ",'Journal'!E1025)-1),'Journal'!E1025))</f>
        <v/>
      </c>
      <c r="E2048" s="5">
        <f>IF('Journal'!E1025="","",IFERROR(INDEX('Kontoplan'!$B$3:$B$302,MATCH('Journal'!E1025,'Kontoplan'!$H$3:$H$302,0)),""))</f>
        <v/>
      </c>
      <c r="F2048" s="20">
        <f>IF('Journal'!F1025="","",'Journal'!F1025)</f>
        <v/>
      </c>
      <c r="G2048" s="20">
        <f>IF('Journal'!G1025="","",'Journal'!G1025)</f>
        <v/>
      </c>
      <c r="H2048" s="5">
        <f>IF('Journal'!I1025="","",'Journal'!I1025)</f>
        <v/>
      </c>
    </row>
    <row r="2049">
      <c r="A2049" s="18">
        <f>IF('Journal'!A1026="","",'Journal'!A1026)</f>
        <v/>
      </c>
      <c r="B2049" s="21">
        <f>IF('Journal'!B1026="","",'Journal'!B1026)</f>
        <v/>
      </c>
      <c r="C2049" s="5">
        <f>IF('Journal'!C1026="","",'Journal'!C1026)</f>
        <v/>
      </c>
      <c r="D2049" s="5">
        <f>IF('Journal'!D1026="","",IFERROR(LEFT('Journal'!D1026,FIND(" ",'Journal'!D1026)-1),'Journal'!D1026))</f>
        <v/>
      </c>
      <c r="E2049" s="5">
        <f>IF('Journal'!D1026="","",IFERROR(INDEX('Kontoplan'!$B$3:$B$302,MATCH('Journal'!D1026,'Kontoplan'!$H$3:$H$302,0)),""))</f>
        <v/>
      </c>
      <c r="F2049" s="20">
        <f>IF('Journal'!G1026="","",'Journal'!G1026)</f>
        <v/>
      </c>
      <c r="G2049" s="20">
        <f>IF('Journal'!F1026="","",'Journal'!F1026)</f>
        <v/>
      </c>
      <c r="H2049" s="5">
        <f>IF('Journal'!I1026="","",'Journal'!I1026)</f>
        <v/>
      </c>
    </row>
    <row r="2050">
      <c r="A2050" s="18">
        <f>IF('Journal'!A1026="","",'Journal'!A1026)</f>
        <v/>
      </c>
      <c r="B2050" s="21">
        <f>IF('Journal'!B1026="","",'Journal'!B1026)</f>
        <v/>
      </c>
      <c r="C2050" s="5">
        <f>IF('Journal'!C1026="","",'Journal'!C1026)</f>
        <v/>
      </c>
      <c r="D2050" s="5">
        <f>IF('Journal'!E1026="","",IFERROR(LEFT('Journal'!E1026,FIND(" ",'Journal'!E1026)-1),'Journal'!E1026))</f>
        <v/>
      </c>
      <c r="E2050" s="5">
        <f>IF('Journal'!E1026="","",IFERROR(INDEX('Kontoplan'!$B$3:$B$302,MATCH('Journal'!E1026,'Kontoplan'!$H$3:$H$302,0)),""))</f>
        <v/>
      </c>
      <c r="F2050" s="20">
        <f>IF('Journal'!F1026="","",'Journal'!F1026)</f>
        <v/>
      </c>
      <c r="G2050" s="20">
        <f>IF('Journal'!G1026="","",'Journal'!G1026)</f>
        <v/>
      </c>
      <c r="H2050" s="5">
        <f>IF('Journal'!I1026="","",'Journal'!I1026)</f>
        <v/>
      </c>
    </row>
    <row r="2051">
      <c r="A2051" s="18">
        <f>IF('Journal'!A1027="","",'Journal'!A1027)</f>
        <v/>
      </c>
      <c r="B2051" s="21">
        <f>IF('Journal'!B1027="","",'Journal'!B1027)</f>
        <v/>
      </c>
      <c r="C2051" s="5">
        <f>IF('Journal'!C1027="","",'Journal'!C1027)</f>
        <v/>
      </c>
      <c r="D2051" s="5">
        <f>IF('Journal'!D1027="","",IFERROR(LEFT('Journal'!D1027,FIND(" ",'Journal'!D1027)-1),'Journal'!D1027))</f>
        <v/>
      </c>
      <c r="E2051" s="5">
        <f>IF('Journal'!D1027="","",IFERROR(INDEX('Kontoplan'!$B$3:$B$302,MATCH('Journal'!D1027,'Kontoplan'!$H$3:$H$302,0)),""))</f>
        <v/>
      </c>
      <c r="F2051" s="20">
        <f>IF('Journal'!G1027="","",'Journal'!G1027)</f>
        <v/>
      </c>
      <c r="G2051" s="20">
        <f>IF('Journal'!F1027="","",'Journal'!F1027)</f>
        <v/>
      </c>
      <c r="H2051" s="5">
        <f>IF('Journal'!I1027="","",'Journal'!I1027)</f>
        <v/>
      </c>
    </row>
    <row r="2052">
      <c r="A2052" s="18">
        <f>IF('Journal'!A1027="","",'Journal'!A1027)</f>
        <v/>
      </c>
      <c r="B2052" s="21">
        <f>IF('Journal'!B1027="","",'Journal'!B1027)</f>
        <v/>
      </c>
      <c r="C2052" s="5">
        <f>IF('Journal'!C1027="","",'Journal'!C1027)</f>
        <v/>
      </c>
      <c r="D2052" s="5">
        <f>IF('Journal'!E1027="","",IFERROR(LEFT('Journal'!E1027,FIND(" ",'Journal'!E1027)-1),'Journal'!E1027))</f>
        <v/>
      </c>
      <c r="E2052" s="5">
        <f>IF('Journal'!E1027="","",IFERROR(INDEX('Kontoplan'!$B$3:$B$302,MATCH('Journal'!E1027,'Kontoplan'!$H$3:$H$302,0)),""))</f>
        <v/>
      </c>
      <c r="F2052" s="20">
        <f>IF('Journal'!F1027="","",'Journal'!F1027)</f>
        <v/>
      </c>
      <c r="G2052" s="20">
        <f>IF('Journal'!G1027="","",'Journal'!G1027)</f>
        <v/>
      </c>
      <c r="H2052" s="5">
        <f>IF('Journal'!I1027="","",'Journal'!I1027)</f>
        <v/>
      </c>
    </row>
    <row r="2053">
      <c r="A2053" s="18">
        <f>IF('Journal'!A1028="","",'Journal'!A1028)</f>
        <v/>
      </c>
      <c r="B2053" s="21">
        <f>IF('Journal'!B1028="","",'Journal'!B1028)</f>
        <v/>
      </c>
      <c r="C2053" s="5">
        <f>IF('Journal'!C1028="","",'Journal'!C1028)</f>
        <v/>
      </c>
      <c r="D2053" s="5">
        <f>IF('Journal'!D1028="","",IFERROR(LEFT('Journal'!D1028,FIND(" ",'Journal'!D1028)-1),'Journal'!D1028))</f>
        <v/>
      </c>
      <c r="E2053" s="5">
        <f>IF('Journal'!D1028="","",IFERROR(INDEX('Kontoplan'!$B$3:$B$302,MATCH('Journal'!D1028,'Kontoplan'!$H$3:$H$302,0)),""))</f>
        <v/>
      </c>
      <c r="F2053" s="20">
        <f>IF('Journal'!G1028="","",'Journal'!G1028)</f>
        <v/>
      </c>
      <c r="G2053" s="20">
        <f>IF('Journal'!F1028="","",'Journal'!F1028)</f>
        <v/>
      </c>
      <c r="H2053" s="5">
        <f>IF('Journal'!I1028="","",'Journal'!I1028)</f>
        <v/>
      </c>
    </row>
    <row r="2054">
      <c r="A2054" s="18">
        <f>IF('Journal'!A1028="","",'Journal'!A1028)</f>
        <v/>
      </c>
      <c r="B2054" s="21">
        <f>IF('Journal'!B1028="","",'Journal'!B1028)</f>
        <v/>
      </c>
      <c r="C2054" s="5">
        <f>IF('Journal'!C1028="","",'Journal'!C1028)</f>
        <v/>
      </c>
      <c r="D2054" s="5">
        <f>IF('Journal'!E1028="","",IFERROR(LEFT('Journal'!E1028,FIND(" ",'Journal'!E1028)-1),'Journal'!E1028))</f>
        <v/>
      </c>
      <c r="E2054" s="5">
        <f>IF('Journal'!E1028="","",IFERROR(INDEX('Kontoplan'!$B$3:$B$302,MATCH('Journal'!E1028,'Kontoplan'!$H$3:$H$302,0)),""))</f>
        <v/>
      </c>
      <c r="F2054" s="20">
        <f>IF('Journal'!F1028="","",'Journal'!F1028)</f>
        <v/>
      </c>
      <c r="G2054" s="20">
        <f>IF('Journal'!G1028="","",'Journal'!G1028)</f>
        <v/>
      </c>
      <c r="H2054" s="5">
        <f>IF('Journal'!I1028="","",'Journal'!I1028)</f>
        <v/>
      </c>
    </row>
    <row r="2055">
      <c r="A2055" s="18">
        <f>IF('Journal'!A1029="","",'Journal'!A1029)</f>
        <v/>
      </c>
      <c r="B2055" s="21">
        <f>IF('Journal'!B1029="","",'Journal'!B1029)</f>
        <v/>
      </c>
      <c r="C2055" s="5">
        <f>IF('Journal'!C1029="","",'Journal'!C1029)</f>
        <v/>
      </c>
      <c r="D2055" s="5">
        <f>IF('Journal'!D1029="","",IFERROR(LEFT('Journal'!D1029,FIND(" ",'Journal'!D1029)-1),'Journal'!D1029))</f>
        <v/>
      </c>
      <c r="E2055" s="5">
        <f>IF('Journal'!D1029="","",IFERROR(INDEX('Kontoplan'!$B$3:$B$302,MATCH('Journal'!D1029,'Kontoplan'!$H$3:$H$302,0)),""))</f>
        <v/>
      </c>
      <c r="F2055" s="20">
        <f>IF('Journal'!G1029="","",'Journal'!G1029)</f>
        <v/>
      </c>
      <c r="G2055" s="20">
        <f>IF('Journal'!F1029="","",'Journal'!F1029)</f>
        <v/>
      </c>
      <c r="H2055" s="5">
        <f>IF('Journal'!I1029="","",'Journal'!I1029)</f>
        <v/>
      </c>
    </row>
    <row r="2056">
      <c r="A2056" s="18">
        <f>IF('Journal'!A1029="","",'Journal'!A1029)</f>
        <v/>
      </c>
      <c r="B2056" s="21">
        <f>IF('Journal'!B1029="","",'Journal'!B1029)</f>
        <v/>
      </c>
      <c r="C2056" s="5">
        <f>IF('Journal'!C1029="","",'Journal'!C1029)</f>
        <v/>
      </c>
      <c r="D2056" s="5">
        <f>IF('Journal'!E1029="","",IFERROR(LEFT('Journal'!E1029,FIND(" ",'Journal'!E1029)-1),'Journal'!E1029))</f>
        <v/>
      </c>
      <c r="E2056" s="5">
        <f>IF('Journal'!E1029="","",IFERROR(INDEX('Kontoplan'!$B$3:$B$302,MATCH('Journal'!E1029,'Kontoplan'!$H$3:$H$302,0)),""))</f>
        <v/>
      </c>
      <c r="F2056" s="20">
        <f>IF('Journal'!F1029="","",'Journal'!F1029)</f>
        <v/>
      </c>
      <c r="G2056" s="20">
        <f>IF('Journal'!G1029="","",'Journal'!G1029)</f>
        <v/>
      </c>
      <c r="H2056" s="5">
        <f>IF('Journal'!I1029="","",'Journal'!I1029)</f>
        <v/>
      </c>
    </row>
    <row r="2057">
      <c r="A2057" s="18">
        <f>IF('Journal'!A1030="","",'Journal'!A1030)</f>
        <v/>
      </c>
      <c r="B2057" s="21">
        <f>IF('Journal'!B1030="","",'Journal'!B1030)</f>
        <v/>
      </c>
      <c r="C2057" s="5">
        <f>IF('Journal'!C1030="","",'Journal'!C1030)</f>
        <v/>
      </c>
      <c r="D2057" s="5">
        <f>IF('Journal'!D1030="","",IFERROR(LEFT('Journal'!D1030,FIND(" ",'Journal'!D1030)-1),'Journal'!D1030))</f>
        <v/>
      </c>
      <c r="E2057" s="5">
        <f>IF('Journal'!D1030="","",IFERROR(INDEX('Kontoplan'!$B$3:$B$302,MATCH('Journal'!D1030,'Kontoplan'!$H$3:$H$302,0)),""))</f>
        <v/>
      </c>
      <c r="F2057" s="20">
        <f>IF('Journal'!G1030="","",'Journal'!G1030)</f>
        <v/>
      </c>
      <c r="G2057" s="20">
        <f>IF('Journal'!F1030="","",'Journal'!F1030)</f>
        <v/>
      </c>
      <c r="H2057" s="5">
        <f>IF('Journal'!I1030="","",'Journal'!I1030)</f>
        <v/>
      </c>
    </row>
    <row r="2058">
      <c r="A2058" s="18">
        <f>IF('Journal'!A1030="","",'Journal'!A1030)</f>
        <v/>
      </c>
      <c r="B2058" s="21">
        <f>IF('Journal'!B1030="","",'Journal'!B1030)</f>
        <v/>
      </c>
      <c r="C2058" s="5">
        <f>IF('Journal'!C1030="","",'Journal'!C1030)</f>
        <v/>
      </c>
      <c r="D2058" s="5">
        <f>IF('Journal'!E1030="","",IFERROR(LEFT('Journal'!E1030,FIND(" ",'Journal'!E1030)-1),'Journal'!E1030))</f>
        <v/>
      </c>
      <c r="E2058" s="5">
        <f>IF('Journal'!E1030="","",IFERROR(INDEX('Kontoplan'!$B$3:$B$302,MATCH('Journal'!E1030,'Kontoplan'!$H$3:$H$302,0)),""))</f>
        <v/>
      </c>
      <c r="F2058" s="20">
        <f>IF('Journal'!F1030="","",'Journal'!F1030)</f>
        <v/>
      </c>
      <c r="G2058" s="20">
        <f>IF('Journal'!G1030="","",'Journal'!G1030)</f>
        <v/>
      </c>
      <c r="H2058" s="5">
        <f>IF('Journal'!I1030="","",'Journal'!I1030)</f>
        <v/>
      </c>
    </row>
    <row r="2059">
      <c r="A2059" s="18">
        <f>IF('Journal'!A1031="","",'Journal'!A1031)</f>
        <v/>
      </c>
      <c r="B2059" s="21">
        <f>IF('Journal'!B1031="","",'Journal'!B1031)</f>
        <v/>
      </c>
      <c r="C2059" s="5">
        <f>IF('Journal'!C1031="","",'Journal'!C1031)</f>
        <v/>
      </c>
      <c r="D2059" s="5">
        <f>IF('Journal'!D1031="","",IFERROR(LEFT('Journal'!D1031,FIND(" ",'Journal'!D1031)-1),'Journal'!D1031))</f>
        <v/>
      </c>
      <c r="E2059" s="5">
        <f>IF('Journal'!D1031="","",IFERROR(INDEX('Kontoplan'!$B$3:$B$302,MATCH('Journal'!D1031,'Kontoplan'!$H$3:$H$302,0)),""))</f>
        <v/>
      </c>
      <c r="F2059" s="20">
        <f>IF('Journal'!G1031="","",'Journal'!G1031)</f>
        <v/>
      </c>
      <c r="G2059" s="20">
        <f>IF('Journal'!F1031="","",'Journal'!F1031)</f>
        <v/>
      </c>
      <c r="H2059" s="5">
        <f>IF('Journal'!I1031="","",'Journal'!I1031)</f>
        <v/>
      </c>
    </row>
    <row r="2060">
      <c r="A2060" s="18">
        <f>IF('Journal'!A1031="","",'Journal'!A1031)</f>
        <v/>
      </c>
      <c r="B2060" s="21">
        <f>IF('Journal'!B1031="","",'Journal'!B1031)</f>
        <v/>
      </c>
      <c r="C2060" s="5">
        <f>IF('Journal'!C1031="","",'Journal'!C1031)</f>
        <v/>
      </c>
      <c r="D2060" s="5">
        <f>IF('Journal'!E1031="","",IFERROR(LEFT('Journal'!E1031,FIND(" ",'Journal'!E1031)-1),'Journal'!E1031))</f>
        <v/>
      </c>
      <c r="E2060" s="5">
        <f>IF('Journal'!E1031="","",IFERROR(INDEX('Kontoplan'!$B$3:$B$302,MATCH('Journal'!E1031,'Kontoplan'!$H$3:$H$302,0)),""))</f>
        <v/>
      </c>
      <c r="F2060" s="20">
        <f>IF('Journal'!F1031="","",'Journal'!F1031)</f>
        <v/>
      </c>
      <c r="G2060" s="20">
        <f>IF('Journal'!G1031="","",'Journal'!G1031)</f>
        <v/>
      </c>
      <c r="H2060" s="5">
        <f>IF('Journal'!I1031="","",'Journal'!I1031)</f>
        <v/>
      </c>
    </row>
    <row r="2061">
      <c r="A2061" s="18">
        <f>IF('Journal'!A1032="","",'Journal'!A1032)</f>
        <v/>
      </c>
      <c r="B2061" s="21">
        <f>IF('Journal'!B1032="","",'Journal'!B1032)</f>
        <v/>
      </c>
      <c r="C2061" s="5">
        <f>IF('Journal'!C1032="","",'Journal'!C1032)</f>
        <v/>
      </c>
      <c r="D2061" s="5">
        <f>IF('Journal'!D1032="","",IFERROR(LEFT('Journal'!D1032,FIND(" ",'Journal'!D1032)-1),'Journal'!D1032))</f>
        <v/>
      </c>
      <c r="E2061" s="5">
        <f>IF('Journal'!D1032="","",IFERROR(INDEX('Kontoplan'!$B$3:$B$302,MATCH('Journal'!D1032,'Kontoplan'!$H$3:$H$302,0)),""))</f>
        <v/>
      </c>
      <c r="F2061" s="20">
        <f>IF('Journal'!G1032="","",'Journal'!G1032)</f>
        <v/>
      </c>
      <c r="G2061" s="20">
        <f>IF('Journal'!F1032="","",'Journal'!F1032)</f>
        <v/>
      </c>
      <c r="H2061" s="5">
        <f>IF('Journal'!I1032="","",'Journal'!I1032)</f>
        <v/>
      </c>
    </row>
    <row r="2062">
      <c r="A2062" s="18">
        <f>IF('Journal'!A1032="","",'Journal'!A1032)</f>
        <v/>
      </c>
      <c r="B2062" s="21">
        <f>IF('Journal'!B1032="","",'Journal'!B1032)</f>
        <v/>
      </c>
      <c r="C2062" s="5">
        <f>IF('Journal'!C1032="","",'Journal'!C1032)</f>
        <v/>
      </c>
      <c r="D2062" s="5">
        <f>IF('Journal'!E1032="","",IFERROR(LEFT('Journal'!E1032,FIND(" ",'Journal'!E1032)-1),'Journal'!E1032))</f>
        <v/>
      </c>
      <c r="E2062" s="5">
        <f>IF('Journal'!E1032="","",IFERROR(INDEX('Kontoplan'!$B$3:$B$302,MATCH('Journal'!E1032,'Kontoplan'!$H$3:$H$302,0)),""))</f>
        <v/>
      </c>
      <c r="F2062" s="20">
        <f>IF('Journal'!F1032="","",'Journal'!F1032)</f>
        <v/>
      </c>
      <c r="G2062" s="20">
        <f>IF('Journal'!G1032="","",'Journal'!G1032)</f>
        <v/>
      </c>
      <c r="H2062" s="5">
        <f>IF('Journal'!I1032="","",'Journal'!I1032)</f>
        <v/>
      </c>
    </row>
    <row r="2063">
      <c r="A2063" s="18">
        <f>IF('Journal'!A1033="","",'Journal'!A1033)</f>
        <v/>
      </c>
      <c r="B2063" s="21">
        <f>IF('Journal'!B1033="","",'Journal'!B1033)</f>
        <v/>
      </c>
      <c r="C2063" s="5">
        <f>IF('Journal'!C1033="","",'Journal'!C1033)</f>
        <v/>
      </c>
      <c r="D2063" s="5">
        <f>IF('Journal'!D1033="","",IFERROR(LEFT('Journal'!D1033,FIND(" ",'Journal'!D1033)-1),'Journal'!D1033))</f>
        <v/>
      </c>
      <c r="E2063" s="5">
        <f>IF('Journal'!D1033="","",IFERROR(INDEX('Kontoplan'!$B$3:$B$302,MATCH('Journal'!D1033,'Kontoplan'!$H$3:$H$302,0)),""))</f>
        <v/>
      </c>
      <c r="F2063" s="20">
        <f>IF('Journal'!G1033="","",'Journal'!G1033)</f>
        <v/>
      </c>
      <c r="G2063" s="20">
        <f>IF('Journal'!F1033="","",'Journal'!F1033)</f>
        <v/>
      </c>
      <c r="H2063" s="5">
        <f>IF('Journal'!I1033="","",'Journal'!I1033)</f>
        <v/>
      </c>
    </row>
    <row r="2064">
      <c r="A2064" s="18">
        <f>IF('Journal'!A1033="","",'Journal'!A1033)</f>
        <v/>
      </c>
      <c r="B2064" s="21">
        <f>IF('Journal'!B1033="","",'Journal'!B1033)</f>
        <v/>
      </c>
      <c r="C2064" s="5">
        <f>IF('Journal'!C1033="","",'Journal'!C1033)</f>
        <v/>
      </c>
      <c r="D2064" s="5">
        <f>IF('Journal'!E1033="","",IFERROR(LEFT('Journal'!E1033,FIND(" ",'Journal'!E1033)-1),'Journal'!E1033))</f>
        <v/>
      </c>
      <c r="E2064" s="5">
        <f>IF('Journal'!E1033="","",IFERROR(INDEX('Kontoplan'!$B$3:$B$302,MATCH('Journal'!E1033,'Kontoplan'!$H$3:$H$302,0)),""))</f>
        <v/>
      </c>
      <c r="F2064" s="20">
        <f>IF('Journal'!F1033="","",'Journal'!F1033)</f>
        <v/>
      </c>
      <c r="G2064" s="20">
        <f>IF('Journal'!G1033="","",'Journal'!G1033)</f>
        <v/>
      </c>
      <c r="H2064" s="5">
        <f>IF('Journal'!I1033="","",'Journal'!I1033)</f>
        <v/>
      </c>
    </row>
    <row r="2065">
      <c r="A2065" s="18">
        <f>IF('Journal'!A1034="","",'Journal'!A1034)</f>
        <v/>
      </c>
      <c r="B2065" s="21">
        <f>IF('Journal'!B1034="","",'Journal'!B1034)</f>
        <v/>
      </c>
      <c r="C2065" s="5">
        <f>IF('Journal'!C1034="","",'Journal'!C1034)</f>
        <v/>
      </c>
      <c r="D2065" s="5">
        <f>IF('Journal'!D1034="","",IFERROR(LEFT('Journal'!D1034,FIND(" ",'Journal'!D1034)-1),'Journal'!D1034))</f>
        <v/>
      </c>
      <c r="E2065" s="5">
        <f>IF('Journal'!D1034="","",IFERROR(INDEX('Kontoplan'!$B$3:$B$302,MATCH('Journal'!D1034,'Kontoplan'!$H$3:$H$302,0)),""))</f>
        <v/>
      </c>
      <c r="F2065" s="20">
        <f>IF('Journal'!G1034="","",'Journal'!G1034)</f>
        <v/>
      </c>
      <c r="G2065" s="20">
        <f>IF('Journal'!F1034="","",'Journal'!F1034)</f>
        <v/>
      </c>
      <c r="H2065" s="5">
        <f>IF('Journal'!I1034="","",'Journal'!I1034)</f>
        <v/>
      </c>
    </row>
    <row r="2066">
      <c r="A2066" s="18">
        <f>IF('Journal'!A1034="","",'Journal'!A1034)</f>
        <v/>
      </c>
      <c r="B2066" s="21">
        <f>IF('Journal'!B1034="","",'Journal'!B1034)</f>
        <v/>
      </c>
      <c r="C2066" s="5">
        <f>IF('Journal'!C1034="","",'Journal'!C1034)</f>
        <v/>
      </c>
      <c r="D2066" s="5">
        <f>IF('Journal'!E1034="","",IFERROR(LEFT('Journal'!E1034,FIND(" ",'Journal'!E1034)-1),'Journal'!E1034))</f>
        <v/>
      </c>
      <c r="E2066" s="5">
        <f>IF('Journal'!E1034="","",IFERROR(INDEX('Kontoplan'!$B$3:$B$302,MATCH('Journal'!E1034,'Kontoplan'!$H$3:$H$302,0)),""))</f>
        <v/>
      </c>
      <c r="F2066" s="20">
        <f>IF('Journal'!F1034="","",'Journal'!F1034)</f>
        <v/>
      </c>
      <c r="G2066" s="20">
        <f>IF('Journal'!G1034="","",'Journal'!G1034)</f>
        <v/>
      </c>
      <c r="H2066" s="5">
        <f>IF('Journal'!I1034="","",'Journal'!I1034)</f>
        <v/>
      </c>
    </row>
    <row r="2067">
      <c r="A2067" s="18">
        <f>IF('Journal'!A1035="","",'Journal'!A1035)</f>
        <v/>
      </c>
      <c r="B2067" s="21">
        <f>IF('Journal'!B1035="","",'Journal'!B1035)</f>
        <v/>
      </c>
      <c r="C2067" s="5">
        <f>IF('Journal'!C1035="","",'Journal'!C1035)</f>
        <v/>
      </c>
      <c r="D2067" s="5">
        <f>IF('Journal'!D1035="","",IFERROR(LEFT('Journal'!D1035,FIND(" ",'Journal'!D1035)-1),'Journal'!D1035))</f>
        <v/>
      </c>
      <c r="E2067" s="5">
        <f>IF('Journal'!D1035="","",IFERROR(INDEX('Kontoplan'!$B$3:$B$302,MATCH('Journal'!D1035,'Kontoplan'!$H$3:$H$302,0)),""))</f>
        <v/>
      </c>
      <c r="F2067" s="20">
        <f>IF('Journal'!G1035="","",'Journal'!G1035)</f>
        <v/>
      </c>
      <c r="G2067" s="20">
        <f>IF('Journal'!F1035="","",'Journal'!F1035)</f>
        <v/>
      </c>
      <c r="H2067" s="5">
        <f>IF('Journal'!I1035="","",'Journal'!I1035)</f>
        <v/>
      </c>
    </row>
    <row r="2068">
      <c r="A2068" s="18">
        <f>IF('Journal'!A1035="","",'Journal'!A1035)</f>
        <v/>
      </c>
      <c r="B2068" s="21">
        <f>IF('Journal'!B1035="","",'Journal'!B1035)</f>
        <v/>
      </c>
      <c r="C2068" s="5">
        <f>IF('Journal'!C1035="","",'Journal'!C1035)</f>
        <v/>
      </c>
      <c r="D2068" s="5">
        <f>IF('Journal'!E1035="","",IFERROR(LEFT('Journal'!E1035,FIND(" ",'Journal'!E1035)-1),'Journal'!E1035))</f>
        <v/>
      </c>
      <c r="E2068" s="5">
        <f>IF('Journal'!E1035="","",IFERROR(INDEX('Kontoplan'!$B$3:$B$302,MATCH('Journal'!E1035,'Kontoplan'!$H$3:$H$302,0)),""))</f>
        <v/>
      </c>
      <c r="F2068" s="20">
        <f>IF('Journal'!F1035="","",'Journal'!F1035)</f>
        <v/>
      </c>
      <c r="G2068" s="20">
        <f>IF('Journal'!G1035="","",'Journal'!G1035)</f>
        <v/>
      </c>
      <c r="H2068" s="5">
        <f>IF('Journal'!I1035="","",'Journal'!I1035)</f>
        <v/>
      </c>
    </row>
    <row r="2069">
      <c r="A2069" s="18">
        <f>IF('Journal'!A1036="","",'Journal'!A1036)</f>
        <v/>
      </c>
      <c r="B2069" s="21">
        <f>IF('Journal'!B1036="","",'Journal'!B1036)</f>
        <v/>
      </c>
      <c r="C2069" s="5">
        <f>IF('Journal'!C1036="","",'Journal'!C1036)</f>
        <v/>
      </c>
      <c r="D2069" s="5">
        <f>IF('Journal'!D1036="","",IFERROR(LEFT('Journal'!D1036,FIND(" ",'Journal'!D1036)-1),'Journal'!D1036))</f>
        <v/>
      </c>
      <c r="E2069" s="5">
        <f>IF('Journal'!D1036="","",IFERROR(INDEX('Kontoplan'!$B$3:$B$302,MATCH('Journal'!D1036,'Kontoplan'!$H$3:$H$302,0)),""))</f>
        <v/>
      </c>
      <c r="F2069" s="20">
        <f>IF('Journal'!G1036="","",'Journal'!G1036)</f>
        <v/>
      </c>
      <c r="G2069" s="20">
        <f>IF('Journal'!F1036="","",'Journal'!F1036)</f>
        <v/>
      </c>
      <c r="H2069" s="5">
        <f>IF('Journal'!I1036="","",'Journal'!I1036)</f>
        <v/>
      </c>
    </row>
    <row r="2070">
      <c r="A2070" s="18">
        <f>IF('Journal'!A1036="","",'Journal'!A1036)</f>
        <v/>
      </c>
      <c r="B2070" s="21">
        <f>IF('Journal'!B1036="","",'Journal'!B1036)</f>
        <v/>
      </c>
      <c r="C2070" s="5">
        <f>IF('Journal'!C1036="","",'Journal'!C1036)</f>
        <v/>
      </c>
      <c r="D2070" s="5">
        <f>IF('Journal'!E1036="","",IFERROR(LEFT('Journal'!E1036,FIND(" ",'Journal'!E1036)-1),'Journal'!E1036))</f>
        <v/>
      </c>
      <c r="E2070" s="5">
        <f>IF('Journal'!E1036="","",IFERROR(INDEX('Kontoplan'!$B$3:$B$302,MATCH('Journal'!E1036,'Kontoplan'!$H$3:$H$302,0)),""))</f>
        <v/>
      </c>
      <c r="F2070" s="20">
        <f>IF('Journal'!F1036="","",'Journal'!F1036)</f>
        <v/>
      </c>
      <c r="G2070" s="20">
        <f>IF('Journal'!G1036="","",'Journal'!G1036)</f>
        <v/>
      </c>
      <c r="H2070" s="5">
        <f>IF('Journal'!I1036="","",'Journal'!I1036)</f>
        <v/>
      </c>
    </row>
    <row r="2071">
      <c r="A2071" s="18">
        <f>IF('Journal'!A1037="","",'Journal'!A1037)</f>
        <v/>
      </c>
      <c r="B2071" s="21">
        <f>IF('Journal'!B1037="","",'Journal'!B1037)</f>
        <v/>
      </c>
      <c r="C2071" s="5">
        <f>IF('Journal'!C1037="","",'Journal'!C1037)</f>
        <v/>
      </c>
      <c r="D2071" s="5">
        <f>IF('Journal'!D1037="","",IFERROR(LEFT('Journal'!D1037,FIND(" ",'Journal'!D1037)-1),'Journal'!D1037))</f>
        <v/>
      </c>
      <c r="E2071" s="5">
        <f>IF('Journal'!D1037="","",IFERROR(INDEX('Kontoplan'!$B$3:$B$302,MATCH('Journal'!D1037,'Kontoplan'!$H$3:$H$302,0)),""))</f>
        <v/>
      </c>
      <c r="F2071" s="20">
        <f>IF('Journal'!G1037="","",'Journal'!G1037)</f>
        <v/>
      </c>
      <c r="G2071" s="20">
        <f>IF('Journal'!F1037="","",'Journal'!F1037)</f>
        <v/>
      </c>
      <c r="H2071" s="5">
        <f>IF('Journal'!I1037="","",'Journal'!I1037)</f>
        <v/>
      </c>
    </row>
    <row r="2072">
      <c r="A2072" s="18">
        <f>IF('Journal'!A1037="","",'Journal'!A1037)</f>
        <v/>
      </c>
      <c r="B2072" s="21">
        <f>IF('Journal'!B1037="","",'Journal'!B1037)</f>
        <v/>
      </c>
      <c r="C2072" s="5">
        <f>IF('Journal'!C1037="","",'Journal'!C1037)</f>
        <v/>
      </c>
      <c r="D2072" s="5">
        <f>IF('Journal'!E1037="","",IFERROR(LEFT('Journal'!E1037,FIND(" ",'Journal'!E1037)-1),'Journal'!E1037))</f>
        <v/>
      </c>
      <c r="E2072" s="5">
        <f>IF('Journal'!E1037="","",IFERROR(INDEX('Kontoplan'!$B$3:$B$302,MATCH('Journal'!E1037,'Kontoplan'!$H$3:$H$302,0)),""))</f>
        <v/>
      </c>
      <c r="F2072" s="20">
        <f>IF('Journal'!F1037="","",'Journal'!F1037)</f>
        <v/>
      </c>
      <c r="G2072" s="20">
        <f>IF('Journal'!G1037="","",'Journal'!G1037)</f>
        <v/>
      </c>
      <c r="H2072" s="5">
        <f>IF('Journal'!I1037="","",'Journal'!I1037)</f>
        <v/>
      </c>
    </row>
    <row r="2073">
      <c r="A2073" s="18">
        <f>IF('Journal'!A1038="","",'Journal'!A1038)</f>
        <v/>
      </c>
      <c r="B2073" s="21">
        <f>IF('Journal'!B1038="","",'Journal'!B1038)</f>
        <v/>
      </c>
      <c r="C2073" s="5">
        <f>IF('Journal'!C1038="","",'Journal'!C1038)</f>
        <v/>
      </c>
      <c r="D2073" s="5">
        <f>IF('Journal'!D1038="","",IFERROR(LEFT('Journal'!D1038,FIND(" ",'Journal'!D1038)-1),'Journal'!D1038))</f>
        <v/>
      </c>
      <c r="E2073" s="5">
        <f>IF('Journal'!D1038="","",IFERROR(INDEX('Kontoplan'!$B$3:$B$302,MATCH('Journal'!D1038,'Kontoplan'!$H$3:$H$302,0)),""))</f>
        <v/>
      </c>
      <c r="F2073" s="20">
        <f>IF('Journal'!G1038="","",'Journal'!G1038)</f>
        <v/>
      </c>
      <c r="G2073" s="20">
        <f>IF('Journal'!F1038="","",'Journal'!F1038)</f>
        <v/>
      </c>
      <c r="H2073" s="5">
        <f>IF('Journal'!I1038="","",'Journal'!I1038)</f>
        <v/>
      </c>
    </row>
    <row r="2074">
      <c r="A2074" s="18">
        <f>IF('Journal'!A1038="","",'Journal'!A1038)</f>
        <v/>
      </c>
      <c r="B2074" s="21">
        <f>IF('Journal'!B1038="","",'Journal'!B1038)</f>
        <v/>
      </c>
      <c r="C2074" s="5">
        <f>IF('Journal'!C1038="","",'Journal'!C1038)</f>
        <v/>
      </c>
      <c r="D2074" s="5">
        <f>IF('Journal'!E1038="","",IFERROR(LEFT('Journal'!E1038,FIND(" ",'Journal'!E1038)-1),'Journal'!E1038))</f>
        <v/>
      </c>
      <c r="E2074" s="5">
        <f>IF('Journal'!E1038="","",IFERROR(INDEX('Kontoplan'!$B$3:$B$302,MATCH('Journal'!E1038,'Kontoplan'!$H$3:$H$302,0)),""))</f>
        <v/>
      </c>
      <c r="F2074" s="20">
        <f>IF('Journal'!F1038="","",'Journal'!F1038)</f>
        <v/>
      </c>
      <c r="G2074" s="20">
        <f>IF('Journal'!G1038="","",'Journal'!G1038)</f>
        <v/>
      </c>
      <c r="H2074" s="5">
        <f>IF('Journal'!I1038="","",'Journal'!I1038)</f>
        <v/>
      </c>
    </row>
    <row r="2075">
      <c r="A2075" s="18">
        <f>IF('Journal'!A1039="","",'Journal'!A1039)</f>
        <v/>
      </c>
      <c r="B2075" s="21">
        <f>IF('Journal'!B1039="","",'Journal'!B1039)</f>
        <v/>
      </c>
      <c r="C2075" s="5">
        <f>IF('Journal'!C1039="","",'Journal'!C1039)</f>
        <v/>
      </c>
      <c r="D2075" s="5">
        <f>IF('Journal'!D1039="","",IFERROR(LEFT('Journal'!D1039,FIND(" ",'Journal'!D1039)-1),'Journal'!D1039))</f>
        <v/>
      </c>
      <c r="E2075" s="5">
        <f>IF('Journal'!D1039="","",IFERROR(INDEX('Kontoplan'!$B$3:$B$302,MATCH('Journal'!D1039,'Kontoplan'!$H$3:$H$302,0)),""))</f>
        <v/>
      </c>
      <c r="F2075" s="20">
        <f>IF('Journal'!G1039="","",'Journal'!G1039)</f>
        <v/>
      </c>
      <c r="G2075" s="20">
        <f>IF('Journal'!F1039="","",'Journal'!F1039)</f>
        <v/>
      </c>
      <c r="H2075" s="5">
        <f>IF('Journal'!I1039="","",'Journal'!I1039)</f>
        <v/>
      </c>
    </row>
    <row r="2076">
      <c r="A2076" s="18">
        <f>IF('Journal'!A1039="","",'Journal'!A1039)</f>
        <v/>
      </c>
      <c r="B2076" s="21">
        <f>IF('Journal'!B1039="","",'Journal'!B1039)</f>
        <v/>
      </c>
      <c r="C2076" s="5">
        <f>IF('Journal'!C1039="","",'Journal'!C1039)</f>
        <v/>
      </c>
      <c r="D2076" s="5">
        <f>IF('Journal'!E1039="","",IFERROR(LEFT('Journal'!E1039,FIND(" ",'Journal'!E1039)-1),'Journal'!E1039))</f>
        <v/>
      </c>
      <c r="E2076" s="5">
        <f>IF('Journal'!E1039="","",IFERROR(INDEX('Kontoplan'!$B$3:$B$302,MATCH('Journal'!E1039,'Kontoplan'!$H$3:$H$302,0)),""))</f>
        <v/>
      </c>
      <c r="F2076" s="20">
        <f>IF('Journal'!F1039="","",'Journal'!F1039)</f>
        <v/>
      </c>
      <c r="G2076" s="20">
        <f>IF('Journal'!G1039="","",'Journal'!G1039)</f>
        <v/>
      </c>
      <c r="H2076" s="5">
        <f>IF('Journal'!I1039="","",'Journal'!I1039)</f>
        <v/>
      </c>
    </row>
    <row r="2077">
      <c r="A2077" s="18">
        <f>IF('Journal'!A1040="","",'Journal'!A1040)</f>
        <v/>
      </c>
      <c r="B2077" s="21">
        <f>IF('Journal'!B1040="","",'Journal'!B1040)</f>
        <v/>
      </c>
      <c r="C2077" s="5">
        <f>IF('Journal'!C1040="","",'Journal'!C1040)</f>
        <v/>
      </c>
      <c r="D2077" s="5">
        <f>IF('Journal'!D1040="","",IFERROR(LEFT('Journal'!D1040,FIND(" ",'Journal'!D1040)-1),'Journal'!D1040))</f>
        <v/>
      </c>
      <c r="E2077" s="5">
        <f>IF('Journal'!D1040="","",IFERROR(INDEX('Kontoplan'!$B$3:$B$302,MATCH('Journal'!D1040,'Kontoplan'!$H$3:$H$302,0)),""))</f>
        <v/>
      </c>
      <c r="F2077" s="20">
        <f>IF('Journal'!G1040="","",'Journal'!G1040)</f>
        <v/>
      </c>
      <c r="G2077" s="20">
        <f>IF('Journal'!F1040="","",'Journal'!F1040)</f>
        <v/>
      </c>
      <c r="H2077" s="5">
        <f>IF('Journal'!I1040="","",'Journal'!I1040)</f>
        <v/>
      </c>
    </row>
    <row r="2078">
      <c r="A2078" s="18">
        <f>IF('Journal'!A1040="","",'Journal'!A1040)</f>
        <v/>
      </c>
      <c r="B2078" s="21">
        <f>IF('Journal'!B1040="","",'Journal'!B1040)</f>
        <v/>
      </c>
      <c r="C2078" s="5">
        <f>IF('Journal'!C1040="","",'Journal'!C1040)</f>
        <v/>
      </c>
      <c r="D2078" s="5">
        <f>IF('Journal'!E1040="","",IFERROR(LEFT('Journal'!E1040,FIND(" ",'Journal'!E1040)-1),'Journal'!E1040))</f>
        <v/>
      </c>
      <c r="E2078" s="5">
        <f>IF('Journal'!E1040="","",IFERROR(INDEX('Kontoplan'!$B$3:$B$302,MATCH('Journal'!E1040,'Kontoplan'!$H$3:$H$302,0)),""))</f>
        <v/>
      </c>
      <c r="F2078" s="20">
        <f>IF('Journal'!F1040="","",'Journal'!F1040)</f>
        <v/>
      </c>
      <c r="G2078" s="20">
        <f>IF('Journal'!G1040="","",'Journal'!G1040)</f>
        <v/>
      </c>
      <c r="H2078" s="5">
        <f>IF('Journal'!I1040="","",'Journal'!I1040)</f>
        <v/>
      </c>
    </row>
    <row r="2079">
      <c r="A2079" s="18">
        <f>IF('Journal'!A1041="","",'Journal'!A1041)</f>
        <v/>
      </c>
      <c r="B2079" s="21">
        <f>IF('Journal'!B1041="","",'Journal'!B1041)</f>
        <v/>
      </c>
      <c r="C2079" s="5">
        <f>IF('Journal'!C1041="","",'Journal'!C1041)</f>
        <v/>
      </c>
      <c r="D2079" s="5">
        <f>IF('Journal'!D1041="","",IFERROR(LEFT('Journal'!D1041,FIND(" ",'Journal'!D1041)-1),'Journal'!D1041))</f>
        <v/>
      </c>
      <c r="E2079" s="5">
        <f>IF('Journal'!D1041="","",IFERROR(INDEX('Kontoplan'!$B$3:$B$302,MATCH('Journal'!D1041,'Kontoplan'!$H$3:$H$302,0)),""))</f>
        <v/>
      </c>
      <c r="F2079" s="20">
        <f>IF('Journal'!G1041="","",'Journal'!G1041)</f>
        <v/>
      </c>
      <c r="G2079" s="20">
        <f>IF('Journal'!F1041="","",'Journal'!F1041)</f>
        <v/>
      </c>
      <c r="H2079" s="5">
        <f>IF('Journal'!I1041="","",'Journal'!I1041)</f>
        <v/>
      </c>
    </row>
    <row r="2080">
      <c r="A2080" s="18">
        <f>IF('Journal'!A1041="","",'Journal'!A1041)</f>
        <v/>
      </c>
      <c r="B2080" s="21">
        <f>IF('Journal'!B1041="","",'Journal'!B1041)</f>
        <v/>
      </c>
      <c r="C2080" s="5">
        <f>IF('Journal'!C1041="","",'Journal'!C1041)</f>
        <v/>
      </c>
      <c r="D2080" s="5">
        <f>IF('Journal'!E1041="","",IFERROR(LEFT('Journal'!E1041,FIND(" ",'Journal'!E1041)-1),'Journal'!E1041))</f>
        <v/>
      </c>
      <c r="E2080" s="5">
        <f>IF('Journal'!E1041="","",IFERROR(INDEX('Kontoplan'!$B$3:$B$302,MATCH('Journal'!E1041,'Kontoplan'!$H$3:$H$302,0)),""))</f>
        <v/>
      </c>
      <c r="F2080" s="20">
        <f>IF('Journal'!F1041="","",'Journal'!F1041)</f>
        <v/>
      </c>
      <c r="G2080" s="20">
        <f>IF('Journal'!G1041="","",'Journal'!G1041)</f>
        <v/>
      </c>
      <c r="H2080" s="5">
        <f>IF('Journal'!I1041="","",'Journal'!I1041)</f>
        <v/>
      </c>
    </row>
    <row r="2081">
      <c r="A2081" s="18">
        <f>IF('Journal'!A1042="","",'Journal'!A1042)</f>
        <v/>
      </c>
      <c r="B2081" s="21">
        <f>IF('Journal'!B1042="","",'Journal'!B1042)</f>
        <v/>
      </c>
      <c r="C2081" s="5">
        <f>IF('Journal'!C1042="","",'Journal'!C1042)</f>
        <v/>
      </c>
      <c r="D2081" s="5">
        <f>IF('Journal'!D1042="","",IFERROR(LEFT('Journal'!D1042,FIND(" ",'Journal'!D1042)-1),'Journal'!D1042))</f>
        <v/>
      </c>
      <c r="E2081" s="5">
        <f>IF('Journal'!D1042="","",IFERROR(INDEX('Kontoplan'!$B$3:$B$302,MATCH('Journal'!D1042,'Kontoplan'!$H$3:$H$302,0)),""))</f>
        <v/>
      </c>
      <c r="F2081" s="20">
        <f>IF('Journal'!G1042="","",'Journal'!G1042)</f>
        <v/>
      </c>
      <c r="G2081" s="20">
        <f>IF('Journal'!F1042="","",'Journal'!F1042)</f>
        <v/>
      </c>
      <c r="H2081" s="5">
        <f>IF('Journal'!I1042="","",'Journal'!I1042)</f>
        <v/>
      </c>
    </row>
    <row r="2082">
      <c r="A2082" s="18">
        <f>IF('Journal'!A1042="","",'Journal'!A1042)</f>
        <v/>
      </c>
      <c r="B2082" s="21">
        <f>IF('Journal'!B1042="","",'Journal'!B1042)</f>
        <v/>
      </c>
      <c r="C2082" s="5">
        <f>IF('Journal'!C1042="","",'Journal'!C1042)</f>
        <v/>
      </c>
      <c r="D2082" s="5">
        <f>IF('Journal'!E1042="","",IFERROR(LEFT('Journal'!E1042,FIND(" ",'Journal'!E1042)-1),'Journal'!E1042))</f>
        <v/>
      </c>
      <c r="E2082" s="5">
        <f>IF('Journal'!E1042="","",IFERROR(INDEX('Kontoplan'!$B$3:$B$302,MATCH('Journal'!E1042,'Kontoplan'!$H$3:$H$302,0)),""))</f>
        <v/>
      </c>
      <c r="F2082" s="20">
        <f>IF('Journal'!F1042="","",'Journal'!F1042)</f>
        <v/>
      </c>
      <c r="G2082" s="20">
        <f>IF('Journal'!G1042="","",'Journal'!G1042)</f>
        <v/>
      </c>
      <c r="H2082" s="5">
        <f>IF('Journal'!I1042="","",'Journal'!I1042)</f>
        <v/>
      </c>
    </row>
    <row r="2083">
      <c r="A2083" s="18">
        <f>IF('Journal'!A1043="","",'Journal'!A1043)</f>
        <v/>
      </c>
      <c r="B2083" s="21">
        <f>IF('Journal'!B1043="","",'Journal'!B1043)</f>
        <v/>
      </c>
      <c r="C2083" s="5">
        <f>IF('Journal'!C1043="","",'Journal'!C1043)</f>
        <v/>
      </c>
      <c r="D2083" s="5">
        <f>IF('Journal'!D1043="","",IFERROR(LEFT('Journal'!D1043,FIND(" ",'Journal'!D1043)-1),'Journal'!D1043))</f>
        <v/>
      </c>
      <c r="E2083" s="5">
        <f>IF('Journal'!D1043="","",IFERROR(INDEX('Kontoplan'!$B$3:$B$302,MATCH('Journal'!D1043,'Kontoplan'!$H$3:$H$302,0)),""))</f>
        <v/>
      </c>
      <c r="F2083" s="20">
        <f>IF('Journal'!G1043="","",'Journal'!G1043)</f>
        <v/>
      </c>
      <c r="G2083" s="20">
        <f>IF('Journal'!F1043="","",'Journal'!F1043)</f>
        <v/>
      </c>
      <c r="H2083" s="5">
        <f>IF('Journal'!I1043="","",'Journal'!I1043)</f>
        <v/>
      </c>
    </row>
    <row r="2084">
      <c r="A2084" s="18">
        <f>IF('Journal'!A1043="","",'Journal'!A1043)</f>
        <v/>
      </c>
      <c r="B2084" s="21">
        <f>IF('Journal'!B1043="","",'Journal'!B1043)</f>
        <v/>
      </c>
      <c r="C2084" s="5">
        <f>IF('Journal'!C1043="","",'Journal'!C1043)</f>
        <v/>
      </c>
      <c r="D2084" s="5">
        <f>IF('Journal'!E1043="","",IFERROR(LEFT('Journal'!E1043,FIND(" ",'Journal'!E1043)-1),'Journal'!E1043))</f>
        <v/>
      </c>
      <c r="E2084" s="5">
        <f>IF('Journal'!E1043="","",IFERROR(INDEX('Kontoplan'!$B$3:$B$302,MATCH('Journal'!E1043,'Kontoplan'!$H$3:$H$302,0)),""))</f>
        <v/>
      </c>
      <c r="F2084" s="20">
        <f>IF('Journal'!F1043="","",'Journal'!F1043)</f>
        <v/>
      </c>
      <c r="G2084" s="20">
        <f>IF('Journal'!G1043="","",'Journal'!G1043)</f>
        <v/>
      </c>
      <c r="H2084" s="5">
        <f>IF('Journal'!I1043="","",'Journal'!I1043)</f>
        <v/>
      </c>
    </row>
    <row r="2085">
      <c r="A2085" s="18">
        <f>IF('Journal'!A1044="","",'Journal'!A1044)</f>
        <v/>
      </c>
      <c r="B2085" s="21">
        <f>IF('Journal'!B1044="","",'Journal'!B1044)</f>
        <v/>
      </c>
      <c r="C2085" s="5">
        <f>IF('Journal'!C1044="","",'Journal'!C1044)</f>
        <v/>
      </c>
      <c r="D2085" s="5">
        <f>IF('Journal'!D1044="","",IFERROR(LEFT('Journal'!D1044,FIND(" ",'Journal'!D1044)-1),'Journal'!D1044))</f>
        <v/>
      </c>
      <c r="E2085" s="5">
        <f>IF('Journal'!D1044="","",IFERROR(INDEX('Kontoplan'!$B$3:$B$302,MATCH('Journal'!D1044,'Kontoplan'!$H$3:$H$302,0)),""))</f>
        <v/>
      </c>
      <c r="F2085" s="20">
        <f>IF('Journal'!G1044="","",'Journal'!G1044)</f>
        <v/>
      </c>
      <c r="G2085" s="20">
        <f>IF('Journal'!F1044="","",'Journal'!F1044)</f>
        <v/>
      </c>
      <c r="H2085" s="5">
        <f>IF('Journal'!I1044="","",'Journal'!I1044)</f>
        <v/>
      </c>
    </row>
    <row r="2086">
      <c r="A2086" s="18">
        <f>IF('Journal'!A1044="","",'Journal'!A1044)</f>
        <v/>
      </c>
      <c r="B2086" s="21">
        <f>IF('Journal'!B1044="","",'Journal'!B1044)</f>
        <v/>
      </c>
      <c r="C2086" s="5">
        <f>IF('Journal'!C1044="","",'Journal'!C1044)</f>
        <v/>
      </c>
      <c r="D2086" s="5">
        <f>IF('Journal'!E1044="","",IFERROR(LEFT('Journal'!E1044,FIND(" ",'Journal'!E1044)-1),'Journal'!E1044))</f>
        <v/>
      </c>
      <c r="E2086" s="5">
        <f>IF('Journal'!E1044="","",IFERROR(INDEX('Kontoplan'!$B$3:$B$302,MATCH('Journal'!E1044,'Kontoplan'!$H$3:$H$302,0)),""))</f>
        <v/>
      </c>
      <c r="F2086" s="20">
        <f>IF('Journal'!F1044="","",'Journal'!F1044)</f>
        <v/>
      </c>
      <c r="G2086" s="20">
        <f>IF('Journal'!G1044="","",'Journal'!G1044)</f>
        <v/>
      </c>
      <c r="H2086" s="5">
        <f>IF('Journal'!I1044="","",'Journal'!I1044)</f>
        <v/>
      </c>
    </row>
    <row r="2087">
      <c r="A2087" s="18">
        <f>IF('Journal'!A1045="","",'Journal'!A1045)</f>
        <v/>
      </c>
      <c r="B2087" s="21">
        <f>IF('Journal'!B1045="","",'Journal'!B1045)</f>
        <v/>
      </c>
      <c r="C2087" s="5">
        <f>IF('Journal'!C1045="","",'Journal'!C1045)</f>
        <v/>
      </c>
      <c r="D2087" s="5">
        <f>IF('Journal'!D1045="","",IFERROR(LEFT('Journal'!D1045,FIND(" ",'Journal'!D1045)-1),'Journal'!D1045))</f>
        <v/>
      </c>
      <c r="E2087" s="5">
        <f>IF('Journal'!D1045="","",IFERROR(INDEX('Kontoplan'!$B$3:$B$302,MATCH('Journal'!D1045,'Kontoplan'!$H$3:$H$302,0)),""))</f>
        <v/>
      </c>
      <c r="F2087" s="20">
        <f>IF('Journal'!G1045="","",'Journal'!G1045)</f>
        <v/>
      </c>
      <c r="G2087" s="20">
        <f>IF('Journal'!F1045="","",'Journal'!F1045)</f>
        <v/>
      </c>
      <c r="H2087" s="5">
        <f>IF('Journal'!I1045="","",'Journal'!I1045)</f>
        <v/>
      </c>
    </row>
    <row r="2088">
      <c r="A2088" s="18">
        <f>IF('Journal'!A1045="","",'Journal'!A1045)</f>
        <v/>
      </c>
      <c r="B2088" s="21">
        <f>IF('Journal'!B1045="","",'Journal'!B1045)</f>
        <v/>
      </c>
      <c r="C2088" s="5">
        <f>IF('Journal'!C1045="","",'Journal'!C1045)</f>
        <v/>
      </c>
      <c r="D2088" s="5">
        <f>IF('Journal'!E1045="","",IFERROR(LEFT('Journal'!E1045,FIND(" ",'Journal'!E1045)-1),'Journal'!E1045))</f>
        <v/>
      </c>
      <c r="E2088" s="5">
        <f>IF('Journal'!E1045="","",IFERROR(INDEX('Kontoplan'!$B$3:$B$302,MATCH('Journal'!E1045,'Kontoplan'!$H$3:$H$302,0)),""))</f>
        <v/>
      </c>
      <c r="F2088" s="20">
        <f>IF('Journal'!F1045="","",'Journal'!F1045)</f>
        <v/>
      </c>
      <c r="G2088" s="20">
        <f>IF('Journal'!G1045="","",'Journal'!G1045)</f>
        <v/>
      </c>
      <c r="H2088" s="5">
        <f>IF('Journal'!I1045="","",'Journal'!I1045)</f>
        <v/>
      </c>
    </row>
    <row r="2089">
      <c r="A2089" s="18">
        <f>IF('Journal'!A1046="","",'Journal'!A1046)</f>
        <v/>
      </c>
      <c r="B2089" s="21">
        <f>IF('Journal'!B1046="","",'Journal'!B1046)</f>
        <v/>
      </c>
      <c r="C2089" s="5">
        <f>IF('Journal'!C1046="","",'Journal'!C1046)</f>
        <v/>
      </c>
      <c r="D2089" s="5">
        <f>IF('Journal'!D1046="","",IFERROR(LEFT('Journal'!D1046,FIND(" ",'Journal'!D1046)-1),'Journal'!D1046))</f>
        <v/>
      </c>
      <c r="E2089" s="5">
        <f>IF('Journal'!D1046="","",IFERROR(INDEX('Kontoplan'!$B$3:$B$302,MATCH('Journal'!D1046,'Kontoplan'!$H$3:$H$302,0)),""))</f>
        <v/>
      </c>
      <c r="F2089" s="20">
        <f>IF('Journal'!G1046="","",'Journal'!G1046)</f>
        <v/>
      </c>
      <c r="G2089" s="20">
        <f>IF('Journal'!F1046="","",'Journal'!F1046)</f>
        <v/>
      </c>
      <c r="H2089" s="5">
        <f>IF('Journal'!I1046="","",'Journal'!I1046)</f>
        <v/>
      </c>
    </row>
    <row r="2090">
      <c r="A2090" s="18">
        <f>IF('Journal'!A1046="","",'Journal'!A1046)</f>
        <v/>
      </c>
      <c r="B2090" s="21">
        <f>IF('Journal'!B1046="","",'Journal'!B1046)</f>
        <v/>
      </c>
      <c r="C2090" s="5">
        <f>IF('Journal'!C1046="","",'Journal'!C1046)</f>
        <v/>
      </c>
      <c r="D2090" s="5">
        <f>IF('Journal'!E1046="","",IFERROR(LEFT('Journal'!E1046,FIND(" ",'Journal'!E1046)-1),'Journal'!E1046))</f>
        <v/>
      </c>
      <c r="E2090" s="5">
        <f>IF('Journal'!E1046="","",IFERROR(INDEX('Kontoplan'!$B$3:$B$302,MATCH('Journal'!E1046,'Kontoplan'!$H$3:$H$302,0)),""))</f>
        <v/>
      </c>
      <c r="F2090" s="20">
        <f>IF('Journal'!F1046="","",'Journal'!F1046)</f>
        <v/>
      </c>
      <c r="G2090" s="20">
        <f>IF('Journal'!G1046="","",'Journal'!G1046)</f>
        <v/>
      </c>
      <c r="H2090" s="5">
        <f>IF('Journal'!I1046="","",'Journal'!I1046)</f>
        <v/>
      </c>
    </row>
    <row r="2091">
      <c r="A2091" s="18">
        <f>IF('Journal'!A1047="","",'Journal'!A1047)</f>
        <v/>
      </c>
      <c r="B2091" s="21">
        <f>IF('Journal'!B1047="","",'Journal'!B1047)</f>
        <v/>
      </c>
      <c r="C2091" s="5">
        <f>IF('Journal'!C1047="","",'Journal'!C1047)</f>
        <v/>
      </c>
      <c r="D2091" s="5">
        <f>IF('Journal'!D1047="","",IFERROR(LEFT('Journal'!D1047,FIND(" ",'Journal'!D1047)-1),'Journal'!D1047))</f>
        <v/>
      </c>
      <c r="E2091" s="5">
        <f>IF('Journal'!D1047="","",IFERROR(INDEX('Kontoplan'!$B$3:$B$302,MATCH('Journal'!D1047,'Kontoplan'!$H$3:$H$302,0)),""))</f>
        <v/>
      </c>
      <c r="F2091" s="20">
        <f>IF('Journal'!G1047="","",'Journal'!G1047)</f>
        <v/>
      </c>
      <c r="G2091" s="20">
        <f>IF('Journal'!F1047="","",'Journal'!F1047)</f>
        <v/>
      </c>
      <c r="H2091" s="5">
        <f>IF('Journal'!I1047="","",'Journal'!I1047)</f>
        <v/>
      </c>
    </row>
    <row r="2092">
      <c r="A2092" s="18">
        <f>IF('Journal'!A1047="","",'Journal'!A1047)</f>
        <v/>
      </c>
      <c r="B2092" s="21">
        <f>IF('Journal'!B1047="","",'Journal'!B1047)</f>
        <v/>
      </c>
      <c r="C2092" s="5">
        <f>IF('Journal'!C1047="","",'Journal'!C1047)</f>
        <v/>
      </c>
      <c r="D2092" s="5">
        <f>IF('Journal'!E1047="","",IFERROR(LEFT('Journal'!E1047,FIND(" ",'Journal'!E1047)-1),'Journal'!E1047))</f>
        <v/>
      </c>
      <c r="E2092" s="5">
        <f>IF('Journal'!E1047="","",IFERROR(INDEX('Kontoplan'!$B$3:$B$302,MATCH('Journal'!E1047,'Kontoplan'!$H$3:$H$302,0)),""))</f>
        <v/>
      </c>
      <c r="F2092" s="20">
        <f>IF('Journal'!F1047="","",'Journal'!F1047)</f>
        <v/>
      </c>
      <c r="G2092" s="20">
        <f>IF('Journal'!G1047="","",'Journal'!G1047)</f>
        <v/>
      </c>
      <c r="H2092" s="5">
        <f>IF('Journal'!I1047="","",'Journal'!I1047)</f>
        <v/>
      </c>
    </row>
    <row r="2093">
      <c r="A2093" s="18">
        <f>IF('Journal'!A1048="","",'Journal'!A1048)</f>
        <v/>
      </c>
      <c r="B2093" s="21">
        <f>IF('Journal'!B1048="","",'Journal'!B1048)</f>
        <v/>
      </c>
      <c r="C2093" s="5">
        <f>IF('Journal'!C1048="","",'Journal'!C1048)</f>
        <v/>
      </c>
      <c r="D2093" s="5">
        <f>IF('Journal'!D1048="","",IFERROR(LEFT('Journal'!D1048,FIND(" ",'Journal'!D1048)-1),'Journal'!D1048))</f>
        <v/>
      </c>
      <c r="E2093" s="5">
        <f>IF('Journal'!D1048="","",IFERROR(INDEX('Kontoplan'!$B$3:$B$302,MATCH('Journal'!D1048,'Kontoplan'!$H$3:$H$302,0)),""))</f>
        <v/>
      </c>
      <c r="F2093" s="20">
        <f>IF('Journal'!G1048="","",'Journal'!G1048)</f>
        <v/>
      </c>
      <c r="G2093" s="20">
        <f>IF('Journal'!F1048="","",'Journal'!F1048)</f>
        <v/>
      </c>
      <c r="H2093" s="5">
        <f>IF('Journal'!I1048="","",'Journal'!I1048)</f>
        <v/>
      </c>
    </row>
    <row r="2094">
      <c r="A2094" s="18">
        <f>IF('Journal'!A1048="","",'Journal'!A1048)</f>
        <v/>
      </c>
      <c r="B2094" s="21">
        <f>IF('Journal'!B1048="","",'Journal'!B1048)</f>
        <v/>
      </c>
      <c r="C2094" s="5">
        <f>IF('Journal'!C1048="","",'Journal'!C1048)</f>
        <v/>
      </c>
      <c r="D2094" s="5">
        <f>IF('Journal'!E1048="","",IFERROR(LEFT('Journal'!E1048,FIND(" ",'Journal'!E1048)-1),'Journal'!E1048))</f>
        <v/>
      </c>
      <c r="E2094" s="5">
        <f>IF('Journal'!E1048="","",IFERROR(INDEX('Kontoplan'!$B$3:$B$302,MATCH('Journal'!E1048,'Kontoplan'!$H$3:$H$302,0)),""))</f>
        <v/>
      </c>
      <c r="F2094" s="20">
        <f>IF('Journal'!F1048="","",'Journal'!F1048)</f>
        <v/>
      </c>
      <c r="G2094" s="20">
        <f>IF('Journal'!G1048="","",'Journal'!G1048)</f>
        <v/>
      </c>
      <c r="H2094" s="5">
        <f>IF('Journal'!I1048="","",'Journal'!I1048)</f>
        <v/>
      </c>
    </row>
    <row r="2095">
      <c r="A2095" s="18">
        <f>IF('Journal'!A1049="","",'Journal'!A1049)</f>
        <v/>
      </c>
      <c r="B2095" s="21">
        <f>IF('Journal'!B1049="","",'Journal'!B1049)</f>
        <v/>
      </c>
      <c r="C2095" s="5">
        <f>IF('Journal'!C1049="","",'Journal'!C1049)</f>
        <v/>
      </c>
      <c r="D2095" s="5">
        <f>IF('Journal'!D1049="","",IFERROR(LEFT('Journal'!D1049,FIND(" ",'Journal'!D1049)-1),'Journal'!D1049))</f>
        <v/>
      </c>
      <c r="E2095" s="5">
        <f>IF('Journal'!D1049="","",IFERROR(INDEX('Kontoplan'!$B$3:$B$302,MATCH('Journal'!D1049,'Kontoplan'!$H$3:$H$302,0)),""))</f>
        <v/>
      </c>
      <c r="F2095" s="20">
        <f>IF('Journal'!G1049="","",'Journal'!G1049)</f>
        <v/>
      </c>
      <c r="G2095" s="20">
        <f>IF('Journal'!F1049="","",'Journal'!F1049)</f>
        <v/>
      </c>
      <c r="H2095" s="5">
        <f>IF('Journal'!I1049="","",'Journal'!I1049)</f>
        <v/>
      </c>
    </row>
    <row r="2096">
      <c r="A2096" s="18">
        <f>IF('Journal'!A1049="","",'Journal'!A1049)</f>
        <v/>
      </c>
      <c r="B2096" s="21">
        <f>IF('Journal'!B1049="","",'Journal'!B1049)</f>
        <v/>
      </c>
      <c r="C2096" s="5">
        <f>IF('Journal'!C1049="","",'Journal'!C1049)</f>
        <v/>
      </c>
      <c r="D2096" s="5">
        <f>IF('Journal'!E1049="","",IFERROR(LEFT('Journal'!E1049,FIND(" ",'Journal'!E1049)-1),'Journal'!E1049))</f>
        <v/>
      </c>
      <c r="E2096" s="5">
        <f>IF('Journal'!E1049="","",IFERROR(INDEX('Kontoplan'!$B$3:$B$302,MATCH('Journal'!E1049,'Kontoplan'!$H$3:$H$302,0)),""))</f>
        <v/>
      </c>
      <c r="F2096" s="20">
        <f>IF('Journal'!F1049="","",'Journal'!F1049)</f>
        <v/>
      </c>
      <c r="G2096" s="20">
        <f>IF('Journal'!G1049="","",'Journal'!G1049)</f>
        <v/>
      </c>
      <c r="H2096" s="5">
        <f>IF('Journal'!I1049="","",'Journal'!I1049)</f>
        <v/>
      </c>
    </row>
    <row r="2097">
      <c r="A2097" s="18">
        <f>IF('Journal'!A1050="","",'Journal'!A1050)</f>
        <v/>
      </c>
      <c r="B2097" s="21">
        <f>IF('Journal'!B1050="","",'Journal'!B1050)</f>
        <v/>
      </c>
      <c r="C2097" s="5">
        <f>IF('Journal'!C1050="","",'Journal'!C1050)</f>
        <v/>
      </c>
      <c r="D2097" s="5">
        <f>IF('Journal'!D1050="","",IFERROR(LEFT('Journal'!D1050,FIND(" ",'Journal'!D1050)-1),'Journal'!D1050))</f>
        <v/>
      </c>
      <c r="E2097" s="5">
        <f>IF('Journal'!D1050="","",IFERROR(INDEX('Kontoplan'!$B$3:$B$302,MATCH('Journal'!D1050,'Kontoplan'!$H$3:$H$302,0)),""))</f>
        <v/>
      </c>
      <c r="F2097" s="20">
        <f>IF('Journal'!G1050="","",'Journal'!G1050)</f>
        <v/>
      </c>
      <c r="G2097" s="20">
        <f>IF('Journal'!F1050="","",'Journal'!F1050)</f>
        <v/>
      </c>
      <c r="H2097" s="5">
        <f>IF('Journal'!I1050="","",'Journal'!I1050)</f>
        <v/>
      </c>
    </row>
    <row r="2098">
      <c r="A2098" s="18">
        <f>IF('Journal'!A1050="","",'Journal'!A1050)</f>
        <v/>
      </c>
      <c r="B2098" s="21">
        <f>IF('Journal'!B1050="","",'Journal'!B1050)</f>
        <v/>
      </c>
      <c r="C2098" s="5">
        <f>IF('Journal'!C1050="","",'Journal'!C1050)</f>
        <v/>
      </c>
      <c r="D2098" s="5">
        <f>IF('Journal'!E1050="","",IFERROR(LEFT('Journal'!E1050,FIND(" ",'Journal'!E1050)-1),'Journal'!E1050))</f>
        <v/>
      </c>
      <c r="E2098" s="5">
        <f>IF('Journal'!E1050="","",IFERROR(INDEX('Kontoplan'!$B$3:$B$302,MATCH('Journal'!E1050,'Kontoplan'!$H$3:$H$302,0)),""))</f>
        <v/>
      </c>
      <c r="F2098" s="20">
        <f>IF('Journal'!F1050="","",'Journal'!F1050)</f>
        <v/>
      </c>
      <c r="G2098" s="20">
        <f>IF('Journal'!G1050="","",'Journal'!G1050)</f>
        <v/>
      </c>
      <c r="H2098" s="5">
        <f>IF('Journal'!I1050="","",'Journal'!I1050)</f>
        <v/>
      </c>
    </row>
    <row r="2099">
      <c r="A2099" s="18">
        <f>IF('Journal'!A1051="","",'Journal'!A1051)</f>
        <v/>
      </c>
      <c r="B2099" s="21">
        <f>IF('Journal'!B1051="","",'Journal'!B1051)</f>
        <v/>
      </c>
      <c r="C2099" s="5">
        <f>IF('Journal'!C1051="","",'Journal'!C1051)</f>
        <v/>
      </c>
      <c r="D2099" s="5">
        <f>IF('Journal'!D1051="","",IFERROR(LEFT('Journal'!D1051,FIND(" ",'Journal'!D1051)-1),'Journal'!D1051))</f>
        <v/>
      </c>
      <c r="E2099" s="5">
        <f>IF('Journal'!D1051="","",IFERROR(INDEX('Kontoplan'!$B$3:$B$302,MATCH('Journal'!D1051,'Kontoplan'!$H$3:$H$302,0)),""))</f>
        <v/>
      </c>
      <c r="F2099" s="20">
        <f>IF('Journal'!G1051="","",'Journal'!G1051)</f>
        <v/>
      </c>
      <c r="G2099" s="20">
        <f>IF('Journal'!F1051="","",'Journal'!F1051)</f>
        <v/>
      </c>
      <c r="H2099" s="5">
        <f>IF('Journal'!I1051="","",'Journal'!I1051)</f>
        <v/>
      </c>
    </row>
    <row r="2100">
      <c r="A2100" s="18">
        <f>IF('Journal'!A1051="","",'Journal'!A1051)</f>
        <v/>
      </c>
      <c r="B2100" s="21">
        <f>IF('Journal'!B1051="","",'Journal'!B1051)</f>
        <v/>
      </c>
      <c r="C2100" s="5">
        <f>IF('Journal'!C1051="","",'Journal'!C1051)</f>
        <v/>
      </c>
      <c r="D2100" s="5">
        <f>IF('Journal'!E1051="","",IFERROR(LEFT('Journal'!E1051,FIND(" ",'Journal'!E1051)-1),'Journal'!E1051))</f>
        <v/>
      </c>
      <c r="E2100" s="5">
        <f>IF('Journal'!E1051="","",IFERROR(INDEX('Kontoplan'!$B$3:$B$302,MATCH('Journal'!E1051,'Kontoplan'!$H$3:$H$302,0)),""))</f>
        <v/>
      </c>
      <c r="F2100" s="20">
        <f>IF('Journal'!F1051="","",'Journal'!F1051)</f>
        <v/>
      </c>
      <c r="G2100" s="20">
        <f>IF('Journal'!G1051="","",'Journal'!G1051)</f>
        <v/>
      </c>
      <c r="H2100" s="5">
        <f>IF('Journal'!I1051="","",'Journal'!I1051)</f>
        <v/>
      </c>
    </row>
    <row r="2101">
      <c r="A2101" s="18">
        <f>IF('Journal'!A1052="","",'Journal'!A1052)</f>
        <v/>
      </c>
      <c r="B2101" s="21">
        <f>IF('Journal'!B1052="","",'Journal'!B1052)</f>
        <v/>
      </c>
      <c r="C2101" s="5">
        <f>IF('Journal'!C1052="","",'Journal'!C1052)</f>
        <v/>
      </c>
      <c r="D2101" s="5">
        <f>IF('Journal'!D1052="","",IFERROR(LEFT('Journal'!D1052,FIND(" ",'Journal'!D1052)-1),'Journal'!D1052))</f>
        <v/>
      </c>
      <c r="E2101" s="5">
        <f>IF('Journal'!D1052="","",IFERROR(INDEX('Kontoplan'!$B$3:$B$302,MATCH('Journal'!D1052,'Kontoplan'!$H$3:$H$302,0)),""))</f>
        <v/>
      </c>
      <c r="F2101" s="20">
        <f>IF('Journal'!G1052="","",'Journal'!G1052)</f>
        <v/>
      </c>
      <c r="G2101" s="20">
        <f>IF('Journal'!F1052="","",'Journal'!F1052)</f>
        <v/>
      </c>
      <c r="H2101" s="5">
        <f>IF('Journal'!I1052="","",'Journal'!I1052)</f>
        <v/>
      </c>
    </row>
    <row r="2102">
      <c r="A2102" s="18">
        <f>IF('Journal'!A1052="","",'Journal'!A1052)</f>
        <v/>
      </c>
      <c r="B2102" s="21">
        <f>IF('Journal'!B1052="","",'Journal'!B1052)</f>
        <v/>
      </c>
      <c r="C2102" s="5">
        <f>IF('Journal'!C1052="","",'Journal'!C1052)</f>
        <v/>
      </c>
      <c r="D2102" s="5">
        <f>IF('Journal'!E1052="","",IFERROR(LEFT('Journal'!E1052,FIND(" ",'Journal'!E1052)-1),'Journal'!E1052))</f>
        <v/>
      </c>
      <c r="E2102" s="5">
        <f>IF('Journal'!E1052="","",IFERROR(INDEX('Kontoplan'!$B$3:$B$302,MATCH('Journal'!E1052,'Kontoplan'!$H$3:$H$302,0)),""))</f>
        <v/>
      </c>
      <c r="F2102" s="20">
        <f>IF('Journal'!F1052="","",'Journal'!F1052)</f>
        <v/>
      </c>
      <c r="G2102" s="20">
        <f>IF('Journal'!G1052="","",'Journal'!G1052)</f>
        <v/>
      </c>
      <c r="H2102" s="5">
        <f>IF('Journal'!I1052="","",'Journal'!I1052)</f>
        <v/>
      </c>
    </row>
    <row r="2103">
      <c r="A2103" s="18">
        <f>IF('Journal'!A1053="","",'Journal'!A1053)</f>
        <v/>
      </c>
      <c r="B2103" s="21">
        <f>IF('Journal'!B1053="","",'Journal'!B1053)</f>
        <v/>
      </c>
      <c r="C2103" s="5">
        <f>IF('Journal'!C1053="","",'Journal'!C1053)</f>
        <v/>
      </c>
      <c r="D2103" s="5">
        <f>IF('Journal'!D1053="","",IFERROR(LEFT('Journal'!D1053,FIND(" ",'Journal'!D1053)-1),'Journal'!D1053))</f>
        <v/>
      </c>
      <c r="E2103" s="5">
        <f>IF('Journal'!D1053="","",IFERROR(INDEX('Kontoplan'!$B$3:$B$302,MATCH('Journal'!D1053,'Kontoplan'!$H$3:$H$302,0)),""))</f>
        <v/>
      </c>
      <c r="F2103" s="20">
        <f>IF('Journal'!G1053="","",'Journal'!G1053)</f>
        <v/>
      </c>
      <c r="G2103" s="20">
        <f>IF('Journal'!F1053="","",'Journal'!F1053)</f>
        <v/>
      </c>
      <c r="H2103" s="5">
        <f>IF('Journal'!I1053="","",'Journal'!I1053)</f>
        <v/>
      </c>
    </row>
    <row r="2104">
      <c r="A2104" s="18">
        <f>IF('Journal'!A1053="","",'Journal'!A1053)</f>
        <v/>
      </c>
      <c r="B2104" s="21">
        <f>IF('Journal'!B1053="","",'Journal'!B1053)</f>
        <v/>
      </c>
      <c r="C2104" s="5">
        <f>IF('Journal'!C1053="","",'Journal'!C1053)</f>
        <v/>
      </c>
      <c r="D2104" s="5">
        <f>IF('Journal'!E1053="","",IFERROR(LEFT('Journal'!E1053,FIND(" ",'Journal'!E1053)-1),'Journal'!E1053))</f>
        <v/>
      </c>
      <c r="E2104" s="5">
        <f>IF('Journal'!E1053="","",IFERROR(INDEX('Kontoplan'!$B$3:$B$302,MATCH('Journal'!E1053,'Kontoplan'!$H$3:$H$302,0)),""))</f>
        <v/>
      </c>
      <c r="F2104" s="20">
        <f>IF('Journal'!F1053="","",'Journal'!F1053)</f>
        <v/>
      </c>
      <c r="G2104" s="20">
        <f>IF('Journal'!G1053="","",'Journal'!G1053)</f>
        <v/>
      </c>
      <c r="H2104" s="5">
        <f>IF('Journal'!I1053="","",'Journal'!I1053)</f>
        <v/>
      </c>
    </row>
    <row r="2105">
      <c r="A2105" s="18">
        <f>IF('Journal'!A1054="","",'Journal'!A1054)</f>
        <v/>
      </c>
      <c r="B2105" s="21">
        <f>IF('Journal'!B1054="","",'Journal'!B1054)</f>
        <v/>
      </c>
      <c r="C2105" s="5">
        <f>IF('Journal'!C1054="","",'Journal'!C1054)</f>
        <v/>
      </c>
      <c r="D2105" s="5">
        <f>IF('Journal'!D1054="","",IFERROR(LEFT('Journal'!D1054,FIND(" ",'Journal'!D1054)-1),'Journal'!D1054))</f>
        <v/>
      </c>
      <c r="E2105" s="5">
        <f>IF('Journal'!D1054="","",IFERROR(INDEX('Kontoplan'!$B$3:$B$302,MATCH('Journal'!D1054,'Kontoplan'!$H$3:$H$302,0)),""))</f>
        <v/>
      </c>
      <c r="F2105" s="20">
        <f>IF('Journal'!G1054="","",'Journal'!G1054)</f>
        <v/>
      </c>
      <c r="G2105" s="20">
        <f>IF('Journal'!F1054="","",'Journal'!F1054)</f>
        <v/>
      </c>
      <c r="H2105" s="5">
        <f>IF('Journal'!I1054="","",'Journal'!I1054)</f>
        <v/>
      </c>
    </row>
    <row r="2106">
      <c r="A2106" s="18">
        <f>IF('Journal'!A1054="","",'Journal'!A1054)</f>
        <v/>
      </c>
      <c r="B2106" s="21">
        <f>IF('Journal'!B1054="","",'Journal'!B1054)</f>
        <v/>
      </c>
      <c r="C2106" s="5">
        <f>IF('Journal'!C1054="","",'Journal'!C1054)</f>
        <v/>
      </c>
      <c r="D2106" s="5">
        <f>IF('Journal'!E1054="","",IFERROR(LEFT('Journal'!E1054,FIND(" ",'Journal'!E1054)-1),'Journal'!E1054))</f>
        <v/>
      </c>
      <c r="E2106" s="5">
        <f>IF('Journal'!E1054="","",IFERROR(INDEX('Kontoplan'!$B$3:$B$302,MATCH('Journal'!E1054,'Kontoplan'!$H$3:$H$302,0)),""))</f>
        <v/>
      </c>
      <c r="F2106" s="20">
        <f>IF('Journal'!F1054="","",'Journal'!F1054)</f>
        <v/>
      </c>
      <c r="G2106" s="20">
        <f>IF('Journal'!G1054="","",'Journal'!G1054)</f>
        <v/>
      </c>
      <c r="H2106" s="5">
        <f>IF('Journal'!I1054="","",'Journal'!I1054)</f>
        <v/>
      </c>
    </row>
    <row r="2107">
      <c r="A2107" s="18">
        <f>IF('Journal'!A1055="","",'Journal'!A1055)</f>
        <v/>
      </c>
      <c r="B2107" s="21">
        <f>IF('Journal'!B1055="","",'Journal'!B1055)</f>
        <v/>
      </c>
      <c r="C2107" s="5">
        <f>IF('Journal'!C1055="","",'Journal'!C1055)</f>
        <v/>
      </c>
      <c r="D2107" s="5">
        <f>IF('Journal'!D1055="","",IFERROR(LEFT('Journal'!D1055,FIND(" ",'Journal'!D1055)-1),'Journal'!D1055))</f>
        <v/>
      </c>
      <c r="E2107" s="5">
        <f>IF('Journal'!D1055="","",IFERROR(INDEX('Kontoplan'!$B$3:$B$302,MATCH('Journal'!D1055,'Kontoplan'!$H$3:$H$302,0)),""))</f>
        <v/>
      </c>
      <c r="F2107" s="20">
        <f>IF('Journal'!G1055="","",'Journal'!G1055)</f>
        <v/>
      </c>
      <c r="G2107" s="20">
        <f>IF('Journal'!F1055="","",'Journal'!F1055)</f>
        <v/>
      </c>
      <c r="H2107" s="5">
        <f>IF('Journal'!I1055="","",'Journal'!I1055)</f>
        <v/>
      </c>
    </row>
    <row r="2108">
      <c r="A2108" s="18">
        <f>IF('Journal'!A1055="","",'Journal'!A1055)</f>
        <v/>
      </c>
      <c r="B2108" s="21">
        <f>IF('Journal'!B1055="","",'Journal'!B1055)</f>
        <v/>
      </c>
      <c r="C2108" s="5">
        <f>IF('Journal'!C1055="","",'Journal'!C1055)</f>
        <v/>
      </c>
      <c r="D2108" s="5">
        <f>IF('Journal'!E1055="","",IFERROR(LEFT('Journal'!E1055,FIND(" ",'Journal'!E1055)-1),'Journal'!E1055))</f>
        <v/>
      </c>
      <c r="E2108" s="5">
        <f>IF('Journal'!E1055="","",IFERROR(INDEX('Kontoplan'!$B$3:$B$302,MATCH('Journal'!E1055,'Kontoplan'!$H$3:$H$302,0)),""))</f>
        <v/>
      </c>
      <c r="F2108" s="20">
        <f>IF('Journal'!F1055="","",'Journal'!F1055)</f>
        <v/>
      </c>
      <c r="G2108" s="20">
        <f>IF('Journal'!G1055="","",'Journal'!G1055)</f>
        <v/>
      </c>
      <c r="H2108" s="5">
        <f>IF('Journal'!I1055="","",'Journal'!I1055)</f>
        <v/>
      </c>
    </row>
    <row r="2109">
      <c r="A2109" s="18">
        <f>IF('Journal'!A1056="","",'Journal'!A1056)</f>
        <v/>
      </c>
      <c r="B2109" s="21">
        <f>IF('Journal'!B1056="","",'Journal'!B1056)</f>
        <v/>
      </c>
      <c r="C2109" s="5">
        <f>IF('Journal'!C1056="","",'Journal'!C1056)</f>
        <v/>
      </c>
      <c r="D2109" s="5">
        <f>IF('Journal'!D1056="","",IFERROR(LEFT('Journal'!D1056,FIND(" ",'Journal'!D1056)-1),'Journal'!D1056))</f>
        <v/>
      </c>
      <c r="E2109" s="5">
        <f>IF('Journal'!D1056="","",IFERROR(INDEX('Kontoplan'!$B$3:$B$302,MATCH('Journal'!D1056,'Kontoplan'!$H$3:$H$302,0)),""))</f>
        <v/>
      </c>
      <c r="F2109" s="20">
        <f>IF('Journal'!G1056="","",'Journal'!G1056)</f>
        <v/>
      </c>
      <c r="G2109" s="20">
        <f>IF('Journal'!F1056="","",'Journal'!F1056)</f>
        <v/>
      </c>
      <c r="H2109" s="5">
        <f>IF('Journal'!I1056="","",'Journal'!I1056)</f>
        <v/>
      </c>
    </row>
    <row r="2110">
      <c r="A2110" s="18">
        <f>IF('Journal'!A1056="","",'Journal'!A1056)</f>
        <v/>
      </c>
      <c r="B2110" s="21">
        <f>IF('Journal'!B1056="","",'Journal'!B1056)</f>
        <v/>
      </c>
      <c r="C2110" s="5">
        <f>IF('Journal'!C1056="","",'Journal'!C1056)</f>
        <v/>
      </c>
      <c r="D2110" s="5">
        <f>IF('Journal'!E1056="","",IFERROR(LEFT('Journal'!E1056,FIND(" ",'Journal'!E1056)-1),'Journal'!E1056))</f>
        <v/>
      </c>
      <c r="E2110" s="5">
        <f>IF('Journal'!E1056="","",IFERROR(INDEX('Kontoplan'!$B$3:$B$302,MATCH('Journal'!E1056,'Kontoplan'!$H$3:$H$302,0)),""))</f>
        <v/>
      </c>
      <c r="F2110" s="20">
        <f>IF('Journal'!F1056="","",'Journal'!F1056)</f>
        <v/>
      </c>
      <c r="G2110" s="20">
        <f>IF('Journal'!G1056="","",'Journal'!G1056)</f>
        <v/>
      </c>
      <c r="H2110" s="5">
        <f>IF('Journal'!I1056="","",'Journal'!I1056)</f>
        <v/>
      </c>
    </row>
    <row r="2111">
      <c r="A2111" s="18">
        <f>IF('Journal'!A1057="","",'Journal'!A1057)</f>
        <v/>
      </c>
      <c r="B2111" s="21">
        <f>IF('Journal'!B1057="","",'Journal'!B1057)</f>
        <v/>
      </c>
      <c r="C2111" s="5">
        <f>IF('Journal'!C1057="","",'Journal'!C1057)</f>
        <v/>
      </c>
      <c r="D2111" s="5">
        <f>IF('Journal'!D1057="","",IFERROR(LEFT('Journal'!D1057,FIND(" ",'Journal'!D1057)-1),'Journal'!D1057))</f>
        <v/>
      </c>
      <c r="E2111" s="5">
        <f>IF('Journal'!D1057="","",IFERROR(INDEX('Kontoplan'!$B$3:$B$302,MATCH('Journal'!D1057,'Kontoplan'!$H$3:$H$302,0)),""))</f>
        <v/>
      </c>
      <c r="F2111" s="20">
        <f>IF('Journal'!G1057="","",'Journal'!G1057)</f>
        <v/>
      </c>
      <c r="G2111" s="20">
        <f>IF('Journal'!F1057="","",'Journal'!F1057)</f>
        <v/>
      </c>
      <c r="H2111" s="5">
        <f>IF('Journal'!I1057="","",'Journal'!I1057)</f>
        <v/>
      </c>
    </row>
    <row r="2112">
      <c r="A2112" s="18">
        <f>IF('Journal'!A1057="","",'Journal'!A1057)</f>
        <v/>
      </c>
      <c r="B2112" s="21">
        <f>IF('Journal'!B1057="","",'Journal'!B1057)</f>
        <v/>
      </c>
      <c r="C2112" s="5">
        <f>IF('Journal'!C1057="","",'Journal'!C1057)</f>
        <v/>
      </c>
      <c r="D2112" s="5">
        <f>IF('Journal'!E1057="","",IFERROR(LEFT('Journal'!E1057,FIND(" ",'Journal'!E1057)-1),'Journal'!E1057))</f>
        <v/>
      </c>
      <c r="E2112" s="5">
        <f>IF('Journal'!E1057="","",IFERROR(INDEX('Kontoplan'!$B$3:$B$302,MATCH('Journal'!E1057,'Kontoplan'!$H$3:$H$302,0)),""))</f>
        <v/>
      </c>
      <c r="F2112" s="20">
        <f>IF('Journal'!F1057="","",'Journal'!F1057)</f>
        <v/>
      </c>
      <c r="G2112" s="20">
        <f>IF('Journal'!G1057="","",'Journal'!G1057)</f>
        <v/>
      </c>
      <c r="H2112" s="5">
        <f>IF('Journal'!I1057="","",'Journal'!I1057)</f>
        <v/>
      </c>
    </row>
    <row r="2113">
      <c r="A2113" s="18">
        <f>IF('Journal'!A1058="","",'Journal'!A1058)</f>
        <v/>
      </c>
      <c r="B2113" s="21">
        <f>IF('Journal'!B1058="","",'Journal'!B1058)</f>
        <v/>
      </c>
      <c r="C2113" s="5">
        <f>IF('Journal'!C1058="","",'Journal'!C1058)</f>
        <v/>
      </c>
      <c r="D2113" s="5">
        <f>IF('Journal'!D1058="","",IFERROR(LEFT('Journal'!D1058,FIND(" ",'Journal'!D1058)-1),'Journal'!D1058))</f>
        <v/>
      </c>
      <c r="E2113" s="5">
        <f>IF('Journal'!D1058="","",IFERROR(INDEX('Kontoplan'!$B$3:$B$302,MATCH('Journal'!D1058,'Kontoplan'!$H$3:$H$302,0)),""))</f>
        <v/>
      </c>
      <c r="F2113" s="20">
        <f>IF('Journal'!G1058="","",'Journal'!G1058)</f>
        <v/>
      </c>
      <c r="G2113" s="20">
        <f>IF('Journal'!F1058="","",'Journal'!F1058)</f>
        <v/>
      </c>
      <c r="H2113" s="5">
        <f>IF('Journal'!I1058="","",'Journal'!I1058)</f>
        <v/>
      </c>
    </row>
    <row r="2114">
      <c r="A2114" s="18">
        <f>IF('Journal'!A1058="","",'Journal'!A1058)</f>
        <v/>
      </c>
      <c r="B2114" s="21">
        <f>IF('Journal'!B1058="","",'Journal'!B1058)</f>
        <v/>
      </c>
      <c r="C2114" s="5">
        <f>IF('Journal'!C1058="","",'Journal'!C1058)</f>
        <v/>
      </c>
      <c r="D2114" s="5">
        <f>IF('Journal'!E1058="","",IFERROR(LEFT('Journal'!E1058,FIND(" ",'Journal'!E1058)-1),'Journal'!E1058))</f>
        <v/>
      </c>
      <c r="E2114" s="5">
        <f>IF('Journal'!E1058="","",IFERROR(INDEX('Kontoplan'!$B$3:$B$302,MATCH('Journal'!E1058,'Kontoplan'!$H$3:$H$302,0)),""))</f>
        <v/>
      </c>
      <c r="F2114" s="20">
        <f>IF('Journal'!F1058="","",'Journal'!F1058)</f>
        <v/>
      </c>
      <c r="G2114" s="20">
        <f>IF('Journal'!G1058="","",'Journal'!G1058)</f>
        <v/>
      </c>
      <c r="H2114" s="5">
        <f>IF('Journal'!I1058="","",'Journal'!I1058)</f>
        <v/>
      </c>
    </row>
    <row r="2115">
      <c r="A2115" s="18">
        <f>IF('Journal'!A1059="","",'Journal'!A1059)</f>
        <v/>
      </c>
      <c r="B2115" s="21">
        <f>IF('Journal'!B1059="","",'Journal'!B1059)</f>
        <v/>
      </c>
      <c r="C2115" s="5">
        <f>IF('Journal'!C1059="","",'Journal'!C1059)</f>
        <v/>
      </c>
      <c r="D2115" s="5">
        <f>IF('Journal'!D1059="","",IFERROR(LEFT('Journal'!D1059,FIND(" ",'Journal'!D1059)-1),'Journal'!D1059))</f>
        <v/>
      </c>
      <c r="E2115" s="5">
        <f>IF('Journal'!D1059="","",IFERROR(INDEX('Kontoplan'!$B$3:$B$302,MATCH('Journal'!D1059,'Kontoplan'!$H$3:$H$302,0)),""))</f>
        <v/>
      </c>
      <c r="F2115" s="20">
        <f>IF('Journal'!G1059="","",'Journal'!G1059)</f>
        <v/>
      </c>
      <c r="G2115" s="20">
        <f>IF('Journal'!F1059="","",'Journal'!F1059)</f>
        <v/>
      </c>
      <c r="H2115" s="5">
        <f>IF('Journal'!I1059="","",'Journal'!I1059)</f>
        <v/>
      </c>
    </row>
    <row r="2116">
      <c r="A2116" s="18">
        <f>IF('Journal'!A1059="","",'Journal'!A1059)</f>
        <v/>
      </c>
      <c r="B2116" s="21">
        <f>IF('Journal'!B1059="","",'Journal'!B1059)</f>
        <v/>
      </c>
      <c r="C2116" s="5">
        <f>IF('Journal'!C1059="","",'Journal'!C1059)</f>
        <v/>
      </c>
      <c r="D2116" s="5">
        <f>IF('Journal'!E1059="","",IFERROR(LEFT('Journal'!E1059,FIND(" ",'Journal'!E1059)-1),'Journal'!E1059))</f>
        <v/>
      </c>
      <c r="E2116" s="5">
        <f>IF('Journal'!E1059="","",IFERROR(INDEX('Kontoplan'!$B$3:$B$302,MATCH('Journal'!E1059,'Kontoplan'!$H$3:$H$302,0)),""))</f>
        <v/>
      </c>
      <c r="F2116" s="20">
        <f>IF('Journal'!F1059="","",'Journal'!F1059)</f>
        <v/>
      </c>
      <c r="G2116" s="20">
        <f>IF('Journal'!G1059="","",'Journal'!G1059)</f>
        <v/>
      </c>
      <c r="H2116" s="5">
        <f>IF('Journal'!I1059="","",'Journal'!I1059)</f>
        <v/>
      </c>
    </row>
    <row r="2117">
      <c r="A2117" s="18">
        <f>IF('Journal'!A1060="","",'Journal'!A1060)</f>
        <v/>
      </c>
      <c r="B2117" s="21">
        <f>IF('Journal'!B1060="","",'Journal'!B1060)</f>
        <v/>
      </c>
      <c r="C2117" s="5">
        <f>IF('Journal'!C1060="","",'Journal'!C1060)</f>
        <v/>
      </c>
      <c r="D2117" s="5">
        <f>IF('Journal'!D1060="","",IFERROR(LEFT('Journal'!D1060,FIND(" ",'Journal'!D1060)-1),'Journal'!D1060))</f>
        <v/>
      </c>
      <c r="E2117" s="5">
        <f>IF('Journal'!D1060="","",IFERROR(INDEX('Kontoplan'!$B$3:$B$302,MATCH('Journal'!D1060,'Kontoplan'!$H$3:$H$302,0)),""))</f>
        <v/>
      </c>
      <c r="F2117" s="20">
        <f>IF('Journal'!G1060="","",'Journal'!G1060)</f>
        <v/>
      </c>
      <c r="G2117" s="20">
        <f>IF('Journal'!F1060="","",'Journal'!F1060)</f>
        <v/>
      </c>
      <c r="H2117" s="5">
        <f>IF('Journal'!I1060="","",'Journal'!I1060)</f>
        <v/>
      </c>
    </row>
    <row r="2118">
      <c r="A2118" s="18">
        <f>IF('Journal'!A1060="","",'Journal'!A1060)</f>
        <v/>
      </c>
      <c r="B2118" s="21">
        <f>IF('Journal'!B1060="","",'Journal'!B1060)</f>
        <v/>
      </c>
      <c r="C2118" s="5">
        <f>IF('Journal'!C1060="","",'Journal'!C1060)</f>
        <v/>
      </c>
      <c r="D2118" s="5">
        <f>IF('Journal'!E1060="","",IFERROR(LEFT('Journal'!E1060,FIND(" ",'Journal'!E1060)-1),'Journal'!E1060))</f>
        <v/>
      </c>
      <c r="E2118" s="5">
        <f>IF('Journal'!E1060="","",IFERROR(INDEX('Kontoplan'!$B$3:$B$302,MATCH('Journal'!E1060,'Kontoplan'!$H$3:$H$302,0)),""))</f>
        <v/>
      </c>
      <c r="F2118" s="20">
        <f>IF('Journal'!F1060="","",'Journal'!F1060)</f>
        <v/>
      </c>
      <c r="G2118" s="20">
        <f>IF('Journal'!G1060="","",'Journal'!G1060)</f>
        <v/>
      </c>
      <c r="H2118" s="5">
        <f>IF('Journal'!I1060="","",'Journal'!I1060)</f>
        <v/>
      </c>
    </row>
    <row r="2119">
      <c r="A2119" s="18">
        <f>IF('Journal'!A1061="","",'Journal'!A1061)</f>
        <v/>
      </c>
      <c r="B2119" s="21">
        <f>IF('Journal'!B1061="","",'Journal'!B1061)</f>
        <v/>
      </c>
      <c r="C2119" s="5">
        <f>IF('Journal'!C1061="","",'Journal'!C1061)</f>
        <v/>
      </c>
      <c r="D2119" s="5">
        <f>IF('Journal'!D1061="","",IFERROR(LEFT('Journal'!D1061,FIND(" ",'Journal'!D1061)-1),'Journal'!D1061))</f>
        <v/>
      </c>
      <c r="E2119" s="5">
        <f>IF('Journal'!D1061="","",IFERROR(INDEX('Kontoplan'!$B$3:$B$302,MATCH('Journal'!D1061,'Kontoplan'!$H$3:$H$302,0)),""))</f>
        <v/>
      </c>
      <c r="F2119" s="20">
        <f>IF('Journal'!G1061="","",'Journal'!G1061)</f>
        <v/>
      </c>
      <c r="G2119" s="20">
        <f>IF('Journal'!F1061="","",'Journal'!F1061)</f>
        <v/>
      </c>
      <c r="H2119" s="5">
        <f>IF('Journal'!I1061="","",'Journal'!I1061)</f>
        <v/>
      </c>
    </row>
    <row r="2120">
      <c r="A2120" s="18">
        <f>IF('Journal'!A1061="","",'Journal'!A1061)</f>
        <v/>
      </c>
      <c r="B2120" s="21">
        <f>IF('Journal'!B1061="","",'Journal'!B1061)</f>
        <v/>
      </c>
      <c r="C2120" s="5">
        <f>IF('Journal'!C1061="","",'Journal'!C1061)</f>
        <v/>
      </c>
      <c r="D2120" s="5">
        <f>IF('Journal'!E1061="","",IFERROR(LEFT('Journal'!E1061,FIND(" ",'Journal'!E1061)-1),'Journal'!E1061))</f>
        <v/>
      </c>
      <c r="E2120" s="5">
        <f>IF('Journal'!E1061="","",IFERROR(INDEX('Kontoplan'!$B$3:$B$302,MATCH('Journal'!E1061,'Kontoplan'!$H$3:$H$302,0)),""))</f>
        <v/>
      </c>
      <c r="F2120" s="20">
        <f>IF('Journal'!F1061="","",'Journal'!F1061)</f>
        <v/>
      </c>
      <c r="G2120" s="20">
        <f>IF('Journal'!G1061="","",'Journal'!G1061)</f>
        <v/>
      </c>
      <c r="H2120" s="5">
        <f>IF('Journal'!I1061="","",'Journal'!I1061)</f>
        <v/>
      </c>
    </row>
    <row r="2121">
      <c r="A2121" s="18">
        <f>IF('Journal'!A1062="","",'Journal'!A1062)</f>
        <v/>
      </c>
      <c r="B2121" s="21">
        <f>IF('Journal'!B1062="","",'Journal'!B1062)</f>
        <v/>
      </c>
      <c r="C2121" s="5">
        <f>IF('Journal'!C1062="","",'Journal'!C1062)</f>
        <v/>
      </c>
      <c r="D2121" s="5">
        <f>IF('Journal'!D1062="","",IFERROR(LEFT('Journal'!D1062,FIND(" ",'Journal'!D1062)-1),'Journal'!D1062))</f>
        <v/>
      </c>
      <c r="E2121" s="5">
        <f>IF('Journal'!D1062="","",IFERROR(INDEX('Kontoplan'!$B$3:$B$302,MATCH('Journal'!D1062,'Kontoplan'!$H$3:$H$302,0)),""))</f>
        <v/>
      </c>
      <c r="F2121" s="20">
        <f>IF('Journal'!G1062="","",'Journal'!G1062)</f>
        <v/>
      </c>
      <c r="G2121" s="20">
        <f>IF('Journal'!F1062="","",'Journal'!F1062)</f>
        <v/>
      </c>
      <c r="H2121" s="5">
        <f>IF('Journal'!I1062="","",'Journal'!I1062)</f>
        <v/>
      </c>
    </row>
    <row r="2122">
      <c r="A2122" s="18">
        <f>IF('Journal'!A1062="","",'Journal'!A1062)</f>
        <v/>
      </c>
      <c r="B2122" s="21">
        <f>IF('Journal'!B1062="","",'Journal'!B1062)</f>
        <v/>
      </c>
      <c r="C2122" s="5">
        <f>IF('Journal'!C1062="","",'Journal'!C1062)</f>
        <v/>
      </c>
      <c r="D2122" s="5">
        <f>IF('Journal'!E1062="","",IFERROR(LEFT('Journal'!E1062,FIND(" ",'Journal'!E1062)-1),'Journal'!E1062))</f>
        <v/>
      </c>
      <c r="E2122" s="5">
        <f>IF('Journal'!E1062="","",IFERROR(INDEX('Kontoplan'!$B$3:$B$302,MATCH('Journal'!E1062,'Kontoplan'!$H$3:$H$302,0)),""))</f>
        <v/>
      </c>
      <c r="F2122" s="20">
        <f>IF('Journal'!F1062="","",'Journal'!F1062)</f>
        <v/>
      </c>
      <c r="G2122" s="20">
        <f>IF('Journal'!G1062="","",'Journal'!G1062)</f>
        <v/>
      </c>
      <c r="H2122" s="5">
        <f>IF('Journal'!I1062="","",'Journal'!I1062)</f>
        <v/>
      </c>
    </row>
    <row r="2123">
      <c r="A2123" s="18">
        <f>IF('Journal'!A1063="","",'Journal'!A1063)</f>
        <v/>
      </c>
      <c r="B2123" s="21">
        <f>IF('Journal'!B1063="","",'Journal'!B1063)</f>
        <v/>
      </c>
      <c r="C2123" s="5">
        <f>IF('Journal'!C1063="","",'Journal'!C1063)</f>
        <v/>
      </c>
      <c r="D2123" s="5">
        <f>IF('Journal'!D1063="","",IFERROR(LEFT('Journal'!D1063,FIND(" ",'Journal'!D1063)-1),'Journal'!D1063))</f>
        <v/>
      </c>
      <c r="E2123" s="5">
        <f>IF('Journal'!D1063="","",IFERROR(INDEX('Kontoplan'!$B$3:$B$302,MATCH('Journal'!D1063,'Kontoplan'!$H$3:$H$302,0)),""))</f>
        <v/>
      </c>
      <c r="F2123" s="20">
        <f>IF('Journal'!G1063="","",'Journal'!G1063)</f>
        <v/>
      </c>
      <c r="G2123" s="20">
        <f>IF('Journal'!F1063="","",'Journal'!F1063)</f>
        <v/>
      </c>
      <c r="H2123" s="5">
        <f>IF('Journal'!I1063="","",'Journal'!I1063)</f>
        <v/>
      </c>
    </row>
    <row r="2124">
      <c r="A2124" s="18">
        <f>IF('Journal'!A1063="","",'Journal'!A1063)</f>
        <v/>
      </c>
      <c r="B2124" s="21">
        <f>IF('Journal'!B1063="","",'Journal'!B1063)</f>
        <v/>
      </c>
      <c r="C2124" s="5">
        <f>IF('Journal'!C1063="","",'Journal'!C1063)</f>
        <v/>
      </c>
      <c r="D2124" s="5">
        <f>IF('Journal'!E1063="","",IFERROR(LEFT('Journal'!E1063,FIND(" ",'Journal'!E1063)-1),'Journal'!E1063))</f>
        <v/>
      </c>
      <c r="E2124" s="5">
        <f>IF('Journal'!E1063="","",IFERROR(INDEX('Kontoplan'!$B$3:$B$302,MATCH('Journal'!E1063,'Kontoplan'!$H$3:$H$302,0)),""))</f>
        <v/>
      </c>
      <c r="F2124" s="20">
        <f>IF('Journal'!F1063="","",'Journal'!F1063)</f>
        <v/>
      </c>
      <c r="G2124" s="20">
        <f>IF('Journal'!G1063="","",'Journal'!G1063)</f>
        <v/>
      </c>
      <c r="H2124" s="5">
        <f>IF('Journal'!I1063="","",'Journal'!I1063)</f>
        <v/>
      </c>
    </row>
    <row r="2125">
      <c r="A2125" s="18">
        <f>IF('Journal'!A1064="","",'Journal'!A1064)</f>
        <v/>
      </c>
      <c r="B2125" s="21">
        <f>IF('Journal'!B1064="","",'Journal'!B1064)</f>
        <v/>
      </c>
      <c r="C2125" s="5">
        <f>IF('Journal'!C1064="","",'Journal'!C1064)</f>
        <v/>
      </c>
      <c r="D2125" s="5">
        <f>IF('Journal'!D1064="","",IFERROR(LEFT('Journal'!D1064,FIND(" ",'Journal'!D1064)-1),'Journal'!D1064))</f>
        <v/>
      </c>
      <c r="E2125" s="5">
        <f>IF('Journal'!D1064="","",IFERROR(INDEX('Kontoplan'!$B$3:$B$302,MATCH('Journal'!D1064,'Kontoplan'!$H$3:$H$302,0)),""))</f>
        <v/>
      </c>
      <c r="F2125" s="20">
        <f>IF('Journal'!G1064="","",'Journal'!G1064)</f>
        <v/>
      </c>
      <c r="G2125" s="20">
        <f>IF('Journal'!F1064="","",'Journal'!F1064)</f>
        <v/>
      </c>
      <c r="H2125" s="5">
        <f>IF('Journal'!I1064="","",'Journal'!I1064)</f>
        <v/>
      </c>
    </row>
    <row r="2126">
      <c r="A2126" s="18">
        <f>IF('Journal'!A1064="","",'Journal'!A1064)</f>
        <v/>
      </c>
      <c r="B2126" s="21">
        <f>IF('Journal'!B1064="","",'Journal'!B1064)</f>
        <v/>
      </c>
      <c r="C2126" s="5">
        <f>IF('Journal'!C1064="","",'Journal'!C1064)</f>
        <v/>
      </c>
      <c r="D2126" s="5">
        <f>IF('Journal'!E1064="","",IFERROR(LEFT('Journal'!E1064,FIND(" ",'Journal'!E1064)-1),'Journal'!E1064))</f>
        <v/>
      </c>
      <c r="E2126" s="5">
        <f>IF('Journal'!E1064="","",IFERROR(INDEX('Kontoplan'!$B$3:$B$302,MATCH('Journal'!E1064,'Kontoplan'!$H$3:$H$302,0)),""))</f>
        <v/>
      </c>
      <c r="F2126" s="20">
        <f>IF('Journal'!F1064="","",'Journal'!F1064)</f>
        <v/>
      </c>
      <c r="G2126" s="20">
        <f>IF('Journal'!G1064="","",'Journal'!G1064)</f>
        <v/>
      </c>
      <c r="H2126" s="5">
        <f>IF('Journal'!I1064="","",'Journal'!I1064)</f>
        <v/>
      </c>
    </row>
    <row r="2127">
      <c r="A2127" s="18">
        <f>IF('Journal'!A1065="","",'Journal'!A1065)</f>
        <v/>
      </c>
      <c r="B2127" s="21">
        <f>IF('Journal'!B1065="","",'Journal'!B1065)</f>
        <v/>
      </c>
      <c r="C2127" s="5">
        <f>IF('Journal'!C1065="","",'Journal'!C1065)</f>
        <v/>
      </c>
      <c r="D2127" s="5">
        <f>IF('Journal'!D1065="","",IFERROR(LEFT('Journal'!D1065,FIND(" ",'Journal'!D1065)-1),'Journal'!D1065))</f>
        <v/>
      </c>
      <c r="E2127" s="5">
        <f>IF('Journal'!D1065="","",IFERROR(INDEX('Kontoplan'!$B$3:$B$302,MATCH('Journal'!D1065,'Kontoplan'!$H$3:$H$302,0)),""))</f>
        <v/>
      </c>
      <c r="F2127" s="20">
        <f>IF('Journal'!G1065="","",'Journal'!G1065)</f>
        <v/>
      </c>
      <c r="G2127" s="20">
        <f>IF('Journal'!F1065="","",'Journal'!F1065)</f>
        <v/>
      </c>
      <c r="H2127" s="5">
        <f>IF('Journal'!I1065="","",'Journal'!I1065)</f>
        <v/>
      </c>
    </row>
    <row r="2128">
      <c r="A2128" s="18">
        <f>IF('Journal'!A1065="","",'Journal'!A1065)</f>
        <v/>
      </c>
      <c r="B2128" s="21">
        <f>IF('Journal'!B1065="","",'Journal'!B1065)</f>
        <v/>
      </c>
      <c r="C2128" s="5">
        <f>IF('Journal'!C1065="","",'Journal'!C1065)</f>
        <v/>
      </c>
      <c r="D2128" s="5">
        <f>IF('Journal'!E1065="","",IFERROR(LEFT('Journal'!E1065,FIND(" ",'Journal'!E1065)-1),'Journal'!E1065))</f>
        <v/>
      </c>
      <c r="E2128" s="5">
        <f>IF('Journal'!E1065="","",IFERROR(INDEX('Kontoplan'!$B$3:$B$302,MATCH('Journal'!E1065,'Kontoplan'!$H$3:$H$302,0)),""))</f>
        <v/>
      </c>
      <c r="F2128" s="20">
        <f>IF('Journal'!F1065="","",'Journal'!F1065)</f>
        <v/>
      </c>
      <c r="G2128" s="20">
        <f>IF('Journal'!G1065="","",'Journal'!G1065)</f>
        <v/>
      </c>
      <c r="H2128" s="5">
        <f>IF('Journal'!I1065="","",'Journal'!I1065)</f>
        <v/>
      </c>
    </row>
    <row r="2129">
      <c r="A2129" s="18">
        <f>IF('Journal'!A1066="","",'Journal'!A1066)</f>
        <v/>
      </c>
      <c r="B2129" s="21">
        <f>IF('Journal'!B1066="","",'Journal'!B1066)</f>
        <v/>
      </c>
      <c r="C2129" s="5">
        <f>IF('Journal'!C1066="","",'Journal'!C1066)</f>
        <v/>
      </c>
      <c r="D2129" s="5">
        <f>IF('Journal'!D1066="","",IFERROR(LEFT('Journal'!D1066,FIND(" ",'Journal'!D1066)-1),'Journal'!D1066))</f>
        <v/>
      </c>
      <c r="E2129" s="5">
        <f>IF('Journal'!D1066="","",IFERROR(INDEX('Kontoplan'!$B$3:$B$302,MATCH('Journal'!D1066,'Kontoplan'!$H$3:$H$302,0)),""))</f>
        <v/>
      </c>
      <c r="F2129" s="20">
        <f>IF('Journal'!G1066="","",'Journal'!G1066)</f>
        <v/>
      </c>
      <c r="G2129" s="20">
        <f>IF('Journal'!F1066="","",'Journal'!F1066)</f>
        <v/>
      </c>
      <c r="H2129" s="5">
        <f>IF('Journal'!I1066="","",'Journal'!I1066)</f>
        <v/>
      </c>
    </row>
    <row r="2130">
      <c r="A2130" s="18">
        <f>IF('Journal'!A1066="","",'Journal'!A1066)</f>
        <v/>
      </c>
      <c r="B2130" s="21">
        <f>IF('Journal'!B1066="","",'Journal'!B1066)</f>
        <v/>
      </c>
      <c r="C2130" s="5">
        <f>IF('Journal'!C1066="","",'Journal'!C1066)</f>
        <v/>
      </c>
      <c r="D2130" s="5">
        <f>IF('Journal'!E1066="","",IFERROR(LEFT('Journal'!E1066,FIND(" ",'Journal'!E1066)-1),'Journal'!E1066))</f>
        <v/>
      </c>
      <c r="E2130" s="5">
        <f>IF('Journal'!E1066="","",IFERROR(INDEX('Kontoplan'!$B$3:$B$302,MATCH('Journal'!E1066,'Kontoplan'!$H$3:$H$302,0)),""))</f>
        <v/>
      </c>
      <c r="F2130" s="20">
        <f>IF('Journal'!F1066="","",'Journal'!F1066)</f>
        <v/>
      </c>
      <c r="G2130" s="20">
        <f>IF('Journal'!G1066="","",'Journal'!G1066)</f>
        <v/>
      </c>
      <c r="H2130" s="5">
        <f>IF('Journal'!I1066="","",'Journal'!I1066)</f>
        <v/>
      </c>
    </row>
    <row r="2131">
      <c r="A2131" s="18">
        <f>IF('Journal'!A1067="","",'Journal'!A1067)</f>
        <v/>
      </c>
      <c r="B2131" s="21">
        <f>IF('Journal'!B1067="","",'Journal'!B1067)</f>
        <v/>
      </c>
      <c r="C2131" s="5">
        <f>IF('Journal'!C1067="","",'Journal'!C1067)</f>
        <v/>
      </c>
      <c r="D2131" s="5">
        <f>IF('Journal'!D1067="","",IFERROR(LEFT('Journal'!D1067,FIND(" ",'Journal'!D1067)-1),'Journal'!D1067))</f>
        <v/>
      </c>
      <c r="E2131" s="5">
        <f>IF('Journal'!D1067="","",IFERROR(INDEX('Kontoplan'!$B$3:$B$302,MATCH('Journal'!D1067,'Kontoplan'!$H$3:$H$302,0)),""))</f>
        <v/>
      </c>
      <c r="F2131" s="20">
        <f>IF('Journal'!G1067="","",'Journal'!G1067)</f>
        <v/>
      </c>
      <c r="G2131" s="20">
        <f>IF('Journal'!F1067="","",'Journal'!F1067)</f>
        <v/>
      </c>
      <c r="H2131" s="5">
        <f>IF('Journal'!I1067="","",'Journal'!I1067)</f>
        <v/>
      </c>
    </row>
    <row r="2132">
      <c r="A2132" s="18">
        <f>IF('Journal'!A1067="","",'Journal'!A1067)</f>
        <v/>
      </c>
      <c r="B2132" s="21">
        <f>IF('Journal'!B1067="","",'Journal'!B1067)</f>
        <v/>
      </c>
      <c r="C2132" s="5">
        <f>IF('Journal'!C1067="","",'Journal'!C1067)</f>
        <v/>
      </c>
      <c r="D2132" s="5">
        <f>IF('Journal'!E1067="","",IFERROR(LEFT('Journal'!E1067,FIND(" ",'Journal'!E1067)-1),'Journal'!E1067))</f>
        <v/>
      </c>
      <c r="E2132" s="5">
        <f>IF('Journal'!E1067="","",IFERROR(INDEX('Kontoplan'!$B$3:$B$302,MATCH('Journal'!E1067,'Kontoplan'!$H$3:$H$302,0)),""))</f>
        <v/>
      </c>
      <c r="F2132" s="20">
        <f>IF('Journal'!F1067="","",'Journal'!F1067)</f>
        <v/>
      </c>
      <c r="G2132" s="20">
        <f>IF('Journal'!G1067="","",'Journal'!G1067)</f>
        <v/>
      </c>
      <c r="H2132" s="5">
        <f>IF('Journal'!I1067="","",'Journal'!I1067)</f>
        <v/>
      </c>
    </row>
    <row r="2133">
      <c r="A2133" s="18">
        <f>IF('Journal'!A1068="","",'Journal'!A1068)</f>
        <v/>
      </c>
      <c r="B2133" s="21">
        <f>IF('Journal'!B1068="","",'Journal'!B1068)</f>
        <v/>
      </c>
      <c r="C2133" s="5">
        <f>IF('Journal'!C1068="","",'Journal'!C1068)</f>
        <v/>
      </c>
      <c r="D2133" s="5">
        <f>IF('Journal'!D1068="","",IFERROR(LEFT('Journal'!D1068,FIND(" ",'Journal'!D1068)-1),'Journal'!D1068))</f>
        <v/>
      </c>
      <c r="E2133" s="5">
        <f>IF('Journal'!D1068="","",IFERROR(INDEX('Kontoplan'!$B$3:$B$302,MATCH('Journal'!D1068,'Kontoplan'!$H$3:$H$302,0)),""))</f>
        <v/>
      </c>
      <c r="F2133" s="20">
        <f>IF('Journal'!G1068="","",'Journal'!G1068)</f>
        <v/>
      </c>
      <c r="G2133" s="20">
        <f>IF('Journal'!F1068="","",'Journal'!F1068)</f>
        <v/>
      </c>
      <c r="H2133" s="5">
        <f>IF('Journal'!I1068="","",'Journal'!I1068)</f>
        <v/>
      </c>
    </row>
    <row r="2134">
      <c r="A2134" s="18">
        <f>IF('Journal'!A1068="","",'Journal'!A1068)</f>
        <v/>
      </c>
      <c r="B2134" s="21">
        <f>IF('Journal'!B1068="","",'Journal'!B1068)</f>
        <v/>
      </c>
      <c r="C2134" s="5">
        <f>IF('Journal'!C1068="","",'Journal'!C1068)</f>
        <v/>
      </c>
      <c r="D2134" s="5">
        <f>IF('Journal'!E1068="","",IFERROR(LEFT('Journal'!E1068,FIND(" ",'Journal'!E1068)-1),'Journal'!E1068))</f>
        <v/>
      </c>
      <c r="E2134" s="5">
        <f>IF('Journal'!E1068="","",IFERROR(INDEX('Kontoplan'!$B$3:$B$302,MATCH('Journal'!E1068,'Kontoplan'!$H$3:$H$302,0)),""))</f>
        <v/>
      </c>
      <c r="F2134" s="20">
        <f>IF('Journal'!F1068="","",'Journal'!F1068)</f>
        <v/>
      </c>
      <c r="G2134" s="20">
        <f>IF('Journal'!G1068="","",'Journal'!G1068)</f>
        <v/>
      </c>
      <c r="H2134" s="5">
        <f>IF('Journal'!I1068="","",'Journal'!I1068)</f>
        <v/>
      </c>
    </row>
    <row r="2135">
      <c r="A2135" s="18">
        <f>IF('Journal'!A1069="","",'Journal'!A1069)</f>
        <v/>
      </c>
      <c r="B2135" s="21">
        <f>IF('Journal'!B1069="","",'Journal'!B1069)</f>
        <v/>
      </c>
      <c r="C2135" s="5">
        <f>IF('Journal'!C1069="","",'Journal'!C1069)</f>
        <v/>
      </c>
      <c r="D2135" s="5">
        <f>IF('Journal'!D1069="","",IFERROR(LEFT('Journal'!D1069,FIND(" ",'Journal'!D1069)-1),'Journal'!D1069))</f>
        <v/>
      </c>
      <c r="E2135" s="5">
        <f>IF('Journal'!D1069="","",IFERROR(INDEX('Kontoplan'!$B$3:$B$302,MATCH('Journal'!D1069,'Kontoplan'!$H$3:$H$302,0)),""))</f>
        <v/>
      </c>
      <c r="F2135" s="20">
        <f>IF('Journal'!G1069="","",'Journal'!G1069)</f>
        <v/>
      </c>
      <c r="G2135" s="20">
        <f>IF('Journal'!F1069="","",'Journal'!F1069)</f>
        <v/>
      </c>
      <c r="H2135" s="5">
        <f>IF('Journal'!I1069="","",'Journal'!I1069)</f>
        <v/>
      </c>
    </row>
    <row r="2136">
      <c r="A2136" s="18">
        <f>IF('Journal'!A1069="","",'Journal'!A1069)</f>
        <v/>
      </c>
      <c r="B2136" s="21">
        <f>IF('Journal'!B1069="","",'Journal'!B1069)</f>
        <v/>
      </c>
      <c r="C2136" s="5">
        <f>IF('Journal'!C1069="","",'Journal'!C1069)</f>
        <v/>
      </c>
      <c r="D2136" s="5">
        <f>IF('Journal'!E1069="","",IFERROR(LEFT('Journal'!E1069,FIND(" ",'Journal'!E1069)-1),'Journal'!E1069))</f>
        <v/>
      </c>
      <c r="E2136" s="5">
        <f>IF('Journal'!E1069="","",IFERROR(INDEX('Kontoplan'!$B$3:$B$302,MATCH('Journal'!E1069,'Kontoplan'!$H$3:$H$302,0)),""))</f>
        <v/>
      </c>
      <c r="F2136" s="20">
        <f>IF('Journal'!F1069="","",'Journal'!F1069)</f>
        <v/>
      </c>
      <c r="G2136" s="20">
        <f>IF('Journal'!G1069="","",'Journal'!G1069)</f>
        <v/>
      </c>
      <c r="H2136" s="5">
        <f>IF('Journal'!I1069="","",'Journal'!I1069)</f>
        <v/>
      </c>
    </row>
    <row r="2137">
      <c r="A2137" s="18">
        <f>IF('Journal'!A1070="","",'Journal'!A1070)</f>
        <v/>
      </c>
      <c r="B2137" s="21">
        <f>IF('Journal'!B1070="","",'Journal'!B1070)</f>
        <v/>
      </c>
      <c r="C2137" s="5">
        <f>IF('Journal'!C1070="","",'Journal'!C1070)</f>
        <v/>
      </c>
      <c r="D2137" s="5">
        <f>IF('Journal'!D1070="","",IFERROR(LEFT('Journal'!D1070,FIND(" ",'Journal'!D1070)-1),'Journal'!D1070))</f>
        <v/>
      </c>
      <c r="E2137" s="5">
        <f>IF('Journal'!D1070="","",IFERROR(INDEX('Kontoplan'!$B$3:$B$302,MATCH('Journal'!D1070,'Kontoplan'!$H$3:$H$302,0)),""))</f>
        <v/>
      </c>
      <c r="F2137" s="20">
        <f>IF('Journal'!G1070="","",'Journal'!G1070)</f>
        <v/>
      </c>
      <c r="G2137" s="20">
        <f>IF('Journal'!F1070="","",'Journal'!F1070)</f>
        <v/>
      </c>
      <c r="H2137" s="5">
        <f>IF('Journal'!I1070="","",'Journal'!I1070)</f>
        <v/>
      </c>
    </row>
    <row r="2138">
      <c r="A2138" s="18">
        <f>IF('Journal'!A1070="","",'Journal'!A1070)</f>
        <v/>
      </c>
      <c r="B2138" s="21">
        <f>IF('Journal'!B1070="","",'Journal'!B1070)</f>
        <v/>
      </c>
      <c r="C2138" s="5">
        <f>IF('Journal'!C1070="","",'Journal'!C1070)</f>
        <v/>
      </c>
      <c r="D2138" s="5">
        <f>IF('Journal'!E1070="","",IFERROR(LEFT('Journal'!E1070,FIND(" ",'Journal'!E1070)-1),'Journal'!E1070))</f>
        <v/>
      </c>
      <c r="E2138" s="5">
        <f>IF('Journal'!E1070="","",IFERROR(INDEX('Kontoplan'!$B$3:$B$302,MATCH('Journal'!E1070,'Kontoplan'!$H$3:$H$302,0)),""))</f>
        <v/>
      </c>
      <c r="F2138" s="20">
        <f>IF('Journal'!F1070="","",'Journal'!F1070)</f>
        <v/>
      </c>
      <c r="G2138" s="20">
        <f>IF('Journal'!G1070="","",'Journal'!G1070)</f>
        <v/>
      </c>
      <c r="H2138" s="5">
        <f>IF('Journal'!I1070="","",'Journal'!I1070)</f>
        <v/>
      </c>
    </row>
    <row r="2139">
      <c r="A2139" s="18">
        <f>IF('Journal'!A1071="","",'Journal'!A1071)</f>
        <v/>
      </c>
      <c r="B2139" s="21">
        <f>IF('Journal'!B1071="","",'Journal'!B1071)</f>
        <v/>
      </c>
      <c r="C2139" s="5">
        <f>IF('Journal'!C1071="","",'Journal'!C1071)</f>
        <v/>
      </c>
      <c r="D2139" s="5">
        <f>IF('Journal'!D1071="","",IFERROR(LEFT('Journal'!D1071,FIND(" ",'Journal'!D1071)-1),'Journal'!D1071))</f>
        <v/>
      </c>
      <c r="E2139" s="5">
        <f>IF('Journal'!D1071="","",IFERROR(INDEX('Kontoplan'!$B$3:$B$302,MATCH('Journal'!D1071,'Kontoplan'!$H$3:$H$302,0)),""))</f>
        <v/>
      </c>
      <c r="F2139" s="20">
        <f>IF('Journal'!G1071="","",'Journal'!G1071)</f>
        <v/>
      </c>
      <c r="G2139" s="20">
        <f>IF('Journal'!F1071="","",'Journal'!F1071)</f>
        <v/>
      </c>
      <c r="H2139" s="5">
        <f>IF('Journal'!I1071="","",'Journal'!I1071)</f>
        <v/>
      </c>
    </row>
    <row r="2140">
      <c r="A2140" s="18">
        <f>IF('Journal'!A1071="","",'Journal'!A1071)</f>
        <v/>
      </c>
      <c r="B2140" s="21">
        <f>IF('Journal'!B1071="","",'Journal'!B1071)</f>
        <v/>
      </c>
      <c r="C2140" s="5">
        <f>IF('Journal'!C1071="","",'Journal'!C1071)</f>
        <v/>
      </c>
      <c r="D2140" s="5">
        <f>IF('Journal'!E1071="","",IFERROR(LEFT('Journal'!E1071,FIND(" ",'Journal'!E1071)-1),'Journal'!E1071))</f>
        <v/>
      </c>
      <c r="E2140" s="5">
        <f>IF('Journal'!E1071="","",IFERROR(INDEX('Kontoplan'!$B$3:$B$302,MATCH('Journal'!E1071,'Kontoplan'!$H$3:$H$302,0)),""))</f>
        <v/>
      </c>
      <c r="F2140" s="20">
        <f>IF('Journal'!F1071="","",'Journal'!F1071)</f>
        <v/>
      </c>
      <c r="G2140" s="20">
        <f>IF('Journal'!G1071="","",'Journal'!G1071)</f>
        <v/>
      </c>
      <c r="H2140" s="5">
        <f>IF('Journal'!I1071="","",'Journal'!I1071)</f>
        <v/>
      </c>
    </row>
    <row r="2141">
      <c r="A2141" s="18">
        <f>IF('Journal'!A1072="","",'Journal'!A1072)</f>
        <v/>
      </c>
      <c r="B2141" s="21">
        <f>IF('Journal'!B1072="","",'Journal'!B1072)</f>
        <v/>
      </c>
      <c r="C2141" s="5">
        <f>IF('Journal'!C1072="","",'Journal'!C1072)</f>
        <v/>
      </c>
      <c r="D2141" s="5">
        <f>IF('Journal'!D1072="","",IFERROR(LEFT('Journal'!D1072,FIND(" ",'Journal'!D1072)-1),'Journal'!D1072))</f>
        <v/>
      </c>
      <c r="E2141" s="5">
        <f>IF('Journal'!D1072="","",IFERROR(INDEX('Kontoplan'!$B$3:$B$302,MATCH('Journal'!D1072,'Kontoplan'!$H$3:$H$302,0)),""))</f>
        <v/>
      </c>
      <c r="F2141" s="20">
        <f>IF('Journal'!G1072="","",'Journal'!G1072)</f>
        <v/>
      </c>
      <c r="G2141" s="20">
        <f>IF('Journal'!F1072="","",'Journal'!F1072)</f>
        <v/>
      </c>
      <c r="H2141" s="5">
        <f>IF('Journal'!I1072="","",'Journal'!I1072)</f>
        <v/>
      </c>
    </row>
    <row r="2142">
      <c r="A2142" s="18">
        <f>IF('Journal'!A1072="","",'Journal'!A1072)</f>
        <v/>
      </c>
      <c r="B2142" s="21">
        <f>IF('Journal'!B1072="","",'Journal'!B1072)</f>
        <v/>
      </c>
      <c r="C2142" s="5">
        <f>IF('Journal'!C1072="","",'Journal'!C1072)</f>
        <v/>
      </c>
      <c r="D2142" s="5">
        <f>IF('Journal'!E1072="","",IFERROR(LEFT('Journal'!E1072,FIND(" ",'Journal'!E1072)-1),'Journal'!E1072))</f>
        <v/>
      </c>
      <c r="E2142" s="5">
        <f>IF('Journal'!E1072="","",IFERROR(INDEX('Kontoplan'!$B$3:$B$302,MATCH('Journal'!E1072,'Kontoplan'!$H$3:$H$302,0)),""))</f>
        <v/>
      </c>
      <c r="F2142" s="20">
        <f>IF('Journal'!F1072="","",'Journal'!F1072)</f>
        <v/>
      </c>
      <c r="G2142" s="20">
        <f>IF('Journal'!G1072="","",'Journal'!G1072)</f>
        <v/>
      </c>
      <c r="H2142" s="5">
        <f>IF('Journal'!I1072="","",'Journal'!I1072)</f>
        <v/>
      </c>
    </row>
    <row r="2143">
      <c r="A2143" s="18">
        <f>IF('Journal'!A1073="","",'Journal'!A1073)</f>
        <v/>
      </c>
      <c r="B2143" s="21">
        <f>IF('Journal'!B1073="","",'Journal'!B1073)</f>
        <v/>
      </c>
      <c r="C2143" s="5">
        <f>IF('Journal'!C1073="","",'Journal'!C1073)</f>
        <v/>
      </c>
      <c r="D2143" s="5">
        <f>IF('Journal'!D1073="","",IFERROR(LEFT('Journal'!D1073,FIND(" ",'Journal'!D1073)-1),'Journal'!D1073))</f>
        <v/>
      </c>
      <c r="E2143" s="5">
        <f>IF('Journal'!D1073="","",IFERROR(INDEX('Kontoplan'!$B$3:$B$302,MATCH('Journal'!D1073,'Kontoplan'!$H$3:$H$302,0)),""))</f>
        <v/>
      </c>
      <c r="F2143" s="20">
        <f>IF('Journal'!G1073="","",'Journal'!G1073)</f>
        <v/>
      </c>
      <c r="G2143" s="20">
        <f>IF('Journal'!F1073="","",'Journal'!F1073)</f>
        <v/>
      </c>
      <c r="H2143" s="5">
        <f>IF('Journal'!I1073="","",'Journal'!I1073)</f>
        <v/>
      </c>
    </row>
    <row r="2144">
      <c r="A2144" s="18">
        <f>IF('Journal'!A1073="","",'Journal'!A1073)</f>
        <v/>
      </c>
      <c r="B2144" s="21">
        <f>IF('Journal'!B1073="","",'Journal'!B1073)</f>
        <v/>
      </c>
      <c r="C2144" s="5">
        <f>IF('Journal'!C1073="","",'Journal'!C1073)</f>
        <v/>
      </c>
      <c r="D2144" s="5">
        <f>IF('Journal'!E1073="","",IFERROR(LEFT('Journal'!E1073,FIND(" ",'Journal'!E1073)-1),'Journal'!E1073))</f>
        <v/>
      </c>
      <c r="E2144" s="5">
        <f>IF('Journal'!E1073="","",IFERROR(INDEX('Kontoplan'!$B$3:$B$302,MATCH('Journal'!E1073,'Kontoplan'!$H$3:$H$302,0)),""))</f>
        <v/>
      </c>
      <c r="F2144" s="20">
        <f>IF('Journal'!F1073="","",'Journal'!F1073)</f>
        <v/>
      </c>
      <c r="G2144" s="20">
        <f>IF('Journal'!G1073="","",'Journal'!G1073)</f>
        <v/>
      </c>
      <c r="H2144" s="5">
        <f>IF('Journal'!I1073="","",'Journal'!I1073)</f>
        <v/>
      </c>
    </row>
    <row r="2145">
      <c r="A2145" s="18">
        <f>IF('Journal'!A1074="","",'Journal'!A1074)</f>
        <v/>
      </c>
      <c r="B2145" s="21">
        <f>IF('Journal'!B1074="","",'Journal'!B1074)</f>
        <v/>
      </c>
      <c r="C2145" s="5">
        <f>IF('Journal'!C1074="","",'Journal'!C1074)</f>
        <v/>
      </c>
      <c r="D2145" s="5">
        <f>IF('Journal'!D1074="","",IFERROR(LEFT('Journal'!D1074,FIND(" ",'Journal'!D1074)-1),'Journal'!D1074))</f>
        <v/>
      </c>
      <c r="E2145" s="5">
        <f>IF('Journal'!D1074="","",IFERROR(INDEX('Kontoplan'!$B$3:$B$302,MATCH('Journal'!D1074,'Kontoplan'!$H$3:$H$302,0)),""))</f>
        <v/>
      </c>
      <c r="F2145" s="20">
        <f>IF('Journal'!G1074="","",'Journal'!G1074)</f>
        <v/>
      </c>
      <c r="G2145" s="20">
        <f>IF('Journal'!F1074="","",'Journal'!F1074)</f>
        <v/>
      </c>
      <c r="H2145" s="5">
        <f>IF('Journal'!I1074="","",'Journal'!I1074)</f>
        <v/>
      </c>
    </row>
    <row r="2146">
      <c r="A2146" s="18">
        <f>IF('Journal'!A1074="","",'Journal'!A1074)</f>
        <v/>
      </c>
      <c r="B2146" s="21">
        <f>IF('Journal'!B1074="","",'Journal'!B1074)</f>
        <v/>
      </c>
      <c r="C2146" s="5">
        <f>IF('Journal'!C1074="","",'Journal'!C1074)</f>
        <v/>
      </c>
      <c r="D2146" s="5">
        <f>IF('Journal'!E1074="","",IFERROR(LEFT('Journal'!E1074,FIND(" ",'Journal'!E1074)-1),'Journal'!E1074))</f>
        <v/>
      </c>
      <c r="E2146" s="5">
        <f>IF('Journal'!E1074="","",IFERROR(INDEX('Kontoplan'!$B$3:$B$302,MATCH('Journal'!E1074,'Kontoplan'!$H$3:$H$302,0)),""))</f>
        <v/>
      </c>
      <c r="F2146" s="20">
        <f>IF('Journal'!F1074="","",'Journal'!F1074)</f>
        <v/>
      </c>
      <c r="G2146" s="20">
        <f>IF('Journal'!G1074="","",'Journal'!G1074)</f>
        <v/>
      </c>
      <c r="H2146" s="5">
        <f>IF('Journal'!I1074="","",'Journal'!I1074)</f>
        <v/>
      </c>
    </row>
    <row r="2147">
      <c r="A2147" s="18">
        <f>IF('Journal'!A1075="","",'Journal'!A1075)</f>
        <v/>
      </c>
      <c r="B2147" s="21">
        <f>IF('Journal'!B1075="","",'Journal'!B1075)</f>
        <v/>
      </c>
      <c r="C2147" s="5">
        <f>IF('Journal'!C1075="","",'Journal'!C1075)</f>
        <v/>
      </c>
      <c r="D2147" s="5">
        <f>IF('Journal'!D1075="","",IFERROR(LEFT('Journal'!D1075,FIND(" ",'Journal'!D1075)-1),'Journal'!D1075))</f>
        <v/>
      </c>
      <c r="E2147" s="5">
        <f>IF('Journal'!D1075="","",IFERROR(INDEX('Kontoplan'!$B$3:$B$302,MATCH('Journal'!D1075,'Kontoplan'!$H$3:$H$302,0)),""))</f>
        <v/>
      </c>
      <c r="F2147" s="20">
        <f>IF('Journal'!G1075="","",'Journal'!G1075)</f>
        <v/>
      </c>
      <c r="G2147" s="20">
        <f>IF('Journal'!F1075="","",'Journal'!F1075)</f>
        <v/>
      </c>
      <c r="H2147" s="5">
        <f>IF('Journal'!I1075="","",'Journal'!I1075)</f>
        <v/>
      </c>
    </row>
    <row r="2148">
      <c r="A2148" s="18">
        <f>IF('Journal'!A1075="","",'Journal'!A1075)</f>
        <v/>
      </c>
      <c r="B2148" s="21">
        <f>IF('Journal'!B1075="","",'Journal'!B1075)</f>
        <v/>
      </c>
      <c r="C2148" s="5">
        <f>IF('Journal'!C1075="","",'Journal'!C1075)</f>
        <v/>
      </c>
      <c r="D2148" s="5">
        <f>IF('Journal'!E1075="","",IFERROR(LEFT('Journal'!E1075,FIND(" ",'Journal'!E1075)-1),'Journal'!E1075))</f>
        <v/>
      </c>
      <c r="E2148" s="5">
        <f>IF('Journal'!E1075="","",IFERROR(INDEX('Kontoplan'!$B$3:$B$302,MATCH('Journal'!E1075,'Kontoplan'!$H$3:$H$302,0)),""))</f>
        <v/>
      </c>
      <c r="F2148" s="20">
        <f>IF('Journal'!F1075="","",'Journal'!F1075)</f>
        <v/>
      </c>
      <c r="G2148" s="20">
        <f>IF('Journal'!G1075="","",'Journal'!G1075)</f>
        <v/>
      </c>
      <c r="H2148" s="5">
        <f>IF('Journal'!I1075="","",'Journal'!I1075)</f>
        <v/>
      </c>
    </row>
    <row r="2149">
      <c r="A2149" s="18">
        <f>IF('Journal'!A1076="","",'Journal'!A1076)</f>
        <v/>
      </c>
      <c r="B2149" s="21">
        <f>IF('Journal'!B1076="","",'Journal'!B1076)</f>
        <v/>
      </c>
      <c r="C2149" s="5">
        <f>IF('Journal'!C1076="","",'Journal'!C1076)</f>
        <v/>
      </c>
      <c r="D2149" s="5">
        <f>IF('Journal'!D1076="","",IFERROR(LEFT('Journal'!D1076,FIND(" ",'Journal'!D1076)-1),'Journal'!D1076))</f>
        <v/>
      </c>
      <c r="E2149" s="5">
        <f>IF('Journal'!D1076="","",IFERROR(INDEX('Kontoplan'!$B$3:$B$302,MATCH('Journal'!D1076,'Kontoplan'!$H$3:$H$302,0)),""))</f>
        <v/>
      </c>
      <c r="F2149" s="20">
        <f>IF('Journal'!G1076="","",'Journal'!G1076)</f>
        <v/>
      </c>
      <c r="G2149" s="20">
        <f>IF('Journal'!F1076="","",'Journal'!F1076)</f>
        <v/>
      </c>
      <c r="H2149" s="5">
        <f>IF('Journal'!I1076="","",'Journal'!I1076)</f>
        <v/>
      </c>
    </row>
    <row r="2150">
      <c r="A2150" s="18">
        <f>IF('Journal'!A1076="","",'Journal'!A1076)</f>
        <v/>
      </c>
      <c r="B2150" s="21">
        <f>IF('Journal'!B1076="","",'Journal'!B1076)</f>
        <v/>
      </c>
      <c r="C2150" s="5">
        <f>IF('Journal'!C1076="","",'Journal'!C1076)</f>
        <v/>
      </c>
      <c r="D2150" s="5">
        <f>IF('Journal'!E1076="","",IFERROR(LEFT('Journal'!E1076,FIND(" ",'Journal'!E1076)-1),'Journal'!E1076))</f>
        <v/>
      </c>
      <c r="E2150" s="5">
        <f>IF('Journal'!E1076="","",IFERROR(INDEX('Kontoplan'!$B$3:$B$302,MATCH('Journal'!E1076,'Kontoplan'!$H$3:$H$302,0)),""))</f>
        <v/>
      </c>
      <c r="F2150" s="20">
        <f>IF('Journal'!F1076="","",'Journal'!F1076)</f>
        <v/>
      </c>
      <c r="G2150" s="20">
        <f>IF('Journal'!G1076="","",'Journal'!G1076)</f>
        <v/>
      </c>
      <c r="H2150" s="5">
        <f>IF('Journal'!I1076="","",'Journal'!I1076)</f>
        <v/>
      </c>
    </row>
    <row r="2151">
      <c r="A2151" s="18">
        <f>IF('Journal'!A1077="","",'Journal'!A1077)</f>
        <v/>
      </c>
      <c r="B2151" s="21">
        <f>IF('Journal'!B1077="","",'Journal'!B1077)</f>
        <v/>
      </c>
      <c r="C2151" s="5">
        <f>IF('Journal'!C1077="","",'Journal'!C1077)</f>
        <v/>
      </c>
      <c r="D2151" s="5">
        <f>IF('Journal'!D1077="","",IFERROR(LEFT('Journal'!D1077,FIND(" ",'Journal'!D1077)-1),'Journal'!D1077))</f>
        <v/>
      </c>
      <c r="E2151" s="5">
        <f>IF('Journal'!D1077="","",IFERROR(INDEX('Kontoplan'!$B$3:$B$302,MATCH('Journal'!D1077,'Kontoplan'!$H$3:$H$302,0)),""))</f>
        <v/>
      </c>
      <c r="F2151" s="20">
        <f>IF('Journal'!G1077="","",'Journal'!G1077)</f>
        <v/>
      </c>
      <c r="G2151" s="20">
        <f>IF('Journal'!F1077="","",'Journal'!F1077)</f>
        <v/>
      </c>
      <c r="H2151" s="5">
        <f>IF('Journal'!I1077="","",'Journal'!I1077)</f>
        <v/>
      </c>
    </row>
    <row r="2152">
      <c r="A2152" s="18">
        <f>IF('Journal'!A1077="","",'Journal'!A1077)</f>
        <v/>
      </c>
      <c r="B2152" s="21">
        <f>IF('Journal'!B1077="","",'Journal'!B1077)</f>
        <v/>
      </c>
      <c r="C2152" s="5">
        <f>IF('Journal'!C1077="","",'Journal'!C1077)</f>
        <v/>
      </c>
      <c r="D2152" s="5">
        <f>IF('Journal'!E1077="","",IFERROR(LEFT('Journal'!E1077,FIND(" ",'Journal'!E1077)-1),'Journal'!E1077))</f>
        <v/>
      </c>
      <c r="E2152" s="5">
        <f>IF('Journal'!E1077="","",IFERROR(INDEX('Kontoplan'!$B$3:$B$302,MATCH('Journal'!E1077,'Kontoplan'!$H$3:$H$302,0)),""))</f>
        <v/>
      </c>
      <c r="F2152" s="20">
        <f>IF('Journal'!F1077="","",'Journal'!F1077)</f>
        <v/>
      </c>
      <c r="G2152" s="20">
        <f>IF('Journal'!G1077="","",'Journal'!G1077)</f>
        <v/>
      </c>
      <c r="H2152" s="5">
        <f>IF('Journal'!I1077="","",'Journal'!I1077)</f>
        <v/>
      </c>
    </row>
    <row r="2153">
      <c r="A2153" s="18">
        <f>IF('Journal'!A1078="","",'Journal'!A1078)</f>
        <v/>
      </c>
      <c r="B2153" s="21">
        <f>IF('Journal'!B1078="","",'Journal'!B1078)</f>
        <v/>
      </c>
      <c r="C2153" s="5">
        <f>IF('Journal'!C1078="","",'Journal'!C1078)</f>
        <v/>
      </c>
      <c r="D2153" s="5">
        <f>IF('Journal'!D1078="","",IFERROR(LEFT('Journal'!D1078,FIND(" ",'Journal'!D1078)-1),'Journal'!D1078))</f>
        <v/>
      </c>
      <c r="E2153" s="5">
        <f>IF('Journal'!D1078="","",IFERROR(INDEX('Kontoplan'!$B$3:$B$302,MATCH('Journal'!D1078,'Kontoplan'!$H$3:$H$302,0)),""))</f>
        <v/>
      </c>
      <c r="F2153" s="20">
        <f>IF('Journal'!G1078="","",'Journal'!G1078)</f>
        <v/>
      </c>
      <c r="G2153" s="20">
        <f>IF('Journal'!F1078="","",'Journal'!F1078)</f>
        <v/>
      </c>
      <c r="H2153" s="5">
        <f>IF('Journal'!I1078="","",'Journal'!I1078)</f>
        <v/>
      </c>
    </row>
    <row r="2154">
      <c r="A2154" s="18">
        <f>IF('Journal'!A1078="","",'Journal'!A1078)</f>
        <v/>
      </c>
      <c r="B2154" s="21">
        <f>IF('Journal'!B1078="","",'Journal'!B1078)</f>
        <v/>
      </c>
      <c r="C2154" s="5">
        <f>IF('Journal'!C1078="","",'Journal'!C1078)</f>
        <v/>
      </c>
      <c r="D2154" s="5">
        <f>IF('Journal'!E1078="","",IFERROR(LEFT('Journal'!E1078,FIND(" ",'Journal'!E1078)-1),'Journal'!E1078))</f>
        <v/>
      </c>
      <c r="E2154" s="5">
        <f>IF('Journal'!E1078="","",IFERROR(INDEX('Kontoplan'!$B$3:$B$302,MATCH('Journal'!E1078,'Kontoplan'!$H$3:$H$302,0)),""))</f>
        <v/>
      </c>
      <c r="F2154" s="20">
        <f>IF('Journal'!F1078="","",'Journal'!F1078)</f>
        <v/>
      </c>
      <c r="G2154" s="20">
        <f>IF('Journal'!G1078="","",'Journal'!G1078)</f>
        <v/>
      </c>
      <c r="H2154" s="5">
        <f>IF('Journal'!I1078="","",'Journal'!I1078)</f>
        <v/>
      </c>
    </row>
    <row r="2155">
      <c r="A2155" s="18">
        <f>IF('Journal'!A1079="","",'Journal'!A1079)</f>
        <v/>
      </c>
      <c r="B2155" s="21">
        <f>IF('Journal'!B1079="","",'Journal'!B1079)</f>
        <v/>
      </c>
      <c r="C2155" s="5">
        <f>IF('Journal'!C1079="","",'Journal'!C1079)</f>
        <v/>
      </c>
      <c r="D2155" s="5">
        <f>IF('Journal'!D1079="","",IFERROR(LEFT('Journal'!D1079,FIND(" ",'Journal'!D1079)-1),'Journal'!D1079))</f>
        <v/>
      </c>
      <c r="E2155" s="5">
        <f>IF('Journal'!D1079="","",IFERROR(INDEX('Kontoplan'!$B$3:$B$302,MATCH('Journal'!D1079,'Kontoplan'!$H$3:$H$302,0)),""))</f>
        <v/>
      </c>
      <c r="F2155" s="20">
        <f>IF('Journal'!G1079="","",'Journal'!G1079)</f>
        <v/>
      </c>
      <c r="G2155" s="20">
        <f>IF('Journal'!F1079="","",'Journal'!F1079)</f>
        <v/>
      </c>
      <c r="H2155" s="5">
        <f>IF('Journal'!I1079="","",'Journal'!I1079)</f>
        <v/>
      </c>
    </row>
    <row r="2156">
      <c r="A2156" s="18">
        <f>IF('Journal'!A1079="","",'Journal'!A1079)</f>
        <v/>
      </c>
      <c r="B2156" s="21">
        <f>IF('Journal'!B1079="","",'Journal'!B1079)</f>
        <v/>
      </c>
      <c r="C2156" s="5">
        <f>IF('Journal'!C1079="","",'Journal'!C1079)</f>
        <v/>
      </c>
      <c r="D2156" s="5">
        <f>IF('Journal'!E1079="","",IFERROR(LEFT('Journal'!E1079,FIND(" ",'Journal'!E1079)-1),'Journal'!E1079))</f>
        <v/>
      </c>
      <c r="E2156" s="5">
        <f>IF('Journal'!E1079="","",IFERROR(INDEX('Kontoplan'!$B$3:$B$302,MATCH('Journal'!E1079,'Kontoplan'!$H$3:$H$302,0)),""))</f>
        <v/>
      </c>
      <c r="F2156" s="20">
        <f>IF('Journal'!F1079="","",'Journal'!F1079)</f>
        <v/>
      </c>
      <c r="G2156" s="20">
        <f>IF('Journal'!G1079="","",'Journal'!G1079)</f>
        <v/>
      </c>
      <c r="H2156" s="5">
        <f>IF('Journal'!I1079="","",'Journal'!I1079)</f>
        <v/>
      </c>
    </row>
    <row r="2157">
      <c r="A2157" s="18">
        <f>IF('Journal'!A1080="","",'Journal'!A1080)</f>
        <v/>
      </c>
      <c r="B2157" s="21">
        <f>IF('Journal'!B1080="","",'Journal'!B1080)</f>
        <v/>
      </c>
      <c r="C2157" s="5">
        <f>IF('Journal'!C1080="","",'Journal'!C1080)</f>
        <v/>
      </c>
      <c r="D2157" s="5">
        <f>IF('Journal'!D1080="","",IFERROR(LEFT('Journal'!D1080,FIND(" ",'Journal'!D1080)-1),'Journal'!D1080))</f>
        <v/>
      </c>
      <c r="E2157" s="5">
        <f>IF('Journal'!D1080="","",IFERROR(INDEX('Kontoplan'!$B$3:$B$302,MATCH('Journal'!D1080,'Kontoplan'!$H$3:$H$302,0)),""))</f>
        <v/>
      </c>
      <c r="F2157" s="20">
        <f>IF('Journal'!G1080="","",'Journal'!G1080)</f>
        <v/>
      </c>
      <c r="G2157" s="20">
        <f>IF('Journal'!F1080="","",'Journal'!F1080)</f>
        <v/>
      </c>
      <c r="H2157" s="5">
        <f>IF('Journal'!I1080="","",'Journal'!I1080)</f>
        <v/>
      </c>
    </row>
    <row r="2158">
      <c r="A2158" s="18">
        <f>IF('Journal'!A1080="","",'Journal'!A1080)</f>
        <v/>
      </c>
      <c r="B2158" s="21">
        <f>IF('Journal'!B1080="","",'Journal'!B1080)</f>
        <v/>
      </c>
      <c r="C2158" s="5">
        <f>IF('Journal'!C1080="","",'Journal'!C1080)</f>
        <v/>
      </c>
      <c r="D2158" s="5">
        <f>IF('Journal'!E1080="","",IFERROR(LEFT('Journal'!E1080,FIND(" ",'Journal'!E1080)-1),'Journal'!E1080))</f>
        <v/>
      </c>
      <c r="E2158" s="5">
        <f>IF('Journal'!E1080="","",IFERROR(INDEX('Kontoplan'!$B$3:$B$302,MATCH('Journal'!E1080,'Kontoplan'!$H$3:$H$302,0)),""))</f>
        <v/>
      </c>
      <c r="F2158" s="20">
        <f>IF('Journal'!F1080="","",'Journal'!F1080)</f>
        <v/>
      </c>
      <c r="G2158" s="20">
        <f>IF('Journal'!G1080="","",'Journal'!G1080)</f>
        <v/>
      </c>
      <c r="H2158" s="5">
        <f>IF('Journal'!I1080="","",'Journal'!I1080)</f>
        <v/>
      </c>
    </row>
    <row r="2159">
      <c r="A2159" s="18">
        <f>IF('Journal'!A1081="","",'Journal'!A1081)</f>
        <v/>
      </c>
      <c r="B2159" s="21">
        <f>IF('Journal'!B1081="","",'Journal'!B1081)</f>
        <v/>
      </c>
      <c r="C2159" s="5">
        <f>IF('Journal'!C1081="","",'Journal'!C1081)</f>
        <v/>
      </c>
      <c r="D2159" s="5">
        <f>IF('Journal'!D1081="","",IFERROR(LEFT('Journal'!D1081,FIND(" ",'Journal'!D1081)-1),'Journal'!D1081))</f>
        <v/>
      </c>
      <c r="E2159" s="5">
        <f>IF('Journal'!D1081="","",IFERROR(INDEX('Kontoplan'!$B$3:$B$302,MATCH('Journal'!D1081,'Kontoplan'!$H$3:$H$302,0)),""))</f>
        <v/>
      </c>
      <c r="F2159" s="20">
        <f>IF('Journal'!G1081="","",'Journal'!G1081)</f>
        <v/>
      </c>
      <c r="G2159" s="20">
        <f>IF('Journal'!F1081="","",'Journal'!F1081)</f>
        <v/>
      </c>
      <c r="H2159" s="5">
        <f>IF('Journal'!I1081="","",'Journal'!I1081)</f>
        <v/>
      </c>
    </row>
    <row r="2160">
      <c r="A2160" s="18">
        <f>IF('Journal'!A1081="","",'Journal'!A1081)</f>
        <v/>
      </c>
      <c r="B2160" s="21">
        <f>IF('Journal'!B1081="","",'Journal'!B1081)</f>
        <v/>
      </c>
      <c r="C2160" s="5">
        <f>IF('Journal'!C1081="","",'Journal'!C1081)</f>
        <v/>
      </c>
      <c r="D2160" s="5">
        <f>IF('Journal'!E1081="","",IFERROR(LEFT('Journal'!E1081,FIND(" ",'Journal'!E1081)-1),'Journal'!E1081))</f>
        <v/>
      </c>
      <c r="E2160" s="5">
        <f>IF('Journal'!E1081="","",IFERROR(INDEX('Kontoplan'!$B$3:$B$302,MATCH('Journal'!E1081,'Kontoplan'!$H$3:$H$302,0)),""))</f>
        <v/>
      </c>
      <c r="F2160" s="20">
        <f>IF('Journal'!F1081="","",'Journal'!F1081)</f>
        <v/>
      </c>
      <c r="G2160" s="20">
        <f>IF('Journal'!G1081="","",'Journal'!G1081)</f>
        <v/>
      </c>
      <c r="H2160" s="5">
        <f>IF('Journal'!I1081="","",'Journal'!I1081)</f>
        <v/>
      </c>
    </row>
    <row r="2161">
      <c r="A2161" s="18">
        <f>IF('Journal'!A1082="","",'Journal'!A1082)</f>
        <v/>
      </c>
      <c r="B2161" s="21">
        <f>IF('Journal'!B1082="","",'Journal'!B1082)</f>
        <v/>
      </c>
      <c r="C2161" s="5">
        <f>IF('Journal'!C1082="","",'Journal'!C1082)</f>
        <v/>
      </c>
      <c r="D2161" s="5">
        <f>IF('Journal'!D1082="","",IFERROR(LEFT('Journal'!D1082,FIND(" ",'Journal'!D1082)-1),'Journal'!D1082))</f>
        <v/>
      </c>
      <c r="E2161" s="5">
        <f>IF('Journal'!D1082="","",IFERROR(INDEX('Kontoplan'!$B$3:$B$302,MATCH('Journal'!D1082,'Kontoplan'!$H$3:$H$302,0)),""))</f>
        <v/>
      </c>
      <c r="F2161" s="20">
        <f>IF('Journal'!G1082="","",'Journal'!G1082)</f>
        <v/>
      </c>
      <c r="G2161" s="20">
        <f>IF('Journal'!F1082="","",'Journal'!F1082)</f>
        <v/>
      </c>
      <c r="H2161" s="5">
        <f>IF('Journal'!I1082="","",'Journal'!I1082)</f>
        <v/>
      </c>
    </row>
    <row r="2162">
      <c r="A2162" s="18">
        <f>IF('Journal'!A1082="","",'Journal'!A1082)</f>
        <v/>
      </c>
      <c r="B2162" s="21">
        <f>IF('Journal'!B1082="","",'Journal'!B1082)</f>
        <v/>
      </c>
      <c r="C2162" s="5">
        <f>IF('Journal'!C1082="","",'Journal'!C1082)</f>
        <v/>
      </c>
      <c r="D2162" s="5">
        <f>IF('Journal'!E1082="","",IFERROR(LEFT('Journal'!E1082,FIND(" ",'Journal'!E1082)-1),'Journal'!E1082))</f>
        <v/>
      </c>
      <c r="E2162" s="5">
        <f>IF('Journal'!E1082="","",IFERROR(INDEX('Kontoplan'!$B$3:$B$302,MATCH('Journal'!E1082,'Kontoplan'!$H$3:$H$302,0)),""))</f>
        <v/>
      </c>
      <c r="F2162" s="20">
        <f>IF('Journal'!F1082="","",'Journal'!F1082)</f>
        <v/>
      </c>
      <c r="G2162" s="20">
        <f>IF('Journal'!G1082="","",'Journal'!G1082)</f>
        <v/>
      </c>
      <c r="H2162" s="5">
        <f>IF('Journal'!I1082="","",'Journal'!I1082)</f>
        <v/>
      </c>
    </row>
    <row r="2163">
      <c r="A2163" s="18">
        <f>IF('Journal'!A1083="","",'Journal'!A1083)</f>
        <v/>
      </c>
      <c r="B2163" s="21">
        <f>IF('Journal'!B1083="","",'Journal'!B1083)</f>
        <v/>
      </c>
      <c r="C2163" s="5">
        <f>IF('Journal'!C1083="","",'Journal'!C1083)</f>
        <v/>
      </c>
      <c r="D2163" s="5">
        <f>IF('Journal'!D1083="","",IFERROR(LEFT('Journal'!D1083,FIND(" ",'Journal'!D1083)-1),'Journal'!D1083))</f>
        <v/>
      </c>
      <c r="E2163" s="5">
        <f>IF('Journal'!D1083="","",IFERROR(INDEX('Kontoplan'!$B$3:$B$302,MATCH('Journal'!D1083,'Kontoplan'!$H$3:$H$302,0)),""))</f>
        <v/>
      </c>
      <c r="F2163" s="20">
        <f>IF('Journal'!G1083="","",'Journal'!G1083)</f>
        <v/>
      </c>
      <c r="G2163" s="20">
        <f>IF('Journal'!F1083="","",'Journal'!F1083)</f>
        <v/>
      </c>
      <c r="H2163" s="5">
        <f>IF('Journal'!I1083="","",'Journal'!I1083)</f>
        <v/>
      </c>
    </row>
    <row r="2164">
      <c r="A2164" s="18">
        <f>IF('Journal'!A1083="","",'Journal'!A1083)</f>
        <v/>
      </c>
      <c r="B2164" s="21">
        <f>IF('Journal'!B1083="","",'Journal'!B1083)</f>
        <v/>
      </c>
      <c r="C2164" s="5">
        <f>IF('Journal'!C1083="","",'Journal'!C1083)</f>
        <v/>
      </c>
      <c r="D2164" s="5">
        <f>IF('Journal'!E1083="","",IFERROR(LEFT('Journal'!E1083,FIND(" ",'Journal'!E1083)-1),'Journal'!E1083))</f>
        <v/>
      </c>
      <c r="E2164" s="5">
        <f>IF('Journal'!E1083="","",IFERROR(INDEX('Kontoplan'!$B$3:$B$302,MATCH('Journal'!E1083,'Kontoplan'!$H$3:$H$302,0)),""))</f>
        <v/>
      </c>
      <c r="F2164" s="20">
        <f>IF('Journal'!F1083="","",'Journal'!F1083)</f>
        <v/>
      </c>
      <c r="G2164" s="20">
        <f>IF('Journal'!G1083="","",'Journal'!G1083)</f>
        <v/>
      </c>
      <c r="H2164" s="5">
        <f>IF('Journal'!I1083="","",'Journal'!I1083)</f>
        <v/>
      </c>
    </row>
    <row r="2165">
      <c r="A2165" s="18">
        <f>IF('Journal'!A1084="","",'Journal'!A1084)</f>
        <v/>
      </c>
      <c r="B2165" s="21">
        <f>IF('Journal'!B1084="","",'Journal'!B1084)</f>
        <v/>
      </c>
      <c r="C2165" s="5">
        <f>IF('Journal'!C1084="","",'Journal'!C1084)</f>
        <v/>
      </c>
      <c r="D2165" s="5">
        <f>IF('Journal'!D1084="","",IFERROR(LEFT('Journal'!D1084,FIND(" ",'Journal'!D1084)-1),'Journal'!D1084))</f>
        <v/>
      </c>
      <c r="E2165" s="5">
        <f>IF('Journal'!D1084="","",IFERROR(INDEX('Kontoplan'!$B$3:$B$302,MATCH('Journal'!D1084,'Kontoplan'!$H$3:$H$302,0)),""))</f>
        <v/>
      </c>
      <c r="F2165" s="20">
        <f>IF('Journal'!G1084="","",'Journal'!G1084)</f>
        <v/>
      </c>
      <c r="G2165" s="20">
        <f>IF('Journal'!F1084="","",'Journal'!F1084)</f>
        <v/>
      </c>
      <c r="H2165" s="5">
        <f>IF('Journal'!I1084="","",'Journal'!I1084)</f>
        <v/>
      </c>
    </row>
    <row r="2166">
      <c r="A2166" s="18">
        <f>IF('Journal'!A1084="","",'Journal'!A1084)</f>
        <v/>
      </c>
      <c r="B2166" s="21">
        <f>IF('Journal'!B1084="","",'Journal'!B1084)</f>
        <v/>
      </c>
      <c r="C2166" s="5">
        <f>IF('Journal'!C1084="","",'Journal'!C1084)</f>
        <v/>
      </c>
      <c r="D2166" s="5">
        <f>IF('Journal'!E1084="","",IFERROR(LEFT('Journal'!E1084,FIND(" ",'Journal'!E1084)-1),'Journal'!E1084))</f>
        <v/>
      </c>
      <c r="E2166" s="5">
        <f>IF('Journal'!E1084="","",IFERROR(INDEX('Kontoplan'!$B$3:$B$302,MATCH('Journal'!E1084,'Kontoplan'!$H$3:$H$302,0)),""))</f>
        <v/>
      </c>
      <c r="F2166" s="20">
        <f>IF('Journal'!F1084="","",'Journal'!F1084)</f>
        <v/>
      </c>
      <c r="G2166" s="20">
        <f>IF('Journal'!G1084="","",'Journal'!G1084)</f>
        <v/>
      </c>
      <c r="H2166" s="5">
        <f>IF('Journal'!I1084="","",'Journal'!I1084)</f>
        <v/>
      </c>
    </row>
    <row r="2167">
      <c r="A2167" s="18">
        <f>IF('Journal'!A1085="","",'Journal'!A1085)</f>
        <v/>
      </c>
      <c r="B2167" s="21">
        <f>IF('Journal'!B1085="","",'Journal'!B1085)</f>
        <v/>
      </c>
      <c r="C2167" s="5">
        <f>IF('Journal'!C1085="","",'Journal'!C1085)</f>
        <v/>
      </c>
      <c r="D2167" s="5">
        <f>IF('Journal'!D1085="","",IFERROR(LEFT('Journal'!D1085,FIND(" ",'Journal'!D1085)-1),'Journal'!D1085))</f>
        <v/>
      </c>
      <c r="E2167" s="5">
        <f>IF('Journal'!D1085="","",IFERROR(INDEX('Kontoplan'!$B$3:$B$302,MATCH('Journal'!D1085,'Kontoplan'!$H$3:$H$302,0)),""))</f>
        <v/>
      </c>
      <c r="F2167" s="20">
        <f>IF('Journal'!G1085="","",'Journal'!G1085)</f>
        <v/>
      </c>
      <c r="G2167" s="20">
        <f>IF('Journal'!F1085="","",'Journal'!F1085)</f>
        <v/>
      </c>
      <c r="H2167" s="5">
        <f>IF('Journal'!I1085="","",'Journal'!I1085)</f>
        <v/>
      </c>
    </row>
    <row r="2168">
      <c r="A2168" s="18">
        <f>IF('Journal'!A1085="","",'Journal'!A1085)</f>
        <v/>
      </c>
      <c r="B2168" s="21">
        <f>IF('Journal'!B1085="","",'Journal'!B1085)</f>
        <v/>
      </c>
      <c r="C2168" s="5">
        <f>IF('Journal'!C1085="","",'Journal'!C1085)</f>
        <v/>
      </c>
      <c r="D2168" s="5">
        <f>IF('Journal'!E1085="","",IFERROR(LEFT('Journal'!E1085,FIND(" ",'Journal'!E1085)-1),'Journal'!E1085))</f>
        <v/>
      </c>
      <c r="E2168" s="5">
        <f>IF('Journal'!E1085="","",IFERROR(INDEX('Kontoplan'!$B$3:$B$302,MATCH('Journal'!E1085,'Kontoplan'!$H$3:$H$302,0)),""))</f>
        <v/>
      </c>
      <c r="F2168" s="20">
        <f>IF('Journal'!F1085="","",'Journal'!F1085)</f>
        <v/>
      </c>
      <c r="G2168" s="20">
        <f>IF('Journal'!G1085="","",'Journal'!G1085)</f>
        <v/>
      </c>
      <c r="H2168" s="5">
        <f>IF('Journal'!I1085="","",'Journal'!I1085)</f>
        <v/>
      </c>
    </row>
    <row r="2169">
      <c r="A2169" s="18">
        <f>IF('Journal'!A1086="","",'Journal'!A1086)</f>
        <v/>
      </c>
      <c r="B2169" s="21">
        <f>IF('Journal'!B1086="","",'Journal'!B1086)</f>
        <v/>
      </c>
      <c r="C2169" s="5">
        <f>IF('Journal'!C1086="","",'Journal'!C1086)</f>
        <v/>
      </c>
      <c r="D2169" s="5">
        <f>IF('Journal'!D1086="","",IFERROR(LEFT('Journal'!D1086,FIND(" ",'Journal'!D1086)-1),'Journal'!D1086))</f>
        <v/>
      </c>
      <c r="E2169" s="5">
        <f>IF('Journal'!D1086="","",IFERROR(INDEX('Kontoplan'!$B$3:$B$302,MATCH('Journal'!D1086,'Kontoplan'!$H$3:$H$302,0)),""))</f>
        <v/>
      </c>
      <c r="F2169" s="20">
        <f>IF('Journal'!G1086="","",'Journal'!G1086)</f>
        <v/>
      </c>
      <c r="G2169" s="20">
        <f>IF('Journal'!F1086="","",'Journal'!F1086)</f>
        <v/>
      </c>
      <c r="H2169" s="5">
        <f>IF('Journal'!I1086="","",'Journal'!I1086)</f>
        <v/>
      </c>
    </row>
    <row r="2170">
      <c r="A2170" s="18">
        <f>IF('Journal'!A1086="","",'Journal'!A1086)</f>
        <v/>
      </c>
      <c r="B2170" s="21">
        <f>IF('Journal'!B1086="","",'Journal'!B1086)</f>
        <v/>
      </c>
      <c r="C2170" s="5">
        <f>IF('Journal'!C1086="","",'Journal'!C1086)</f>
        <v/>
      </c>
      <c r="D2170" s="5">
        <f>IF('Journal'!E1086="","",IFERROR(LEFT('Journal'!E1086,FIND(" ",'Journal'!E1086)-1),'Journal'!E1086))</f>
        <v/>
      </c>
      <c r="E2170" s="5">
        <f>IF('Journal'!E1086="","",IFERROR(INDEX('Kontoplan'!$B$3:$B$302,MATCH('Journal'!E1086,'Kontoplan'!$H$3:$H$302,0)),""))</f>
        <v/>
      </c>
      <c r="F2170" s="20">
        <f>IF('Journal'!F1086="","",'Journal'!F1086)</f>
        <v/>
      </c>
      <c r="G2170" s="20">
        <f>IF('Journal'!G1086="","",'Journal'!G1086)</f>
        <v/>
      </c>
      <c r="H2170" s="5">
        <f>IF('Journal'!I1086="","",'Journal'!I1086)</f>
        <v/>
      </c>
    </row>
    <row r="2171">
      <c r="A2171" s="18">
        <f>IF('Journal'!A1087="","",'Journal'!A1087)</f>
        <v/>
      </c>
      <c r="B2171" s="21">
        <f>IF('Journal'!B1087="","",'Journal'!B1087)</f>
        <v/>
      </c>
      <c r="C2171" s="5">
        <f>IF('Journal'!C1087="","",'Journal'!C1087)</f>
        <v/>
      </c>
      <c r="D2171" s="5">
        <f>IF('Journal'!D1087="","",IFERROR(LEFT('Journal'!D1087,FIND(" ",'Journal'!D1087)-1),'Journal'!D1087))</f>
        <v/>
      </c>
      <c r="E2171" s="5">
        <f>IF('Journal'!D1087="","",IFERROR(INDEX('Kontoplan'!$B$3:$B$302,MATCH('Journal'!D1087,'Kontoplan'!$H$3:$H$302,0)),""))</f>
        <v/>
      </c>
      <c r="F2171" s="20">
        <f>IF('Journal'!G1087="","",'Journal'!G1087)</f>
        <v/>
      </c>
      <c r="G2171" s="20">
        <f>IF('Journal'!F1087="","",'Journal'!F1087)</f>
        <v/>
      </c>
      <c r="H2171" s="5">
        <f>IF('Journal'!I1087="","",'Journal'!I1087)</f>
        <v/>
      </c>
    </row>
    <row r="2172">
      <c r="A2172" s="18">
        <f>IF('Journal'!A1087="","",'Journal'!A1087)</f>
        <v/>
      </c>
      <c r="B2172" s="21">
        <f>IF('Journal'!B1087="","",'Journal'!B1087)</f>
        <v/>
      </c>
      <c r="C2172" s="5">
        <f>IF('Journal'!C1087="","",'Journal'!C1087)</f>
        <v/>
      </c>
      <c r="D2172" s="5">
        <f>IF('Journal'!E1087="","",IFERROR(LEFT('Journal'!E1087,FIND(" ",'Journal'!E1087)-1),'Journal'!E1087))</f>
        <v/>
      </c>
      <c r="E2172" s="5">
        <f>IF('Journal'!E1087="","",IFERROR(INDEX('Kontoplan'!$B$3:$B$302,MATCH('Journal'!E1087,'Kontoplan'!$H$3:$H$302,0)),""))</f>
        <v/>
      </c>
      <c r="F2172" s="20">
        <f>IF('Journal'!F1087="","",'Journal'!F1087)</f>
        <v/>
      </c>
      <c r="G2172" s="20">
        <f>IF('Journal'!G1087="","",'Journal'!G1087)</f>
        <v/>
      </c>
      <c r="H2172" s="5">
        <f>IF('Journal'!I1087="","",'Journal'!I1087)</f>
        <v/>
      </c>
    </row>
    <row r="2173">
      <c r="A2173" s="18">
        <f>IF('Journal'!A1088="","",'Journal'!A1088)</f>
        <v/>
      </c>
      <c r="B2173" s="21">
        <f>IF('Journal'!B1088="","",'Journal'!B1088)</f>
        <v/>
      </c>
      <c r="C2173" s="5">
        <f>IF('Journal'!C1088="","",'Journal'!C1088)</f>
        <v/>
      </c>
      <c r="D2173" s="5">
        <f>IF('Journal'!D1088="","",IFERROR(LEFT('Journal'!D1088,FIND(" ",'Journal'!D1088)-1),'Journal'!D1088))</f>
        <v/>
      </c>
      <c r="E2173" s="5">
        <f>IF('Journal'!D1088="","",IFERROR(INDEX('Kontoplan'!$B$3:$B$302,MATCH('Journal'!D1088,'Kontoplan'!$H$3:$H$302,0)),""))</f>
        <v/>
      </c>
      <c r="F2173" s="20">
        <f>IF('Journal'!G1088="","",'Journal'!G1088)</f>
        <v/>
      </c>
      <c r="G2173" s="20">
        <f>IF('Journal'!F1088="","",'Journal'!F1088)</f>
        <v/>
      </c>
      <c r="H2173" s="5">
        <f>IF('Journal'!I1088="","",'Journal'!I1088)</f>
        <v/>
      </c>
    </row>
    <row r="2174">
      <c r="A2174" s="18">
        <f>IF('Journal'!A1088="","",'Journal'!A1088)</f>
        <v/>
      </c>
      <c r="B2174" s="21">
        <f>IF('Journal'!B1088="","",'Journal'!B1088)</f>
        <v/>
      </c>
      <c r="C2174" s="5">
        <f>IF('Journal'!C1088="","",'Journal'!C1088)</f>
        <v/>
      </c>
      <c r="D2174" s="5">
        <f>IF('Journal'!E1088="","",IFERROR(LEFT('Journal'!E1088,FIND(" ",'Journal'!E1088)-1),'Journal'!E1088))</f>
        <v/>
      </c>
      <c r="E2174" s="5">
        <f>IF('Journal'!E1088="","",IFERROR(INDEX('Kontoplan'!$B$3:$B$302,MATCH('Journal'!E1088,'Kontoplan'!$H$3:$H$302,0)),""))</f>
        <v/>
      </c>
      <c r="F2174" s="20">
        <f>IF('Journal'!F1088="","",'Journal'!F1088)</f>
        <v/>
      </c>
      <c r="G2174" s="20">
        <f>IF('Journal'!G1088="","",'Journal'!G1088)</f>
        <v/>
      </c>
      <c r="H2174" s="5">
        <f>IF('Journal'!I1088="","",'Journal'!I1088)</f>
        <v/>
      </c>
    </row>
    <row r="2175">
      <c r="A2175" s="18">
        <f>IF('Journal'!A1089="","",'Journal'!A1089)</f>
        <v/>
      </c>
      <c r="B2175" s="21">
        <f>IF('Journal'!B1089="","",'Journal'!B1089)</f>
        <v/>
      </c>
      <c r="C2175" s="5">
        <f>IF('Journal'!C1089="","",'Journal'!C1089)</f>
        <v/>
      </c>
      <c r="D2175" s="5">
        <f>IF('Journal'!D1089="","",IFERROR(LEFT('Journal'!D1089,FIND(" ",'Journal'!D1089)-1),'Journal'!D1089))</f>
        <v/>
      </c>
      <c r="E2175" s="5">
        <f>IF('Journal'!D1089="","",IFERROR(INDEX('Kontoplan'!$B$3:$B$302,MATCH('Journal'!D1089,'Kontoplan'!$H$3:$H$302,0)),""))</f>
        <v/>
      </c>
      <c r="F2175" s="20">
        <f>IF('Journal'!G1089="","",'Journal'!G1089)</f>
        <v/>
      </c>
      <c r="G2175" s="20">
        <f>IF('Journal'!F1089="","",'Journal'!F1089)</f>
        <v/>
      </c>
      <c r="H2175" s="5">
        <f>IF('Journal'!I1089="","",'Journal'!I1089)</f>
        <v/>
      </c>
    </row>
    <row r="2176">
      <c r="A2176" s="18">
        <f>IF('Journal'!A1089="","",'Journal'!A1089)</f>
        <v/>
      </c>
      <c r="B2176" s="21">
        <f>IF('Journal'!B1089="","",'Journal'!B1089)</f>
        <v/>
      </c>
      <c r="C2176" s="5">
        <f>IF('Journal'!C1089="","",'Journal'!C1089)</f>
        <v/>
      </c>
      <c r="D2176" s="5">
        <f>IF('Journal'!E1089="","",IFERROR(LEFT('Journal'!E1089,FIND(" ",'Journal'!E1089)-1),'Journal'!E1089))</f>
        <v/>
      </c>
      <c r="E2176" s="5">
        <f>IF('Journal'!E1089="","",IFERROR(INDEX('Kontoplan'!$B$3:$B$302,MATCH('Journal'!E1089,'Kontoplan'!$H$3:$H$302,0)),""))</f>
        <v/>
      </c>
      <c r="F2176" s="20">
        <f>IF('Journal'!F1089="","",'Journal'!F1089)</f>
        <v/>
      </c>
      <c r="G2176" s="20">
        <f>IF('Journal'!G1089="","",'Journal'!G1089)</f>
        <v/>
      </c>
      <c r="H2176" s="5">
        <f>IF('Journal'!I1089="","",'Journal'!I1089)</f>
        <v/>
      </c>
    </row>
    <row r="2177">
      <c r="A2177" s="18">
        <f>IF('Journal'!A1090="","",'Journal'!A1090)</f>
        <v/>
      </c>
      <c r="B2177" s="21">
        <f>IF('Journal'!B1090="","",'Journal'!B1090)</f>
        <v/>
      </c>
      <c r="C2177" s="5">
        <f>IF('Journal'!C1090="","",'Journal'!C1090)</f>
        <v/>
      </c>
      <c r="D2177" s="5">
        <f>IF('Journal'!D1090="","",IFERROR(LEFT('Journal'!D1090,FIND(" ",'Journal'!D1090)-1),'Journal'!D1090))</f>
        <v/>
      </c>
      <c r="E2177" s="5">
        <f>IF('Journal'!D1090="","",IFERROR(INDEX('Kontoplan'!$B$3:$B$302,MATCH('Journal'!D1090,'Kontoplan'!$H$3:$H$302,0)),""))</f>
        <v/>
      </c>
      <c r="F2177" s="20">
        <f>IF('Journal'!G1090="","",'Journal'!G1090)</f>
        <v/>
      </c>
      <c r="G2177" s="20">
        <f>IF('Journal'!F1090="","",'Journal'!F1090)</f>
        <v/>
      </c>
      <c r="H2177" s="5">
        <f>IF('Journal'!I1090="","",'Journal'!I1090)</f>
        <v/>
      </c>
    </row>
    <row r="2178">
      <c r="A2178" s="18">
        <f>IF('Journal'!A1090="","",'Journal'!A1090)</f>
        <v/>
      </c>
      <c r="B2178" s="21">
        <f>IF('Journal'!B1090="","",'Journal'!B1090)</f>
        <v/>
      </c>
      <c r="C2178" s="5">
        <f>IF('Journal'!C1090="","",'Journal'!C1090)</f>
        <v/>
      </c>
      <c r="D2178" s="5">
        <f>IF('Journal'!E1090="","",IFERROR(LEFT('Journal'!E1090,FIND(" ",'Journal'!E1090)-1),'Journal'!E1090))</f>
        <v/>
      </c>
      <c r="E2178" s="5">
        <f>IF('Journal'!E1090="","",IFERROR(INDEX('Kontoplan'!$B$3:$B$302,MATCH('Journal'!E1090,'Kontoplan'!$H$3:$H$302,0)),""))</f>
        <v/>
      </c>
      <c r="F2178" s="20">
        <f>IF('Journal'!F1090="","",'Journal'!F1090)</f>
        <v/>
      </c>
      <c r="G2178" s="20">
        <f>IF('Journal'!G1090="","",'Journal'!G1090)</f>
        <v/>
      </c>
      <c r="H2178" s="5">
        <f>IF('Journal'!I1090="","",'Journal'!I1090)</f>
        <v/>
      </c>
    </row>
    <row r="2179">
      <c r="A2179" s="18">
        <f>IF('Journal'!A1091="","",'Journal'!A1091)</f>
        <v/>
      </c>
      <c r="B2179" s="21">
        <f>IF('Journal'!B1091="","",'Journal'!B1091)</f>
        <v/>
      </c>
      <c r="C2179" s="5">
        <f>IF('Journal'!C1091="","",'Journal'!C1091)</f>
        <v/>
      </c>
      <c r="D2179" s="5">
        <f>IF('Journal'!D1091="","",IFERROR(LEFT('Journal'!D1091,FIND(" ",'Journal'!D1091)-1),'Journal'!D1091))</f>
        <v/>
      </c>
      <c r="E2179" s="5">
        <f>IF('Journal'!D1091="","",IFERROR(INDEX('Kontoplan'!$B$3:$B$302,MATCH('Journal'!D1091,'Kontoplan'!$H$3:$H$302,0)),""))</f>
        <v/>
      </c>
      <c r="F2179" s="20">
        <f>IF('Journal'!G1091="","",'Journal'!G1091)</f>
        <v/>
      </c>
      <c r="G2179" s="20">
        <f>IF('Journal'!F1091="","",'Journal'!F1091)</f>
        <v/>
      </c>
      <c r="H2179" s="5">
        <f>IF('Journal'!I1091="","",'Journal'!I1091)</f>
        <v/>
      </c>
    </row>
    <row r="2180">
      <c r="A2180" s="18">
        <f>IF('Journal'!A1091="","",'Journal'!A1091)</f>
        <v/>
      </c>
      <c r="B2180" s="21">
        <f>IF('Journal'!B1091="","",'Journal'!B1091)</f>
        <v/>
      </c>
      <c r="C2180" s="5">
        <f>IF('Journal'!C1091="","",'Journal'!C1091)</f>
        <v/>
      </c>
      <c r="D2180" s="5">
        <f>IF('Journal'!E1091="","",IFERROR(LEFT('Journal'!E1091,FIND(" ",'Journal'!E1091)-1),'Journal'!E1091))</f>
        <v/>
      </c>
      <c r="E2180" s="5">
        <f>IF('Journal'!E1091="","",IFERROR(INDEX('Kontoplan'!$B$3:$B$302,MATCH('Journal'!E1091,'Kontoplan'!$H$3:$H$302,0)),""))</f>
        <v/>
      </c>
      <c r="F2180" s="20">
        <f>IF('Journal'!F1091="","",'Journal'!F1091)</f>
        <v/>
      </c>
      <c r="G2180" s="20">
        <f>IF('Journal'!G1091="","",'Journal'!G1091)</f>
        <v/>
      </c>
      <c r="H2180" s="5">
        <f>IF('Journal'!I1091="","",'Journal'!I1091)</f>
        <v/>
      </c>
    </row>
    <row r="2181">
      <c r="A2181" s="18">
        <f>IF('Journal'!A1092="","",'Journal'!A1092)</f>
        <v/>
      </c>
      <c r="B2181" s="21">
        <f>IF('Journal'!B1092="","",'Journal'!B1092)</f>
        <v/>
      </c>
      <c r="C2181" s="5">
        <f>IF('Journal'!C1092="","",'Journal'!C1092)</f>
        <v/>
      </c>
      <c r="D2181" s="5">
        <f>IF('Journal'!D1092="","",IFERROR(LEFT('Journal'!D1092,FIND(" ",'Journal'!D1092)-1),'Journal'!D1092))</f>
        <v/>
      </c>
      <c r="E2181" s="5">
        <f>IF('Journal'!D1092="","",IFERROR(INDEX('Kontoplan'!$B$3:$B$302,MATCH('Journal'!D1092,'Kontoplan'!$H$3:$H$302,0)),""))</f>
        <v/>
      </c>
      <c r="F2181" s="20">
        <f>IF('Journal'!G1092="","",'Journal'!G1092)</f>
        <v/>
      </c>
      <c r="G2181" s="20">
        <f>IF('Journal'!F1092="","",'Journal'!F1092)</f>
        <v/>
      </c>
      <c r="H2181" s="5">
        <f>IF('Journal'!I1092="","",'Journal'!I1092)</f>
        <v/>
      </c>
    </row>
    <row r="2182">
      <c r="A2182" s="18">
        <f>IF('Journal'!A1092="","",'Journal'!A1092)</f>
        <v/>
      </c>
      <c r="B2182" s="21">
        <f>IF('Journal'!B1092="","",'Journal'!B1092)</f>
        <v/>
      </c>
      <c r="C2182" s="5">
        <f>IF('Journal'!C1092="","",'Journal'!C1092)</f>
        <v/>
      </c>
      <c r="D2182" s="5">
        <f>IF('Journal'!E1092="","",IFERROR(LEFT('Journal'!E1092,FIND(" ",'Journal'!E1092)-1),'Journal'!E1092))</f>
        <v/>
      </c>
      <c r="E2182" s="5">
        <f>IF('Journal'!E1092="","",IFERROR(INDEX('Kontoplan'!$B$3:$B$302,MATCH('Journal'!E1092,'Kontoplan'!$H$3:$H$302,0)),""))</f>
        <v/>
      </c>
      <c r="F2182" s="20">
        <f>IF('Journal'!F1092="","",'Journal'!F1092)</f>
        <v/>
      </c>
      <c r="G2182" s="20">
        <f>IF('Journal'!G1092="","",'Journal'!G1092)</f>
        <v/>
      </c>
      <c r="H2182" s="5">
        <f>IF('Journal'!I1092="","",'Journal'!I1092)</f>
        <v/>
      </c>
    </row>
    <row r="2183">
      <c r="A2183" s="18">
        <f>IF('Journal'!A1093="","",'Journal'!A1093)</f>
        <v/>
      </c>
      <c r="B2183" s="21">
        <f>IF('Journal'!B1093="","",'Journal'!B1093)</f>
        <v/>
      </c>
      <c r="C2183" s="5">
        <f>IF('Journal'!C1093="","",'Journal'!C1093)</f>
        <v/>
      </c>
      <c r="D2183" s="5">
        <f>IF('Journal'!D1093="","",IFERROR(LEFT('Journal'!D1093,FIND(" ",'Journal'!D1093)-1),'Journal'!D1093))</f>
        <v/>
      </c>
      <c r="E2183" s="5">
        <f>IF('Journal'!D1093="","",IFERROR(INDEX('Kontoplan'!$B$3:$B$302,MATCH('Journal'!D1093,'Kontoplan'!$H$3:$H$302,0)),""))</f>
        <v/>
      </c>
      <c r="F2183" s="20">
        <f>IF('Journal'!G1093="","",'Journal'!G1093)</f>
        <v/>
      </c>
      <c r="G2183" s="20">
        <f>IF('Journal'!F1093="","",'Journal'!F1093)</f>
        <v/>
      </c>
      <c r="H2183" s="5">
        <f>IF('Journal'!I1093="","",'Journal'!I1093)</f>
        <v/>
      </c>
    </row>
    <row r="2184">
      <c r="A2184" s="18">
        <f>IF('Journal'!A1093="","",'Journal'!A1093)</f>
        <v/>
      </c>
      <c r="B2184" s="21">
        <f>IF('Journal'!B1093="","",'Journal'!B1093)</f>
        <v/>
      </c>
      <c r="C2184" s="5">
        <f>IF('Journal'!C1093="","",'Journal'!C1093)</f>
        <v/>
      </c>
      <c r="D2184" s="5">
        <f>IF('Journal'!E1093="","",IFERROR(LEFT('Journal'!E1093,FIND(" ",'Journal'!E1093)-1),'Journal'!E1093))</f>
        <v/>
      </c>
      <c r="E2184" s="5">
        <f>IF('Journal'!E1093="","",IFERROR(INDEX('Kontoplan'!$B$3:$B$302,MATCH('Journal'!E1093,'Kontoplan'!$H$3:$H$302,0)),""))</f>
        <v/>
      </c>
      <c r="F2184" s="20">
        <f>IF('Journal'!F1093="","",'Journal'!F1093)</f>
        <v/>
      </c>
      <c r="G2184" s="20">
        <f>IF('Journal'!G1093="","",'Journal'!G1093)</f>
        <v/>
      </c>
      <c r="H2184" s="5">
        <f>IF('Journal'!I1093="","",'Journal'!I1093)</f>
        <v/>
      </c>
    </row>
    <row r="2185">
      <c r="A2185" s="18">
        <f>IF('Journal'!A1094="","",'Journal'!A1094)</f>
        <v/>
      </c>
      <c r="B2185" s="21">
        <f>IF('Journal'!B1094="","",'Journal'!B1094)</f>
        <v/>
      </c>
      <c r="C2185" s="5">
        <f>IF('Journal'!C1094="","",'Journal'!C1094)</f>
        <v/>
      </c>
      <c r="D2185" s="5">
        <f>IF('Journal'!D1094="","",IFERROR(LEFT('Journal'!D1094,FIND(" ",'Journal'!D1094)-1),'Journal'!D1094))</f>
        <v/>
      </c>
      <c r="E2185" s="5">
        <f>IF('Journal'!D1094="","",IFERROR(INDEX('Kontoplan'!$B$3:$B$302,MATCH('Journal'!D1094,'Kontoplan'!$H$3:$H$302,0)),""))</f>
        <v/>
      </c>
      <c r="F2185" s="20">
        <f>IF('Journal'!G1094="","",'Journal'!G1094)</f>
        <v/>
      </c>
      <c r="G2185" s="20">
        <f>IF('Journal'!F1094="","",'Journal'!F1094)</f>
        <v/>
      </c>
      <c r="H2185" s="5">
        <f>IF('Journal'!I1094="","",'Journal'!I1094)</f>
        <v/>
      </c>
    </row>
    <row r="2186">
      <c r="A2186" s="18">
        <f>IF('Journal'!A1094="","",'Journal'!A1094)</f>
        <v/>
      </c>
      <c r="B2186" s="21">
        <f>IF('Journal'!B1094="","",'Journal'!B1094)</f>
        <v/>
      </c>
      <c r="C2186" s="5">
        <f>IF('Journal'!C1094="","",'Journal'!C1094)</f>
        <v/>
      </c>
      <c r="D2186" s="5">
        <f>IF('Journal'!E1094="","",IFERROR(LEFT('Journal'!E1094,FIND(" ",'Journal'!E1094)-1),'Journal'!E1094))</f>
        <v/>
      </c>
      <c r="E2186" s="5">
        <f>IF('Journal'!E1094="","",IFERROR(INDEX('Kontoplan'!$B$3:$B$302,MATCH('Journal'!E1094,'Kontoplan'!$H$3:$H$302,0)),""))</f>
        <v/>
      </c>
      <c r="F2186" s="20">
        <f>IF('Journal'!F1094="","",'Journal'!F1094)</f>
        <v/>
      </c>
      <c r="G2186" s="20">
        <f>IF('Journal'!G1094="","",'Journal'!G1094)</f>
        <v/>
      </c>
      <c r="H2186" s="5">
        <f>IF('Journal'!I1094="","",'Journal'!I1094)</f>
        <v/>
      </c>
    </row>
    <row r="2187">
      <c r="A2187" s="18">
        <f>IF('Journal'!A1095="","",'Journal'!A1095)</f>
        <v/>
      </c>
      <c r="B2187" s="21">
        <f>IF('Journal'!B1095="","",'Journal'!B1095)</f>
        <v/>
      </c>
      <c r="C2187" s="5">
        <f>IF('Journal'!C1095="","",'Journal'!C1095)</f>
        <v/>
      </c>
      <c r="D2187" s="5">
        <f>IF('Journal'!D1095="","",IFERROR(LEFT('Journal'!D1095,FIND(" ",'Journal'!D1095)-1),'Journal'!D1095))</f>
        <v/>
      </c>
      <c r="E2187" s="5">
        <f>IF('Journal'!D1095="","",IFERROR(INDEX('Kontoplan'!$B$3:$B$302,MATCH('Journal'!D1095,'Kontoplan'!$H$3:$H$302,0)),""))</f>
        <v/>
      </c>
      <c r="F2187" s="20">
        <f>IF('Journal'!G1095="","",'Journal'!G1095)</f>
        <v/>
      </c>
      <c r="G2187" s="20">
        <f>IF('Journal'!F1095="","",'Journal'!F1095)</f>
        <v/>
      </c>
      <c r="H2187" s="5">
        <f>IF('Journal'!I1095="","",'Journal'!I1095)</f>
        <v/>
      </c>
    </row>
    <row r="2188">
      <c r="A2188" s="18">
        <f>IF('Journal'!A1095="","",'Journal'!A1095)</f>
        <v/>
      </c>
      <c r="B2188" s="21">
        <f>IF('Journal'!B1095="","",'Journal'!B1095)</f>
        <v/>
      </c>
      <c r="C2188" s="5">
        <f>IF('Journal'!C1095="","",'Journal'!C1095)</f>
        <v/>
      </c>
      <c r="D2188" s="5">
        <f>IF('Journal'!E1095="","",IFERROR(LEFT('Journal'!E1095,FIND(" ",'Journal'!E1095)-1),'Journal'!E1095))</f>
        <v/>
      </c>
      <c r="E2188" s="5">
        <f>IF('Journal'!E1095="","",IFERROR(INDEX('Kontoplan'!$B$3:$B$302,MATCH('Journal'!E1095,'Kontoplan'!$H$3:$H$302,0)),""))</f>
        <v/>
      </c>
      <c r="F2188" s="20">
        <f>IF('Journal'!F1095="","",'Journal'!F1095)</f>
        <v/>
      </c>
      <c r="G2188" s="20">
        <f>IF('Journal'!G1095="","",'Journal'!G1095)</f>
        <v/>
      </c>
      <c r="H2188" s="5">
        <f>IF('Journal'!I1095="","",'Journal'!I1095)</f>
        <v/>
      </c>
    </row>
    <row r="2189">
      <c r="A2189" s="18">
        <f>IF('Journal'!A1096="","",'Journal'!A1096)</f>
        <v/>
      </c>
      <c r="B2189" s="21">
        <f>IF('Journal'!B1096="","",'Journal'!B1096)</f>
        <v/>
      </c>
      <c r="C2189" s="5">
        <f>IF('Journal'!C1096="","",'Journal'!C1096)</f>
        <v/>
      </c>
      <c r="D2189" s="5">
        <f>IF('Journal'!D1096="","",IFERROR(LEFT('Journal'!D1096,FIND(" ",'Journal'!D1096)-1),'Journal'!D1096))</f>
        <v/>
      </c>
      <c r="E2189" s="5">
        <f>IF('Journal'!D1096="","",IFERROR(INDEX('Kontoplan'!$B$3:$B$302,MATCH('Journal'!D1096,'Kontoplan'!$H$3:$H$302,0)),""))</f>
        <v/>
      </c>
      <c r="F2189" s="20">
        <f>IF('Journal'!G1096="","",'Journal'!G1096)</f>
        <v/>
      </c>
      <c r="G2189" s="20">
        <f>IF('Journal'!F1096="","",'Journal'!F1096)</f>
        <v/>
      </c>
      <c r="H2189" s="5">
        <f>IF('Journal'!I1096="","",'Journal'!I1096)</f>
        <v/>
      </c>
    </row>
    <row r="2190">
      <c r="A2190" s="18">
        <f>IF('Journal'!A1096="","",'Journal'!A1096)</f>
        <v/>
      </c>
      <c r="B2190" s="21">
        <f>IF('Journal'!B1096="","",'Journal'!B1096)</f>
        <v/>
      </c>
      <c r="C2190" s="5">
        <f>IF('Journal'!C1096="","",'Journal'!C1096)</f>
        <v/>
      </c>
      <c r="D2190" s="5">
        <f>IF('Journal'!E1096="","",IFERROR(LEFT('Journal'!E1096,FIND(" ",'Journal'!E1096)-1),'Journal'!E1096))</f>
        <v/>
      </c>
      <c r="E2190" s="5">
        <f>IF('Journal'!E1096="","",IFERROR(INDEX('Kontoplan'!$B$3:$B$302,MATCH('Journal'!E1096,'Kontoplan'!$H$3:$H$302,0)),""))</f>
        <v/>
      </c>
      <c r="F2190" s="20">
        <f>IF('Journal'!F1096="","",'Journal'!F1096)</f>
        <v/>
      </c>
      <c r="G2190" s="20">
        <f>IF('Journal'!G1096="","",'Journal'!G1096)</f>
        <v/>
      </c>
      <c r="H2190" s="5">
        <f>IF('Journal'!I1096="","",'Journal'!I1096)</f>
        <v/>
      </c>
    </row>
    <row r="2191">
      <c r="A2191" s="18">
        <f>IF('Journal'!A1097="","",'Journal'!A1097)</f>
        <v/>
      </c>
      <c r="B2191" s="21">
        <f>IF('Journal'!B1097="","",'Journal'!B1097)</f>
        <v/>
      </c>
      <c r="C2191" s="5">
        <f>IF('Journal'!C1097="","",'Journal'!C1097)</f>
        <v/>
      </c>
      <c r="D2191" s="5">
        <f>IF('Journal'!D1097="","",IFERROR(LEFT('Journal'!D1097,FIND(" ",'Journal'!D1097)-1),'Journal'!D1097))</f>
        <v/>
      </c>
      <c r="E2191" s="5">
        <f>IF('Journal'!D1097="","",IFERROR(INDEX('Kontoplan'!$B$3:$B$302,MATCH('Journal'!D1097,'Kontoplan'!$H$3:$H$302,0)),""))</f>
        <v/>
      </c>
      <c r="F2191" s="20">
        <f>IF('Journal'!G1097="","",'Journal'!G1097)</f>
        <v/>
      </c>
      <c r="G2191" s="20">
        <f>IF('Journal'!F1097="","",'Journal'!F1097)</f>
        <v/>
      </c>
      <c r="H2191" s="5">
        <f>IF('Journal'!I1097="","",'Journal'!I1097)</f>
        <v/>
      </c>
    </row>
    <row r="2192">
      <c r="A2192" s="18">
        <f>IF('Journal'!A1097="","",'Journal'!A1097)</f>
        <v/>
      </c>
      <c r="B2192" s="21">
        <f>IF('Journal'!B1097="","",'Journal'!B1097)</f>
        <v/>
      </c>
      <c r="C2192" s="5">
        <f>IF('Journal'!C1097="","",'Journal'!C1097)</f>
        <v/>
      </c>
      <c r="D2192" s="5">
        <f>IF('Journal'!E1097="","",IFERROR(LEFT('Journal'!E1097,FIND(" ",'Journal'!E1097)-1),'Journal'!E1097))</f>
        <v/>
      </c>
      <c r="E2192" s="5">
        <f>IF('Journal'!E1097="","",IFERROR(INDEX('Kontoplan'!$B$3:$B$302,MATCH('Journal'!E1097,'Kontoplan'!$H$3:$H$302,0)),""))</f>
        <v/>
      </c>
      <c r="F2192" s="20">
        <f>IF('Journal'!F1097="","",'Journal'!F1097)</f>
        <v/>
      </c>
      <c r="G2192" s="20">
        <f>IF('Journal'!G1097="","",'Journal'!G1097)</f>
        <v/>
      </c>
      <c r="H2192" s="5">
        <f>IF('Journal'!I1097="","",'Journal'!I1097)</f>
        <v/>
      </c>
    </row>
    <row r="2193">
      <c r="A2193" s="18">
        <f>IF('Journal'!A1098="","",'Journal'!A1098)</f>
        <v/>
      </c>
      <c r="B2193" s="21">
        <f>IF('Journal'!B1098="","",'Journal'!B1098)</f>
        <v/>
      </c>
      <c r="C2193" s="5">
        <f>IF('Journal'!C1098="","",'Journal'!C1098)</f>
        <v/>
      </c>
      <c r="D2193" s="5">
        <f>IF('Journal'!D1098="","",IFERROR(LEFT('Journal'!D1098,FIND(" ",'Journal'!D1098)-1),'Journal'!D1098))</f>
        <v/>
      </c>
      <c r="E2193" s="5">
        <f>IF('Journal'!D1098="","",IFERROR(INDEX('Kontoplan'!$B$3:$B$302,MATCH('Journal'!D1098,'Kontoplan'!$H$3:$H$302,0)),""))</f>
        <v/>
      </c>
      <c r="F2193" s="20">
        <f>IF('Journal'!G1098="","",'Journal'!G1098)</f>
        <v/>
      </c>
      <c r="G2193" s="20">
        <f>IF('Journal'!F1098="","",'Journal'!F1098)</f>
        <v/>
      </c>
      <c r="H2193" s="5">
        <f>IF('Journal'!I1098="","",'Journal'!I1098)</f>
        <v/>
      </c>
    </row>
    <row r="2194">
      <c r="A2194" s="18">
        <f>IF('Journal'!A1098="","",'Journal'!A1098)</f>
        <v/>
      </c>
      <c r="B2194" s="21">
        <f>IF('Journal'!B1098="","",'Journal'!B1098)</f>
        <v/>
      </c>
      <c r="C2194" s="5">
        <f>IF('Journal'!C1098="","",'Journal'!C1098)</f>
        <v/>
      </c>
      <c r="D2194" s="5">
        <f>IF('Journal'!E1098="","",IFERROR(LEFT('Journal'!E1098,FIND(" ",'Journal'!E1098)-1),'Journal'!E1098))</f>
        <v/>
      </c>
      <c r="E2194" s="5">
        <f>IF('Journal'!E1098="","",IFERROR(INDEX('Kontoplan'!$B$3:$B$302,MATCH('Journal'!E1098,'Kontoplan'!$H$3:$H$302,0)),""))</f>
        <v/>
      </c>
      <c r="F2194" s="20">
        <f>IF('Journal'!F1098="","",'Journal'!F1098)</f>
        <v/>
      </c>
      <c r="G2194" s="20">
        <f>IF('Journal'!G1098="","",'Journal'!G1098)</f>
        <v/>
      </c>
      <c r="H2194" s="5">
        <f>IF('Journal'!I1098="","",'Journal'!I1098)</f>
        <v/>
      </c>
    </row>
    <row r="2195">
      <c r="A2195" s="18">
        <f>IF('Journal'!A1099="","",'Journal'!A1099)</f>
        <v/>
      </c>
      <c r="B2195" s="21">
        <f>IF('Journal'!B1099="","",'Journal'!B1099)</f>
        <v/>
      </c>
      <c r="C2195" s="5">
        <f>IF('Journal'!C1099="","",'Journal'!C1099)</f>
        <v/>
      </c>
      <c r="D2195" s="5">
        <f>IF('Journal'!D1099="","",IFERROR(LEFT('Journal'!D1099,FIND(" ",'Journal'!D1099)-1),'Journal'!D1099))</f>
        <v/>
      </c>
      <c r="E2195" s="5">
        <f>IF('Journal'!D1099="","",IFERROR(INDEX('Kontoplan'!$B$3:$B$302,MATCH('Journal'!D1099,'Kontoplan'!$H$3:$H$302,0)),""))</f>
        <v/>
      </c>
      <c r="F2195" s="20">
        <f>IF('Journal'!G1099="","",'Journal'!G1099)</f>
        <v/>
      </c>
      <c r="G2195" s="20">
        <f>IF('Journal'!F1099="","",'Journal'!F1099)</f>
        <v/>
      </c>
      <c r="H2195" s="5">
        <f>IF('Journal'!I1099="","",'Journal'!I1099)</f>
        <v/>
      </c>
    </row>
    <row r="2196">
      <c r="A2196" s="18">
        <f>IF('Journal'!A1099="","",'Journal'!A1099)</f>
        <v/>
      </c>
      <c r="B2196" s="21">
        <f>IF('Journal'!B1099="","",'Journal'!B1099)</f>
        <v/>
      </c>
      <c r="C2196" s="5">
        <f>IF('Journal'!C1099="","",'Journal'!C1099)</f>
        <v/>
      </c>
      <c r="D2196" s="5">
        <f>IF('Journal'!E1099="","",IFERROR(LEFT('Journal'!E1099,FIND(" ",'Journal'!E1099)-1),'Journal'!E1099))</f>
        <v/>
      </c>
      <c r="E2196" s="5">
        <f>IF('Journal'!E1099="","",IFERROR(INDEX('Kontoplan'!$B$3:$B$302,MATCH('Journal'!E1099,'Kontoplan'!$H$3:$H$302,0)),""))</f>
        <v/>
      </c>
      <c r="F2196" s="20">
        <f>IF('Journal'!F1099="","",'Journal'!F1099)</f>
        <v/>
      </c>
      <c r="G2196" s="20">
        <f>IF('Journal'!G1099="","",'Journal'!G1099)</f>
        <v/>
      </c>
      <c r="H2196" s="5">
        <f>IF('Journal'!I1099="","",'Journal'!I1099)</f>
        <v/>
      </c>
    </row>
    <row r="2197">
      <c r="A2197" s="18">
        <f>IF('Journal'!A1100="","",'Journal'!A1100)</f>
        <v/>
      </c>
      <c r="B2197" s="21">
        <f>IF('Journal'!B1100="","",'Journal'!B1100)</f>
        <v/>
      </c>
      <c r="C2197" s="5">
        <f>IF('Journal'!C1100="","",'Journal'!C1100)</f>
        <v/>
      </c>
      <c r="D2197" s="5">
        <f>IF('Journal'!D1100="","",IFERROR(LEFT('Journal'!D1100,FIND(" ",'Journal'!D1100)-1),'Journal'!D1100))</f>
        <v/>
      </c>
      <c r="E2197" s="5">
        <f>IF('Journal'!D1100="","",IFERROR(INDEX('Kontoplan'!$B$3:$B$302,MATCH('Journal'!D1100,'Kontoplan'!$H$3:$H$302,0)),""))</f>
        <v/>
      </c>
      <c r="F2197" s="20">
        <f>IF('Journal'!G1100="","",'Journal'!G1100)</f>
        <v/>
      </c>
      <c r="G2197" s="20">
        <f>IF('Journal'!F1100="","",'Journal'!F1100)</f>
        <v/>
      </c>
      <c r="H2197" s="5">
        <f>IF('Journal'!I1100="","",'Journal'!I1100)</f>
        <v/>
      </c>
    </row>
    <row r="2198">
      <c r="A2198" s="18">
        <f>IF('Journal'!A1100="","",'Journal'!A1100)</f>
        <v/>
      </c>
      <c r="B2198" s="21">
        <f>IF('Journal'!B1100="","",'Journal'!B1100)</f>
        <v/>
      </c>
      <c r="C2198" s="5">
        <f>IF('Journal'!C1100="","",'Journal'!C1100)</f>
        <v/>
      </c>
      <c r="D2198" s="5">
        <f>IF('Journal'!E1100="","",IFERROR(LEFT('Journal'!E1100,FIND(" ",'Journal'!E1100)-1),'Journal'!E1100))</f>
        <v/>
      </c>
      <c r="E2198" s="5">
        <f>IF('Journal'!E1100="","",IFERROR(INDEX('Kontoplan'!$B$3:$B$302,MATCH('Journal'!E1100,'Kontoplan'!$H$3:$H$302,0)),""))</f>
        <v/>
      </c>
      <c r="F2198" s="20">
        <f>IF('Journal'!F1100="","",'Journal'!F1100)</f>
        <v/>
      </c>
      <c r="G2198" s="20">
        <f>IF('Journal'!G1100="","",'Journal'!G1100)</f>
        <v/>
      </c>
      <c r="H2198" s="5">
        <f>IF('Journal'!I1100="","",'Journal'!I1100)</f>
        <v/>
      </c>
    </row>
    <row r="2199">
      <c r="A2199" s="18">
        <f>IF('Journal'!A1101="","",'Journal'!A1101)</f>
        <v/>
      </c>
      <c r="B2199" s="21">
        <f>IF('Journal'!B1101="","",'Journal'!B1101)</f>
        <v/>
      </c>
      <c r="C2199" s="5">
        <f>IF('Journal'!C1101="","",'Journal'!C1101)</f>
        <v/>
      </c>
      <c r="D2199" s="5">
        <f>IF('Journal'!D1101="","",IFERROR(LEFT('Journal'!D1101,FIND(" ",'Journal'!D1101)-1),'Journal'!D1101))</f>
        <v/>
      </c>
      <c r="E2199" s="5">
        <f>IF('Journal'!D1101="","",IFERROR(INDEX('Kontoplan'!$B$3:$B$302,MATCH('Journal'!D1101,'Kontoplan'!$H$3:$H$302,0)),""))</f>
        <v/>
      </c>
      <c r="F2199" s="20">
        <f>IF('Journal'!G1101="","",'Journal'!G1101)</f>
        <v/>
      </c>
      <c r="G2199" s="20">
        <f>IF('Journal'!F1101="","",'Journal'!F1101)</f>
        <v/>
      </c>
      <c r="H2199" s="5">
        <f>IF('Journal'!I1101="","",'Journal'!I1101)</f>
        <v/>
      </c>
    </row>
    <row r="2200">
      <c r="A2200" s="18">
        <f>IF('Journal'!A1101="","",'Journal'!A1101)</f>
        <v/>
      </c>
      <c r="B2200" s="21">
        <f>IF('Journal'!B1101="","",'Journal'!B1101)</f>
        <v/>
      </c>
      <c r="C2200" s="5">
        <f>IF('Journal'!C1101="","",'Journal'!C1101)</f>
        <v/>
      </c>
      <c r="D2200" s="5">
        <f>IF('Journal'!E1101="","",IFERROR(LEFT('Journal'!E1101,FIND(" ",'Journal'!E1101)-1),'Journal'!E1101))</f>
        <v/>
      </c>
      <c r="E2200" s="5">
        <f>IF('Journal'!E1101="","",IFERROR(INDEX('Kontoplan'!$B$3:$B$302,MATCH('Journal'!E1101,'Kontoplan'!$H$3:$H$302,0)),""))</f>
        <v/>
      </c>
      <c r="F2200" s="20">
        <f>IF('Journal'!F1101="","",'Journal'!F1101)</f>
        <v/>
      </c>
      <c r="G2200" s="20">
        <f>IF('Journal'!G1101="","",'Journal'!G1101)</f>
        <v/>
      </c>
      <c r="H2200" s="5">
        <f>IF('Journal'!I1101="","",'Journal'!I1101)</f>
        <v/>
      </c>
    </row>
    <row r="2201">
      <c r="A2201" s="18">
        <f>IF('Journal'!A1102="","",'Journal'!A1102)</f>
        <v/>
      </c>
      <c r="B2201" s="21">
        <f>IF('Journal'!B1102="","",'Journal'!B1102)</f>
        <v/>
      </c>
      <c r="C2201" s="5">
        <f>IF('Journal'!C1102="","",'Journal'!C1102)</f>
        <v/>
      </c>
      <c r="D2201" s="5">
        <f>IF('Journal'!D1102="","",IFERROR(LEFT('Journal'!D1102,FIND(" ",'Journal'!D1102)-1),'Journal'!D1102))</f>
        <v/>
      </c>
      <c r="E2201" s="5">
        <f>IF('Journal'!D1102="","",IFERROR(INDEX('Kontoplan'!$B$3:$B$302,MATCH('Journal'!D1102,'Kontoplan'!$H$3:$H$302,0)),""))</f>
        <v/>
      </c>
      <c r="F2201" s="20">
        <f>IF('Journal'!G1102="","",'Journal'!G1102)</f>
        <v/>
      </c>
      <c r="G2201" s="20">
        <f>IF('Journal'!F1102="","",'Journal'!F1102)</f>
        <v/>
      </c>
      <c r="H2201" s="5">
        <f>IF('Journal'!I1102="","",'Journal'!I1102)</f>
        <v/>
      </c>
    </row>
    <row r="2202">
      <c r="A2202" s="18">
        <f>IF('Journal'!A1102="","",'Journal'!A1102)</f>
        <v/>
      </c>
      <c r="B2202" s="21">
        <f>IF('Journal'!B1102="","",'Journal'!B1102)</f>
        <v/>
      </c>
      <c r="C2202" s="5">
        <f>IF('Journal'!C1102="","",'Journal'!C1102)</f>
        <v/>
      </c>
      <c r="D2202" s="5">
        <f>IF('Journal'!E1102="","",IFERROR(LEFT('Journal'!E1102,FIND(" ",'Journal'!E1102)-1),'Journal'!E1102))</f>
        <v/>
      </c>
      <c r="E2202" s="5">
        <f>IF('Journal'!E1102="","",IFERROR(INDEX('Kontoplan'!$B$3:$B$302,MATCH('Journal'!E1102,'Kontoplan'!$H$3:$H$302,0)),""))</f>
        <v/>
      </c>
      <c r="F2202" s="20">
        <f>IF('Journal'!F1102="","",'Journal'!F1102)</f>
        <v/>
      </c>
      <c r="G2202" s="20">
        <f>IF('Journal'!G1102="","",'Journal'!G1102)</f>
        <v/>
      </c>
      <c r="H2202" s="5">
        <f>IF('Journal'!I1102="","",'Journal'!I1102)</f>
        <v/>
      </c>
    </row>
    <row r="2203">
      <c r="A2203" s="18">
        <f>IF('Journal'!A1103="","",'Journal'!A1103)</f>
        <v/>
      </c>
      <c r="B2203" s="21">
        <f>IF('Journal'!B1103="","",'Journal'!B1103)</f>
        <v/>
      </c>
      <c r="C2203" s="5">
        <f>IF('Journal'!C1103="","",'Journal'!C1103)</f>
        <v/>
      </c>
      <c r="D2203" s="5">
        <f>IF('Journal'!D1103="","",IFERROR(LEFT('Journal'!D1103,FIND(" ",'Journal'!D1103)-1),'Journal'!D1103))</f>
        <v/>
      </c>
      <c r="E2203" s="5">
        <f>IF('Journal'!D1103="","",IFERROR(INDEX('Kontoplan'!$B$3:$B$302,MATCH('Journal'!D1103,'Kontoplan'!$H$3:$H$302,0)),""))</f>
        <v/>
      </c>
      <c r="F2203" s="20">
        <f>IF('Journal'!G1103="","",'Journal'!G1103)</f>
        <v/>
      </c>
      <c r="G2203" s="20">
        <f>IF('Journal'!F1103="","",'Journal'!F1103)</f>
        <v/>
      </c>
      <c r="H2203" s="5">
        <f>IF('Journal'!I1103="","",'Journal'!I1103)</f>
        <v/>
      </c>
    </row>
    <row r="2204">
      <c r="A2204" s="18">
        <f>IF('Journal'!A1103="","",'Journal'!A1103)</f>
        <v/>
      </c>
      <c r="B2204" s="21">
        <f>IF('Journal'!B1103="","",'Journal'!B1103)</f>
        <v/>
      </c>
      <c r="C2204" s="5">
        <f>IF('Journal'!C1103="","",'Journal'!C1103)</f>
        <v/>
      </c>
      <c r="D2204" s="5">
        <f>IF('Journal'!E1103="","",IFERROR(LEFT('Journal'!E1103,FIND(" ",'Journal'!E1103)-1),'Journal'!E1103))</f>
        <v/>
      </c>
      <c r="E2204" s="5">
        <f>IF('Journal'!E1103="","",IFERROR(INDEX('Kontoplan'!$B$3:$B$302,MATCH('Journal'!E1103,'Kontoplan'!$H$3:$H$302,0)),""))</f>
        <v/>
      </c>
      <c r="F2204" s="20">
        <f>IF('Journal'!F1103="","",'Journal'!F1103)</f>
        <v/>
      </c>
      <c r="G2204" s="20">
        <f>IF('Journal'!G1103="","",'Journal'!G1103)</f>
        <v/>
      </c>
      <c r="H2204" s="5">
        <f>IF('Journal'!I1103="","",'Journal'!I1103)</f>
        <v/>
      </c>
    </row>
    <row r="2205">
      <c r="A2205" s="18">
        <f>IF('Journal'!A1104="","",'Journal'!A1104)</f>
        <v/>
      </c>
      <c r="B2205" s="21">
        <f>IF('Journal'!B1104="","",'Journal'!B1104)</f>
        <v/>
      </c>
      <c r="C2205" s="5">
        <f>IF('Journal'!C1104="","",'Journal'!C1104)</f>
        <v/>
      </c>
      <c r="D2205" s="5">
        <f>IF('Journal'!D1104="","",IFERROR(LEFT('Journal'!D1104,FIND(" ",'Journal'!D1104)-1),'Journal'!D1104))</f>
        <v/>
      </c>
      <c r="E2205" s="5">
        <f>IF('Journal'!D1104="","",IFERROR(INDEX('Kontoplan'!$B$3:$B$302,MATCH('Journal'!D1104,'Kontoplan'!$H$3:$H$302,0)),""))</f>
        <v/>
      </c>
      <c r="F2205" s="20">
        <f>IF('Journal'!G1104="","",'Journal'!G1104)</f>
        <v/>
      </c>
      <c r="G2205" s="20">
        <f>IF('Journal'!F1104="","",'Journal'!F1104)</f>
        <v/>
      </c>
      <c r="H2205" s="5">
        <f>IF('Journal'!I1104="","",'Journal'!I1104)</f>
        <v/>
      </c>
    </row>
    <row r="2206">
      <c r="A2206" s="18">
        <f>IF('Journal'!A1104="","",'Journal'!A1104)</f>
        <v/>
      </c>
      <c r="B2206" s="21">
        <f>IF('Journal'!B1104="","",'Journal'!B1104)</f>
        <v/>
      </c>
      <c r="C2206" s="5">
        <f>IF('Journal'!C1104="","",'Journal'!C1104)</f>
        <v/>
      </c>
      <c r="D2206" s="5">
        <f>IF('Journal'!E1104="","",IFERROR(LEFT('Journal'!E1104,FIND(" ",'Journal'!E1104)-1),'Journal'!E1104))</f>
        <v/>
      </c>
      <c r="E2206" s="5">
        <f>IF('Journal'!E1104="","",IFERROR(INDEX('Kontoplan'!$B$3:$B$302,MATCH('Journal'!E1104,'Kontoplan'!$H$3:$H$302,0)),""))</f>
        <v/>
      </c>
      <c r="F2206" s="20">
        <f>IF('Journal'!F1104="","",'Journal'!F1104)</f>
        <v/>
      </c>
      <c r="G2206" s="20">
        <f>IF('Journal'!G1104="","",'Journal'!G1104)</f>
        <v/>
      </c>
      <c r="H2206" s="5">
        <f>IF('Journal'!I1104="","",'Journal'!I1104)</f>
        <v/>
      </c>
    </row>
    <row r="2207">
      <c r="A2207" s="18">
        <f>IF('Journal'!A1105="","",'Journal'!A1105)</f>
        <v/>
      </c>
      <c r="B2207" s="21">
        <f>IF('Journal'!B1105="","",'Journal'!B1105)</f>
        <v/>
      </c>
      <c r="C2207" s="5">
        <f>IF('Journal'!C1105="","",'Journal'!C1105)</f>
        <v/>
      </c>
      <c r="D2207" s="5">
        <f>IF('Journal'!D1105="","",IFERROR(LEFT('Journal'!D1105,FIND(" ",'Journal'!D1105)-1),'Journal'!D1105))</f>
        <v/>
      </c>
      <c r="E2207" s="5">
        <f>IF('Journal'!D1105="","",IFERROR(INDEX('Kontoplan'!$B$3:$B$302,MATCH('Journal'!D1105,'Kontoplan'!$H$3:$H$302,0)),""))</f>
        <v/>
      </c>
      <c r="F2207" s="20">
        <f>IF('Journal'!G1105="","",'Journal'!G1105)</f>
        <v/>
      </c>
      <c r="G2207" s="20">
        <f>IF('Journal'!F1105="","",'Journal'!F1105)</f>
        <v/>
      </c>
      <c r="H2207" s="5">
        <f>IF('Journal'!I1105="","",'Journal'!I1105)</f>
        <v/>
      </c>
    </row>
    <row r="2208">
      <c r="A2208" s="18">
        <f>IF('Journal'!A1105="","",'Journal'!A1105)</f>
        <v/>
      </c>
      <c r="B2208" s="21">
        <f>IF('Journal'!B1105="","",'Journal'!B1105)</f>
        <v/>
      </c>
      <c r="C2208" s="5">
        <f>IF('Journal'!C1105="","",'Journal'!C1105)</f>
        <v/>
      </c>
      <c r="D2208" s="5">
        <f>IF('Journal'!E1105="","",IFERROR(LEFT('Journal'!E1105,FIND(" ",'Journal'!E1105)-1),'Journal'!E1105))</f>
        <v/>
      </c>
      <c r="E2208" s="5">
        <f>IF('Journal'!E1105="","",IFERROR(INDEX('Kontoplan'!$B$3:$B$302,MATCH('Journal'!E1105,'Kontoplan'!$H$3:$H$302,0)),""))</f>
        <v/>
      </c>
      <c r="F2208" s="20">
        <f>IF('Journal'!F1105="","",'Journal'!F1105)</f>
        <v/>
      </c>
      <c r="G2208" s="20">
        <f>IF('Journal'!G1105="","",'Journal'!G1105)</f>
        <v/>
      </c>
      <c r="H2208" s="5">
        <f>IF('Journal'!I1105="","",'Journal'!I1105)</f>
        <v/>
      </c>
    </row>
    <row r="2209">
      <c r="A2209" s="18">
        <f>IF('Journal'!A1106="","",'Journal'!A1106)</f>
        <v/>
      </c>
      <c r="B2209" s="21">
        <f>IF('Journal'!B1106="","",'Journal'!B1106)</f>
        <v/>
      </c>
      <c r="C2209" s="5">
        <f>IF('Journal'!C1106="","",'Journal'!C1106)</f>
        <v/>
      </c>
      <c r="D2209" s="5">
        <f>IF('Journal'!D1106="","",IFERROR(LEFT('Journal'!D1106,FIND(" ",'Journal'!D1106)-1),'Journal'!D1106))</f>
        <v/>
      </c>
      <c r="E2209" s="5">
        <f>IF('Journal'!D1106="","",IFERROR(INDEX('Kontoplan'!$B$3:$B$302,MATCH('Journal'!D1106,'Kontoplan'!$H$3:$H$302,0)),""))</f>
        <v/>
      </c>
      <c r="F2209" s="20">
        <f>IF('Journal'!G1106="","",'Journal'!G1106)</f>
        <v/>
      </c>
      <c r="G2209" s="20">
        <f>IF('Journal'!F1106="","",'Journal'!F1106)</f>
        <v/>
      </c>
      <c r="H2209" s="5">
        <f>IF('Journal'!I1106="","",'Journal'!I1106)</f>
        <v/>
      </c>
    </row>
    <row r="2210">
      <c r="A2210" s="18">
        <f>IF('Journal'!A1106="","",'Journal'!A1106)</f>
        <v/>
      </c>
      <c r="B2210" s="21">
        <f>IF('Journal'!B1106="","",'Journal'!B1106)</f>
        <v/>
      </c>
      <c r="C2210" s="5">
        <f>IF('Journal'!C1106="","",'Journal'!C1106)</f>
        <v/>
      </c>
      <c r="D2210" s="5">
        <f>IF('Journal'!E1106="","",IFERROR(LEFT('Journal'!E1106,FIND(" ",'Journal'!E1106)-1),'Journal'!E1106))</f>
        <v/>
      </c>
      <c r="E2210" s="5">
        <f>IF('Journal'!E1106="","",IFERROR(INDEX('Kontoplan'!$B$3:$B$302,MATCH('Journal'!E1106,'Kontoplan'!$H$3:$H$302,0)),""))</f>
        <v/>
      </c>
      <c r="F2210" s="20">
        <f>IF('Journal'!F1106="","",'Journal'!F1106)</f>
        <v/>
      </c>
      <c r="G2210" s="20">
        <f>IF('Journal'!G1106="","",'Journal'!G1106)</f>
        <v/>
      </c>
      <c r="H2210" s="5">
        <f>IF('Journal'!I1106="","",'Journal'!I1106)</f>
        <v/>
      </c>
    </row>
    <row r="2211">
      <c r="A2211" s="18">
        <f>IF('Journal'!A1107="","",'Journal'!A1107)</f>
        <v/>
      </c>
      <c r="B2211" s="21">
        <f>IF('Journal'!B1107="","",'Journal'!B1107)</f>
        <v/>
      </c>
      <c r="C2211" s="5">
        <f>IF('Journal'!C1107="","",'Journal'!C1107)</f>
        <v/>
      </c>
      <c r="D2211" s="5">
        <f>IF('Journal'!D1107="","",IFERROR(LEFT('Journal'!D1107,FIND(" ",'Journal'!D1107)-1),'Journal'!D1107))</f>
        <v/>
      </c>
      <c r="E2211" s="5">
        <f>IF('Journal'!D1107="","",IFERROR(INDEX('Kontoplan'!$B$3:$B$302,MATCH('Journal'!D1107,'Kontoplan'!$H$3:$H$302,0)),""))</f>
        <v/>
      </c>
      <c r="F2211" s="20">
        <f>IF('Journal'!G1107="","",'Journal'!G1107)</f>
        <v/>
      </c>
      <c r="G2211" s="20">
        <f>IF('Journal'!F1107="","",'Journal'!F1107)</f>
        <v/>
      </c>
      <c r="H2211" s="5">
        <f>IF('Journal'!I1107="","",'Journal'!I1107)</f>
        <v/>
      </c>
    </row>
    <row r="2212">
      <c r="A2212" s="18">
        <f>IF('Journal'!A1107="","",'Journal'!A1107)</f>
        <v/>
      </c>
      <c r="B2212" s="21">
        <f>IF('Journal'!B1107="","",'Journal'!B1107)</f>
        <v/>
      </c>
      <c r="C2212" s="5">
        <f>IF('Journal'!C1107="","",'Journal'!C1107)</f>
        <v/>
      </c>
      <c r="D2212" s="5">
        <f>IF('Journal'!E1107="","",IFERROR(LEFT('Journal'!E1107,FIND(" ",'Journal'!E1107)-1),'Journal'!E1107))</f>
        <v/>
      </c>
      <c r="E2212" s="5">
        <f>IF('Journal'!E1107="","",IFERROR(INDEX('Kontoplan'!$B$3:$B$302,MATCH('Journal'!E1107,'Kontoplan'!$H$3:$H$302,0)),""))</f>
        <v/>
      </c>
      <c r="F2212" s="20">
        <f>IF('Journal'!F1107="","",'Journal'!F1107)</f>
        <v/>
      </c>
      <c r="G2212" s="20">
        <f>IF('Journal'!G1107="","",'Journal'!G1107)</f>
        <v/>
      </c>
      <c r="H2212" s="5">
        <f>IF('Journal'!I1107="","",'Journal'!I1107)</f>
        <v/>
      </c>
    </row>
    <row r="2213">
      <c r="A2213" s="18">
        <f>IF('Journal'!A1108="","",'Journal'!A1108)</f>
        <v/>
      </c>
      <c r="B2213" s="21">
        <f>IF('Journal'!B1108="","",'Journal'!B1108)</f>
        <v/>
      </c>
      <c r="C2213" s="5">
        <f>IF('Journal'!C1108="","",'Journal'!C1108)</f>
        <v/>
      </c>
      <c r="D2213" s="5">
        <f>IF('Journal'!D1108="","",IFERROR(LEFT('Journal'!D1108,FIND(" ",'Journal'!D1108)-1),'Journal'!D1108))</f>
        <v/>
      </c>
      <c r="E2213" s="5">
        <f>IF('Journal'!D1108="","",IFERROR(INDEX('Kontoplan'!$B$3:$B$302,MATCH('Journal'!D1108,'Kontoplan'!$H$3:$H$302,0)),""))</f>
        <v/>
      </c>
      <c r="F2213" s="20">
        <f>IF('Journal'!G1108="","",'Journal'!G1108)</f>
        <v/>
      </c>
      <c r="G2213" s="20">
        <f>IF('Journal'!F1108="","",'Journal'!F1108)</f>
        <v/>
      </c>
      <c r="H2213" s="5">
        <f>IF('Journal'!I1108="","",'Journal'!I1108)</f>
        <v/>
      </c>
    </row>
    <row r="2214">
      <c r="A2214" s="18">
        <f>IF('Journal'!A1108="","",'Journal'!A1108)</f>
        <v/>
      </c>
      <c r="B2214" s="21">
        <f>IF('Journal'!B1108="","",'Journal'!B1108)</f>
        <v/>
      </c>
      <c r="C2214" s="5">
        <f>IF('Journal'!C1108="","",'Journal'!C1108)</f>
        <v/>
      </c>
      <c r="D2214" s="5">
        <f>IF('Journal'!E1108="","",IFERROR(LEFT('Journal'!E1108,FIND(" ",'Journal'!E1108)-1),'Journal'!E1108))</f>
        <v/>
      </c>
      <c r="E2214" s="5">
        <f>IF('Journal'!E1108="","",IFERROR(INDEX('Kontoplan'!$B$3:$B$302,MATCH('Journal'!E1108,'Kontoplan'!$H$3:$H$302,0)),""))</f>
        <v/>
      </c>
      <c r="F2214" s="20">
        <f>IF('Journal'!F1108="","",'Journal'!F1108)</f>
        <v/>
      </c>
      <c r="G2214" s="20">
        <f>IF('Journal'!G1108="","",'Journal'!G1108)</f>
        <v/>
      </c>
      <c r="H2214" s="5">
        <f>IF('Journal'!I1108="","",'Journal'!I1108)</f>
        <v/>
      </c>
    </row>
    <row r="2215">
      <c r="A2215" s="18">
        <f>IF('Journal'!A1109="","",'Journal'!A1109)</f>
        <v/>
      </c>
      <c r="B2215" s="21">
        <f>IF('Journal'!B1109="","",'Journal'!B1109)</f>
        <v/>
      </c>
      <c r="C2215" s="5">
        <f>IF('Journal'!C1109="","",'Journal'!C1109)</f>
        <v/>
      </c>
      <c r="D2215" s="5">
        <f>IF('Journal'!D1109="","",IFERROR(LEFT('Journal'!D1109,FIND(" ",'Journal'!D1109)-1),'Journal'!D1109))</f>
        <v/>
      </c>
      <c r="E2215" s="5">
        <f>IF('Journal'!D1109="","",IFERROR(INDEX('Kontoplan'!$B$3:$B$302,MATCH('Journal'!D1109,'Kontoplan'!$H$3:$H$302,0)),""))</f>
        <v/>
      </c>
      <c r="F2215" s="20">
        <f>IF('Journal'!G1109="","",'Journal'!G1109)</f>
        <v/>
      </c>
      <c r="G2215" s="20">
        <f>IF('Journal'!F1109="","",'Journal'!F1109)</f>
        <v/>
      </c>
      <c r="H2215" s="5">
        <f>IF('Journal'!I1109="","",'Journal'!I1109)</f>
        <v/>
      </c>
    </row>
    <row r="2216">
      <c r="A2216" s="18">
        <f>IF('Journal'!A1109="","",'Journal'!A1109)</f>
        <v/>
      </c>
      <c r="B2216" s="21">
        <f>IF('Journal'!B1109="","",'Journal'!B1109)</f>
        <v/>
      </c>
      <c r="C2216" s="5">
        <f>IF('Journal'!C1109="","",'Journal'!C1109)</f>
        <v/>
      </c>
      <c r="D2216" s="5">
        <f>IF('Journal'!E1109="","",IFERROR(LEFT('Journal'!E1109,FIND(" ",'Journal'!E1109)-1),'Journal'!E1109))</f>
        <v/>
      </c>
      <c r="E2216" s="5">
        <f>IF('Journal'!E1109="","",IFERROR(INDEX('Kontoplan'!$B$3:$B$302,MATCH('Journal'!E1109,'Kontoplan'!$H$3:$H$302,0)),""))</f>
        <v/>
      </c>
      <c r="F2216" s="20">
        <f>IF('Journal'!F1109="","",'Journal'!F1109)</f>
        <v/>
      </c>
      <c r="G2216" s="20">
        <f>IF('Journal'!G1109="","",'Journal'!G1109)</f>
        <v/>
      </c>
      <c r="H2216" s="5">
        <f>IF('Journal'!I1109="","",'Journal'!I1109)</f>
        <v/>
      </c>
    </row>
    <row r="2217">
      <c r="A2217" s="18">
        <f>IF('Journal'!A1110="","",'Journal'!A1110)</f>
        <v/>
      </c>
      <c r="B2217" s="21">
        <f>IF('Journal'!B1110="","",'Journal'!B1110)</f>
        <v/>
      </c>
      <c r="C2217" s="5">
        <f>IF('Journal'!C1110="","",'Journal'!C1110)</f>
        <v/>
      </c>
      <c r="D2217" s="5">
        <f>IF('Journal'!D1110="","",IFERROR(LEFT('Journal'!D1110,FIND(" ",'Journal'!D1110)-1),'Journal'!D1110))</f>
        <v/>
      </c>
      <c r="E2217" s="5">
        <f>IF('Journal'!D1110="","",IFERROR(INDEX('Kontoplan'!$B$3:$B$302,MATCH('Journal'!D1110,'Kontoplan'!$H$3:$H$302,0)),""))</f>
        <v/>
      </c>
      <c r="F2217" s="20">
        <f>IF('Journal'!G1110="","",'Journal'!G1110)</f>
        <v/>
      </c>
      <c r="G2217" s="20">
        <f>IF('Journal'!F1110="","",'Journal'!F1110)</f>
        <v/>
      </c>
      <c r="H2217" s="5">
        <f>IF('Journal'!I1110="","",'Journal'!I1110)</f>
        <v/>
      </c>
    </row>
    <row r="2218">
      <c r="A2218" s="18">
        <f>IF('Journal'!A1110="","",'Journal'!A1110)</f>
        <v/>
      </c>
      <c r="B2218" s="21">
        <f>IF('Journal'!B1110="","",'Journal'!B1110)</f>
        <v/>
      </c>
      <c r="C2218" s="5">
        <f>IF('Journal'!C1110="","",'Journal'!C1110)</f>
        <v/>
      </c>
      <c r="D2218" s="5">
        <f>IF('Journal'!E1110="","",IFERROR(LEFT('Journal'!E1110,FIND(" ",'Journal'!E1110)-1),'Journal'!E1110))</f>
        <v/>
      </c>
      <c r="E2218" s="5">
        <f>IF('Journal'!E1110="","",IFERROR(INDEX('Kontoplan'!$B$3:$B$302,MATCH('Journal'!E1110,'Kontoplan'!$H$3:$H$302,0)),""))</f>
        <v/>
      </c>
      <c r="F2218" s="20">
        <f>IF('Journal'!F1110="","",'Journal'!F1110)</f>
        <v/>
      </c>
      <c r="G2218" s="20">
        <f>IF('Journal'!G1110="","",'Journal'!G1110)</f>
        <v/>
      </c>
      <c r="H2218" s="5">
        <f>IF('Journal'!I1110="","",'Journal'!I1110)</f>
        <v/>
      </c>
    </row>
    <row r="2219">
      <c r="A2219" s="18">
        <f>IF('Journal'!A1111="","",'Journal'!A1111)</f>
        <v/>
      </c>
      <c r="B2219" s="21">
        <f>IF('Journal'!B1111="","",'Journal'!B1111)</f>
        <v/>
      </c>
      <c r="C2219" s="5">
        <f>IF('Journal'!C1111="","",'Journal'!C1111)</f>
        <v/>
      </c>
      <c r="D2219" s="5">
        <f>IF('Journal'!D1111="","",IFERROR(LEFT('Journal'!D1111,FIND(" ",'Journal'!D1111)-1),'Journal'!D1111))</f>
        <v/>
      </c>
      <c r="E2219" s="5">
        <f>IF('Journal'!D1111="","",IFERROR(INDEX('Kontoplan'!$B$3:$B$302,MATCH('Journal'!D1111,'Kontoplan'!$H$3:$H$302,0)),""))</f>
        <v/>
      </c>
      <c r="F2219" s="20">
        <f>IF('Journal'!G1111="","",'Journal'!G1111)</f>
        <v/>
      </c>
      <c r="G2219" s="20">
        <f>IF('Journal'!F1111="","",'Journal'!F1111)</f>
        <v/>
      </c>
      <c r="H2219" s="5">
        <f>IF('Journal'!I1111="","",'Journal'!I1111)</f>
        <v/>
      </c>
    </row>
    <row r="2220">
      <c r="A2220" s="18">
        <f>IF('Journal'!A1111="","",'Journal'!A1111)</f>
        <v/>
      </c>
      <c r="B2220" s="21">
        <f>IF('Journal'!B1111="","",'Journal'!B1111)</f>
        <v/>
      </c>
      <c r="C2220" s="5">
        <f>IF('Journal'!C1111="","",'Journal'!C1111)</f>
        <v/>
      </c>
      <c r="D2220" s="5">
        <f>IF('Journal'!E1111="","",IFERROR(LEFT('Journal'!E1111,FIND(" ",'Journal'!E1111)-1),'Journal'!E1111))</f>
        <v/>
      </c>
      <c r="E2220" s="5">
        <f>IF('Journal'!E1111="","",IFERROR(INDEX('Kontoplan'!$B$3:$B$302,MATCH('Journal'!E1111,'Kontoplan'!$H$3:$H$302,0)),""))</f>
        <v/>
      </c>
      <c r="F2220" s="20">
        <f>IF('Journal'!F1111="","",'Journal'!F1111)</f>
        <v/>
      </c>
      <c r="G2220" s="20">
        <f>IF('Journal'!G1111="","",'Journal'!G1111)</f>
        <v/>
      </c>
      <c r="H2220" s="5">
        <f>IF('Journal'!I1111="","",'Journal'!I1111)</f>
        <v/>
      </c>
    </row>
    <row r="2221">
      <c r="A2221" s="18">
        <f>IF('Journal'!A1112="","",'Journal'!A1112)</f>
        <v/>
      </c>
      <c r="B2221" s="21">
        <f>IF('Journal'!B1112="","",'Journal'!B1112)</f>
        <v/>
      </c>
      <c r="C2221" s="5">
        <f>IF('Journal'!C1112="","",'Journal'!C1112)</f>
        <v/>
      </c>
      <c r="D2221" s="5">
        <f>IF('Journal'!D1112="","",IFERROR(LEFT('Journal'!D1112,FIND(" ",'Journal'!D1112)-1),'Journal'!D1112))</f>
        <v/>
      </c>
      <c r="E2221" s="5">
        <f>IF('Journal'!D1112="","",IFERROR(INDEX('Kontoplan'!$B$3:$B$302,MATCH('Journal'!D1112,'Kontoplan'!$H$3:$H$302,0)),""))</f>
        <v/>
      </c>
      <c r="F2221" s="20">
        <f>IF('Journal'!G1112="","",'Journal'!G1112)</f>
        <v/>
      </c>
      <c r="G2221" s="20">
        <f>IF('Journal'!F1112="","",'Journal'!F1112)</f>
        <v/>
      </c>
      <c r="H2221" s="5">
        <f>IF('Journal'!I1112="","",'Journal'!I1112)</f>
        <v/>
      </c>
    </row>
    <row r="2222">
      <c r="A2222" s="18">
        <f>IF('Journal'!A1112="","",'Journal'!A1112)</f>
        <v/>
      </c>
      <c r="B2222" s="21">
        <f>IF('Journal'!B1112="","",'Journal'!B1112)</f>
        <v/>
      </c>
      <c r="C2222" s="5">
        <f>IF('Journal'!C1112="","",'Journal'!C1112)</f>
        <v/>
      </c>
      <c r="D2222" s="5">
        <f>IF('Journal'!E1112="","",IFERROR(LEFT('Journal'!E1112,FIND(" ",'Journal'!E1112)-1),'Journal'!E1112))</f>
        <v/>
      </c>
      <c r="E2222" s="5">
        <f>IF('Journal'!E1112="","",IFERROR(INDEX('Kontoplan'!$B$3:$B$302,MATCH('Journal'!E1112,'Kontoplan'!$H$3:$H$302,0)),""))</f>
        <v/>
      </c>
      <c r="F2222" s="20">
        <f>IF('Journal'!F1112="","",'Journal'!F1112)</f>
        <v/>
      </c>
      <c r="G2222" s="20">
        <f>IF('Journal'!G1112="","",'Journal'!G1112)</f>
        <v/>
      </c>
      <c r="H2222" s="5">
        <f>IF('Journal'!I1112="","",'Journal'!I1112)</f>
        <v/>
      </c>
    </row>
    <row r="2223">
      <c r="A2223" s="18">
        <f>IF('Journal'!A1113="","",'Journal'!A1113)</f>
        <v/>
      </c>
      <c r="B2223" s="21">
        <f>IF('Journal'!B1113="","",'Journal'!B1113)</f>
        <v/>
      </c>
      <c r="C2223" s="5">
        <f>IF('Journal'!C1113="","",'Journal'!C1113)</f>
        <v/>
      </c>
      <c r="D2223" s="5">
        <f>IF('Journal'!D1113="","",IFERROR(LEFT('Journal'!D1113,FIND(" ",'Journal'!D1113)-1),'Journal'!D1113))</f>
        <v/>
      </c>
      <c r="E2223" s="5">
        <f>IF('Journal'!D1113="","",IFERROR(INDEX('Kontoplan'!$B$3:$B$302,MATCH('Journal'!D1113,'Kontoplan'!$H$3:$H$302,0)),""))</f>
        <v/>
      </c>
      <c r="F2223" s="20">
        <f>IF('Journal'!G1113="","",'Journal'!G1113)</f>
        <v/>
      </c>
      <c r="G2223" s="20">
        <f>IF('Journal'!F1113="","",'Journal'!F1113)</f>
        <v/>
      </c>
      <c r="H2223" s="5">
        <f>IF('Journal'!I1113="","",'Journal'!I1113)</f>
        <v/>
      </c>
    </row>
    <row r="2224">
      <c r="A2224" s="18">
        <f>IF('Journal'!A1113="","",'Journal'!A1113)</f>
        <v/>
      </c>
      <c r="B2224" s="21">
        <f>IF('Journal'!B1113="","",'Journal'!B1113)</f>
        <v/>
      </c>
      <c r="C2224" s="5">
        <f>IF('Journal'!C1113="","",'Journal'!C1113)</f>
        <v/>
      </c>
      <c r="D2224" s="5">
        <f>IF('Journal'!E1113="","",IFERROR(LEFT('Journal'!E1113,FIND(" ",'Journal'!E1113)-1),'Journal'!E1113))</f>
        <v/>
      </c>
      <c r="E2224" s="5">
        <f>IF('Journal'!E1113="","",IFERROR(INDEX('Kontoplan'!$B$3:$B$302,MATCH('Journal'!E1113,'Kontoplan'!$H$3:$H$302,0)),""))</f>
        <v/>
      </c>
      <c r="F2224" s="20">
        <f>IF('Journal'!F1113="","",'Journal'!F1113)</f>
        <v/>
      </c>
      <c r="G2224" s="20">
        <f>IF('Journal'!G1113="","",'Journal'!G1113)</f>
        <v/>
      </c>
      <c r="H2224" s="5">
        <f>IF('Journal'!I1113="","",'Journal'!I1113)</f>
        <v/>
      </c>
    </row>
    <row r="2225">
      <c r="A2225" s="18">
        <f>IF('Journal'!A1114="","",'Journal'!A1114)</f>
        <v/>
      </c>
      <c r="B2225" s="21">
        <f>IF('Journal'!B1114="","",'Journal'!B1114)</f>
        <v/>
      </c>
      <c r="C2225" s="5">
        <f>IF('Journal'!C1114="","",'Journal'!C1114)</f>
        <v/>
      </c>
      <c r="D2225" s="5">
        <f>IF('Journal'!D1114="","",IFERROR(LEFT('Journal'!D1114,FIND(" ",'Journal'!D1114)-1),'Journal'!D1114))</f>
        <v/>
      </c>
      <c r="E2225" s="5">
        <f>IF('Journal'!D1114="","",IFERROR(INDEX('Kontoplan'!$B$3:$B$302,MATCH('Journal'!D1114,'Kontoplan'!$H$3:$H$302,0)),""))</f>
        <v/>
      </c>
      <c r="F2225" s="20">
        <f>IF('Journal'!G1114="","",'Journal'!G1114)</f>
        <v/>
      </c>
      <c r="G2225" s="20">
        <f>IF('Journal'!F1114="","",'Journal'!F1114)</f>
        <v/>
      </c>
      <c r="H2225" s="5">
        <f>IF('Journal'!I1114="","",'Journal'!I1114)</f>
        <v/>
      </c>
    </row>
    <row r="2226">
      <c r="A2226" s="18">
        <f>IF('Journal'!A1114="","",'Journal'!A1114)</f>
        <v/>
      </c>
      <c r="B2226" s="21">
        <f>IF('Journal'!B1114="","",'Journal'!B1114)</f>
        <v/>
      </c>
      <c r="C2226" s="5">
        <f>IF('Journal'!C1114="","",'Journal'!C1114)</f>
        <v/>
      </c>
      <c r="D2226" s="5">
        <f>IF('Journal'!E1114="","",IFERROR(LEFT('Journal'!E1114,FIND(" ",'Journal'!E1114)-1),'Journal'!E1114))</f>
        <v/>
      </c>
      <c r="E2226" s="5">
        <f>IF('Journal'!E1114="","",IFERROR(INDEX('Kontoplan'!$B$3:$B$302,MATCH('Journal'!E1114,'Kontoplan'!$H$3:$H$302,0)),""))</f>
        <v/>
      </c>
      <c r="F2226" s="20">
        <f>IF('Journal'!F1114="","",'Journal'!F1114)</f>
        <v/>
      </c>
      <c r="G2226" s="20">
        <f>IF('Journal'!G1114="","",'Journal'!G1114)</f>
        <v/>
      </c>
      <c r="H2226" s="5">
        <f>IF('Journal'!I1114="","",'Journal'!I1114)</f>
        <v/>
      </c>
    </row>
    <row r="2227">
      <c r="A2227" s="18">
        <f>IF('Journal'!A1115="","",'Journal'!A1115)</f>
        <v/>
      </c>
      <c r="B2227" s="21">
        <f>IF('Journal'!B1115="","",'Journal'!B1115)</f>
        <v/>
      </c>
      <c r="C2227" s="5">
        <f>IF('Journal'!C1115="","",'Journal'!C1115)</f>
        <v/>
      </c>
      <c r="D2227" s="5">
        <f>IF('Journal'!D1115="","",IFERROR(LEFT('Journal'!D1115,FIND(" ",'Journal'!D1115)-1),'Journal'!D1115))</f>
        <v/>
      </c>
      <c r="E2227" s="5">
        <f>IF('Journal'!D1115="","",IFERROR(INDEX('Kontoplan'!$B$3:$B$302,MATCH('Journal'!D1115,'Kontoplan'!$H$3:$H$302,0)),""))</f>
        <v/>
      </c>
      <c r="F2227" s="20">
        <f>IF('Journal'!G1115="","",'Journal'!G1115)</f>
        <v/>
      </c>
      <c r="G2227" s="20">
        <f>IF('Journal'!F1115="","",'Journal'!F1115)</f>
        <v/>
      </c>
      <c r="H2227" s="5">
        <f>IF('Journal'!I1115="","",'Journal'!I1115)</f>
        <v/>
      </c>
    </row>
    <row r="2228">
      <c r="A2228" s="18">
        <f>IF('Journal'!A1115="","",'Journal'!A1115)</f>
        <v/>
      </c>
      <c r="B2228" s="21">
        <f>IF('Journal'!B1115="","",'Journal'!B1115)</f>
        <v/>
      </c>
      <c r="C2228" s="5">
        <f>IF('Journal'!C1115="","",'Journal'!C1115)</f>
        <v/>
      </c>
      <c r="D2228" s="5">
        <f>IF('Journal'!E1115="","",IFERROR(LEFT('Journal'!E1115,FIND(" ",'Journal'!E1115)-1),'Journal'!E1115))</f>
        <v/>
      </c>
      <c r="E2228" s="5">
        <f>IF('Journal'!E1115="","",IFERROR(INDEX('Kontoplan'!$B$3:$B$302,MATCH('Journal'!E1115,'Kontoplan'!$H$3:$H$302,0)),""))</f>
        <v/>
      </c>
      <c r="F2228" s="20">
        <f>IF('Journal'!F1115="","",'Journal'!F1115)</f>
        <v/>
      </c>
      <c r="G2228" s="20">
        <f>IF('Journal'!G1115="","",'Journal'!G1115)</f>
        <v/>
      </c>
      <c r="H2228" s="5">
        <f>IF('Journal'!I1115="","",'Journal'!I1115)</f>
        <v/>
      </c>
    </row>
    <row r="2229">
      <c r="A2229" s="18">
        <f>IF('Journal'!A1116="","",'Journal'!A1116)</f>
        <v/>
      </c>
      <c r="B2229" s="21">
        <f>IF('Journal'!B1116="","",'Journal'!B1116)</f>
        <v/>
      </c>
      <c r="C2229" s="5">
        <f>IF('Journal'!C1116="","",'Journal'!C1116)</f>
        <v/>
      </c>
      <c r="D2229" s="5">
        <f>IF('Journal'!D1116="","",IFERROR(LEFT('Journal'!D1116,FIND(" ",'Journal'!D1116)-1),'Journal'!D1116))</f>
        <v/>
      </c>
      <c r="E2229" s="5">
        <f>IF('Journal'!D1116="","",IFERROR(INDEX('Kontoplan'!$B$3:$B$302,MATCH('Journal'!D1116,'Kontoplan'!$H$3:$H$302,0)),""))</f>
        <v/>
      </c>
      <c r="F2229" s="20">
        <f>IF('Journal'!G1116="","",'Journal'!G1116)</f>
        <v/>
      </c>
      <c r="G2229" s="20">
        <f>IF('Journal'!F1116="","",'Journal'!F1116)</f>
        <v/>
      </c>
      <c r="H2229" s="5">
        <f>IF('Journal'!I1116="","",'Journal'!I1116)</f>
        <v/>
      </c>
    </row>
    <row r="2230">
      <c r="A2230" s="18">
        <f>IF('Journal'!A1116="","",'Journal'!A1116)</f>
        <v/>
      </c>
      <c r="B2230" s="21">
        <f>IF('Journal'!B1116="","",'Journal'!B1116)</f>
        <v/>
      </c>
      <c r="C2230" s="5">
        <f>IF('Journal'!C1116="","",'Journal'!C1116)</f>
        <v/>
      </c>
      <c r="D2230" s="5">
        <f>IF('Journal'!E1116="","",IFERROR(LEFT('Journal'!E1116,FIND(" ",'Journal'!E1116)-1),'Journal'!E1116))</f>
        <v/>
      </c>
      <c r="E2230" s="5">
        <f>IF('Journal'!E1116="","",IFERROR(INDEX('Kontoplan'!$B$3:$B$302,MATCH('Journal'!E1116,'Kontoplan'!$H$3:$H$302,0)),""))</f>
        <v/>
      </c>
      <c r="F2230" s="20">
        <f>IF('Journal'!F1116="","",'Journal'!F1116)</f>
        <v/>
      </c>
      <c r="G2230" s="20">
        <f>IF('Journal'!G1116="","",'Journal'!G1116)</f>
        <v/>
      </c>
      <c r="H2230" s="5">
        <f>IF('Journal'!I1116="","",'Journal'!I1116)</f>
        <v/>
      </c>
    </row>
    <row r="2231">
      <c r="A2231" s="18">
        <f>IF('Journal'!A1117="","",'Journal'!A1117)</f>
        <v/>
      </c>
      <c r="B2231" s="21">
        <f>IF('Journal'!B1117="","",'Journal'!B1117)</f>
        <v/>
      </c>
      <c r="C2231" s="5">
        <f>IF('Journal'!C1117="","",'Journal'!C1117)</f>
        <v/>
      </c>
      <c r="D2231" s="5">
        <f>IF('Journal'!D1117="","",IFERROR(LEFT('Journal'!D1117,FIND(" ",'Journal'!D1117)-1),'Journal'!D1117))</f>
        <v/>
      </c>
      <c r="E2231" s="5">
        <f>IF('Journal'!D1117="","",IFERROR(INDEX('Kontoplan'!$B$3:$B$302,MATCH('Journal'!D1117,'Kontoplan'!$H$3:$H$302,0)),""))</f>
        <v/>
      </c>
      <c r="F2231" s="20">
        <f>IF('Journal'!G1117="","",'Journal'!G1117)</f>
        <v/>
      </c>
      <c r="G2231" s="20">
        <f>IF('Journal'!F1117="","",'Journal'!F1117)</f>
        <v/>
      </c>
      <c r="H2231" s="5">
        <f>IF('Journal'!I1117="","",'Journal'!I1117)</f>
        <v/>
      </c>
    </row>
    <row r="2232">
      <c r="A2232" s="18">
        <f>IF('Journal'!A1117="","",'Journal'!A1117)</f>
        <v/>
      </c>
      <c r="B2232" s="21">
        <f>IF('Journal'!B1117="","",'Journal'!B1117)</f>
        <v/>
      </c>
      <c r="C2232" s="5">
        <f>IF('Journal'!C1117="","",'Journal'!C1117)</f>
        <v/>
      </c>
      <c r="D2232" s="5">
        <f>IF('Journal'!E1117="","",IFERROR(LEFT('Journal'!E1117,FIND(" ",'Journal'!E1117)-1),'Journal'!E1117))</f>
        <v/>
      </c>
      <c r="E2232" s="5">
        <f>IF('Journal'!E1117="","",IFERROR(INDEX('Kontoplan'!$B$3:$B$302,MATCH('Journal'!E1117,'Kontoplan'!$H$3:$H$302,0)),""))</f>
        <v/>
      </c>
      <c r="F2232" s="20">
        <f>IF('Journal'!F1117="","",'Journal'!F1117)</f>
        <v/>
      </c>
      <c r="G2232" s="20">
        <f>IF('Journal'!G1117="","",'Journal'!G1117)</f>
        <v/>
      </c>
      <c r="H2232" s="5">
        <f>IF('Journal'!I1117="","",'Journal'!I1117)</f>
        <v/>
      </c>
    </row>
    <row r="2233">
      <c r="A2233" s="18">
        <f>IF('Journal'!A1118="","",'Journal'!A1118)</f>
        <v/>
      </c>
      <c r="B2233" s="21">
        <f>IF('Journal'!B1118="","",'Journal'!B1118)</f>
        <v/>
      </c>
      <c r="C2233" s="5">
        <f>IF('Journal'!C1118="","",'Journal'!C1118)</f>
        <v/>
      </c>
      <c r="D2233" s="5">
        <f>IF('Journal'!D1118="","",IFERROR(LEFT('Journal'!D1118,FIND(" ",'Journal'!D1118)-1),'Journal'!D1118))</f>
        <v/>
      </c>
      <c r="E2233" s="5">
        <f>IF('Journal'!D1118="","",IFERROR(INDEX('Kontoplan'!$B$3:$B$302,MATCH('Journal'!D1118,'Kontoplan'!$H$3:$H$302,0)),""))</f>
        <v/>
      </c>
      <c r="F2233" s="20">
        <f>IF('Journal'!G1118="","",'Journal'!G1118)</f>
        <v/>
      </c>
      <c r="G2233" s="20">
        <f>IF('Journal'!F1118="","",'Journal'!F1118)</f>
        <v/>
      </c>
      <c r="H2233" s="5">
        <f>IF('Journal'!I1118="","",'Journal'!I1118)</f>
        <v/>
      </c>
    </row>
    <row r="2234">
      <c r="A2234" s="18">
        <f>IF('Journal'!A1118="","",'Journal'!A1118)</f>
        <v/>
      </c>
      <c r="B2234" s="21">
        <f>IF('Journal'!B1118="","",'Journal'!B1118)</f>
        <v/>
      </c>
      <c r="C2234" s="5">
        <f>IF('Journal'!C1118="","",'Journal'!C1118)</f>
        <v/>
      </c>
      <c r="D2234" s="5">
        <f>IF('Journal'!E1118="","",IFERROR(LEFT('Journal'!E1118,FIND(" ",'Journal'!E1118)-1),'Journal'!E1118))</f>
        <v/>
      </c>
      <c r="E2234" s="5">
        <f>IF('Journal'!E1118="","",IFERROR(INDEX('Kontoplan'!$B$3:$B$302,MATCH('Journal'!E1118,'Kontoplan'!$H$3:$H$302,0)),""))</f>
        <v/>
      </c>
      <c r="F2234" s="20">
        <f>IF('Journal'!F1118="","",'Journal'!F1118)</f>
        <v/>
      </c>
      <c r="G2234" s="20">
        <f>IF('Journal'!G1118="","",'Journal'!G1118)</f>
        <v/>
      </c>
      <c r="H2234" s="5">
        <f>IF('Journal'!I1118="","",'Journal'!I1118)</f>
        <v/>
      </c>
    </row>
    <row r="2235">
      <c r="A2235" s="18">
        <f>IF('Journal'!A1119="","",'Journal'!A1119)</f>
        <v/>
      </c>
      <c r="B2235" s="21">
        <f>IF('Journal'!B1119="","",'Journal'!B1119)</f>
        <v/>
      </c>
      <c r="C2235" s="5">
        <f>IF('Journal'!C1119="","",'Journal'!C1119)</f>
        <v/>
      </c>
      <c r="D2235" s="5">
        <f>IF('Journal'!D1119="","",IFERROR(LEFT('Journal'!D1119,FIND(" ",'Journal'!D1119)-1),'Journal'!D1119))</f>
        <v/>
      </c>
      <c r="E2235" s="5">
        <f>IF('Journal'!D1119="","",IFERROR(INDEX('Kontoplan'!$B$3:$B$302,MATCH('Journal'!D1119,'Kontoplan'!$H$3:$H$302,0)),""))</f>
        <v/>
      </c>
      <c r="F2235" s="20">
        <f>IF('Journal'!G1119="","",'Journal'!G1119)</f>
        <v/>
      </c>
      <c r="G2235" s="20">
        <f>IF('Journal'!F1119="","",'Journal'!F1119)</f>
        <v/>
      </c>
      <c r="H2235" s="5">
        <f>IF('Journal'!I1119="","",'Journal'!I1119)</f>
        <v/>
      </c>
    </row>
    <row r="2236">
      <c r="A2236" s="18">
        <f>IF('Journal'!A1119="","",'Journal'!A1119)</f>
        <v/>
      </c>
      <c r="B2236" s="21">
        <f>IF('Journal'!B1119="","",'Journal'!B1119)</f>
        <v/>
      </c>
      <c r="C2236" s="5">
        <f>IF('Journal'!C1119="","",'Journal'!C1119)</f>
        <v/>
      </c>
      <c r="D2236" s="5">
        <f>IF('Journal'!E1119="","",IFERROR(LEFT('Journal'!E1119,FIND(" ",'Journal'!E1119)-1),'Journal'!E1119))</f>
        <v/>
      </c>
      <c r="E2236" s="5">
        <f>IF('Journal'!E1119="","",IFERROR(INDEX('Kontoplan'!$B$3:$B$302,MATCH('Journal'!E1119,'Kontoplan'!$H$3:$H$302,0)),""))</f>
        <v/>
      </c>
      <c r="F2236" s="20">
        <f>IF('Journal'!F1119="","",'Journal'!F1119)</f>
        <v/>
      </c>
      <c r="G2236" s="20">
        <f>IF('Journal'!G1119="","",'Journal'!G1119)</f>
        <v/>
      </c>
      <c r="H2236" s="5">
        <f>IF('Journal'!I1119="","",'Journal'!I1119)</f>
        <v/>
      </c>
    </row>
    <row r="2237">
      <c r="A2237" s="18">
        <f>IF('Journal'!A1120="","",'Journal'!A1120)</f>
        <v/>
      </c>
      <c r="B2237" s="21">
        <f>IF('Journal'!B1120="","",'Journal'!B1120)</f>
        <v/>
      </c>
      <c r="C2237" s="5">
        <f>IF('Journal'!C1120="","",'Journal'!C1120)</f>
        <v/>
      </c>
      <c r="D2237" s="5">
        <f>IF('Journal'!D1120="","",IFERROR(LEFT('Journal'!D1120,FIND(" ",'Journal'!D1120)-1),'Journal'!D1120))</f>
        <v/>
      </c>
      <c r="E2237" s="5">
        <f>IF('Journal'!D1120="","",IFERROR(INDEX('Kontoplan'!$B$3:$B$302,MATCH('Journal'!D1120,'Kontoplan'!$H$3:$H$302,0)),""))</f>
        <v/>
      </c>
      <c r="F2237" s="20">
        <f>IF('Journal'!G1120="","",'Journal'!G1120)</f>
        <v/>
      </c>
      <c r="G2237" s="20">
        <f>IF('Journal'!F1120="","",'Journal'!F1120)</f>
        <v/>
      </c>
      <c r="H2237" s="5">
        <f>IF('Journal'!I1120="","",'Journal'!I1120)</f>
        <v/>
      </c>
    </row>
    <row r="2238">
      <c r="A2238" s="18">
        <f>IF('Journal'!A1120="","",'Journal'!A1120)</f>
        <v/>
      </c>
      <c r="B2238" s="21">
        <f>IF('Journal'!B1120="","",'Journal'!B1120)</f>
        <v/>
      </c>
      <c r="C2238" s="5">
        <f>IF('Journal'!C1120="","",'Journal'!C1120)</f>
        <v/>
      </c>
      <c r="D2238" s="5">
        <f>IF('Journal'!E1120="","",IFERROR(LEFT('Journal'!E1120,FIND(" ",'Journal'!E1120)-1),'Journal'!E1120))</f>
        <v/>
      </c>
      <c r="E2238" s="5">
        <f>IF('Journal'!E1120="","",IFERROR(INDEX('Kontoplan'!$B$3:$B$302,MATCH('Journal'!E1120,'Kontoplan'!$H$3:$H$302,0)),""))</f>
        <v/>
      </c>
      <c r="F2238" s="20">
        <f>IF('Journal'!F1120="","",'Journal'!F1120)</f>
        <v/>
      </c>
      <c r="G2238" s="20">
        <f>IF('Journal'!G1120="","",'Journal'!G1120)</f>
        <v/>
      </c>
      <c r="H2238" s="5">
        <f>IF('Journal'!I1120="","",'Journal'!I1120)</f>
        <v/>
      </c>
    </row>
    <row r="2239">
      <c r="A2239" s="18">
        <f>IF('Journal'!A1121="","",'Journal'!A1121)</f>
        <v/>
      </c>
      <c r="B2239" s="21">
        <f>IF('Journal'!B1121="","",'Journal'!B1121)</f>
        <v/>
      </c>
      <c r="C2239" s="5">
        <f>IF('Journal'!C1121="","",'Journal'!C1121)</f>
        <v/>
      </c>
      <c r="D2239" s="5">
        <f>IF('Journal'!D1121="","",IFERROR(LEFT('Journal'!D1121,FIND(" ",'Journal'!D1121)-1),'Journal'!D1121))</f>
        <v/>
      </c>
      <c r="E2239" s="5">
        <f>IF('Journal'!D1121="","",IFERROR(INDEX('Kontoplan'!$B$3:$B$302,MATCH('Journal'!D1121,'Kontoplan'!$H$3:$H$302,0)),""))</f>
        <v/>
      </c>
      <c r="F2239" s="20">
        <f>IF('Journal'!G1121="","",'Journal'!G1121)</f>
        <v/>
      </c>
      <c r="G2239" s="20">
        <f>IF('Journal'!F1121="","",'Journal'!F1121)</f>
        <v/>
      </c>
      <c r="H2239" s="5">
        <f>IF('Journal'!I1121="","",'Journal'!I1121)</f>
        <v/>
      </c>
    </row>
    <row r="2240">
      <c r="A2240" s="18">
        <f>IF('Journal'!A1121="","",'Journal'!A1121)</f>
        <v/>
      </c>
      <c r="B2240" s="21">
        <f>IF('Journal'!B1121="","",'Journal'!B1121)</f>
        <v/>
      </c>
      <c r="C2240" s="5">
        <f>IF('Journal'!C1121="","",'Journal'!C1121)</f>
        <v/>
      </c>
      <c r="D2240" s="5">
        <f>IF('Journal'!E1121="","",IFERROR(LEFT('Journal'!E1121,FIND(" ",'Journal'!E1121)-1),'Journal'!E1121))</f>
        <v/>
      </c>
      <c r="E2240" s="5">
        <f>IF('Journal'!E1121="","",IFERROR(INDEX('Kontoplan'!$B$3:$B$302,MATCH('Journal'!E1121,'Kontoplan'!$H$3:$H$302,0)),""))</f>
        <v/>
      </c>
      <c r="F2240" s="20">
        <f>IF('Journal'!F1121="","",'Journal'!F1121)</f>
        <v/>
      </c>
      <c r="G2240" s="20">
        <f>IF('Journal'!G1121="","",'Journal'!G1121)</f>
        <v/>
      </c>
      <c r="H2240" s="5">
        <f>IF('Journal'!I1121="","",'Journal'!I1121)</f>
        <v/>
      </c>
    </row>
    <row r="2241">
      <c r="A2241" s="18">
        <f>IF('Journal'!A1122="","",'Journal'!A1122)</f>
        <v/>
      </c>
      <c r="B2241" s="21">
        <f>IF('Journal'!B1122="","",'Journal'!B1122)</f>
        <v/>
      </c>
      <c r="C2241" s="5">
        <f>IF('Journal'!C1122="","",'Journal'!C1122)</f>
        <v/>
      </c>
      <c r="D2241" s="5">
        <f>IF('Journal'!D1122="","",IFERROR(LEFT('Journal'!D1122,FIND(" ",'Journal'!D1122)-1),'Journal'!D1122))</f>
        <v/>
      </c>
      <c r="E2241" s="5">
        <f>IF('Journal'!D1122="","",IFERROR(INDEX('Kontoplan'!$B$3:$B$302,MATCH('Journal'!D1122,'Kontoplan'!$H$3:$H$302,0)),""))</f>
        <v/>
      </c>
      <c r="F2241" s="20">
        <f>IF('Journal'!G1122="","",'Journal'!G1122)</f>
        <v/>
      </c>
      <c r="G2241" s="20">
        <f>IF('Journal'!F1122="","",'Journal'!F1122)</f>
        <v/>
      </c>
      <c r="H2241" s="5">
        <f>IF('Journal'!I1122="","",'Journal'!I1122)</f>
        <v/>
      </c>
    </row>
    <row r="2242">
      <c r="A2242" s="18">
        <f>IF('Journal'!A1122="","",'Journal'!A1122)</f>
        <v/>
      </c>
      <c r="B2242" s="21">
        <f>IF('Journal'!B1122="","",'Journal'!B1122)</f>
        <v/>
      </c>
      <c r="C2242" s="5">
        <f>IF('Journal'!C1122="","",'Journal'!C1122)</f>
        <v/>
      </c>
      <c r="D2242" s="5">
        <f>IF('Journal'!E1122="","",IFERROR(LEFT('Journal'!E1122,FIND(" ",'Journal'!E1122)-1),'Journal'!E1122))</f>
        <v/>
      </c>
      <c r="E2242" s="5">
        <f>IF('Journal'!E1122="","",IFERROR(INDEX('Kontoplan'!$B$3:$B$302,MATCH('Journal'!E1122,'Kontoplan'!$H$3:$H$302,0)),""))</f>
        <v/>
      </c>
      <c r="F2242" s="20">
        <f>IF('Journal'!F1122="","",'Journal'!F1122)</f>
        <v/>
      </c>
      <c r="G2242" s="20">
        <f>IF('Journal'!G1122="","",'Journal'!G1122)</f>
        <v/>
      </c>
      <c r="H2242" s="5">
        <f>IF('Journal'!I1122="","",'Journal'!I1122)</f>
        <v/>
      </c>
    </row>
    <row r="2243">
      <c r="A2243" s="18">
        <f>IF('Journal'!A1123="","",'Journal'!A1123)</f>
        <v/>
      </c>
      <c r="B2243" s="21">
        <f>IF('Journal'!B1123="","",'Journal'!B1123)</f>
        <v/>
      </c>
      <c r="C2243" s="5">
        <f>IF('Journal'!C1123="","",'Journal'!C1123)</f>
        <v/>
      </c>
      <c r="D2243" s="5">
        <f>IF('Journal'!D1123="","",IFERROR(LEFT('Journal'!D1123,FIND(" ",'Journal'!D1123)-1),'Journal'!D1123))</f>
        <v/>
      </c>
      <c r="E2243" s="5">
        <f>IF('Journal'!D1123="","",IFERROR(INDEX('Kontoplan'!$B$3:$B$302,MATCH('Journal'!D1123,'Kontoplan'!$H$3:$H$302,0)),""))</f>
        <v/>
      </c>
      <c r="F2243" s="20">
        <f>IF('Journal'!G1123="","",'Journal'!G1123)</f>
        <v/>
      </c>
      <c r="G2243" s="20">
        <f>IF('Journal'!F1123="","",'Journal'!F1123)</f>
        <v/>
      </c>
      <c r="H2243" s="5">
        <f>IF('Journal'!I1123="","",'Journal'!I1123)</f>
        <v/>
      </c>
    </row>
    <row r="2244">
      <c r="A2244" s="18">
        <f>IF('Journal'!A1123="","",'Journal'!A1123)</f>
        <v/>
      </c>
      <c r="B2244" s="21">
        <f>IF('Journal'!B1123="","",'Journal'!B1123)</f>
        <v/>
      </c>
      <c r="C2244" s="5">
        <f>IF('Journal'!C1123="","",'Journal'!C1123)</f>
        <v/>
      </c>
      <c r="D2244" s="5">
        <f>IF('Journal'!E1123="","",IFERROR(LEFT('Journal'!E1123,FIND(" ",'Journal'!E1123)-1),'Journal'!E1123))</f>
        <v/>
      </c>
      <c r="E2244" s="5">
        <f>IF('Journal'!E1123="","",IFERROR(INDEX('Kontoplan'!$B$3:$B$302,MATCH('Journal'!E1123,'Kontoplan'!$H$3:$H$302,0)),""))</f>
        <v/>
      </c>
      <c r="F2244" s="20">
        <f>IF('Journal'!F1123="","",'Journal'!F1123)</f>
        <v/>
      </c>
      <c r="G2244" s="20">
        <f>IF('Journal'!G1123="","",'Journal'!G1123)</f>
        <v/>
      </c>
      <c r="H2244" s="5">
        <f>IF('Journal'!I1123="","",'Journal'!I1123)</f>
        <v/>
      </c>
    </row>
    <row r="2245">
      <c r="A2245" s="18">
        <f>IF('Journal'!A1124="","",'Journal'!A1124)</f>
        <v/>
      </c>
      <c r="B2245" s="21">
        <f>IF('Journal'!B1124="","",'Journal'!B1124)</f>
        <v/>
      </c>
      <c r="C2245" s="5">
        <f>IF('Journal'!C1124="","",'Journal'!C1124)</f>
        <v/>
      </c>
      <c r="D2245" s="5">
        <f>IF('Journal'!D1124="","",IFERROR(LEFT('Journal'!D1124,FIND(" ",'Journal'!D1124)-1),'Journal'!D1124))</f>
        <v/>
      </c>
      <c r="E2245" s="5">
        <f>IF('Journal'!D1124="","",IFERROR(INDEX('Kontoplan'!$B$3:$B$302,MATCH('Journal'!D1124,'Kontoplan'!$H$3:$H$302,0)),""))</f>
        <v/>
      </c>
      <c r="F2245" s="20">
        <f>IF('Journal'!G1124="","",'Journal'!G1124)</f>
        <v/>
      </c>
      <c r="G2245" s="20">
        <f>IF('Journal'!F1124="","",'Journal'!F1124)</f>
        <v/>
      </c>
      <c r="H2245" s="5">
        <f>IF('Journal'!I1124="","",'Journal'!I1124)</f>
        <v/>
      </c>
    </row>
    <row r="2246">
      <c r="A2246" s="18">
        <f>IF('Journal'!A1124="","",'Journal'!A1124)</f>
        <v/>
      </c>
      <c r="B2246" s="21">
        <f>IF('Journal'!B1124="","",'Journal'!B1124)</f>
        <v/>
      </c>
      <c r="C2246" s="5">
        <f>IF('Journal'!C1124="","",'Journal'!C1124)</f>
        <v/>
      </c>
      <c r="D2246" s="5">
        <f>IF('Journal'!E1124="","",IFERROR(LEFT('Journal'!E1124,FIND(" ",'Journal'!E1124)-1),'Journal'!E1124))</f>
        <v/>
      </c>
      <c r="E2246" s="5">
        <f>IF('Journal'!E1124="","",IFERROR(INDEX('Kontoplan'!$B$3:$B$302,MATCH('Journal'!E1124,'Kontoplan'!$H$3:$H$302,0)),""))</f>
        <v/>
      </c>
      <c r="F2246" s="20">
        <f>IF('Journal'!F1124="","",'Journal'!F1124)</f>
        <v/>
      </c>
      <c r="G2246" s="20">
        <f>IF('Journal'!G1124="","",'Journal'!G1124)</f>
        <v/>
      </c>
      <c r="H2246" s="5">
        <f>IF('Journal'!I1124="","",'Journal'!I1124)</f>
        <v/>
      </c>
    </row>
    <row r="2247">
      <c r="A2247" s="18">
        <f>IF('Journal'!A1125="","",'Journal'!A1125)</f>
        <v/>
      </c>
      <c r="B2247" s="21">
        <f>IF('Journal'!B1125="","",'Journal'!B1125)</f>
        <v/>
      </c>
      <c r="C2247" s="5">
        <f>IF('Journal'!C1125="","",'Journal'!C1125)</f>
        <v/>
      </c>
      <c r="D2247" s="5">
        <f>IF('Journal'!D1125="","",IFERROR(LEFT('Journal'!D1125,FIND(" ",'Journal'!D1125)-1),'Journal'!D1125))</f>
        <v/>
      </c>
      <c r="E2247" s="5">
        <f>IF('Journal'!D1125="","",IFERROR(INDEX('Kontoplan'!$B$3:$B$302,MATCH('Journal'!D1125,'Kontoplan'!$H$3:$H$302,0)),""))</f>
        <v/>
      </c>
      <c r="F2247" s="20">
        <f>IF('Journal'!G1125="","",'Journal'!G1125)</f>
        <v/>
      </c>
      <c r="G2247" s="20">
        <f>IF('Journal'!F1125="","",'Journal'!F1125)</f>
        <v/>
      </c>
      <c r="H2247" s="5">
        <f>IF('Journal'!I1125="","",'Journal'!I1125)</f>
        <v/>
      </c>
    </row>
    <row r="2248">
      <c r="A2248" s="18">
        <f>IF('Journal'!A1125="","",'Journal'!A1125)</f>
        <v/>
      </c>
      <c r="B2248" s="21">
        <f>IF('Journal'!B1125="","",'Journal'!B1125)</f>
        <v/>
      </c>
      <c r="C2248" s="5">
        <f>IF('Journal'!C1125="","",'Journal'!C1125)</f>
        <v/>
      </c>
      <c r="D2248" s="5">
        <f>IF('Journal'!E1125="","",IFERROR(LEFT('Journal'!E1125,FIND(" ",'Journal'!E1125)-1),'Journal'!E1125))</f>
        <v/>
      </c>
      <c r="E2248" s="5">
        <f>IF('Journal'!E1125="","",IFERROR(INDEX('Kontoplan'!$B$3:$B$302,MATCH('Journal'!E1125,'Kontoplan'!$H$3:$H$302,0)),""))</f>
        <v/>
      </c>
      <c r="F2248" s="20">
        <f>IF('Journal'!F1125="","",'Journal'!F1125)</f>
        <v/>
      </c>
      <c r="G2248" s="20">
        <f>IF('Journal'!G1125="","",'Journal'!G1125)</f>
        <v/>
      </c>
      <c r="H2248" s="5">
        <f>IF('Journal'!I1125="","",'Journal'!I1125)</f>
        <v/>
      </c>
    </row>
    <row r="2249">
      <c r="A2249" s="18">
        <f>IF('Journal'!A1126="","",'Journal'!A1126)</f>
        <v/>
      </c>
      <c r="B2249" s="21">
        <f>IF('Journal'!B1126="","",'Journal'!B1126)</f>
        <v/>
      </c>
      <c r="C2249" s="5">
        <f>IF('Journal'!C1126="","",'Journal'!C1126)</f>
        <v/>
      </c>
      <c r="D2249" s="5">
        <f>IF('Journal'!D1126="","",IFERROR(LEFT('Journal'!D1126,FIND(" ",'Journal'!D1126)-1),'Journal'!D1126))</f>
        <v/>
      </c>
      <c r="E2249" s="5">
        <f>IF('Journal'!D1126="","",IFERROR(INDEX('Kontoplan'!$B$3:$B$302,MATCH('Journal'!D1126,'Kontoplan'!$H$3:$H$302,0)),""))</f>
        <v/>
      </c>
      <c r="F2249" s="20">
        <f>IF('Journal'!G1126="","",'Journal'!G1126)</f>
        <v/>
      </c>
      <c r="G2249" s="20">
        <f>IF('Journal'!F1126="","",'Journal'!F1126)</f>
        <v/>
      </c>
      <c r="H2249" s="5">
        <f>IF('Journal'!I1126="","",'Journal'!I1126)</f>
        <v/>
      </c>
    </row>
    <row r="2250">
      <c r="A2250" s="18">
        <f>IF('Journal'!A1126="","",'Journal'!A1126)</f>
        <v/>
      </c>
      <c r="B2250" s="21">
        <f>IF('Journal'!B1126="","",'Journal'!B1126)</f>
        <v/>
      </c>
      <c r="C2250" s="5">
        <f>IF('Journal'!C1126="","",'Journal'!C1126)</f>
        <v/>
      </c>
      <c r="D2250" s="5">
        <f>IF('Journal'!E1126="","",IFERROR(LEFT('Journal'!E1126,FIND(" ",'Journal'!E1126)-1),'Journal'!E1126))</f>
        <v/>
      </c>
      <c r="E2250" s="5">
        <f>IF('Journal'!E1126="","",IFERROR(INDEX('Kontoplan'!$B$3:$B$302,MATCH('Journal'!E1126,'Kontoplan'!$H$3:$H$302,0)),""))</f>
        <v/>
      </c>
      <c r="F2250" s="20">
        <f>IF('Journal'!F1126="","",'Journal'!F1126)</f>
        <v/>
      </c>
      <c r="G2250" s="20">
        <f>IF('Journal'!G1126="","",'Journal'!G1126)</f>
        <v/>
      </c>
      <c r="H2250" s="5">
        <f>IF('Journal'!I1126="","",'Journal'!I1126)</f>
        <v/>
      </c>
    </row>
    <row r="2251">
      <c r="A2251" s="18">
        <f>IF('Journal'!A1127="","",'Journal'!A1127)</f>
        <v/>
      </c>
      <c r="B2251" s="21">
        <f>IF('Journal'!B1127="","",'Journal'!B1127)</f>
        <v/>
      </c>
      <c r="C2251" s="5">
        <f>IF('Journal'!C1127="","",'Journal'!C1127)</f>
        <v/>
      </c>
      <c r="D2251" s="5">
        <f>IF('Journal'!D1127="","",IFERROR(LEFT('Journal'!D1127,FIND(" ",'Journal'!D1127)-1),'Journal'!D1127))</f>
        <v/>
      </c>
      <c r="E2251" s="5">
        <f>IF('Journal'!D1127="","",IFERROR(INDEX('Kontoplan'!$B$3:$B$302,MATCH('Journal'!D1127,'Kontoplan'!$H$3:$H$302,0)),""))</f>
        <v/>
      </c>
      <c r="F2251" s="20">
        <f>IF('Journal'!G1127="","",'Journal'!G1127)</f>
        <v/>
      </c>
      <c r="G2251" s="20">
        <f>IF('Journal'!F1127="","",'Journal'!F1127)</f>
        <v/>
      </c>
      <c r="H2251" s="5">
        <f>IF('Journal'!I1127="","",'Journal'!I1127)</f>
        <v/>
      </c>
    </row>
    <row r="2252">
      <c r="A2252" s="18">
        <f>IF('Journal'!A1127="","",'Journal'!A1127)</f>
        <v/>
      </c>
      <c r="B2252" s="21">
        <f>IF('Journal'!B1127="","",'Journal'!B1127)</f>
        <v/>
      </c>
      <c r="C2252" s="5">
        <f>IF('Journal'!C1127="","",'Journal'!C1127)</f>
        <v/>
      </c>
      <c r="D2252" s="5">
        <f>IF('Journal'!E1127="","",IFERROR(LEFT('Journal'!E1127,FIND(" ",'Journal'!E1127)-1),'Journal'!E1127))</f>
        <v/>
      </c>
      <c r="E2252" s="5">
        <f>IF('Journal'!E1127="","",IFERROR(INDEX('Kontoplan'!$B$3:$B$302,MATCH('Journal'!E1127,'Kontoplan'!$H$3:$H$302,0)),""))</f>
        <v/>
      </c>
      <c r="F2252" s="20">
        <f>IF('Journal'!F1127="","",'Journal'!F1127)</f>
        <v/>
      </c>
      <c r="G2252" s="20">
        <f>IF('Journal'!G1127="","",'Journal'!G1127)</f>
        <v/>
      </c>
      <c r="H2252" s="5">
        <f>IF('Journal'!I1127="","",'Journal'!I1127)</f>
        <v/>
      </c>
    </row>
    <row r="2253">
      <c r="A2253" s="18">
        <f>IF('Journal'!A1128="","",'Journal'!A1128)</f>
        <v/>
      </c>
      <c r="B2253" s="21">
        <f>IF('Journal'!B1128="","",'Journal'!B1128)</f>
        <v/>
      </c>
      <c r="C2253" s="5">
        <f>IF('Journal'!C1128="","",'Journal'!C1128)</f>
        <v/>
      </c>
      <c r="D2253" s="5">
        <f>IF('Journal'!D1128="","",IFERROR(LEFT('Journal'!D1128,FIND(" ",'Journal'!D1128)-1),'Journal'!D1128))</f>
        <v/>
      </c>
      <c r="E2253" s="5">
        <f>IF('Journal'!D1128="","",IFERROR(INDEX('Kontoplan'!$B$3:$B$302,MATCH('Journal'!D1128,'Kontoplan'!$H$3:$H$302,0)),""))</f>
        <v/>
      </c>
      <c r="F2253" s="20">
        <f>IF('Journal'!G1128="","",'Journal'!G1128)</f>
        <v/>
      </c>
      <c r="G2253" s="20">
        <f>IF('Journal'!F1128="","",'Journal'!F1128)</f>
        <v/>
      </c>
      <c r="H2253" s="5">
        <f>IF('Journal'!I1128="","",'Journal'!I1128)</f>
        <v/>
      </c>
    </row>
    <row r="2254">
      <c r="A2254" s="18">
        <f>IF('Journal'!A1128="","",'Journal'!A1128)</f>
        <v/>
      </c>
      <c r="B2254" s="21">
        <f>IF('Journal'!B1128="","",'Journal'!B1128)</f>
        <v/>
      </c>
      <c r="C2254" s="5">
        <f>IF('Journal'!C1128="","",'Journal'!C1128)</f>
        <v/>
      </c>
      <c r="D2254" s="5">
        <f>IF('Journal'!E1128="","",IFERROR(LEFT('Journal'!E1128,FIND(" ",'Journal'!E1128)-1),'Journal'!E1128))</f>
        <v/>
      </c>
      <c r="E2254" s="5">
        <f>IF('Journal'!E1128="","",IFERROR(INDEX('Kontoplan'!$B$3:$B$302,MATCH('Journal'!E1128,'Kontoplan'!$H$3:$H$302,0)),""))</f>
        <v/>
      </c>
      <c r="F2254" s="20">
        <f>IF('Journal'!F1128="","",'Journal'!F1128)</f>
        <v/>
      </c>
      <c r="G2254" s="20">
        <f>IF('Journal'!G1128="","",'Journal'!G1128)</f>
        <v/>
      </c>
      <c r="H2254" s="5">
        <f>IF('Journal'!I1128="","",'Journal'!I1128)</f>
        <v/>
      </c>
    </row>
    <row r="2255">
      <c r="A2255" s="18">
        <f>IF('Journal'!A1129="","",'Journal'!A1129)</f>
        <v/>
      </c>
      <c r="B2255" s="21">
        <f>IF('Journal'!B1129="","",'Journal'!B1129)</f>
        <v/>
      </c>
      <c r="C2255" s="5">
        <f>IF('Journal'!C1129="","",'Journal'!C1129)</f>
        <v/>
      </c>
      <c r="D2255" s="5">
        <f>IF('Journal'!D1129="","",IFERROR(LEFT('Journal'!D1129,FIND(" ",'Journal'!D1129)-1),'Journal'!D1129))</f>
        <v/>
      </c>
      <c r="E2255" s="5">
        <f>IF('Journal'!D1129="","",IFERROR(INDEX('Kontoplan'!$B$3:$B$302,MATCH('Journal'!D1129,'Kontoplan'!$H$3:$H$302,0)),""))</f>
        <v/>
      </c>
      <c r="F2255" s="20">
        <f>IF('Journal'!G1129="","",'Journal'!G1129)</f>
        <v/>
      </c>
      <c r="G2255" s="20">
        <f>IF('Journal'!F1129="","",'Journal'!F1129)</f>
        <v/>
      </c>
      <c r="H2255" s="5">
        <f>IF('Journal'!I1129="","",'Journal'!I1129)</f>
        <v/>
      </c>
    </row>
    <row r="2256">
      <c r="A2256" s="18">
        <f>IF('Journal'!A1129="","",'Journal'!A1129)</f>
        <v/>
      </c>
      <c r="B2256" s="21">
        <f>IF('Journal'!B1129="","",'Journal'!B1129)</f>
        <v/>
      </c>
      <c r="C2256" s="5">
        <f>IF('Journal'!C1129="","",'Journal'!C1129)</f>
        <v/>
      </c>
      <c r="D2256" s="5">
        <f>IF('Journal'!E1129="","",IFERROR(LEFT('Journal'!E1129,FIND(" ",'Journal'!E1129)-1),'Journal'!E1129))</f>
        <v/>
      </c>
      <c r="E2256" s="5">
        <f>IF('Journal'!E1129="","",IFERROR(INDEX('Kontoplan'!$B$3:$B$302,MATCH('Journal'!E1129,'Kontoplan'!$H$3:$H$302,0)),""))</f>
        <v/>
      </c>
      <c r="F2256" s="20">
        <f>IF('Journal'!F1129="","",'Journal'!F1129)</f>
        <v/>
      </c>
      <c r="G2256" s="20">
        <f>IF('Journal'!G1129="","",'Journal'!G1129)</f>
        <v/>
      </c>
      <c r="H2256" s="5">
        <f>IF('Journal'!I1129="","",'Journal'!I1129)</f>
        <v/>
      </c>
    </row>
    <row r="2257">
      <c r="A2257" s="18">
        <f>IF('Journal'!A1130="","",'Journal'!A1130)</f>
        <v/>
      </c>
      <c r="B2257" s="21">
        <f>IF('Journal'!B1130="","",'Journal'!B1130)</f>
        <v/>
      </c>
      <c r="C2257" s="5">
        <f>IF('Journal'!C1130="","",'Journal'!C1130)</f>
        <v/>
      </c>
      <c r="D2257" s="5">
        <f>IF('Journal'!D1130="","",IFERROR(LEFT('Journal'!D1130,FIND(" ",'Journal'!D1130)-1),'Journal'!D1130))</f>
        <v/>
      </c>
      <c r="E2257" s="5">
        <f>IF('Journal'!D1130="","",IFERROR(INDEX('Kontoplan'!$B$3:$B$302,MATCH('Journal'!D1130,'Kontoplan'!$H$3:$H$302,0)),""))</f>
        <v/>
      </c>
      <c r="F2257" s="20">
        <f>IF('Journal'!G1130="","",'Journal'!G1130)</f>
        <v/>
      </c>
      <c r="G2257" s="20">
        <f>IF('Journal'!F1130="","",'Journal'!F1130)</f>
        <v/>
      </c>
      <c r="H2257" s="5">
        <f>IF('Journal'!I1130="","",'Journal'!I1130)</f>
        <v/>
      </c>
    </row>
    <row r="2258">
      <c r="A2258" s="18">
        <f>IF('Journal'!A1130="","",'Journal'!A1130)</f>
        <v/>
      </c>
      <c r="B2258" s="21">
        <f>IF('Journal'!B1130="","",'Journal'!B1130)</f>
        <v/>
      </c>
      <c r="C2258" s="5">
        <f>IF('Journal'!C1130="","",'Journal'!C1130)</f>
        <v/>
      </c>
      <c r="D2258" s="5">
        <f>IF('Journal'!E1130="","",IFERROR(LEFT('Journal'!E1130,FIND(" ",'Journal'!E1130)-1),'Journal'!E1130))</f>
        <v/>
      </c>
      <c r="E2258" s="5">
        <f>IF('Journal'!E1130="","",IFERROR(INDEX('Kontoplan'!$B$3:$B$302,MATCH('Journal'!E1130,'Kontoplan'!$H$3:$H$302,0)),""))</f>
        <v/>
      </c>
      <c r="F2258" s="20">
        <f>IF('Journal'!F1130="","",'Journal'!F1130)</f>
        <v/>
      </c>
      <c r="G2258" s="20">
        <f>IF('Journal'!G1130="","",'Journal'!G1130)</f>
        <v/>
      </c>
      <c r="H2258" s="5">
        <f>IF('Journal'!I1130="","",'Journal'!I1130)</f>
        <v/>
      </c>
    </row>
    <row r="2259">
      <c r="A2259" s="18">
        <f>IF('Journal'!A1131="","",'Journal'!A1131)</f>
        <v/>
      </c>
      <c r="B2259" s="21">
        <f>IF('Journal'!B1131="","",'Journal'!B1131)</f>
        <v/>
      </c>
      <c r="C2259" s="5">
        <f>IF('Journal'!C1131="","",'Journal'!C1131)</f>
        <v/>
      </c>
      <c r="D2259" s="5">
        <f>IF('Journal'!D1131="","",IFERROR(LEFT('Journal'!D1131,FIND(" ",'Journal'!D1131)-1),'Journal'!D1131))</f>
        <v/>
      </c>
      <c r="E2259" s="5">
        <f>IF('Journal'!D1131="","",IFERROR(INDEX('Kontoplan'!$B$3:$B$302,MATCH('Journal'!D1131,'Kontoplan'!$H$3:$H$302,0)),""))</f>
        <v/>
      </c>
      <c r="F2259" s="20">
        <f>IF('Journal'!G1131="","",'Journal'!G1131)</f>
        <v/>
      </c>
      <c r="G2259" s="20">
        <f>IF('Journal'!F1131="","",'Journal'!F1131)</f>
        <v/>
      </c>
      <c r="H2259" s="5">
        <f>IF('Journal'!I1131="","",'Journal'!I1131)</f>
        <v/>
      </c>
    </row>
    <row r="2260">
      <c r="A2260" s="18">
        <f>IF('Journal'!A1131="","",'Journal'!A1131)</f>
        <v/>
      </c>
      <c r="B2260" s="21">
        <f>IF('Journal'!B1131="","",'Journal'!B1131)</f>
        <v/>
      </c>
      <c r="C2260" s="5">
        <f>IF('Journal'!C1131="","",'Journal'!C1131)</f>
        <v/>
      </c>
      <c r="D2260" s="5">
        <f>IF('Journal'!E1131="","",IFERROR(LEFT('Journal'!E1131,FIND(" ",'Journal'!E1131)-1),'Journal'!E1131))</f>
        <v/>
      </c>
      <c r="E2260" s="5">
        <f>IF('Journal'!E1131="","",IFERROR(INDEX('Kontoplan'!$B$3:$B$302,MATCH('Journal'!E1131,'Kontoplan'!$H$3:$H$302,0)),""))</f>
        <v/>
      </c>
      <c r="F2260" s="20">
        <f>IF('Journal'!F1131="","",'Journal'!F1131)</f>
        <v/>
      </c>
      <c r="G2260" s="20">
        <f>IF('Journal'!G1131="","",'Journal'!G1131)</f>
        <v/>
      </c>
      <c r="H2260" s="5">
        <f>IF('Journal'!I1131="","",'Journal'!I1131)</f>
        <v/>
      </c>
    </row>
    <row r="2261">
      <c r="A2261" s="18">
        <f>IF('Journal'!A1132="","",'Journal'!A1132)</f>
        <v/>
      </c>
      <c r="B2261" s="21">
        <f>IF('Journal'!B1132="","",'Journal'!B1132)</f>
        <v/>
      </c>
      <c r="C2261" s="5">
        <f>IF('Journal'!C1132="","",'Journal'!C1132)</f>
        <v/>
      </c>
      <c r="D2261" s="5">
        <f>IF('Journal'!D1132="","",IFERROR(LEFT('Journal'!D1132,FIND(" ",'Journal'!D1132)-1),'Journal'!D1132))</f>
        <v/>
      </c>
      <c r="E2261" s="5">
        <f>IF('Journal'!D1132="","",IFERROR(INDEX('Kontoplan'!$B$3:$B$302,MATCH('Journal'!D1132,'Kontoplan'!$H$3:$H$302,0)),""))</f>
        <v/>
      </c>
      <c r="F2261" s="20">
        <f>IF('Journal'!G1132="","",'Journal'!G1132)</f>
        <v/>
      </c>
      <c r="G2261" s="20">
        <f>IF('Journal'!F1132="","",'Journal'!F1132)</f>
        <v/>
      </c>
      <c r="H2261" s="5">
        <f>IF('Journal'!I1132="","",'Journal'!I1132)</f>
        <v/>
      </c>
    </row>
    <row r="2262">
      <c r="A2262" s="18">
        <f>IF('Journal'!A1132="","",'Journal'!A1132)</f>
        <v/>
      </c>
      <c r="B2262" s="21">
        <f>IF('Journal'!B1132="","",'Journal'!B1132)</f>
        <v/>
      </c>
      <c r="C2262" s="5">
        <f>IF('Journal'!C1132="","",'Journal'!C1132)</f>
        <v/>
      </c>
      <c r="D2262" s="5">
        <f>IF('Journal'!E1132="","",IFERROR(LEFT('Journal'!E1132,FIND(" ",'Journal'!E1132)-1),'Journal'!E1132))</f>
        <v/>
      </c>
      <c r="E2262" s="5">
        <f>IF('Journal'!E1132="","",IFERROR(INDEX('Kontoplan'!$B$3:$B$302,MATCH('Journal'!E1132,'Kontoplan'!$H$3:$H$302,0)),""))</f>
        <v/>
      </c>
      <c r="F2262" s="20">
        <f>IF('Journal'!F1132="","",'Journal'!F1132)</f>
        <v/>
      </c>
      <c r="G2262" s="20">
        <f>IF('Journal'!G1132="","",'Journal'!G1132)</f>
        <v/>
      </c>
      <c r="H2262" s="5">
        <f>IF('Journal'!I1132="","",'Journal'!I1132)</f>
        <v/>
      </c>
    </row>
    <row r="2263">
      <c r="A2263" s="18">
        <f>IF('Journal'!A1133="","",'Journal'!A1133)</f>
        <v/>
      </c>
      <c r="B2263" s="21">
        <f>IF('Journal'!B1133="","",'Journal'!B1133)</f>
        <v/>
      </c>
      <c r="C2263" s="5">
        <f>IF('Journal'!C1133="","",'Journal'!C1133)</f>
        <v/>
      </c>
      <c r="D2263" s="5">
        <f>IF('Journal'!D1133="","",IFERROR(LEFT('Journal'!D1133,FIND(" ",'Journal'!D1133)-1),'Journal'!D1133))</f>
        <v/>
      </c>
      <c r="E2263" s="5">
        <f>IF('Journal'!D1133="","",IFERROR(INDEX('Kontoplan'!$B$3:$B$302,MATCH('Journal'!D1133,'Kontoplan'!$H$3:$H$302,0)),""))</f>
        <v/>
      </c>
      <c r="F2263" s="20">
        <f>IF('Journal'!G1133="","",'Journal'!G1133)</f>
        <v/>
      </c>
      <c r="G2263" s="20">
        <f>IF('Journal'!F1133="","",'Journal'!F1133)</f>
        <v/>
      </c>
      <c r="H2263" s="5">
        <f>IF('Journal'!I1133="","",'Journal'!I1133)</f>
        <v/>
      </c>
    </row>
    <row r="2264">
      <c r="A2264" s="18">
        <f>IF('Journal'!A1133="","",'Journal'!A1133)</f>
        <v/>
      </c>
      <c r="B2264" s="21">
        <f>IF('Journal'!B1133="","",'Journal'!B1133)</f>
        <v/>
      </c>
      <c r="C2264" s="5">
        <f>IF('Journal'!C1133="","",'Journal'!C1133)</f>
        <v/>
      </c>
      <c r="D2264" s="5">
        <f>IF('Journal'!E1133="","",IFERROR(LEFT('Journal'!E1133,FIND(" ",'Journal'!E1133)-1),'Journal'!E1133))</f>
        <v/>
      </c>
      <c r="E2264" s="5">
        <f>IF('Journal'!E1133="","",IFERROR(INDEX('Kontoplan'!$B$3:$B$302,MATCH('Journal'!E1133,'Kontoplan'!$H$3:$H$302,0)),""))</f>
        <v/>
      </c>
      <c r="F2264" s="20">
        <f>IF('Journal'!F1133="","",'Journal'!F1133)</f>
        <v/>
      </c>
      <c r="G2264" s="20">
        <f>IF('Journal'!G1133="","",'Journal'!G1133)</f>
        <v/>
      </c>
      <c r="H2264" s="5">
        <f>IF('Journal'!I1133="","",'Journal'!I1133)</f>
        <v/>
      </c>
    </row>
    <row r="2265">
      <c r="A2265" s="18">
        <f>IF('Journal'!A1134="","",'Journal'!A1134)</f>
        <v/>
      </c>
      <c r="B2265" s="21">
        <f>IF('Journal'!B1134="","",'Journal'!B1134)</f>
        <v/>
      </c>
      <c r="C2265" s="5">
        <f>IF('Journal'!C1134="","",'Journal'!C1134)</f>
        <v/>
      </c>
      <c r="D2265" s="5">
        <f>IF('Journal'!D1134="","",IFERROR(LEFT('Journal'!D1134,FIND(" ",'Journal'!D1134)-1),'Journal'!D1134))</f>
        <v/>
      </c>
      <c r="E2265" s="5">
        <f>IF('Journal'!D1134="","",IFERROR(INDEX('Kontoplan'!$B$3:$B$302,MATCH('Journal'!D1134,'Kontoplan'!$H$3:$H$302,0)),""))</f>
        <v/>
      </c>
      <c r="F2265" s="20">
        <f>IF('Journal'!G1134="","",'Journal'!G1134)</f>
        <v/>
      </c>
      <c r="G2265" s="20">
        <f>IF('Journal'!F1134="","",'Journal'!F1134)</f>
        <v/>
      </c>
      <c r="H2265" s="5">
        <f>IF('Journal'!I1134="","",'Journal'!I1134)</f>
        <v/>
      </c>
    </row>
    <row r="2266">
      <c r="A2266" s="18">
        <f>IF('Journal'!A1134="","",'Journal'!A1134)</f>
        <v/>
      </c>
      <c r="B2266" s="21">
        <f>IF('Journal'!B1134="","",'Journal'!B1134)</f>
        <v/>
      </c>
      <c r="C2266" s="5">
        <f>IF('Journal'!C1134="","",'Journal'!C1134)</f>
        <v/>
      </c>
      <c r="D2266" s="5">
        <f>IF('Journal'!E1134="","",IFERROR(LEFT('Journal'!E1134,FIND(" ",'Journal'!E1134)-1),'Journal'!E1134))</f>
        <v/>
      </c>
      <c r="E2266" s="5">
        <f>IF('Journal'!E1134="","",IFERROR(INDEX('Kontoplan'!$B$3:$B$302,MATCH('Journal'!E1134,'Kontoplan'!$H$3:$H$302,0)),""))</f>
        <v/>
      </c>
      <c r="F2266" s="20">
        <f>IF('Journal'!F1134="","",'Journal'!F1134)</f>
        <v/>
      </c>
      <c r="G2266" s="20">
        <f>IF('Journal'!G1134="","",'Journal'!G1134)</f>
        <v/>
      </c>
      <c r="H2266" s="5">
        <f>IF('Journal'!I1134="","",'Journal'!I1134)</f>
        <v/>
      </c>
    </row>
    <row r="2267">
      <c r="A2267" s="18">
        <f>IF('Journal'!A1135="","",'Journal'!A1135)</f>
        <v/>
      </c>
      <c r="B2267" s="21">
        <f>IF('Journal'!B1135="","",'Journal'!B1135)</f>
        <v/>
      </c>
      <c r="C2267" s="5">
        <f>IF('Journal'!C1135="","",'Journal'!C1135)</f>
        <v/>
      </c>
      <c r="D2267" s="5">
        <f>IF('Journal'!D1135="","",IFERROR(LEFT('Journal'!D1135,FIND(" ",'Journal'!D1135)-1),'Journal'!D1135))</f>
        <v/>
      </c>
      <c r="E2267" s="5">
        <f>IF('Journal'!D1135="","",IFERROR(INDEX('Kontoplan'!$B$3:$B$302,MATCH('Journal'!D1135,'Kontoplan'!$H$3:$H$302,0)),""))</f>
        <v/>
      </c>
      <c r="F2267" s="20">
        <f>IF('Journal'!G1135="","",'Journal'!G1135)</f>
        <v/>
      </c>
      <c r="G2267" s="20">
        <f>IF('Journal'!F1135="","",'Journal'!F1135)</f>
        <v/>
      </c>
      <c r="H2267" s="5">
        <f>IF('Journal'!I1135="","",'Journal'!I1135)</f>
        <v/>
      </c>
    </row>
    <row r="2268">
      <c r="A2268" s="18">
        <f>IF('Journal'!A1135="","",'Journal'!A1135)</f>
        <v/>
      </c>
      <c r="B2268" s="21">
        <f>IF('Journal'!B1135="","",'Journal'!B1135)</f>
        <v/>
      </c>
      <c r="C2268" s="5">
        <f>IF('Journal'!C1135="","",'Journal'!C1135)</f>
        <v/>
      </c>
      <c r="D2268" s="5">
        <f>IF('Journal'!E1135="","",IFERROR(LEFT('Journal'!E1135,FIND(" ",'Journal'!E1135)-1),'Journal'!E1135))</f>
        <v/>
      </c>
      <c r="E2268" s="5">
        <f>IF('Journal'!E1135="","",IFERROR(INDEX('Kontoplan'!$B$3:$B$302,MATCH('Journal'!E1135,'Kontoplan'!$H$3:$H$302,0)),""))</f>
        <v/>
      </c>
      <c r="F2268" s="20">
        <f>IF('Journal'!F1135="","",'Journal'!F1135)</f>
        <v/>
      </c>
      <c r="G2268" s="20">
        <f>IF('Journal'!G1135="","",'Journal'!G1135)</f>
        <v/>
      </c>
      <c r="H2268" s="5">
        <f>IF('Journal'!I1135="","",'Journal'!I1135)</f>
        <v/>
      </c>
    </row>
    <row r="2269">
      <c r="A2269" s="18">
        <f>IF('Journal'!A1136="","",'Journal'!A1136)</f>
        <v/>
      </c>
      <c r="B2269" s="21">
        <f>IF('Journal'!B1136="","",'Journal'!B1136)</f>
        <v/>
      </c>
      <c r="C2269" s="5">
        <f>IF('Journal'!C1136="","",'Journal'!C1136)</f>
        <v/>
      </c>
      <c r="D2269" s="5">
        <f>IF('Journal'!D1136="","",IFERROR(LEFT('Journal'!D1136,FIND(" ",'Journal'!D1136)-1),'Journal'!D1136))</f>
        <v/>
      </c>
      <c r="E2269" s="5">
        <f>IF('Journal'!D1136="","",IFERROR(INDEX('Kontoplan'!$B$3:$B$302,MATCH('Journal'!D1136,'Kontoplan'!$H$3:$H$302,0)),""))</f>
        <v/>
      </c>
      <c r="F2269" s="20">
        <f>IF('Journal'!G1136="","",'Journal'!G1136)</f>
        <v/>
      </c>
      <c r="G2269" s="20">
        <f>IF('Journal'!F1136="","",'Journal'!F1136)</f>
        <v/>
      </c>
      <c r="H2269" s="5">
        <f>IF('Journal'!I1136="","",'Journal'!I1136)</f>
        <v/>
      </c>
    </row>
    <row r="2270">
      <c r="A2270" s="18">
        <f>IF('Journal'!A1136="","",'Journal'!A1136)</f>
        <v/>
      </c>
      <c r="B2270" s="21">
        <f>IF('Journal'!B1136="","",'Journal'!B1136)</f>
        <v/>
      </c>
      <c r="C2270" s="5">
        <f>IF('Journal'!C1136="","",'Journal'!C1136)</f>
        <v/>
      </c>
      <c r="D2270" s="5">
        <f>IF('Journal'!E1136="","",IFERROR(LEFT('Journal'!E1136,FIND(" ",'Journal'!E1136)-1),'Journal'!E1136))</f>
        <v/>
      </c>
      <c r="E2270" s="5">
        <f>IF('Journal'!E1136="","",IFERROR(INDEX('Kontoplan'!$B$3:$B$302,MATCH('Journal'!E1136,'Kontoplan'!$H$3:$H$302,0)),""))</f>
        <v/>
      </c>
      <c r="F2270" s="20">
        <f>IF('Journal'!F1136="","",'Journal'!F1136)</f>
        <v/>
      </c>
      <c r="G2270" s="20">
        <f>IF('Journal'!G1136="","",'Journal'!G1136)</f>
        <v/>
      </c>
      <c r="H2270" s="5">
        <f>IF('Journal'!I1136="","",'Journal'!I1136)</f>
        <v/>
      </c>
    </row>
    <row r="2271">
      <c r="A2271" s="18">
        <f>IF('Journal'!A1137="","",'Journal'!A1137)</f>
        <v/>
      </c>
      <c r="B2271" s="21">
        <f>IF('Journal'!B1137="","",'Journal'!B1137)</f>
        <v/>
      </c>
      <c r="C2271" s="5">
        <f>IF('Journal'!C1137="","",'Journal'!C1137)</f>
        <v/>
      </c>
      <c r="D2271" s="5">
        <f>IF('Journal'!D1137="","",IFERROR(LEFT('Journal'!D1137,FIND(" ",'Journal'!D1137)-1),'Journal'!D1137))</f>
        <v/>
      </c>
      <c r="E2271" s="5">
        <f>IF('Journal'!D1137="","",IFERROR(INDEX('Kontoplan'!$B$3:$B$302,MATCH('Journal'!D1137,'Kontoplan'!$H$3:$H$302,0)),""))</f>
        <v/>
      </c>
      <c r="F2271" s="20">
        <f>IF('Journal'!G1137="","",'Journal'!G1137)</f>
        <v/>
      </c>
      <c r="G2271" s="20">
        <f>IF('Journal'!F1137="","",'Journal'!F1137)</f>
        <v/>
      </c>
      <c r="H2271" s="5">
        <f>IF('Journal'!I1137="","",'Journal'!I1137)</f>
        <v/>
      </c>
    </row>
    <row r="2272">
      <c r="A2272" s="18">
        <f>IF('Journal'!A1137="","",'Journal'!A1137)</f>
        <v/>
      </c>
      <c r="B2272" s="21">
        <f>IF('Journal'!B1137="","",'Journal'!B1137)</f>
        <v/>
      </c>
      <c r="C2272" s="5">
        <f>IF('Journal'!C1137="","",'Journal'!C1137)</f>
        <v/>
      </c>
      <c r="D2272" s="5">
        <f>IF('Journal'!E1137="","",IFERROR(LEFT('Journal'!E1137,FIND(" ",'Journal'!E1137)-1),'Journal'!E1137))</f>
        <v/>
      </c>
      <c r="E2272" s="5">
        <f>IF('Journal'!E1137="","",IFERROR(INDEX('Kontoplan'!$B$3:$B$302,MATCH('Journal'!E1137,'Kontoplan'!$H$3:$H$302,0)),""))</f>
        <v/>
      </c>
      <c r="F2272" s="20">
        <f>IF('Journal'!F1137="","",'Journal'!F1137)</f>
        <v/>
      </c>
      <c r="G2272" s="20">
        <f>IF('Journal'!G1137="","",'Journal'!G1137)</f>
        <v/>
      </c>
      <c r="H2272" s="5">
        <f>IF('Journal'!I1137="","",'Journal'!I1137)</f>
        <v/>
      </c>
    </row>
    <row r="2273">
      <c r="A2273" s="18">
        <f>IF('Journal'!A1138="","",'Journal'!A1138)</f>
        <v/>
      </c>
      <c r="B2273" s="21">
        <f>IF('Journal'!B1138="","",'Journal'!B1138)</f>
        <v/>
      </c>
      <c r="C2273" s="5">
        <f>IF('Journal'!C1138="","",'Journal'!C1138)</f>
        <v/>
      </c>
      <c r="D2273" s="5">
        <f>IF('Journal'!D1138="","",IFERROR(LEFT('Journal'!D1138,FIND(" ",'Journal'!D1138)-1),'Journal'!D1138))</f>
        <v/>
      </c>
      <c r="E2273" s="5">
        <f>IF('Journal'!D1138="","",IFERROR(INDEX('Kontoplan'!$B$3:$B$302,MATCH('Journal'!D1138,'Kontoplan'!$H$3:$H$302,0)),""))</f>
        <v/>
      </c>
      <c r="F2273" s="20">
        <f>IF('Journal'!G1138="","",'Journal'!G1138)</f>
        <v/>
      </c>
      <c r="G2273" s="20">
        <f>IF('Journal'!F1138="","",'Journal'!F1138)</f>
        <v/>
      </c>
      <c r="H2273" s="5">
        <f>IF('Journal'!I1138="","",'Journal'!I1138)</f>
        <v/>
      </c>
    </row>
    <row r="2274">
      <c r="A2274" s="18">
        <f>IF('Journal'!A1138="","",'Journal'!A1138)</f>
        <v/>
      </c>
      <c r="B2274" s="21">
        <f>IF('Journal'!B1138="","",'Journal'!B1138)</f>
        <v/>
      </c>
      <c r="C2274" s="5">
        <f>IF('Journal'!C1138="","",'Journal'!C1138)</f>
        <v/>
      </c>
      <c r="D2274" s="5">
        <f>IF('Journal'!E1138="","",IFERROR(LEFT('Journal'!E1138,FIND(" ",'Journal'!E1138)-1),'Journal'!E1138))</f>
        <v/>
      </c>
      <c r="E2274" s="5">
        <f>IF('Journal'!E1138="","",IFERROR(INDEX('Kontoplan'!$B$3:$B$302,MATCH('Journal'!E1138,'Kontoplan'!$H$3:$H$302,0)),""))</f>
        <v/>
      </c>
      <c r="F2274" s="20">
        <f>IF('Journal'!F1138="","",'Journal'!F1138)</f>
        <v/>
      </c>
      <c r="G2274" s="20">
        <f>IF('Journal'!G1138="","",'Journal'!G1138)</f>
        <v/>
      </c>
      <c r="H2274" s="5">
        <f>IF('Journal'!I1138="","",'Journal'!I1138)</f>
        <v/>
      </c>
    </row>
    <row r="2275">
      <c r="A2275" s="18">
        <f>IF('Journal'!A1139="","",'Journal'!A1139)</f>
        <v/>
      </c>
      <c r="B2275" s="21">
        <f>IF('Journal'!B1139="","",'Journal'!B1139)</f>
        <v/>
      </c>
      <c r="C2275" s="5">
        <f>IF('Journal'!C1139="","",'Journal'!C1139)</f>
        <v/>
      </c>
      <c r="D2275" s="5">
        <f>IF('Journal'!D1139="","",IFERROR(LEFT('Journal'!D1139,FIND(" ",'Journal'!D1139)-1),'Journal'!D1139))</f>
        <v/>
      </c>
      <c r="E2275" s="5">
        <f>IF('Journal'!D1139="","",IFERROR(INDEX('Kontoplan'!$B$3:$B$302,MATCH('Journal'!D1139,'Kontoplan'!$H$3:$H$302,0)),""))</f>
        <v/>
      </c>
      <c r="F2275" s="20">
        <f>IF('Journal'!G1139="","",'Journal'!G1139)</f>
        <v/>
      </c>
      <c r="G2275" s="20">
        <f>IF('Journal'!F1139="","",'Journal'!F1139)</f>
        <v/>
      </c>
      <c r="H2275" s="5">
        <f>IF('Journal'!I1139="","",'Journal'!I1139)</f>
        <v/>
      </c>
    </row>
    <row r="2276">
      <c r="A2276" s="18">
        <f>IF('Journal'!A1139="","",'Journal'!A1139)</f>
        <v/>
      </c>
      <c r="B2276" s="21">
        <f>IF('Journal'!B1139="","",'Journal'!B1139)</f>
        <v/>
      </c>
      <c r="C2276" s="5">
        <f>IF('Journal'!C1139="","",'Journal'!C1139)</f>
        <v/>
      </c>
      <c r="D2276" s="5">
        <f>IF('Journal'!E1139="","",IFERROR(LEFT('Journal'!E1139,FIND(" ",'Journal'!E1139)-1),'Journal'!E1139))</f>
        <v/>
      </c>
      <c r="E2276" s="5">
        <f>IF('Journal'!E1139="","",IFERROR(INDEX('Kontoplan'!$B$3:$B$302,MATCH('Journal'!E1139,'Kontoplan'!$H$3:$H$302,0)),""))</f>
        <v/>
      </c>
      <c r="F2276" s="20">
        <f>IF('Journal'!F1139="","",'Journal'!F1139)</f>
        <v/>
      </c>
      <c r="G2276" s="20">
        <f>IF('Journal'!G1139="","",'Journal'!G1139)</f>
        <v/>
      </c>
      <c r="H2276" s="5">
        <f>IF('Journal'!I1139="","",'Journal'!I1139)</f>
        <v/>
      </c>
    </row>
    <row r="2277">
      <c r="A2277" s="18">
        <f>IF('Journal'!A1140="","",'Journal'!A1140)</f>
        <v/>
      </c>
      <c r="B2277" s="21">
        <f>IF('Journal'!B1140="","",'Journal'!B1140)</f>
        <v/>
      </c>
      <c r="C2277" s="5">
        <f>IF('Journal'!C1140="","",'Journal'!C1140)</f>
        <v/>
      </c>
      <c r="D2277" s="5">
        <f>IF('Journal'!D1140="","",IFERROR(LEFT('Journal'!D1140,FIND(" ",'Journal'!D1140)-1),'Journal'!D1140))</f>
        <v/>
      </c>
      <c r="E2277" s="5">
        <f>IF('Journal'!D1140="","",IFERROR(INDEX('Kontoplan'!$B$3:$B$302,MATCH('Journal'!D1140,'Kontoplan'!$H$3:$H$302,0)),""))</f>
        <v/>
      </c>
      <c r="F2277" s="20">
        <f>IF('Journal'!G1140="","",'Journal'!G1140)</f>
        <v/>
      </c>
      <c r="G2277" s="20">
        <f>IF('Journal'!F1140="","",'Journal'!F1140)</f>
        <v/>
      </c>
      <c r="H2277" s="5">
        <f>IF('Journal'!I1140="","",'Journal'!I1140)</f>
        <v/>
      </c>
    </row>
    <row r="2278">
      <c r="A2278" s="18">
        <f>IF('Journal'!A1140="","",'Journal'!A1140)</f>
        <v/>
      </c>
      <c r="B2278" s="21">
        <f>IF('Journal'!B1140="","",'Journal'!B1140)</f>
        <v/>
      </c>
      <c r="C2278" s="5">
        <f>IF('Journal'!C1140="","",'Journal'!C1140)</f>
        <v/>
      </c>
      <c r="D2278" s="5">
        <f>IF('Journal'!E1140="","",IFERROR(LEFT('Journal'!E1140,FIND(" ",'Journal'!E1140)-1),'Journal'!E1140))</f>
        <v/>
      </c>
      <c r="E2278" s="5">
        <f>IF('Journal'!E1140="","",IFERROR(INDEX('Kontoplan'!$B$3:$B$302,MATCH('Journal'!E1140,'Kontoplan'!$H$3:$H$302,0)),""))</f>
        <v/>
      </c>
      <c r="F2278" s="20">
        <f>IF('Journal'!F1140="","",'Journal'!F1140)</f>
        <v/>
      </c>
      <c r="G2278" s="20">
        <f>IF('Journal'!G1140="","",'Journal'!G1140)</f>
        <v/>
      </c>
      <c r="H2278" s="5">
        <f>IF('Journal'!I1140="","",'Journal'!I1140)</f>
        <v/>
      </c>
    </row>
    <row r="2279">
      <c r="A2279" s="18">
        <f>IF('Journal'!A1141="","",'Journal'!A1141)</f>
        <v/>
      </c>
      <c r="B2279" s="21">
        <f>IF('Journal'!B1141="","",'Journal'!B1141)</f>
        <v/>
      </c>
      <c r="C2279" s="5">
        <f>IF('Journal'!C1141="","",'Journal'!C1141)</f>
        <v/>
      </c>
      <c r="D2279" s="5">
        <f>IF('Journal'!D1141="","",IFERROR(LEFT('Journal'!D1141,FIND(" ",'Journal'!D1141)-1),'Journal'!D1141))</f>
        <v/>
      </c>
      <c r="E2279" s="5">
        <f>IF('Journal'!D1141="","",IFERROR(INDEX('Kontoplan'!$B$3:$B$302,MATCH('Journal'!D1141,'Kontoplan'!$H$3:$H$302,0)),""))</f>
        <v/>
      </c>
      <c r="F2279" s="20">
        <f>IF('Journal'!G1141="","",'Journal'!G1141)</f>
        <v/>
      </c>
      <c r="G2279" s="20">
        <f>IF('Journal'!F1141="","",'Journal'!F1141)</f>
        <v/>
      </c>
      <c r="H2279" s="5">
        <f>IF('Journal'!I1141="","",'Journal'!I1141)</f>
        <v/>
      </c>
    </row>
    <row r="2280">
      <c r="A2280" s="18">
        <f>IF('Journal'!A1141="","",'Journal'!A1141)</f>
        <v/>
      </c>
      <c r="B2280" s="21">
        <f>IF('Journal'!B1141="","",'Journal'!B1141)</f>
        <v/>
      </c>
      <c r="C2280" s="5">
        <f>IF('Journal'!C1141="","",'Journal'!C1141)</f>
        <v/>
      </c>
      <c r="D2280" s="5">
        <f>IF('Journal'!E1141="","",IFERROR(LEFT('Journal'!E1141,FIND(" ",'Journal'!E1141)-1),'Journal'!E1141))</f>
        <v/>
      </c>
      <c r="E2280" s="5">
        <f>IF('Journal'!E1141="","",IFERROR(INDEX('Kontoplan'!$B$3:$B$302,MATCH('Journal'!E1141,'Kontoplan'!$H$3:$H$302,0)),""))</f>
        <v/>
      </c>
      <c r="F2280" s="20">
        <f>IF('Journal'!F1141="","",'Journal'!F1141)</f>
        <v/>
      </c>
      <c r="G2280" s="20">
        <f>IF('Journal'!G1141="","",'Journal'!G1141)</f>
        <v/>
      </c>
      <c r="H2280" s="5">
        <f>IF('Journal'!I1141="","",'Journal'!I1141)</f>
        <v/>
      </c>
    </row>
    <row r="2281">
      <c r="A2281" s="18">
        <f>IF('Journal'!A1142="","",'Journal'!A1142)</f>
        <v/>
      </c>
      <c r="B2281" s="21">
        <f>IF('Journal'!B1142="","",'Journal'!B1142)</f>
        <v/>
      </c>
      <c r="C2281" s="5">
        <f>IF('Journal'!C1142="","",'Journal'!C1142)</f>
        <v/>
      </c>
      <c r="D2281" s="5">
        <f>IF('Journal'!D1142="","",IFERROR(LEFT('Journal'!D1142,FIND(" ",'Journal'!D1142)-1),'Journal'!D1142))</f>
        <v/>
      </c>
      <c r="E2281" s="5">
        <f>IF('Journal'!D1142="","",IFERROR(INDEX('Kontoplan'!$B$3:$B$302,MATCH('Journal'!D1142,'Kontoplan'!$H$3:$H$302,0)),""))</f>
        <v/>
      </c>
      <c r="F2281" s="20">
        <f>IF('Journal'!G1142="","",'Journal'!G1142)</f>
        <v/>
      </c>
      <c r="G2281" s="20">
        <f>IF('Journal'!F1142="","",'Journal'!F1142)</f>
        <v/>
      </c>
      <c r="H2281" s="5">
        <f>IF('Journal'!I1142="","",'Journal'!I1142)</f>
        <v/>
      </c>
    </row>
    <row r="2282">
      <c r="A2282" s="18">
        <f>IF('Journal'!A1142="","",'Journal'!A1142)</f>
        <v/>
      </c>
      <c r="B2282" s="21">
        <f>IF('Journal'!B1142="","",'Journal'!B1142)</f>
        <v/>
      </c>
      <c r="C2282" s="5">
        <f>IF('Journal'!C1142="","",'Journal'!C1142)</f>
        <v/>
      </c>
      <c r="D2282" s="5">
        <f>IF('Journal'!E1142="","",IFERROR(LEFT('Journal'!E1142,FIND(" ",'Journal'!E1142)-1),'Journal'!E1142))</f>
        <v/>
      </c>
      <c r="E2282" s="5">
        <f>IF('Journal'!E1142="","",IFERROR(INDEX('Kontoplan'!$B$3:$B$302,MATCH('Journal'!E1142,'Kontoplan'!$H$3:$H$302,0)),""))</f>
        <v/>
      </c>
      <c r="F2282" s="20">
        <f>IF('Journal'!F1142="","",'Journal'!F1142)</f>
        <v/>
      </c>
      <c r="G2282" s="20">
        <f>IF('Journal'!G1142="","",'Journal'!G1142)</f>
        <v/>
      </c>
      <c r="H2282" s="5">
        <f>IF('Journal'!I1142="","",'Journal'!I1142)</f>
        <v/>
      </c>
    </row>
    <row r="2283">
      <c r="A2283" s="18">
        <f>IF('Journal'!A1143="","",'Journal'!A1143)</f>
        <v/>
      </c>
      <c r="B2283" s="21">
        <f>IF('Journal'!B1143="","",'Journal'!B1143)</f>
        <v/>
      </c>
      <c r="C2283" s="5">
        <f>IF('Journal'!C1143="","",'Journal'!C1143)</f>
        <v/>
      </c>
      <c r="D2283" s="5">
        <f>IF('Journal'!D1143="","",IFERROR(LEFT('Journal'!D1143,FIND(" ",'Journal'!D1143)-1),'Journal'!D1143))</f>
        <v/>
      </c>
      <c r="E2283" s="5">
        <f>IF('Journal'!D1143="","",IFERROR(INDEX('Kontoplan'!$B$3:$B$302,MATCH('Journal'!D1143,'Kontoplan'!$H$3:$H$302,0)),""))</f>
        <v/>
      </c>
      <c r="F2283" s="20">
        <f>IF('Journal'!G1143="","",'Journal'!G1143)</f>
        <v/>
      </c>
      <c r="G2283" s="20">
        <f>IF('Journal'!F1143="","",'Journal'!F1143)</f>
        <v/>
      </c>
      <c r="H2283" s="5">
        <f>IF('Journal'!I1143="","",'Journal'!I1143)</f>
        <v/>
      </c>
    </row>
    <row r="2284">
      <c r="A2284" s="18">
        <f>IF('Journal'!A1143="","",'Journal'!A1143)</f>
        <v/>
      </c>
      <c r="B2284" s="21">
        <f>IF('Journal'!B1143="","",'Journal'!B1143)</f>
        <v/>
      </c>
      <c r="C2284" s="5">
        <f>IF('Journal'!C1143="","",'Journal'!C1143)</f>
        <v/>
      </c>
      <c r="D2284" s="5">
        <f>IF('Journal'!E1143="","",IFERROR(LEFT('Journal'!E1143,FIND(" ",'Journal'!E1143)-1),'Journal'!E1143))</f>
        <v/>
      </c>
      <c r="E2284" s="5">
        <f>IF('Journal'!E1143="","",IFERROR(INDEX('Kontoplan'!$B$3:$B$302,MATCH('Journal'!E1143,'Kontoplan'!$H$3:$H$302,0)),""))</f>
        <v/>
      </c>
      <c r="F2284" s="20">
        <f>IF('Journal'!F1143="","",'Journal'!F1143)</f>
        <v/>
      </c>
      <c r="G2284" s="20">
        <f>IF('Journal'!G1143="","",'Journal'!G1143)</f>
        <v/>
      </c>
      <c r="H2284" s="5">
        <f>IF('Journal'!I1143="","",'Journal'!I1143)</f>
        <v/>
      </c>
    </row>
    <row r="2285">
      <c r="A2285" s="18">
        <f>IF('Journal'!A1144="","",'Journal'!A1144)</f>
        <v/>
      </c>
      <c r="B2285" s="21">
        <f>IF('Journal'!B1144="","",'Journal'!B1144)</f>
        <v/>
      </c>
      <c r="C2285" s="5">
        <f>IF('Journal'!C1144="","",'Journal'!C1144)</f>
        <v/>
      </c>
      <c r="D2285" s="5">
        <f>IF('Journal'!D1144="","",IFERROR(LEFT('Journal'!D1144,FIND(" ",'Journal'!D1144)-1),'Journal'!D1144))</f>
        <v/>
      </c>
      <c r="E2285" s="5">
        <f>IF('Journal'!D1144="","",IFERROR(INDEX('Kontoplan'!$B$3:$B$302,MATCH('Journal'!D1144,'Kontoplan'!$H$3:$H$302,0)),""))</f>
        <v/>
      </c>
      <c r="F2285" s="20">
        <f>IF('Journal'!G1144="","",'Journal'!G1144)</f>
        <v/>
      </c>
      <c r="G2285" s="20">
        <f>IF('Journal'!F1144="","",'Journal'!F1144)</f>
        <v/>
      </c>
      <c r="H2285" s="5">
        <f>IF('Journal'!I1144="","",'Journal'!I1144)</f>
        <v/>
      </c>
    </row>
    <row r="2286">
      <c r="A2286" s="18">
        <f>IF('Journal'!A1144="","",'Journal'!A1144)</f>
        <v/>
      </c>
      <c r="B2286" s="21">
        <f>IF('Journal'!B1144="","",'Journal'!B1144)</f>
        <v/>
      </c>
      <c r="C2286" s="5">
        <f>IF('Journal'!C1144="","",'Journal'!C1144)</f>
        <v/>
      </c>
      <c r="D2286" s="5">
        <f>IF('Journal'!E1144="","",IFERROR(LEFT('Journal'!E1144,FIND(" ",'Journal'!E1144)-1),'Journal'!E1144))</f>
        <v/>
      </c>
      <c r="E2286" s="5">
        <f>IF('Journal'!E1144="","",IFERROR(INDEX('Kontoplan'!$B$3:$B$302,MATCH('Journal'!E1144,'Kontoplan'!$H$3:$H$302,0)),""))</f>
        <v/>
      </c>
      <c r="F2286" s="20">
        <f>IF('Journal'!F1144="","",'Journal'!F1144)</f>
        <v/>
      </c>
      <c r="G2286" s="20">
        <f>IF('Journal'!G1144="","",'Journal'!G1144)</f>
        <v/>
      </c>
      <c r="H2286" s="5">
        <f>IF('Journal'!I1144="","",'Journal'!I1144)</f>
        <v/>
      </c>
    </row>
    <row r="2287">
      <c r="A2287" s="18">
        <f>IF('Journal'!A1145="","",'Journal'!A1145)</f>
        <v/>
      </c>
      <c r="B2287" s="21">
        <f>IF('Journal'!B1145="","",'Journal'!B1145)</f>
        <v/>
      </c>
      <c r="C2287" s="5">
        <f>IF('Journal'!C1145="","",'Journal'!C1145)</f>
        <v/>
      </c>
      <c r="D2287" s="5">
        <f>IF('Journal'!D1145="","",IFERROR(LEFT('Journal'!D1145,FIND(" ",'Journal'!D1145)-1),'Journal'!D1145))</f>
        <v/>
      </c>
      <c r="E2287" s="5">
        <f>IF('Journal'!D1145="","",IFERROR(INDEX('Kontoplan'!$B$3:$B$302,MATCH('Journal'!D1145,'Kontoplan'!$H$3:$H$302,0)),""))</f>
        <v/>
      </c>
      <c r="F2287" s="20">
        <f>IF('Journal'!G1145="","",'Journal'!G1145)</f>
        <v/>
      </c>
      <c r="G2287" s="20">
        <f>IF('Journal'!F1145="","",'Journal'!F1145)</f>
        <v/>
      </c>
      <c r="H2287" s="5">
        <f>IF('Journal'!I1145="","",'Journal'!I1145)</f>
        <v/>
      </c>
    </row>
    <row r="2288">
      <c r="A2288" s="18">
        <f>IF('Journal'!A1145="","",'Journal'!A1145)</f>
        <v/>
      </c>
      <c r="B2288" s="21">
        <f>IF('Journal'!B1145="","",'Journal'!B1145)</f>
        <v/>
      </c>
      <c r="C2288" s="5">
        <f>IF('Journal'!C1145="","",'Journal'!C1145)</f>
        <v/>
      </c>
      <c r="D2288" s="5">
        <f>IF('Journal'!E1145="","",IFERROR(LEFT('Journal'!E1145,FIND(" ",'Journal'!E1145)-1),'Journal'!E1145))</f>
        <v/>
      </c>
      <c r="E2288" s="5">
        <f>IF('Journal'!E1145="","",IFERROR(INDEX('Kontoplan'!$B$3:$B$302,MATCH('Journal'!E1145,'Kontoplan'!$H$3:$H$302,0)),""))</f>
        <v/>
      </c>
      <c r="F2288" s="20">
        <f>IF('Journal'!F1145="","",'Journal'!F1145)</f>
        <v/>
      </c>
      <c r="G2288" s="20">
        <f>IF('Journal'!G1145="","",'Journal'!G1145)</f>
        <v/>
      </c>
      <c r="H2288" s="5">
        <f>IF('Journal'!I1145="","",'Journal'!I1145)</f>
        <v/>
      </c>
    </row>
    <row r="2289">
      <c r="A2289" s="18">
        <f>IF('Journal'!A1146="","",'Journal'!A1146)</f>
        <v/>
      </c>
      <c r="B2289" s="21">
        <f>IF('Journal'!B1146="","",'Journal'!B1146)</f>
        <v/>
      </c>
      <c r="C2289" s="5">
        <f>IF('Journal'!C1146="","",'Journal'!C1146)</f>
        <v/>
      </c>
      <c r="D2289" s="5">
        <f>IF('Journal'!D1146="","",IFERROR(LEFT('Journal'!D1146,FIND(" ",'Journal'!D1146)-1),'Journal'!D1146))</f>
        <v/>
      </c>
      <c r="E2289" s="5">
        <f>IF('Journal'!D1146="","",IFERROR(INDEX('Kontoplan'!$B$3:$B$302,MATCH('Journal'!D1146,'Kontoplan'!$H$3:$H$302,0)),""))</f>
        <v/>
      </c>
      <c r="F2289" s="20">
        <f>IF('Journal'!G1146="","",'Journal'!G1146)</f>
        <v/>
      </c>
      <c r="G2289" s="20">
        <f>IF('Journal'!F1146="","",'Journal'!F1146)</f>
        <v/>
      </c>
      <c r="H2289" s="5">
        <f>IF('Journal'!I1146="","",'Journal'!I1146)</f>
        <v/>
      </c>
    </row>
    <row r="2290">
      <c r="A2290" s="18">
        <f>IF('Journal'!A1146="","",'Journal'!A1146)</f>
        <v/>
      </c>
      <c r="B2290" s="21">
        <f>IF('Journal'!B1146="","",'Journal'!B1146)</f>
        <v/>
      </c>
      <c r="C2290" s="5">
        <f>IF('Journal'!C1146="","",'Journal'!C1146)</f>
        <v/>
      </c>
      <c r="D2290" s="5">
        <f>IF('Journal'!E1146="","",IFERROR(LEFT('Journal'!E1146,FIND(" ",'Journal'!E1146)-1),'Journal'!E1146))</f>
        <v/>
      </c>
      <c r="E2290" s="5">
        <f>IF('Journal'!E1146="","",IFERROR(INDEX('Kontoplan'!$B$3:$B$302,MATCH('Journal'!E1146,'Kontoplan'!$H$3:$H$302,0)),""))</f>
        <v/>
      </c>
      <c r="F2290" s="20">
        <f>IF('Journal'!F1146="","",'Journal'!F1146)</f>
        <v/>
      </c>
      <c r="G2290" s="20">
        <f>IF('Journal'!G1146="","",'Journal'!G1146)</f>
        <v/>
      </c>
      <c r="H2290" s="5">
        <f>IF('Journal'!I1146="","",'Journal'!I1146)</f>
        <v/>
      </c>
    </row>
    <row r="2291">
      <c r="A2291" s="18">
        <f>IF('Journal'!A1147="","",'Journal'!A1147)</f>
        <v/>
      </c>
      <c r="B2291" s="21">
        <f>IF('Journal'!B1147="","",'Journal'!B1147)</f>
        <v/>
      </c>
      <c r="C2291" s="5">
        <f>IF('Journal'!C1147="","",'Journal'!C1147)</f>
        <v/>
      </c>
      <c r="D2291" s="5">
        <f>IF('Journal'!D1147="","",IFERROR(LEFT('Journal'!D1147,FIND(" ",'Journal'!D1147)-1),'Journal'!D1147))</f>
        <v/>
      </c>
      <c r="E2291" s="5">
        <f>IF('Journal'!D1147="","",IFERROR(INDEX('Kontoplan'!$B$3:$B$302,MATCH('Journal'!D1147,'Kontoplan'!$H$3:$H$302,0)),""))</f>
        <v/>
      </c>
      <c r="F2291" s="20">
        <f>IF('Journal'!G1147="","",'Journal'!G1147)</f>
        <v/>
      </c>
      <c r="G2291" s="20">
        <f>IF('Journal'!F1147="","",'Journal'!F1147)</f>
        <v/>
      </c>
      <c r="H2291" s="5">
        <f>IF('Journal'!I1147="","",'Journal'!I1147)</f>
        <v/>
      </c>
    </row>
    <row r="2292">
      <c r="A2292" s="18">
        <f>IF('Journal'!A1147="","",'Journal'!A1147)</f>
        <v/>
      </c>
      <c r="B2292" s="21">
        <f>IF('Journal'!B1147="","",'Journal'!B1147)</f>
        <v/>
      </c>
      <c r="C2292" s="5">
        <f>IF('Journal'!C1147="","",'Journal'!C1147)</f>
        <v/>
      </c>
      <c r="D2292" s="5">
        <f>IF('Journal'!E1147="","",IFERROR(LEFT('Journal'!E1147,FIND(" ",'Journal'!E1147)-1),'Journal'!E1147))</f>
        <v/>
      </c>
      <c r="E2292" s="5">
        <f>IF('Journal'!E1147="","",IFERROR(INDEX('Kontoplan'!$B$3:$B$302,MATCH('Journal'!E1147,'Kontoplan'!$H$3:$H$302,0)),""))</f>
        <v/>
      </c>
      <c r="F2292" s="20">
        <f>IF('Journal'!F1147="","",'Journal'!F1147)</f>
        <v/>
      </c>
      <c r="G2292" s="20">
        <f>IF('Journal'!G1147="","",'Journal'!G1147)</f>
        <v/>
      </c>
      <c r="H2292" s="5">
        <f>IF('Journal'!I1147="","",'Journal'!I1147)</f>
        <v/>
      </c>
    </row>
    <row r="2293">
      <c r="A2293" s="18">
        <f>IF('Journal'!A1148="","",'Journal'!A1148)</f>
        <v/>
      </c>
      <c r="B2293" s="21">
        <f>IF('Journal'!B1148="","",'Journal'!B1148)</f>
        <v/>
      </c>
      <c r="C2293" s="5">
        <f>IF('Journal'!C1148="","",'Journal'!C1148)</f>
        <v/>
      </c>
      <c r="D2293" s="5">
        <f>IF('Journal'!D1148="","",IFERROR(LEFT('Journal'!D1148,FIND(" ",'Journal'!D1148)-1),'Journal'!D1148))</f>
        <v/>
      </c>
      <c r="E2293" s="5">
        <f>IF('Journal'!D1148="","",IFERROR(INDEX('Kontoplan'!$B$3:$B$302,MATCH('Journal'!D1148,'Kontoplan'!$H$3:$H$302,0)),""))</f>
        <v/>
      </c>
      <c r="F2293" s="20">
        <f>IF('Journal'!G1148="","",'Journal'!G1148)</f>
        <v/>
      </c>
      <c r="G2293" s="20">
        <f>IF('Journal'!F1148="","",'Journal'!F1148)</f>
        <v/>
      </c>
      <c r="H2293" s="5">
        <f>IF('Journal'!I1148="","",'Journal'!I1148)</f>
        <v/>
      </c>
    </row>
    <row r="2294">
      <c r="A2294" s="18">
        <f>IF('Journal'!A1148="","",'Journal'!A1148)</f>
        <v/>
      </c>
      <c r="B2294" s="21">
        <f>IF('Journal'!B1148="","",'Journal'!B1148)</f>
        <v/>
      </c>
      <c r="C2294" s="5">
        <f>IF('Journal'!C1148="","",'Journal'!C1148)</f>
        <v/>
      </c>
      <c r="D2294" s="5">
        <f>IF('Journal'!E1148="","",IFERROR(LEFT('Journal'!E1148,FIND(" ",'Journal'!E1148)-1),'Journal'!E1148))</f>
        <v/>
      </c>
      <c r="E2294" s="5">
        <f>IF('Journal'!E1148="","",IFERROR(INDEX('Kontoplan'!$B$3:$B$302,MATCH('Journal'!E1148,'Kontoplan'!$H$3:$H$302,0)),""))</f>
        <v/>
      </c>
      <c r="F2294" s="20">
        <f>IF('Journal'!F1148="","",'Journal'!F1148)</f>
        <v/>
      </c>
      <c r="G2294" s="20">
        <f>IF('Journal'!G1148="","",'Journal'!G1148)</f>
        <v/>
      </c>
      <c r="H2294" s="5">
        <f>IF('Journal'!I1148="","",'Journal'!I1148)</f>
        <v/>
      </c>
    </row>
    <row r="2295">
      <c r="A2295" s="18">
        <f>IF('Journal'!A1149="","",'Journal'!A1149)</f>
        <v/>
      </c>
      <c r="B2295" s="21">
        <f>IF('Journal'!B1149="","",'Journal'!B1149)</f>
        <v/>
      </c>
      <c r="C2295" s="5">
        <f>IF('Journal'!C1149="","",'Journal'!C1149)</f>
        <v/>
      </c>
      <c r="D2295" s="5">
        <f>IF('Journal'!D1149="","",IFERROR(LEFT('Journal'!D1149,FIND(" ",'Journal'!D1149)-1),'Journal'!D1149))</f>
        <v/>
      </c>
      <c r="E2295" s="5">
        <f>IF('Journal'!D1149="","",IFERROR(INDEX('Kontoplan'!$B$3:$B$302,MATCH('Journal'!D1149,'Kontoplan'!$H$3:$H$302,0)),""))</f>
        <v/>
      </c>
      <c r="F2295" s="20">
        <f>IF('Journal'!G1149="","",'Journal'!G1149)</f>
        <v/>
      </c>
      <c r="G2295" s="20">
        <f>IF('Journal'!F1149="","",'Journal'!F1149)</f>
        <v/>
      </c>
      <c r="H2295" s="5">
        <f>IF('Journal'!I1149="","",'Journal'!I1149)</f>
        <v/>
      </c>
    </row>
    <row r="2296">
      <c r="A2296" s="18">
        <f>IF('Journal'!A1149="","",'Journal'!A1149)</f>
        <v/>
      </c>
      <c r="B2296" s="21">
        <f>IF('Journal'!B1149="","",'Journal'!B1149)</f>
        <v/>
      </c>
      <c r="C2296" s="5">
        <f>IF('Journal'!C1149="","",'Journal'!C1149)</f>
        <v/>
      </c>
      <c r="D2296" s="5">
        <f>IF('Journal'!E1149="","",IFERROR(LEFT('Journal'!E1149,FIND(" ",'Journal'!E1149)-1),'Journal'!E1149))</f>
        <v/>
      </c>
      <c r="E2296" s="5">
        <f>IF('Journal'!E1149="","",IFERROR(INDEX('Kontoplan'!$B$3:$B$302,MATCH('Journal'!E1149,'Kontoplan'!$H$3:$H$302,0)),""))</f>
        <v/>
      </c>
      <c r="F2296" s="20">
        <f>IF('Journal'!F1149="","",'Journal'!F1149)</f>
        <v/>
      </c>
      <c r="G2296" s="20">
        <f>IF('Journal'!G1149="","",'Journal'!G1149)</f>
        <v/>
      </c>
      <c r="H2296" s="5">
        <f>IF('Journal'!I1149="","",'Journal'!I1149)</f>
        <v/>
      </c>
    </row>
    <row r="2297">
      <c r="A2297" s="18">
        <f>IF('Journal'!A1150="","",'Journal'!A1150)</f>
        <v/>
      </c>
      <c r="B2297" s="21">
        <f>IF('Journal'!B1150="","",'Journal'!B1150)</f>
        <v/>
      </c>
      <c r="C2297" s="5">
        <f>IF('Journal'!C1150="","",'Journal'!C1150)</f>
        <v/>
      </c>
      <c r="D2297" s="5">
        <f>IF('Journal'!D1150="","",IFERROR(LEFT('Journal'!D1150,FIND(" ",'Journal'!D1150)-1),'Journal'!D1150))</f>
        <v/>
      </c>
      <c r="E2297" s="5">
        <f>IF('Journal'!D1150="","",IFERROR(INDEX('Kontoplan'!$B$3:$B$302,MATCH('Journal'!D1150,'Kontoplan'!$H$3:$H$302,0)),""))</f>
        <v/>
      </c>
      <c r="F2297" s="20">
        <f>IF('Journal'!G1150="","",'Journal'!G1150)</f>
        <v/>
      </c>
      <c r="G2297" s="20">
        <f>IF('Journal'!F1150="","",'Journal'!F1150)</f>
        <v/>
      </c>
      <c r="H2297" s="5">
        <f>IF('Journal'!I1150="","",'Journal'!I1150)</f>
        <v/>
      </c>
    </row>
    <row r="2298">
      <c r="A2298" s="18">
        <f>IF('Journal'!A1150="","",'Journal'!A1150)</f>
        <v/>
      </c>
      <c r="B2298" s="21">
        <f>IF('Journal'!B1150="","",'Journal'!B1150)</f>
        <v/>
      </c>
      <c r="C2298" s="5">
        <f>IF('Journal'!C1150="","",'Journal'!C1150)</f>
        <v/>
      </c>
      <c r="D2298" s="5">
        <f>IF('Journal'!E1150="","",IFERROR(LEFT('Journal'!E1150,FIND(" ",'Journal'!E1150)-1),'Journal'!E1150))</f>
        <v/>
      </c>
      <c r="E2298" s="5">
        <f>IF('Journal'!E1150="","",IFERROR(INDEX('Kontoplan'!$B$3:$B$302,MATCH('Journal'!E1150,'Kontoplan'!$H$3:$H$302,0)),""))</f>
        <v/>
      </c>
      <c r="F2298" s="20">
        <f>IF('Journal'!F1150="","",'Journal'!F1150)</f>
        <v/>
      </c>
      <c r="G2298" s="20">
        <f>IF('Journal'!G1150="","",'Journal'!G1150)</f>
        <v/>
      </c>
      <c r="H2298" s="5">
        <f>IF('Journal'!I1150="","",'Journal'!I1150)</f>
        <v/>
      </c>
    </row>
    <row r="2299">
      <c r="A2299" s="18">
        <f>IF('Journal'!A1151="","",'Journal'!A1151)</f>
        <v/>
      </c>
      <c r="B2299" s="21">
        <f>IF('Journal'!B1151="","",'Journal'!B1151)</f>
        <v/>
      </c>
      <c r="C2299" s="5">
        <f>IF('Journal'!C1151="","",'Journal'!C1151)</f>
        <v/>
      </c>
      <c r="D2299" s="5">
        <f>IF('Journal'!D1151="","",IFERROR(LEFT('Journal'!D1151,FIND(" ",'Journal'!D1151)-1),'Journal'!D1151))</f>
        <v/>
      </c>
      <c r="E2299" s="5">
        <f>IF('Journal'!D1151="","",IFERROR(INDEX('Kontoplan'!$B$3:$B$302,MATCH('Journal'!D1151,'Kontoplan'!$H$3:$H$302,0)),""))</f>
        <v/>
      </c>
      <c r="F2299" s="20">
        <f>IF('Journal'!G1151="","",'Journal'!G1151)</f>
        <v/>
      </c>
      <c r="G2299" s="20">
        <f>IF('Journal'!F1151="","",'Journal'!F1151)</f>
        <v/>
      </c>
      <c r="H2299" s="5">
        <f>IF('Journal'!I1151="","",'Journal'!I1151)</f>
        <v/>
      </c>
    </row>
    <row r="2300">
      <c r="A2300" s="18">
        <f>IF('Journal'!A1151="","",'Journal'!A1151)</f>
        <v/>
      </c>
      <c r="B2300" s="21">
        <f>IF('Journal'!B1151="","",'Journal'!B1151)</f>
        <v/>
      </c>
      <c r="C2300" s="5">
        <f>IF('Journal'!C1151="","",'Journal'!C1151)</f>
        <v/>
      </c>
      <c r="D2300" s="5">
        <f>IF('Journal'!E1151="","",IFERROR(LEFT('Journal'!E1151,FIND(" ",'Journal'!E1151)-1),'Journal'!E1151))</f>
        <v/>
      </c>
      <c r="E2300" s="5">
        <f>IF('Journal'!E1151="","",IFERROR(INDEX('Kontoplan'!$B$3:$B$302,MATCH('Journal'!E1151,'Kontoplan'!$H$3:$H$302,0)),""))</f>
        <v/>
      </c>
      <c r="F2300" s="20">
        <f>IF('Journal'!F1151="","",'Journal'!F1151)</f>
        <v/>
      </c>
      <c r="G2300" s="20">
        <f>IF('Journal'!G1151="","",'Journal'!G1151)</f>
        <v/>
      </c>
      <c r="H2300" s="5">
        <f>IF('Journal'!I1151="","",'Journal'!I1151)</f>
        <v/>
      </c>
    </row>
    <row r="2301">
      <c r="A2301" s="18">
        <f>IF('Journal'!A1152="","",'Journal'!A1152)</f>
        <v/>
      </c>
      <c r="B2301" s="21">
        <f>IF('Journal'!B1152="","",'Journal'!B1152)</f>
        <v/>
      </c>
      <c r="C2301" s="5">
        <f>IF('Journal'!C1152="","",'Journal'!C1152)</f>
        <v/>
      </c>
      <c r="D2301" s="5">
        <f>IF('Journal'!D1152="","",IFERROR(LEFT('Journal'!D1152,FIND(" ",'Journal'!D1152)-1),'Journal'!D1152))</f>
        <v/>
      </c>
      <c r="E2301" s="5">
        <f>IF('Journal'!D1152="","",IFERROR(INDEX('Kontoplan'!$B$3:$B$302,MATCH('Journal'!D1152,'Kontoplan'!$H$3:$H$302,0)),""))</f>
        <v/>
      </c>
      <c r="F2301" s="20">
        <f>IF('Journal'!G1152="","",'Journal'!G1152)</f>
        <v/>
      </c>
      <c r="G2301" s="20">
        <f>IF('Journal'!F1152="","",'Journal'!F1152)</f>
        <v/>
      </c>
      <c r="H2301" s="5">
        <f>IF('Journal'!I1152="","",'Journal'!I1152)</f>
        <v/>
      </c>
    </row>
    <row r="2302">
      <c r="A2302" s="18">
        <f>IF('Journal'!A1152="","",'Journal'!A1152)</f>
        <v/>
      </c>
      <c r="B2302" s="21">
        <f>IF('Journal'!B1152="","",'Journal'!B1152)</f>
        <v/>
      </c>
      <c r="C2302" s="5">
        <f>IF('Journal'!C1152="","",'Journal'!C1152)</f>
        <v/>
      </c>
      <c r="D2302" s="5">
        <f>IF('Journal'!E1152="","",IFERROR(LEFT('Journal'!E1152,FIND(" ",'Journal'!E1152)-1),'Journal'!E1152))</f>
        <v/>
      </c>
      <c r="E2302" s="5">
        <f>IF('Journal'!E1152="","",IFERROR(INDEX('Kontoplan'!$B$3:$B$302,MATCH('Journal'!E1152,'Kontoplan'!$H$3:$H$302,0)),""))</f>
        <v/>
      </c>
      <c r="F2302" s="20">
        <f>IF('Journal'!F1152="","",'Journal'!F1152)</f>
        <v/>
      </c>
      <c r="G2302" s="20">
        <f>IF('Journal'!G1152="","",'Journal'!G1152)</f>
        <v/>
      </c>
      <c r="H2302" s="5">
        <f>IF('Journal'!I1152="","",'Journal'!I1152)</f>
        <v/>
      </c>
    </row>
    <row r="2303">
      <c r="A2303" s="18">
        <f>IF('Journal'!A1153="","",'Journal'!A1153)</f>
        <v/>
      </c>
      <c r="B2303" s="21">
        <f>IF('Journal'!B1153="","",'Journal'!B1153)</f>
        <v/>
      </c>
      <c r="C2303" s="5">
        <f>IF('Journal'!C1153="","",'Journal'!C1153)</f>
        <v/>
      </c>
      <c r="D2303" s="5">
        <f>IF('Journal'!D1153="","",IFERROR(LEFT('Journal'!D1153,FIND(" ",'Journal'!D1153)-1),'Journal'!D1153))</f>
        <v/>
      </c>
      <c r="E2303" s="5">
        <f>IF('Journal'!D1153="","",IFERROR(INDEX('Kontoplan'!$B$3:$B$302,MATCH('Journal'!D1153,'Kontoplan'!$H$3:$H$302,0)),""))</f>
        <v/>
      </c>
      <c r="F2303" s="20">
        <f>IF('Journal'!G1153="","",'Journal'!G1153)</f>
        <v/>
      </c>
      <c r="G2303" s="20">
        <f>IF('Journal'!F1153="","",'Journal'!F1153)</f>
        <v/>
      </c>
      <c r="H2303" s="5">
        <f>IF('Journal'!I1153="","",'Journal'!I1153)</f>
        <v/>
      </c>
    </row>
    <row r="2304">
      <c r="A2304" s="18">
        <f>IF('Journal'!A1153="","",'Journal'!A1153)</f>
        <v/>
      </c>
      <c r="B2304" s="21">
        <f>IF('Journal'!B1153="","",'Journal'!B1153)</f>
        <v/>
      </c>
      <c r="C2304" s="5">
        <f>IF('Journal'!C1153="","",'Journal'!C1153)</f>
        <v/>
      </c>
      <c r="D2304" s="5">
        <f>IF('Journal'!E1153="","",IFERROR(LEFT('Journal'!E1153,FIND(" ",'Journal'!E1153)-1),'Journal'!E1153))</f>
        <v/>
      </c>
      <c r="E2304" s="5">
        <f>IF('Journal'!E1153="","",IFERROR(INDEX('Kontoplan'!$B$3:$B$302,MATCH('Journal'!E1153,'Kontoplan'!$H$3:$H$302,0)),""))</f>
        <v/>
      </c>
      <c r="F2304" s="20">
        <f>IF('Journal'!F1153="","",'Journal'!F1153)</f>
        <v/>
      </c>
      <c r="G2304" s="20">
        <f>IF('Journal'!G1153="","",'Journal'!G1153)</f>
        <v/>
      </c>
      <c r="H2304" s="5">
        <f>IF('Journal'!I1153="","",'Journal'!I1153)</f>
        <v/>
      </c>
    </row>
    <row r="2305">
      <c r="A2305" s="18">
        <f>IF('Journal'!A1154="","",'Journal'!A1154)</f>
        <v/>
      </c>
      <c r="B2305" s="21">
        <f>IF('Journal'!B1154="","",'Journal'!B1154)</f>
        <v/>
      </c>
      <c r="C2305" s="5">
        <f>IF('Journal'!C1154="","",'Journal'!C1154)</f>
        <v/>
      </c>
      <c r="D2305" s="5">
        <f>IF('Journal'!D1154="","",IFERROR(LEFT('Journal'!D1154,FIND(" ",'Journal'!D1154)-1),'Journal'!D1154))</f>
        <v/>
      </c>
      <c r="E2305" s="5">
        <f>IF('Journal'!D1154="","",IFERROR(INDEX('Kontoplan'!$B$3:$B$302,MATCH('Journal'!D1154,'Kontoplan'!$H$3:$H$302,0)),""))</f>
        <v/>
      </c>
      <c r="F2305" s="20">
        <f>IF('Journal'!G1154="","",'Journal'!G1154)</f>
        <v/>
      </c>
      <c r="G2305" s="20">
        <f>IF('Journal'!F1154="","",'Journal'!F1154)</f>
        <v/>
      </c>
      <c r="H2305" s="5">
        <f>IF('Journal'!I1154="","",'Journal'!I1154)</f>
        <v/>
      </c>
    </row>
    <row r="2306">
      <c r="A2306" s="18">
        <f>IF('Journal'!A1154="","",'Journal'!A1154)</f>
        <v/>
      </c>
      <c r="B2306" s="21">
        <f>IF('Journal'!B1154="","",'Journal'!B1154)</f>
        <v/>
      </c>
      <c r="C2306" s="5">
        <f>IF('Journal'!C1154="","",'Journal'!C1154)</f>
        <v/>
      </c>
      <c r="D2306" s="5">
        <f>IF('Journal'!E1154="","",IFERROR(LEFT('Journal'!E1154,FIND(" ",'Journal'!E1154)-1),'Journal'!E1154))</f>
        <v/>
      </c>
      <c r="E2306" s="5">
        <f>IF('Journal'!E1154="","",IFERROR(INDEX('Kontoplan'!$B$3:$B$302,MATCH('Journal'!E1154,'Kontoplan'!$H$3:$H$302,0)),""))</f>
        <v/>
      </c>
      <c r="F2306" s="20">
        <f>IF('Journal'!F1154="","",'Journal'!F1154)</f>
        <v/>
      </c>
      <c r="G2306" s="20">
        <f>IF('Journal'!G1154="","",'Journal'!G1154)</f>
        <v/>
      </c>
      <c r="H2306" s="5">
        <f>IF('Journal'!I1154="","",'Journal'!I1154)</f>
        <v/>
      </c>
    </row>
    <row r="2307">
      <c r="A2307" s="18">
        <f>IF('Journal'!A1155="","",'Journal'!A1155)</f>
        <v/>
      </c>
      <c r="B2307" s="21">
        <f>IF('Journal'!B1155="","",'Journal'!B1155)</f>
        <v/>
      </c>
      <c r="C2307" s="5">
        <f>IF('Journal'!C1155="","",'Journal'!C1155)</f>
        <v/>
      </c>
      <c r="D2307" s="5">
        <f>IF('Journal'!D1155="","",IFERROR(LEFT('Journal'!D1155,FIND(" ",'Journal'!D1155)-1),'Journal'!D1155))</f>
        <v/>
      </c>
      <c r="E2307" s="5">
        <f>IF('Journal'!D1155="","",IFERROR(INDEX('Kontoplan'!$B$3:$B$302,MATCH('Journal'!D1155,'Kontoplan'!$H$3:$H$302,0)),""))</f>
        <v/>
      </c>
      <c r="F2307" s="20">
        <f>IF('Journal'!G1155="","",'Journal'!G1155)</f>
        <v/>
      </c>
      <c r="G2307" s="20">
        <f>IF('Journal'!F1155="","",'Journal'!F1155)</f>
        <v/>
      </c>
      <c r="H2307" s="5">
        <f>IF('Journal'!I1155="","",'Journal'!I1155)</f>
        <v/>
      </c>
    </row>
    <row r="2308">
      <c r="A2308" s="18">
        <f>IF('Journal'!A1155="","",'Journal'!A1155)</f>
        <v/>
      </c>
      <c r="B2308" s="21">
        <f>IF('Journal'!B1155="","",'Journal'!B1155)</f>
        <v/>
      </c>
      <c r="C2308" s="5">
        <f>IF('Journal'!C1155="","",'Journal'!C1155)</f>
        <v/>
      </c>
      <c r="D2308" s="5">
        <f>IF('Journal'!E1155="","",IFERROR(LEFT('Journal'!E1155,FIND(" ",'Journal'!E1155)-1),'Journal'!E1155))</f>
        <v/>
      </c>
      <c r="E2308" s="5">
        <f>IF('Journal'!E1155="","",IFERROR(INDEX('Kontoplan'!$B$3:$B$302,MATCH('Journal'!E1155,'Kontoplan'!$H$3:$H$302,0)),""))</f>
        <v/>
      </c>
      <c r="F2308" s="20">
        <f>IF('Journal'!F1155="","",'Journal'!F1155)</f>
        <v/>
      </c>
      <c r="G2308" s="20">
        <f>IF('Journal'!G1155="","",'Journal'!G1155)</f>
        <v/>
      </c>
      <c r="H2308" s="5">
        <f>IF('Journal'!I1155="","",'Journal'!I1155)</f>
        <v/>
      </c>
    </row>
    <row r="2309">
      <c r="A2309" s="18">
        <f>IF('Journal'!A1156="","",'Journal'!A1156)</f>
        <v/>
      </c>
      <c r="B2309" s="21">
        <f>IF('Journal'!B1156="","",'Journal'!B1156)</f>
        <v/>
      </c>
      <c r="C2309" s="5">
        <f>IF('Journal'!C1156="","",'Journal'!C1156)</f>
        <v/>
      </c>
      <c r="D2309" s="5">
        <f>IF('Journal'!D1156="","",IFERROR(LEFT('Journal'!D1156,FIND(" ",'Journal'!D1156)-1),'Journal'!D1156))</f>
        <v/>
      </c>
      <c r="E2309" s="5">
        <f>IF('Journal'!D1156="","",IFERROR(INDEX('Kontoplan'!$B$3:$B$302,MATCH('Journal'!D1156,'Kontoplan'!$H$3:$H$302,0)),""))</f>
        <v/>
      </c>
      <c r="F2309" s="20">
        <f>IF('Journal'!G1156="","",'Journal'!G1156)</f>
        <v/>
      </c>
      <c r="G2309" s="20">
        <f>IF('Journal'!F1156="","",'Journal'!F1156)</f>
        <v/>
      </c>
      <c r="H2309" s="5">
        <f>IF('Journal'!I1156="","",'Journal'!I1156)</f>
        <v/>
      </c>
    </row>
    <row r="2310">
      <c r="A2310" s="18">
        <f>IF('Journal'!A1156="","",'Journal'!A1156)</f>
        <v/>
      </c>
      <c r="B2310" s="21">
        <f>IF('Journal'!B1156="","",'Journal'!B1156)</f>
        <v/>
      </c>
      <c r="C2310" s="5">
        <f>IF('Journal'!C1156="","",'Journal'!C1156)</f>
        <v/>
      </c>
      <c r="D2310" s="5">
        <f>IF('Journal'!E1156="","",IFERROR(LEFT('Journal'!E1156,FIND(" ",'Journal'!E1156)-1),'Journal'!E1156))</f>
        <v/>
      </c>
      <c r="E2310" s="5">
        <f>IF('Journal'!E1156="","",IFERROR(INDEX('Kontoplan'!$B$3:$B$302,MATCH('Journal'!E1156,'Kontoplan'!$H$3:$H$302,0)),""))</f>
        <v/>
      </c>
      <c r="F2310" s="20">
        <f>IF('Journal'!F1156="","",'Journal'!F1156)</f>
        <v/>
      </c>
      <c r="G2310" s="20">
        <f>IF('Journal'!G1156="","",'Journal'!G1156)</f>
        <v/>
      </c>
      <c r="H2310" s="5">
        <f>IF('Journal'!I1156="","",'Journal'!I1156)</f>
        <v/>
      </c>
    </row>
    <row r="2311">
      <c r="A2311" s="18">
        <f>IF('Journal'!A1157="","",'Journal'!A1157)</f>
        <v/>
      </c>
      <c r="B2311" s="21">
        <f>IF('Journal'!B1157="","",'Journal'!B1157)</f>
        <v/>
      </c>
      <c r="C2311" s="5">
        <f>IF('Journal'!C1157="","",'Journal'!C1157)</f>
        <v/>
      </c>
      <c r="D2311" s="5">
        <f>IF('Journal'!D1157="","",IFERROR(LEFT('Journal'!D1157,FIND(" ",'Journal'!D1157)-1),'Journal'!D1157))</f>
        <v/>
      </c>
      <c r="E2311" s="5">
        <f>IF('Journal'!D1157="","",IFERROR(INDEX('Kontoplan'!$B$3:$B$302,MATCH('Journal'!D1157,'Kontoplan'!$H$3:$H$302,0)),""))</f>
        <v/>
      </c>
      <c r="F2311" s="20">
        <f>IF('Journal'!G1157="","",'Journal'!G1157)</f>
        <v/>
      </c>
      <c r="G2311" s="20">
        <f>IF('Journal'!F1157="","",'Journal'!F1157)</f>
        <v/>
      </c>
      <c r="H2311" s="5">
        <f>IF('Journal'!I1157="","",'Journal'!I1157)</f>
        <v/>
      </c>
    </row>
    <row r="2312">
      <c r="A2312" s="18">
        <f>IF('Journal'!A1157="","",'Journal'!A1157)</f>
        <v/>
      </c>
      <c r="B2312" s="21">
        <f>IF('Journal'!B1157="","",'Journal'!B1157)</f>
        <v/>
      </c>
      <c r="C2312" s="5">
        <f>IF('Journal'!C1157="","",'Journal'!C1157)</f>
        <v/>
      </c>
      <c r="D2312" s="5">
        <f>IF('Journal'!E1157="","",IFERROR(LEFT('Journal'!E1157,FIND(" ",'Journal'!E1157)-1),'Journal'!E1157))</f>
        <v/>
      </c>
      <c r="E2312" s="5">
        <f>IF('Journal'!E1157="","",IFERROR(INDEX('Kontoplan'!$B$3:$B$302,MATCH('Journal'!E1157,'Kontoplan'!$H$3:$H$302,0)),""))</f>
        <v/>
      </c>
      <c r="F2312" s="20">
        <f>IF('Journal'!F1157="","",'Journal'!F1157)</f>
        <v/>
      </c>
      <c r="G2312" s="20">
        <f>IF('Journal'!G1157="","",'Journal'!G1157)</f>
        <v/>
      </c>
      <c r="H2312" s="5">
        <f>IF('Journal'!I1157="","",'Journal'!I1157)</f>
        <v/>
      </c>
    </row>
    <row r="2313">
      <c r="A2313" s="18">
        <f>IF('Journal'!A1158="","",'Journal'!A1158)</f>
        <v/>
      </c>
      <c r="B2313" s="21">
        <f>IF('Journal'!B1158="","",'Journal'!B1158)</f>
        <v/>
      </c>
      <c r="C2313" s="5">
        <f>IF('Journal'!C1158="","",'Journal'!C1158)</f>
        <v/>
      </c>
      <c r="D2313" s="5">
        <f>IF('Journal'!D1158="","",IFERROR(LEFT('Journal'!D1158,FIND(" ",'Journal'!D1158)-1),'Journal'!D1158))</f>
        <v/>
      </c>
      <c r="E2313" s="5">
        <f>IF('Journal'!D1158="","",IFERROR(INDEX('Kontoplan'!$B$3:$B$302,MATCH('Journal'!D1158,'Kontoplan'!$H$3:$H$302,0)),""))</f>
        <v/>
      </c>
      <c r="F2313" s="20">
        <f>IF('Journal'!G1158="","",'Journal'!G1158)</f>
        <v/>
      </c>
      <c r="G2313" s="20">
        <f>IF('Journal'!F1158="","",'Journal'!F1158)</f>
        <v/>
      </c>
      <c r="H2313" s="5">
        <f>IF('Journal'!I1158="","",'Journal'!I1158)</f>
        <v/>
      </c>
    </row>
    <row r="2314">
      <c r="A2314" s="18">
        <f>IF('Journal'!A1158="","",'Journal'!A1158)</f>
        <v/>
      </c>
      <c r="B2314" s="21">
        <f>IF('Journal'!B1158="","",'Journal'!B1158)</f>
        <v/>
      </c>
      <c r="C2314" s="5">
        <f>IF('Journal'!C1158="","",'Journal'!C1158)</f>
        <v/>
      </c>
      <c r="D2314" s="5">
        <f>IF('Journal'!E1158="","",IFERROR(LEFT('Journal'!E1158,FIND(" ",'Journal'!E1158)-1),'Journal'!E1158))</f>
        <v/>
      </c>
      <c r="E2314" s="5">
        <f>IF('Journal'!E1158="","",IFERROR(INDEX('Kontoplan'!$B$3:$B$302,MATCH('Journal'!E1158,'Kontoplan'!$H$3:$H$302,0)),""))</f>
        <v/>
      </c>
      <c r="F2314" s="20">
        <f>IF('Journal'!F1158="","",'Journal'!F1158)</f>
        <v/>
      </c>
      <c r="G2314" s="20">
        <f>IF('Journal'!G1158="","",'Journal'!G1158)</f>
        <v/>
      </c>
      <c r="H2314" s="5">
        <f>IF('Journal'!I1158="","",'Journal'!I1158)</f>
        <v/>
      </c>
    </row>
    <row r="2315">
      <c r="A2315" s="18">
        <f>IF('Journal'!A1159="","",'Journal'!A1159)</f>
        <v/>
      </c>
      <c r="B2315" s="21">
        <f>IF('Journal'!B1159="","",'Journal'!B1159)</f>
        <v/>
      </c>
      <c r="C2315" s="5">
        <f>IF('Journal'!C1159="","",'Journal'!C1159)</f>
        <v/>
      </c>
      <c r="D2315" s="5">
        <f>IF('Journal'!D1159="","",IFERROR(LEFT('Journal'!D1159,FIND(" ",'Journal'!D1159)-1),'Journal'!D1159))</f>
        <v/>
      </c>
      <c r="E2315" s="5">
        <f>IF('Journal'!D1159="","",IFERROR(INDEX('Kontoplan'!$B$3:$B$302,MATCH('Journal'!D1159,'Kontoplan'!$H$3:$H$302,0)),""))</f>
        <v/>
      </c>
      <c r="F2315" s="20">
        <f>IF('Journal'!G1159="","",'Journal'!G1159)</f>
        <v/>
      </c>
      <c r="G2315" s="20">
        <f>IF('Journal'!F1159="","",'Journal'!F1159)</f>
        <v/>
      </c>
      <c r="H2315" s="5">
        <f>IF('Journal'!I1159="","",'Journal'!I1159)</f>
        <v/>
      </c>
    </row>
    <row r="2316">
      <c r="A2316" s="18">
        <f>IF('Journal'!A1159="","",'Journal'!A1159)</f>
        <v/>
      </c>
      <c r="B2316" s="21">
        <f>IF('Journal'!B1159="","",'Journal'!B1159)</f>
        <v/>
      </c>
      <c r="C2316" s="5">
        <f>IF('Journal'!C1159="","",'Journal'!C1159)</f>
        <v/>
      </c>
      <c r="D2316" s="5">
        <f>IF('Journal'!E1159="","",IFERROR(LEFT('Journal'!E1159,FIND(" ",'Journal'!E1159)-1),'Journal'!E1159))</f>
        <v/>
      </c>
      <c r="E2316" s="5">
        <f>IF('Journal'!E1159="","",IFERROR(INDEX('Kontoplan'!$B$3:$B$302,MATCH('Journal'!E1159,'Kontoplan'!$H$3:$H$302,0)),""))</f>
        <v/>
      </c>
      <c r="F2316" s="20">
        <f>IF('Journal'!F1159="","",'Journal'!F1159)</f>
        <v/>
      </c>
      <c r="G2316" s="20">
        <f>IF('Journal'!G1159="","",'Journal'!G1159)</f>
        <v/>
      </c>
      <c r="H2316" s="5">
        <f>IF('Journal'!I1159="","",'Journal'!I1159)</f>
        <v/>
      </c>
    </row>
    <row r="2317">
      <c r="A2317" s="18">
        <f>IF('Journal'!A1160="","",'Journal'!A1160)</f>
        <v/>
      </c>
      <c r="B2317" s="21">
        <f>IF('Journal'!B1160="","",'Journal'!B1160)</f>
        <v/>
      </c>
      <c r="C2317" s="5">
        <f>IF('Journal'!C1160="","",'Journal'!C1160)</f>
        <v/>
      </c>
      <c r="D2317" s="5">
        <f>IF('Journal'!D1160="","",IFERROR(LEFT('Journal'!D1160,FIND(" ",'Journal'!D1160)-1),'Journal'!D1160))</f>
        <v/>
      </c>
      <c r="E2317" s="5">
        <f>IF('Journal'!D1160="","",IFERROR(INDEX('Kontoplan'!$B$3:$B$302,MATCH('Journal'!D1160,'Kontoplan'!$H$3:$H$302,0)),""))</f>
        <v/>
      </c>
      <c r="F2317" s="20">
        <f>IF('Journal'!G1160="","",'Journal'!G1160)</f>
        <v/>
      </c>
      <c r="G2317" s="20">
        <f>IF('Journal'!F1160="","",'Journal'!F1160)</f>
        <v/>
      </c>
      <c r="H2317" s="5">
        <f>IF('Journal'!I1160="","",'Journal'!I1160)</f>
        <v/>
      </c>
    </row>
    <row r="2318">
      <c r="A2318" s="18">
        <f>IF('Journal'!A1160="","",'Journal'!A1160)</f>
        <v/>
      </c>
      <c r="B2318" s="21">
        <f>IF('Journal'!B1160="","",'Journal'!B1160)</f>
        <v/>
      </c>
      <c r="C2318" s="5">
        <f>IF('Journal'!C1160="","",'Journal'!C1160)</f>
        <v/>
      </c>
      <c r="D2318" s="5">
        <f>IF('Journal'!E1160="","",IFERROR(LEFT('Journal'!E1160,FIND(" ",'Journal'!E1160)-1),'Journal'!E1160))</f>
        <v/>
      </c>
      <c r="E2318" s="5">
        <f>IF('Journal'!E1160="","",IFERROR(INDEX('Kontoplan'!$B$3:$B$302,MATCH('Journal'!E1160,'Kontoplan'!$H$3:$H$302,0)),""))</f>
        <v/>
      </c>
      <c r="F2318" s="20">
        <f>IF('Journal'!F1160="","",'Journal'!F1160)</f>
        <v/>
      </c>
      <c r="G2318" s="20">
        <f>IF('Journal'!G1160="","",'Journal'!G1160)</f>
        <v/>
      </c>
      <c r="H2318" s="5">
        <f>IF('Journal'!I1160="","",'Journal'!I1160)</f>
        <v/>
      </c>
    </row>
    <row r="2319">
      <c r="A2319" s="18">
        <f>IF('Journal'!A1161="","",'Journal'!A1161)</f>
        <v/>
      </c>
      <c r="B2319" s="21">
        <f>IF('Journal'!B1161="","",'Journal'!B1161)</f>
        <v/>
      </c>
      <c r="C2319" s="5">
        <f>IF('Journal'!C1161="","",'Journal'!C1161)</f>
        <v/>
      </c>
      <c r="D2319" s="5">
        <f>IF('Journal'!D1161="","",IFERROR(LEFT('Journal'!D1161,FIND(" ",'Journal'!D1161)-1),'Journal'!D1161))</f>
        <v/>
      </c>
      <c r="E2319" s="5">
        <f>IF('Journal'!D1161="","",IFERROR(INDEX('Kontoplan'!$B$3:$B$302,MATCH('Journal'!D1161,'Kontoplan'!$H$3:$H$302,0)),""))</f>
        <v/>
      </c>
      <c r="F2319" s="20">
        <f>IF('Journal'!G1161="","",'Journal'!G1161)</f>
        <v/>
      </c>
      <c r="G2319" s="20">
        <f>IF('Journal'!F1161="","",'Journal'!F1161)</f>
        <v/>
      </c>
      <c r="H2319" s="5">
        <f>IF('Journal'!I1161="","",'Journal'!I1161)</f>
        <v/>
      </c>
    </row>
    <row r="2320">
      <c r="A2320" s="18">
        <f>IF('Journal'!A1161="","",'Journal'!A1161)</f>
        <v/>
      </c>
      <c r="B2320" s="21">
        <f>IF('Journal'!B1161="","",'Journal'!B1161)</f>
        <v/>
      </c>
      <c r="C2320" s="5">
        <f>IF('Journal'!C1161="","",'Journal'!C1161)</f>
        <v/>
      </c>
      <c r="D2320" s="5">
        <f>IF('Journal'!E1161="","",IFERROR(LEFT('Journal'!E1161,FIND(" ",'Journal'!E1161)-1),'Journal'!E1161))</f>
        <v/>
      </c>
      <c r="E2320" s="5">
        <f>IF('Journal'!E1161="","",IFERROR(INDEX('Kontoplan'!$B$3:$B$302,MATCH('Journal'!E1161,'Kontoplan'!$H$3:$H$302,0)),""))</f>
        <v/>
      </c>
      <c r="F2320" s="20">
        <f>IF('Journal'!F1161="","",'Journal'!F1161)</f>
        <v/>
      </c>
      <c r="G2320" s="20">
        <f>IF('Journal'!G1161="","",'Journal'!G1161)</f>
        <v/>
      </c>
      <c r="H2320" s="5">
        <f>IF('Journal'!I1161="","",'Journal'!I1161)</f>
        <v/>
      </c>
    </row>
    <row r="2321">
      <c r="A2321" s="18">
        <f>IF('Journal'!A1162="","",'Journal'!A1162)</f>
        <v/>
      </c>
      <c r="B2321" s="21">
        <f>IF('Journal'!B1162="","",'Journal'!B1162)</f>
        <v/>
      </c>
      <c r="C2321" s="5">
        <f>IF('Journal'!C1162="","",'Journal'!C1162)</f>
        <v/>
      </c>
      <c r="D2321" s="5">
        <f>IF('Journal'!D1162="","",IFERROR(LEFT('Journal'!D1162,FIND(" ",'Journal'!D1162)-1),'Journal'!D1162))</f>
        <v/>
      </c>
      <c r="E2321" s="5">
        <f>IF('Journal'!D1162="","",IFERROR(INDEX('Kontoplan'!$B$3:$B$302,MATCH('Journal'!D1162,'Kontoplan'!$H$3:$H$302,0)),""))</f>
        <v/>
      </c>
      <c r="F2321" s="20">
        <f>IF('Journal'!G1162="","",'Journal'!G1162)</f>
        <v/>
      </c>
      <c r="G2321" s="20">
        <f>IF('Journal'!F1162="","",'Journal'!F1162)</f>
        <v/>
      </c>
      <c r="H2321" s="5">
        <f>IF('Journal'!I1162="","",'Journal'!I1162)</f>
        <v/>
      </c>
    </row>
    <row r="2322">
      <c r="A2322" s="18">
        <f>IF('Journal'!A1162="","",'Journal'!A1162)</f>
        <v/>
      </c>
      <c r="B2322" s="21">
        <f>IF('Journal'!B1162="","",'Journal'!B1162)</f>
        <v/>
      </c>
      <c r="C2322" s="5">
        <f>IF('Journal'!C1162="","",'Journal'!C1162)</f>
        <v/>
      </c>
      <c r="D2322" s="5">
        <f>IF('Journal'!E1162="","",IFERROR(LEFT('Journal'!E1162,FIND(" ",'Journal'!E1162)-1),'Journal'!E1162))</f>
        <v/>
      </c>
      <c r="E2322" s="5">
        <f>IF('Journal'!E1162="","",IFERROR(INDEX('Kontoplan'!$B$3:$B$302,MATCH('Journal'!E1162,'Kontoplan'!$H$3:$H$302,0)),""))</f>
        <v/>
      </c>
      <c r="F2322" s="20">
        <f>IF('Journal'!F1162="","",'Journal'!F1162)</f>
        <v/>
      </c>
      <c r="G2322" s="20">
        <f>IF('Journal'!G1162="","",'Journal'!G1162)</f>
        <v/>
      </c>
      <c r="H2322" s="5">
        <f>IF('Journal'!I1162="","",'Journal'!I1162)</f>
        <v/>
      </c>
    </row>
    <row r="2323">
      <c r="A2323" s="18">
        <f>IF('Journal'!A1163="","",'Journal'!A1163)</f>
        <v/>
      </c>
      <c r="B2323" s="21">
        <f>IF('Journal'!B1163="","",'Journal'!B1163)</f>
        <v/>
      </c>
      <c r="C2323" s="5">
        <f>IF('Journal'!C1163="","",'Journal'!C1163)</f>
        <v/>
      </c>
      <c r="D2323" s="5">
        <f>IF('Journal'!D1163="","",IFERROR(LEFT('Journal'!D1163,FIND(" ",'Journal'!D1163)-1),'Journal'!D1163))</f>
        <v/>
      </c>
      <c r="E2323" s="5">
        <f>IF('Journal'!D1163="","",IFERROR(INDEX('Kontoplan'!$B$3:$B$302,MATCH('Journal'!D1163,'Kontoplan'!$H$3:$H$302,0)),""))</f>
        <v/>
      </c>
      <c r="F2323" s="20">
        <f>IF('Journal'!G1163="","",'Journal'!G1163)</f>
        <v/>
      </c>
      <c r="G2323" s="20">
        <f>IF('Journal'!F1163="","",'Journal'!F1163)</f>
        <v/>
      </c>
      <c r="H2323" s="5">
        <f>IF('Journal'!I1163="","",'Journal'!I1163)</f>
        <v/>
      </c>
    </row>
    <row r="2324">
      <c r="A2324" s="18">
        <f>IF('Journal'!A1163="","",'Journal'!A1163)</f>
        <v/>
      </c>
      <c r="B2324" s="21">
        <f>IF('Journal'!B1163="","",'Journal'!B1163)</f>
        <v/>
      </c>
      <c r="C2324" s="5">
        <f>IF('Journal'!C1163="","",'Journal'!C1163)</f>
        <v/>
      </c>
      <c r="D2324" s="5">
        <f>IF('Journal'!E1163="","",IFERROR(LEFT('Journal'!E1163,FIND(" ",'Journal'!E1163)-1),'Journal'!E1163))</f>
        <v/>
      </c>
      <c r="E2324" s="5">
        <f>IF('Journal'!E1163="","",IFERROR(INDEX('Kontoplan'!$B$3:$B$302,MATCH('Journal'!E1163,'Kontoplan'!$H$3:$H$302,0)),""))</f>
        <v/>
      </c>
      <c r="F2324" s="20">
        <f>IF('Journal'!F1163="","",'Journal'!F1163)</f>
        <v/>
      </c>
      <c r="G2324" s="20">
        <f>IF('Journal'!G1163="","",'Journal'!G1163)</f>
        <v/>
      </c>
      <c r="H2324" s="5">
        <f>IF('Journal'!I1163="","",'Journal'!I1163)</f>
        <v/>
      </c>
    </row>
    <row r="2325">
      <c r="A2325" s="18">
        <f>IF('Journal'!A1164="","",'Journal'!A1164)</f>
        <v/>
      </c>
      <c r="B2325" s="21">
        <f>IF('Journal'!B1164="","",'Journal'!B1164)</f>
        <v/>
      </c>
      <c r="C2325" s="5">
        <f>IF('Journal'!C1164="","",'Journal'!C1164)</f>
        <v/>
      </c>
      <c r="D2325" s="5">
        <f>IF('Journal'!D1164="","",IFERROR(LEFT('Journal'!D1164,FIND(" ",'Journal'!D1164)-1),'Journal'!D1164))</f>
        <v/>
      </c>
      <c r="E2325" s="5">
        <f>IF('Journal'!D1164="","",IFERROR(INDEX('Kontoplan'!$B$3:$B$302,MATCH('Journal'!D1164,'Kontoplan'!$H$3:$H$302,0)),""))</f>
        <v/>
      </c>
      <c r="F2325" s="20">
        <f>IF('Journal'!G1164="","",'Journal'!G1164)</f>
        <v/>
      </c>
      <c r="G2325" s="20">
        <f>IF('Journal'!F1164="","",'Journal'!F1164)</f>
        <v/>
      </c>
      <c r="H2325" s="5">
        <f>IF('Journal'!I1164="","",'Journal'!I1164)</f>
        <v/>
      </c>
    </row>
    <row r="2326">
      <c r="A2326" s="18">
        <f>IF('Journal'!A1164="","",'Journal'!A1164)</f>
        <v/>
      </c>
      <c r="B2326" s="21">
        <f>IF('Journal'!B1164="","",'Journal'!B1164)</f>
        <v/>
      </c>
      <c r="C2326" s="5">
        <f>IF('Journal'!C1164="","",'Journal'!C1164)</f>
        <v/>
      </c>
      <c r="D2326" s="5">
        <f>IF('Journal'!E1164="","",IFERROR(LEFT('Journal'!E1164,FIND(" ",'Journal'!E1164)-1),'Journal'!E1164))</f>
        <v/>
      </c>
      <c r="E2326" s="5">
        <f>IF('Journal'!E1164="","",IFERROR(INDEX('Kontoplan'!$B$3:$B$302,MATCH('Journal'!E1164,'Kontoplan'!$H$3:$H$302,0)),""))</f>
        <v/>
      </c>
      <c r="F2326" s="20">
        <f>IF('Journal'!F1164="","",'Journal'!F1164)</f>
        <v/>
      </c>
      <c r="G2326" s="20">
        <f>IF('Journal'!G1164="","",'Journal'!G1164)</f>
        <v/>
      </c>
      <c r="H2326" s="5">
        <f>IF('Journal'!I1164="","",'Journal'!I1164)</f>
        <v/>
      </c>
    </row>
    <row r="2327">
      <c r="A2327" s="18">
        <f>IF('Journal'!A1165="","",'Journal'!A1165)</f>
        <v/>
      </c>
      <c r="B2327" s="21">
        <f>IF('Journal'!B1165="","",'Journal'!B1165)</f>
        <v/>
      </c>
      <c r="C2327" s="5">
        <f>IF('Journal'!C1165="","",'Journal'!C1165)</f>
        <v/>
      </c>
      <c r="D2327" s="5">
        <f>IF('Journal'!D1165="","",IFERROR(LEFT('Journal'!D1165,FIND(" ",'Journal'!D1165)-1),'Journal'!D1165))</f>
        <v/>
      </c>
      <c r="E2327" s="5">
        <f>IF('Journal'!D1165="","",IFERROR(INDEX('Kontoplan'!$B$3:$B$302,MATCH('Journal'!D1165,'Kontoplan'!$H$3:$H$302,0)),""))</f>
        <v/>
      </c>
      <c r="F2327" s="20">
        <f>IF('Journal'!G1165="","",'Journal'!G1165)</f>
        <v/>
      </c>
      <c r="G2327" s="20">
        <f>IF('Journal'!F1165="","",'Journal'!F1165)</f>
        <v/>
      </c>
      <c r="H2327" s="5">
        <f>IF('Journal'!I1165="","",'Journal'!I1165)</f>
        <v/>
      </c>
    </row>
    <row r="2328">
      <c r="A2328" s="18">
        <f>IF('Journal'!A1165="","",'Journal'!A1165)</f>
        <v/>
      </c>
      <c r="B2328" s="21">
        <f>IF('Journal'!B1165="","",'Journal'!B1165)</f>
        <v/>
      </c>
      <c r="C2328" s="5">
        <f>IF('Journal'!C1165="","",'Journal'!C1165)</f>
        <v/>
      </c>
      <c r="D2328" s="5">
        <f>IF('Journal'!E1165="","",IFERROR(LEFT('Journal'!E1165,FIND(" ",'Journal'!E1165)-1),'Journal'!E1165))</f>
        <v/>
      </c>
      <c r="E2328" s="5">
        <f>IF('Journal'!E1165="","",IFERROR(INDEX('Kontoplan'!$B$3:$B$302,MATCH('Journal'!E1165,'Kontoplan'!$H$3:$H$302,0)),""))</f>
        <v/>
      </c>
      <c r="F2328" s="20">
        <f>IF('Journal'!F1165="","",'Journal'!F1165)</f>
        <v/>
      </c>
      <c r="G2328" s="20">
        <f>IF('Journal'!G1165="","",'Journal'!G1165)</f>
        <v/>
      </c>
      <c r="H2328" s="5">
        <f>IF('Journal'!I1165="","",'Journal'!I1165)</f>
        <v/>
      </c>
    </row>
    <row r="2329">
      <c r="A2329" s="18">
        <f>IF('Journal'!A1166="","",'Journal'!A1166)</f>
        <v/>
      </c>
      <c r="B2329" s="21">
        <f>IF('Journal'!B1166="","",'Journal'!B1166)</f>
        <v/>
      </c>
      <c r="C2329" s="5">
        <f>IF('Journal'!C1166="","",'Journal'!C1166)</f>
        <v/>
      </c>
      <c r="D2329" s="5">
        <f>IF('Journal'!D1166="","",IFERROR(LEFT('Journal'!D1166,FIND(" ",'Journal'!D1166)-1),'Journal'!D1166))</f>
        <v/>
      </c>
      <c r="E2329" s="5">
        <f>IF('Journal'!D1166="","",IFERROR(INDEX('Kontoplan'!$B$3:$B$302,MATCH('Journal'!D1166,'Kontoplan'!$H$3:$H$302,0)),""))</f>
        <v/>
      </c>
      <c r="F2329" s="20">
        <f>IF('Journal'!G1166="","",'Journal'!G1166)</f>
        <v/>
      </c>
      <c r="G2329" s="20">
        <f>IF('Journal'!F1166="","",'Journal'!F1166)</f>
        <v/>
      </c>
      <c r="H2329" s="5">
        <f>IF('Journal'!I1166="","",'Journal'!I1166)</f>
        <v/>
      </c>
    </row>
    <row r="2330">
      <c r="A2330" s="18">
        <f>IF('Journal'!A1166="","",'Journal'!A1166)</f>
        <v/>
      </c>
      <c r="B2330" s="21">
        <f>IF('Journal'!B1166="","",'Journal'!B1166)</f>
        <v/>
      </c>
      <c r="C2330" s="5">
        <f>IF('Journal'!C1166="","",'Journal'!C1166)</f>
        <v/>
      </c>
      <c r="D2330" s="5">
        <f>IF('Journal'!E1166="","",IFERROR(LEFT('Journal'!E1166,FIND(" ",'Journal'!E1166)-1),'Journal'!E1166))</f>
        <v/>
      </c>
      <c r="E2330" s="5">
        <f>IF('Journal'!E1166="","",IFERROR(INDEX('Kontoplan'!$B$3:$B$302,MATCH('Journal'!E1166,'Kontoplan'!$H$3:$H$302,0)),""))</f>
        <v/>
      </c>
      <c r="F2330" s="20">
        <f>IF('Journal'!F1166="","",'Journal'!F1166)</f>
        <v/>
      </c>
      <c r="G2330" s="20">
        <f>IF('Journal'!G1166="","",'Journal'!G1166)</f>
        <v/>
      </c>
      <c r="H2330" s="5">
        <f>IF('Journal'!I1166="","",'Journal'!I1166)</f>
        <v/>
      </c>
    </row>
    <row r="2331">
      <c r="A2331" s="18">
        <f>IF('Journal'!A1167="","",'Journal'!A1167)</f>
        <v/>
      </c>
      <c r="B2331" s="21">
        <f>IF('Journal'!B1167="","",'Journal'!B1167)</f>
        <v/>
      </c>
      <c r="C2331" s="5">
        <f>IF('Journal'!C1167="","",'Journal'!C1167)</f>
        <v/>
      </c>
      <c r="D2331" s="5">
        <f>IF('Journal'!D1167="","",IFERROR(LEFT('Journal'!D1167,FIND(" ",'Journal'!D1167)-1),'Journal'!D1167))</f>
        <v/>
      </c>
      <c r="E2331" s="5">
        <f>IF('Journal'!D1167="","",IFERROR(INDEX('Kontoplan'!$B$3:$B$302,MATCH('Journal'!D1167,'Kontoplan'!$H$3:$H$302,0)),""))</f>
        <v/>
      </c>
      <c r="F2331" s="20">
        <f>IF('Journal'!G1167="","",'Journal'!G1167)</f>
        <v/>
      </c>
      <c r="G2331" s="20">
        <f>IF('Journal'!F1167="","",'Journal'!F1167)</f>
        <v/>
      </c>
      <c r="H2331" s="5">
        <f>IF('Journal'!I1167="","",'Journal'!I1167)</f>
        <v/>
      </c>
    </row>
    <row r="2332">
      <c r="A2332" s="18">
        <f>IF('Journal'!A1167="","",'Journal'!A1167)</f>
        <v/>
      </c>
      <c r="B2332" s="21">
        <f>IF('Journal'!B1167="","",'Journal'!B1167)</f>
        <v/>
      </c>
      <c r="C2332" s="5">
        <f>IF('Journal'!C1167="","",'Journal'!C1167)</f>
        <v/>
      </c>
      <c r="D2332" s="5">
        <f>IF('Journal'!E1167="","",IFERROR(LEFT('Journal'!E1167,FIND(" ",'Journal'!E1167)-1),'Journal'!E1167))</f>
        <v/>
      </c>
      <c r="E2332" s="5">
        <f>IF('Journal'!E1167="","",IFERROR(INDEX('Kontoplan'!$B$3:$B$302,MATCH('Journal'!E1167,'Kontoplan'!$H$3:$H$302,0)),""))</f>
        <v/>
      </c>
      <c r="F2332" s="20">
        <f>IF('Journal'!F1167="","",'Journal'!F1167)</f>
        <v/>
      </c>
      <c r="G2332" s="20">
        <f>IF('Journal'!G1167="","",'Journal'!G1167)</f>
        <v/>
      </c>
      <c r="H2332" s="5">
        <f>IF('Journal'!I1167="","",'Journal'!I1167)</f>
        <v/>
      </c>
    </row>
    <row r="2333">
      <c r="A2333" s="18">
        <f>IF('Journal'!A1168="","",'Journal'!A1168)</f>
        <v/>
      </c>
      <c r="B2333" s="21">
        <f>IF('Journal'!B1168="","",'Journal'!B1168)</f>
        <v/>
      </c>
      <c r="C2333" s="5">
        <f>IF('Journal'!C1168="","",'Journal'!C1168)</f>
        <v/>
      </c>
      <c r="D2333" s="5">
        <f>IF('Journal'!D1168="","",IFERROR(LEFT('Journal'!D1168,FIND(" ",'Journal'!D1168)-1),'Journal'!D1168))</f>
        <v/>
      </c>
      <c r="E2333" s="5">
        <f>IF('Journal'!D1168="","",IFERROR(INDEX('Kontoplan'!$B$3:$B$302,MATCH('Journal'!D1168,'Kontoplan'!$H$3:$H$302,0)),""))</f>
        <v/>
      </c>
      <c r="F2333" s="20">
        <f>IF('Journal'!G1168="","",'Journal'!G1168)</f>
        <v/>
      </c>
      <c r="G2333" s="20">
        <f>IF('Journal'!F1168="","",'Journal'!F1168)</f>
        <v/>
      </c>
      <c r="H2333" s="5">
        <f>IF('Journal'!I1168="","",'Journal'!I1168)</f>
        <v/>
      </c>
    </row>
    <row r="2334">
      <c r="A2334" s="18">
        <f>IF('Journal'!A1168="","",'Journal'!A1168)</f>
        <v/>
      </c>
      <c r="B2334" s="21">
        <f>IF('Journal'!B1168="","",'Journal'!B1168)</f>
        <v/>
      </c>
      <c r="C2334" s="5">
        <f>IF('Journal'!C1168="","",'Journal'!C1168)</f>
        <v/>
      </c>
      <c r="D2334" s="5">
        <f>IF('Journal'!E1168="","",IFERROR(LEFT('Journal'!E1168,FIND(" ",'Journal'!E1168)-1),'Journal'!E1168))</f>
        <v/>
      </c>
      <c r="E2334" s="5">
        <f>IF('Journal'!E1168="","",IFERROR(INDEX('Kontoplan'!$B$3:$B$302,MATCH('Journal'!E1168,'Kontoplan'!$H$3:$H$302,0)),""))</f>
        <v/>
      </c>
      <c r="F2334" s="20">
        <f>IF('Journal'!F1168="","",'Journal'!F1168)</f>
        <v/>
      </c>
      <c r="G2334" s="20">
        <f>IF('Journal'!G1168="","",'Journal'!G1168)</f>
        <v/>
      </c>
      <c r="H2334" s="5">
        <f>IF('Journal'!I1168="","",'Journal'!I1168)</f>
        <v/>
      </c>
    </row>
    <row r="2335">
      <c r="A2335" s="18">
        <f>IF('Journal'!A1169="","",'Journal'!A1169)</f>
        <v/>
      </c>
      <c r="B2335" s="21">
        <f>IF('Journal'!B1169="","",'Journal'!B1169)</f>
        <v/>
      </c>
      <c r="C2335" s="5">
        <f>IF('Journal'!C1169="","",'Journal'!C1169)</f>
        <v/>
      </c>
      <c r="D2335" s="5">
        <f>IF('Journal'!D1169="","",IFERROR(LEFT('Journal'!D1169,FIND(" ",'Journal'!D1169)-1),'Journal'!D1169))</f>
        <v/>
      </c>
      <c r="E2335" s="5">
        <f>IF('Journal'!D1169="","",IFERROR(INDEX('Kontoplan'!$B$3:$B$302,MATCH('Journal'!D1169,'Kontoplan'!$H$3:$H$302,0)),""))</f>
        <v/>
      </c>
      <c r="F2335" s="20">
        <f>IF('Journal'!G1169="","",'Journal'!G1169)</f>
        <v/>
      </c>
      <c r="G2335" s="20">
        <f>IF('Journal'!F1169="","",'Journal'!F1169)</f>
        <v/>
      </c>
      <c r="H2335" s="5">
        <f>IF('Journal'!I1169="","",'Journal'!I1169)</f>
        <v/>
      </c>
    </row>
    <row r="2336">
      <c r="A2336" s="18">
        <f>IF('Journal'!A1169="","",'Journal'!A1169)</f>
        <v/>
      </c>
      <c r="B2336" s="21">
        <f>IF('Journal'!B1169="","",'Journal'!B1169)</f>
        <v/>
      </c>
      <c r="C2336" s="5">
        <f>IF('Journal'!C1169="","",'Journal'!C1169)</f>
        <v/>
      </c>
      <c r="D2336" s="5">
        <f>IF('Journal'!E1169="","",IFERROR(LEFT('Journal'!E1169,FIND(" ",'Journal'!E1169)-1),'Journal'!E1169))</f>
        <v/>
      </c>
      <c r="E2336" s="5">
        <f>IF('Journal'!E1169="","",IFERROR(INDEX('Kontoplan'!$B$3:$B$302,MATCH('Journal'!E1169,'Kontoplan'!$H$3:$H$302,0)),""))</f>
        <v/>
      </c>
      <c r="F2336" s="20">
        <f>IF('Journal'!F1169="","",'Journal'!F1169)</f>
        <v/>
      </c>
      <c r="G2336" s="20">
        <f>IF('Journal'!G1169="","",'Journal'!G1169)</f>
        <v/>
      </c>
      <c r="H2336" s="5">
        <f>IF('Journal'!I1169="","",'Journal'!I1169)</f>
        <v/>
      </c>
    </row>
    <row r="2337">
      <c r="A2337" s="18">
        <f>IF('Journal'!A1170="","",'Journal'!A1170)</f>
        <v/>
      </c>
      <c r="B2337" s="21">
        <f>IF('Journal'!B1170="","",'Journal'!B1170)</f>
        <v/>
      </c>
      <c r="C2337" s="5">
        <f>IF('Journal'!C1170="","",'Journal'!C1170)</f>
        <v/>
      </c>
      <c r="D2337" s="5">
        <f>IF('Journal'!D1170="","",IFERROR(LEFT('Journal'!D1170,FIND(" ",'Journal'!D1170)-1),'Journal'!D1170))</f>
        <v/>
      </c>
      <c r="E2337" s="5">
        <f>IF('Journal'!D1170="","",IFERROR(INDEX('Kontoplan'!$B$3:$B$302,MATCH('Journal'!D1170,'Kontoplan'!$H$3:$H$302,0)),""))</f>
        <v/>
      </c>
      <c r="F2337" s="20">
        <f>IF('Journal'!G1170="","",'Journal'!G1170)</f>
        <v/>
      </c>
      <c r="G2337" s="20">
        <f>IF('Journal'!F1170="","",'Journal'!F1170)</f>
        <v/>
      </c>
      <c r="H2337" s="5">
        <f>IF('Journal'!I1170="","",'Journal'!I1170)</f>
        <v/>
      </c>
    </row>
    <row r="2338">
      <c r="A2338" s="18">
        <f>IF('Journal'!A1170="","",'Journal'!A1170)</f>
        <v/>
      </c>
      <c r="B2338" s="21">
        <f>IF('Journal'!B1170="","",'Journal'!B1170)</f>
        <v/>
      </c>
      <c r="C2338" s="5">
        <f>IF('Journal'!C1170="","",'Journal'!C1170)</f>
        <v/>
      </c>
      <c r="D2338" s="5">
        <f>IF('Journal'!E1170="","",IFERROR(LEFT('Journal'!E1170,FIND(" ",'Journal'!E1170)-1),'Journal'!E1170))</f>
        <v/>
      </c>
      <c r="E2338" s="5">
        <f>IF('Journal'!E1170="","",IFERROR(INDEX('Kontoplan'!$B$3:$B$302,MATCH('Journal'!E1170,'Kontoplan'!$H$3:$H$302,0)),""))</f>
        <v/>
      </c>
      <c r="F2338" s="20">
        <f>IF('Journal'!F1170="","",'Journal'!F1170)</f>
        <v/>
      </c>
      <c r="G2338" s="20">
        <f>IF('Journal'!G1170="","",'Journal'!G1170)</f>
        <v/>
      </c>
      <c r="H2338" s="5">
        <f>IF('Journal'!I1170="","",'Journal'!I1170)</f>
        <v/>
      </c>
    </row>
    <row r="2339">
      <c r="A2339" s="18">
        <f>IF('Journal'!A1171="","",'Journal'!A1171)</f>
        <v/>
      </c>
      <c r="B2339" s="21">
        <f>IF('Journal'!B1171="","",'Journal'!B1171)</f>
        <v/>
      </c>
      <c r="C2339" s="5">
        <f>IF('Journal'!C1171="","",'Journal'!C1171)</f>
        <v/>
      </c>
      <c r="D2339" s="5">
        <f>IF('Journal'!D1171="","",IFERROR(LEFT('Journal'!D1171,FIND(" ",'Journal'!D1171)-1),'Journal'!D1171))</f>
        <v/>
      </c>
      <c r="E2339" s="5">
        <f>IF('Journal'!D1171="","",IFERROR(INDEX('Kontoplan'!$B$3:$B$302,MATCH('Journal'!D1171,'Kontoplan'!$H$3:$H$302,0)),""))</f>
        <v/>
      </c>
      <c r="F2339" s="20">
        <f>IF('Journal'!G1171="","",'Journal'!G1171)</f>
        <v/>
      </c>
      <c r="G2339" s="20">
        <f>IF('Journal'!F1171="","",'Journal'!F1171)</f>
        <v/>
      </c>
      <c r="H2339" s="5">
        <f>IF('Journal'!I1171="","",'Journal'!I1171)</f>
        <v/>
      </c>
    </row>
    <row r="2340">
      <c r="A2340" s="18">
        <f>IF('Journal'!A1171="","",'Journal'!A1171)</f>
        <v/>
      </c>
      <c r="B2340" s="21">
        <f>IF('Journal'!B1171="","",'Journal'!B1171)</f>
        <v/>
      </c>
      <c r="C2340" s="5">
        <f>IF('Journal'!C1171="","",'Journal'!C1171)</f>
        <v/>
      </c>
      <c r="D2340" s="5">
        <f>IF('Journal'!E1171="","",IFERROR(LEFT('Journal'!E1171,FIND(" ",'Journal'!E1171)-1),'Journal'!E1171))</f>
        <v/>
      </c>
      <c r="E2340" s="5">
        <f>IF('Journal'!E1171="","",IFERROR(INDEX('Kontoplan'!$B$3:$B$302,MATCH('Journal'!E1171,'Kontoplan'!$H$3:$H$302,0)),""))</f>
        <v/>
      </c>
      <c r="F2340" s="20">
        <f>IF('Journal'!F1171="","",'Journal'!F1171)</f>
        <v/>
      </c>
      <c r="G2340" s="20">
        <f>IF('Journal'!G1171="","",'Journal'!G1171)</f>
        <v/>
      </c>
      <c r="H2340" s="5">
        <f>IF('Journal'!I1171="","",'Journal'!I1171)</f>
        <v/>
      </c>
    </row>
    <row r="2341">
      <c r="A2341" s="18">
        <f>IF('Journal'!A1172="","",'Journal'!A1172)</f>
        <v/>
      </c>
      <c r="B2341" s="21">
        <f>IF('Journal'!B1172="","",'Journal'!B1172)</f>
        <v/>
      </c>
      <c r="C2341" s="5">
        <f>IF('Journal'!C1172="","",'Journal'!C1172)</f>
        <v/>
      </c>
      <c r="D2341" s="5">
        <f>IF('Journal'!D1172="","",IFERROR(LEFT('Journal'!D1172,FIND(" ",'Journal'!D1172)-1),'Journal'!D1172))</f>
        <v/>
      </c>
      <c r="E2341" s="5">
        <f>IF('Journal'!D1172="","",IFERROR(INDEX('Kontoplan'!$B$3:$B$302,MATCH('Journal'!D1172,'Kontoplan'!$H$3:$H$302,0)),""))</f>
        <v/>
      </c>
      <c r="F2341" s="20">
        <f>IF('Journal'!G1172="","",'Journal'!G1172)</f>
        <v/>
      </c>
      <c r="G2341" s="20">
        <f>IF('Journal'!F1172="","",'Journal'!F1172)</f>
        <v/>
      </c>
      <c r="H2341" s="5">
        <f>IF('Journal'!I1172="","",'Journal'!I1172)</f>
        <v/>
      </c>
    </row>
    <row r="2342">
      <c r="A2342" s="18">
        <f>IF('Journal'!A1172="","",'Journal'!A1172)</f>
        <v/>
      </c>
      <c r="B2342" s="21">
        <f>IF('Journal'!B1172="","",'Journal'!B1172)</f>
        <v/>
      </c>
      <c r="C2342" s="5">
        <f>IF('Journal'!C1172="","",'Journal'!C1172)</f>
        <v/>
      </c>
      <c r="D2342" s="5">
        <f>IF('Journal'!E1172="","",IFERROR(LEFT('Journal'!E1172,FIND(" ",'Journal'!E1172)-1),'Journal'!E1172))</f>
        <v/>
      </c>
      <c r="E2342" s="5">
        <f>IF('Journal'!E1172="","",IFERROR(INDEX('Kontoplan'!$B$3:$B$302,MATCH('Journal'!E1172,'Kontoplan'!$H$3:$H$302,0)),""))</f>
        <v/>
      </c>
      <c r="F2342" s="20">
        <f>IF('Journal'!F1172="","",'Journal'!F1172)</f>
        <v/>
      </c>
      <c r="G2342" s="20">
        <f>IF('Journal'!G1172="","",'Journal'!G1172)</f>
        <v/>
      </c>
      <c r="H2342" s="5">
        <f>IF('Journal'!I1172="","",'Journal'!I1172)</f>
        <v/>
      </c>
    </row>
    <row r="2343">
      <c r="A2343" s="18">
        <f>IF('Journal'!A1173="","",'Journal'!A1173)</f>
        <v/>
      </c>
      <c r="B2343" s="21">
        <f>IF('Journal'!B1173="","",'Journal'!B1173)</f>
        <v/>
      </c>
      <c r="C2343" s="5">
        <f>IF('Journal'!C1173="","",'Journal'!C1173)</f>
        <v/>
      </c>
      <c r="D2343" s="5">
        <f>IF('Journal'!D1173="","",IFERROR(LEFT('Journal'!D1173,FIND(" ",'Journal'!D1173)-1),'Journal'!D1173))</f>
        <v/>
      </c>
      <c r="E2343" s="5">
        <f>IF('Journal'!D1173="","",IFERROR(INDEX('Kontoplan'!$B$3:$B$302,MATCH('Journal'!D1173,'Kontoplan'!$H$3:$H$302,0)),""))</f>
        <v/>
      </c>
      <c r="F2343" s="20">
        <f>IF('Journal'!G1173="","",'Journal'!G1173)</f>
        <v/>
      </c>
      <c r="G2343" s="20">
        <f>IF('Journal'!F1173="","",'Journal'!F1173)</f>
        <v/>
      </c>
      <c r="H2343" s="5">
        <f>IF('Journal'!I1173="","",'Journal'!I1173)</f>
        <v/>
      </c>
    </row>
    <row r="2344">
      <c r="A2344" s="18">
        <f>IF('Journal'!A1173="","",'Journal'!A1173)</f>
        <v/>
      </c>
      <c r="B2344" s="21">
        <f>IF('Journal'!B1173="","",'Journal'!B1173)</f>
        <v/>
      </c>
      <c r="C2344" s="5">
        <f>IF('Journal'!C1173="","",'Journal'!C1173)</f>
        <v/>
      </c>
      <c r="D2344" s="5">
        <f>IF('Journal'!E1173="","",IFERROR(LEFT('Journal'!E1173,FIND(" ",'Journal'!E1173)-1),'Journal'!E1173))</f>
        <v/>
      </c>
      <c r="E2344" s="5">
        <f>IF('Journal'!E1173="","",IFERROR(INDEX('Kontoplan'!$B$3:$B$302,MATCH('Journal'!E1173,'Kontoplan'!$H$3:$H$302,0)),""))</f>
        <v/>
      </c>
      <c r="F2344" s="20">
        <f>IF('Journal'!F1173="","",'Journal'!F1173)</f>
        <v/>
      </c>
      <c r="G2344" s="20">
        <f>IF('Journal'!G1173="","",'Journal'!G1173)</f>
        <v/>
      </c>
      <c r="H2344" s="5">
        <f>IF('Journal'!I1173="","",'Journal'!I1173)</f>
        <v/>
      </c>
    </row>
    <row r="2345">
      <c r="A2345" s="18">
        <f>IF('Journal'!A1174="","",'Journal'!A1174)</f>
        <v/>
      </c>
      <c r="B2345" s="21">
        <f>IF('Journal'!B1174="","",'Journal'!B1174)</f>
        <v/>
      </c>
      <c r="C2345" s="5">
        <f>IF('Journal'!C1174="","",'Journal'!C1174)</f>
        <v/>
      </c>
      <c r="D2345" s="5">
        <f>IF('Journal'!D1174="","",IFERROR(LEFT('Journal'!D1174,FIND(" ",'Journal'!D1174)-1),'Journal'!D1174))</f>
        <v/>
      </c>
      <c r="E2345" s="5">
        <f>IF('Journal'!D1174="","",IFERROR(INDEX('Kontoplan'!$B$3:$B$302,MATCH('Journal'!D1174,'Kontoplan'!$H$3:$H$302,0)),""))</f>
        <v/>
      </c>
      <c r="F2345" s="20">
        <f>IF('Journal'!G1174="","",'Journal'!G1174)</f>
        <v/>
      </c>
      <c r="G2345" s="20">
        <f>IF('Journal'!F1174="","",'Journal'!F1174)</f>
        <v/>
      </c>
      <c r="H2345" s="5">
        <f>IF('Journal'!I1174="","",'Journal'!I1174)</f>
        <v/>
      </c>
    </row>
    <row r="2346">
      <c r="A2346" s="18">
        <f>IF('Journal'!A1174="","",'Journal'!A1174)</f>
        <v/>
      </c>
      <c r="B2346" s="21">
        <f>IF('Journal'!B1174="","",'Journal'!B1174)</f>
        <v/>
      </c>
      <c r="C2346" s="5">
        <f>IF('Journal'!C1174="","",'Journal'!C1174)</f>
        <v/>
      </c>
      <c r="D2346" s="5">
        <f>IF('Journal'!E1174="","",IFERROR(LEFT('Journal'!E1174,FIND(" ",'Journal'!E1174)-1),'Journal'!E1174))</f>
        <v/>
      </c>
      <c r="E2346" s="5">
        <f>IF('Journal'!E1174="","",IFERROR(INDEX('Kontoplan'!$B$3:$B$302,MATCH('Journal'!E1174,'Kontoplan'!$H$3:$H$302,0)),""))</f>
        <v/>
      </c>
      <c r="F2346" s="20">
        <f>IF('Journal'!F1174="","",'Journal'!F1174)</f>
        <v/>
      </c>
      <c r="G2346" s="20">
        <f>IF('Journal'!G1174="","",'Journal'!G1174)</f>
        <v/>
      </c>
      <c r="H2346" s="5">
        <f>IF('Journal'!I1174="","",'Journal'!I1174)</f>
        <v/>
      </c>
    </row>
    <row r="2347">
      <c r="A2347" s="18">
        <f>IF('Journal'!A1175="","",'Journal'!A1175)</f>
        <v/>
      </c>
      <c r="B2347" s="21">
        <f>IF('Journal'!B1175="","",'Journal'!B1175)</f>
        <v/>
      </c>
      <c r="C2347" s="5">
        <f>IF('Journal'!C1175="","",'Journal'!C1175)</f>
        <v/>
      </c>
      <c r="D2347" s="5">
        <f>IF('Journal'!D1175="","",IFERROR(LEFT('Journal'!D1175,FIND(" ",'Journal'!D1175)-1),'Journal'!D1175))</f>
        <v/>
      </c>
      <c r="E2347" s="5">
        <f>IF('Journal'!D1175="","",IFERROR(INDEX('Kontoplan'!$B$3:$B$302,MATCH('Journal'!D1175,'Kontoplan'!$H$3:$H$302,0)),""))</f>
        <v/>
      </c>
      <c r="F2347" s="20">
        <f>IF('Journal'!G1175="","",'Journal'!G1175)</f>
        <v/>
      </c>
      <c r="G2347" s="20">
        <f>IF('Journal'!F1175="","",'Journal'!F1175)</f>
        <v/>
      </c>
      <c r="H2347" s="5">
        <f>IF('Journal'!I1175="","",'Journal'!I1175)</f>
        <v/>
      </c>
    </row>
    <row r="2348">
      <c r="A2348" s="18">
        <f>IF('Journal'!A1175="","",'Journal'!A1175)</f>
        <v/>
      </c>
      <c r="B2348" s="21">
        <f>IF('Journal'!B1175="","",'Journal'!B1175)</f>
        <v/>
      </c>
      <c r="C2348" s="5">
        <f>IF('Journal'!C1175="","",'Journal'!C1175)</f>
        <v/>
      </c>
      <c r="D2348" s="5">
        <f>IF('Journal'!E1175="","",IFERROR(LEFT('Journal'!E1175,FIND(" ",'Journal'!E1175)-1),'Journal'!E1175))</f>
        <v/>
      </c>
      <c r="E2348" s="5">
        <f>IF('Journal'!E1175="","",IFERROR(INDEX('Kontoplan'!$B$3:$B$302,MATCH('Journal'!E1175,'Kontoplan'!$H$3:$H$302,0)),""))</f>
        <v/>
      </c>
      <c r="F2348" s="20">
        <f>IF('Journal'!F1175="","",'Journal'!F1175)</f>
        <v/>
      </c>
      <c r="G2348" s="20">
        <f>IF('Journal'!G1175="","",'Journal'!G1175)</f>
        <v/>
      </c>
      <c r="H2348" s="5">
        <f>IF('Journal'!I1175="","",'Journal'!I1175)</f>
        <v/>
      </c>
    </row>
    <row r="2349">
      <c r="A2349" s="18">
        <f>IF('Journal'!A1176="","",'Journal'!A1176)</f>
        <v/>
      </c>
      <c r="B2349" s="21">
        <f>IF('Journal'!B1176="","",'Journal'!B1176)</f>
        <v/>
      </c>
      <c r="C2349" s="5">
        <f>IF('Journal'!C1176="","",'Journal'!C1176)</f>
        <v/>
      </c>
      <c r="D2349" s="5">
        <f>IF('Journal'!D1176="","",IFERROR(LEFT('Journal'!D1176,FIND(" ",'Journal'!D1176)-1),'Journal'!D1176))</f>
        <v/>
      </c>
      <c r="E2349" s="5">
        <f>IF('Journal'!D1176="","",IFERROR(INDEX('Kontoplan'!$B$3:$B$302,MATCH('Journal'!D1176,'Kontoplan'!$H$3:$H$302,0)),""))</f>
        <v/>
      </c>
      <c r="F2349" s="20">
        <f>IF('Journal'!G1176="","",'Journal'!G1176)</f>
        <v/>
      </c>
      <c r="G2349" s="20">
        <f>IF('Journal'!F1176="","",'Journal'!F1176)</f>
        <v/>
      </c>
      <c r="H2349" s="5">
        <f>IF('Journal'!I1176="","",'Journal'!I1176)</f>
        <v/>
      </c>
    </row>
    <row r="2350">
      <c r="A2350" s="18">
        <f>IF('Journal'!A1176="","",'Journal'!A1176)</f>
        <v/>
      </c>
      <c r="B2350" s="21">
        <f>IF('Journal'!B1176="","",'Journal'!B1176)</f>
        <v/>
      </c>
      <c r="C2350" s="5">
        <f>IF('Journal'!C1176="","",'Journal'!C1176)</f>
        <v/>
      </c>
      <c r="D2350" s="5">
        <f>IF('Journal'!E1176="","",IFERROR(LEFT('Journal'!E1176,FIND(" ",'Journal'!E1176)-1),'Journal'!E1176))</f>
        <v/>
      </c>
      <c r="E2350" s="5">
        <f>IF('Journal'!E1176="","",IFERROR(INDEX('Kontoplan'!$B$3:$B$302,MATCH('Journal'!E1176,'Kontoplan'!$H$3:$H$302,0)),""))</f>
        <v/>
      </c>
      <c r="F2350" s="20">
        <f>IF('Journal'!F1176="","",'Journal'!F1176)</f>
        <v/>
      </c>
      <c r="G2350" s="20">
        <f>IF('Journal'!G1176="","",'Journal'!G1176)</f>
        <v/>
      </c>
      <c r="H2350" s="5">
        <f>IF('Journal'!I1176="","",'Journal'!I1176)</f>
        <v/>
      </c>
    </row>
    <row r="2351">
      <c r="A2351" s="18">
        <f>IF('Journal'!A1177="","",'Journal'!A1177)</f>
        <v/>
      </c>
      <c r="B2351" s="21">
        <f>IF('Journal'!B1177="","",'Journal'!B1177)</f>
        <v/>
      </c>
      <c r="C2351" s="5">
        <f>IF('Journal'!C1177="","",'Journal'!C1177)</f>
        <v/>
      </c>
      <c r="D2351" s="5">
        <f>IF('Journal'!D1177="","",IFERROR(LEFT('Journal'!D1177,FIND(" ",'Journal'!D1177)-1),'Journal'!D1177))</f>
        <v/>
      </c>
      <c r="E2351" s="5">
        <f>IF('Journal'!D1177="","",IFERROR(INDEX('Kontoplan'!$B$3:$B$302,MATCH('Journal'!D1177,'Kontoplan'!$H$3:$H$302,0)),""))</f>
        <v/>
      </c>
      <c r="F2351" s="20">
        <f>IF('Journal'!G1177="","",'Journal'!G1177)</f>
        <v/>
      </c>
      <c r="G2351" s="20">
        <f>IF('Journal'!F1177="","",'Journal'!F1177)</f>
        <v/>
      </c>
      <c r="H2351" s="5">
        <f>IF('Journal'!I1177="","",'Journal'!I1177)</f>
        <v/>
      </c>
    </row>
    <row r="2352">
      <c r="A2352" s="18">
        <f>IF('Journal'!A1177="","",'Journal'!A1177)</f>
        <v/>
      </c>
      <c r="B2352" s="21">
        <f>IF('Journal'!B1177="","",'Journal'!B1177)</f>
        <v/>
      </c>
      <c r="C2352" s="5">
        <f>IF('Journal'!C1177="","",'Journal'!C1177)</f>
        <v/>
      </c>
      <c r="D2352" s="5">
        <f>IF('Journal'!E1177="","",IFERROR(LEFT('Journal'!E1177,FIND(" ",'Journal'!E1177)-1),'Journal'!E1177))</f>
        <v/>
      </c>
      <c r="E2352" s="5">
        <f>IF('Journal'!E1177="","",IFERROR(INDEX('Kontoplan'!$B$3:$B$302,MATCH('Journal'!E1177,'Kontoplan'!$H$3:$H$302,0)),""))</f>
        <v/>
      </c>
      <c r="F2352" s="20">
        <f>IF('Journal'!F1177="","",'Journal'!F1177)</f>
        <v/>
      </c>
      <c r="G2352" s="20">
        <f>IF('Journal'!G1177="","",'Journal'!G1177)</f>
        <v/>
      </c>
      <c r="H2352" s="5">
        <f>IF('Journal'!I1177="","",'Journal'!I1177)</f>
        <v/>
      </c>
    </row>
    <row r="2353">
      <c r="A2353" s="18">
        <f>IF('Journal'!A1178="","",'Journal'!A1178)</f>
        <v/>
      </c>
      <c r="B2353" s="21">
        <f>IF('Journal'!B1178="","",'Journal'!B1178)</f>
        <v/>
      </c>
      <c r="C2353" s="5">
        <f>IF('Journal'!C1178="","",'Journal'!C1178)</f>
        <v/>
      </c>
      <c r="D2353" s="5">
        <f>IF('Journal'!D1178="","",IFERROR(LEFT('Journal'!D1178,FIND(" ",'Journal'!D1178)-1),'Journal'!D1178))</f>
        <v/>
      </c>
      <c r="E2353" s="5">
        <f>IF('Journal'!D1178="","",IFERROR(INDEX('Kontoplan'!$B$3:$B$302,MATCH('Journal'!D1178,'Kontoplan'!$H$3:$H$302,0)),""))</f>
        <v/>
      </c>
      <c r="F2353" s="20">
        <f>IF('Journal'!G1178="","",'Journal'!G1178)</f>
        <v/>
      </c>
      <c r="G2353" s="20">
        <f>IF('Journal'!F1178="","",'Journal'!F1178)</f>
        <v/>
      </c>
      <c r="H2353" s="5">
        <f>IF('Journal'!I1178="","",'Journal'!I1178)</f>
        <v/>
      </c>
    </row>
    <row r="2354">
      <c r="A2354" s="18">
        <f>IF('Journal'!A1178="","",'Journal'!A1178)</f>
        <v/>
      </c>
      <c r="B2354" s="21">
        <f>IF('Journal'!B1178="","",'Journal'!B1178)</f>
        <v/>
      </c>
      <c r="C2354" s="5">
        <f>IF('Journal'!C1178="","",'Journal'!C1178)</f>
        <v/>
      </c>
      <c r="D2354" s="5">
        <f>IF('Journal'!E1178="","",IFERROR(LEFT('Journal'!E1178,FIND(" ",'Journal'!E1178)-1),'Journal'!E1178))</f>
        <v/>
      </c>
      <c r="E2354" s="5">
        <f>IF('Journal'!E1178="","",IFERROR(INDEX('Kontoplan'!$B$3:$B$302,MATCH('Journal'!E1178,'Kontoplan'!$H$3:$H$302,0)),""))</f>
        <v/>
      </c>
      <c r="F2354" s="20">
        <f>IF('Journal'!F1178="","",'Journal'!F1178)</f>
        <v/>
      </c>
      <c r="G2354" s="20">
        <f>IF('Journal'!G1178="","",'Journal'!G1178)</f>
        <v/>
      </c>
      <c r="H2354" s="5">
        <f>IF('Journal'!I1178="","",'Journal'!I1178)</f>
        <v/>
      </c>
    </row>
    <row r="2355">
      <c r="A2355" s="18">
        <f>IF('Journal'!A1179="","",'Journal'!A1179)</f>
        <v/>
      </c>
      <c r="B2355" s="21">
        <f>IF('Journal'!B1179="","",'Journal'!B1179)</f>
        <v/>
      </c>
      <c r="C2355" s="5">
        <f>IF('Journal'!C1179="","",'Journal'!C1179)</f>
        <v/>
      </c>
      <c r="D2355" s="5">
        <f>IF('Journal'!D1179="","",IFERROR(LEFT('Journal'!D1179,FIND(" ",'Journal'!D1179)-1),'Journal'!D1179))</f>
        <v/>
      </c>
      <c r="E2355" s="5">
        <f>IF('Journal'!D1179="","",IFERROR(INDEX('Kontoplan'!$B$3:$B$302,MATCH('Journal'!D1179,'Kontoplan'!$H$3:$H$302,0)),""))</f>
        <v/>
      </c>
      <c r="F2355" s="20">
        <f>IF('Journal'!G1179="","",'Journal'!G1179)</f>
        <v/>
      </c>
      <c r="G2355" s="20">
        <f>IF('Journal'!F1179="","",'Journal'!F1179)</f>
        <v/>
      </c>
      <c r="H2355" s="5">
        <f>IF('Journal'!I1179="","",'Journal'!I1179)</f>
        <v/>
      </c>
    </row>
    <row r="2356">
      <c r="A2356" s="18">
        <f>IF('Journal'!A1179="","",'Journal'!A1179)</f>
        <v/>
      </c>
      <c r="B2356" s="21">
        <f>IF('Journal'!B1179="","",'Journal'!B1179)</f>
        <v/>
      </c>
      <c r="C2356" s="5">
        <f>IF('Journal'!C1179="","",'Journal'!C1179)</f>
        <v/>
      </c>
      <c r="D2356" s="5">
        <f>IF('Journal'!E1179="","",IFERROR(LEFT('Journal'!E1179,FIND(" ",'Journal'!E1179)-1),'Journal'!E1179))</f>
        <v/>
      </c>
      <c r="E2356" s="5">
        <f>IF('Journal'!E1179="","",IFERROR(INDEX('Kontoplan'!$B$3:$B$302,MATCH('Journal'!E1179,'Kontoplan'!$H$3:$H$302,0)),""))</f>
        <v/>
      </c>
      <c r="F2356" s="20">
        <f>IF('Journal'!F1179="","",'Journal'!F1179)</f>
        <v/>
      </c>
      <c r="G2356" s="20">
        <f>IF('Journal'!G1179="","",'Journal'!G1179)</f>
        <v/>
      </c>
      <c r="H2356" s="5">
        <f>IF('Journal'!I1179="","",'Journal'!I1179)</f>
        <v/>
      </c>
    </row>
    <row r="2357">
      <c r="A2357" s="18">
        <f>IF('Journal'!A1180="","",'Journal'!A1180)</f>
        <v/>
      </c>
      <c r="B2357" s="21">
        <f>IF('Journal'!B1180="","",'Journal'!B1180)</f>
        <v/>
      </c>
      <c r="C2357" s="5">
        <f>IF('Journal'!C1180="","",'Journal'!C1180)</f>
        <v/>
      </c>
      <c r="D2357" s="5">
        <f>IF('Journal'!D1180="","",IFERROR(LEFT('Journal'!D1180,FIND(" ",'Journal'!D1180)-1),'Journal'!D1180))</f>
        <v/>
      </c>
      <c r="E2357" s="5">
        <f>IF('Journal'!D1180="","",IFERROR(INDEX('Kontoplan'!$B$3:$B$302,MATCH('Journal'!D1180,'Kontoplan'!$H$3:$H$302,0)),""))</f>
        <v/>
      </c>
      <c r="F2357" s="20">
        <f>IF('Journal'!G1180="","",'Journal'!G1180)</f>
        <v/>
      </c>
      <c r="G2357" s="20">
        <f>IF('Journal'!F1180="","",'Journal'!F1180)</f>
        <v/>
      </c>
      <c r="H2357" s="5">
        <f>IF('Journal'!I1180="","",'Journal'!I1180)</f>
        <v/>
      </c>
    </row>
    <row r="2358">
      <c r="A2358" s="18">
        <f>IF('Journal'!A1180="","",'Journal'!A1180)</f>
        <v/>
      </c>
      <c r="B2358" s="21">
        <f>IF('Journal'!B1180="","",'Journal'!B1180)</f>
        <v/>
      </c>
      <c r="C2358" s="5">
        <f>IF('Journal'!C1180="","",'Journal'!C1180)</f>
        <v/>
      </c>
      <c r="D2358" s="5">
        <f>IF('Journal'!E1180="","",IFERROR(LEFT('Journal'!E1180,FIND(" ",'Journal'!E1180)-1),'Journal'!E1180))</f>
        <v/>
      </c>
      <c r="E2358" s="5">
        <f>IF('Journal'!E1180="","",IFERROR(INDEX('Kontoplan'!$B$3:$B$302,MATCH('Journal'!E1180,'Kontoplan'!$H$3:$H$302,0)),""))</f>
        <v/>
      </c>
      <c r="F2358" s="20">
        <f>IF('Journal'!F1180="","",'Journal'!F1180)</f>
        <v/>
      </c>
      <c r="G2358" s="20">
        <f>IF('Journal'!G1180="","",'Journal'!G1180)</f>
        <v/>
      </c>
      <c r="H2358" s="5">
        <f>IF('Journal'!I1180="","",'Journal'!I1180)</f>
        <v/>
      </c>
    </row>
    <row r="2359">
      <c r="A2359" s="18">
        <f>IF('Journal'!A1181="","",'Journal'!A1181)</f>
        <v/>
      </c>
      <c r="B2359" s="21">
        <f>IF('Journal'!B1181="","",'Journal'!B1181)</f>
        <v/>
      </c>
      <c r="C2359" s="5">
        <f>IF('Journal'!C1181="","",'Journal'!C1181)</f>
        <v/>
      </c>
      <c r="D2359" s="5">
        <f>IF('Journal'!D1181="","",IFERROR(LEFT('Journal'!D1181,FIND(" ",'Journal'!D1181)-1),'Journal'!D1181))</f>
        <v/>
      </c>
      <c r="E2359" s="5">
        <f>IF('Journal'!D1181="","",IFERROR(INDEX('Kontoplan'!$B$3:$B$302,MATCH('Journal'!D1181,'Kontoplan'!$H$3:$H$302,0)),""))</f>
        <v/>
      </c>
      <c r="F2359" s="20">
        <f>IF('Journal'!G1181="","",'Journal'!G1181)</f>
        <v/>
      </c>
      <c r="G2359" s="20">
        <f>IF('Journal'!F1181="","",'Journal'!F1181)</f>
        <v/>
      </c>
      <c r="H2359" s="5">
        <f>IF('Journal'!I1181="","",'Journal'!I1181)</f>
        <v/>
      </c>
    </row>
    <row r="2360">
      <c r="A2360" s="18">
        <f>IF('Journal'!A1181="","",'Journal'!A1181)</f>
        <v/>
      </c>
      <c r="B2360" s="21">
        <f>IF('Journal'!B1181="","",'Journal'!B1181)</f>
        <v/>
      </c>
      <c r="C2360" s="5">
        <f>IF('Journal'!C1181="","",'Journal'!C1181)</f>
        <v/>
      </c>
      <c r="D2360" s="5">
        <f>IF('Journal'!E1181="","",IFERROR(LEFT('Journal'!E1181,FIND(" ",'Journal'!E1181)-1),'Journal'!E1181))</f>
        <v/>
      </c>
      <c r="E2360" s="5">
        <f>IF('Journal'!E1181="","",IFERROR(INDEX('Kontoplan'!$B$3:$B$302,MATCH('Journal'!E1181,'Kontoplan'!$H$3:$H$302,0)),""))</f>
        <v/>
      </c>
      <c r="F2360" s="20">
        <f>IF('Journal'!F1181="","",'Journal'!F1181)</f>
        <v/>
      </c>
      <c r="G2360" s="20">
        <f>IF('Journal'!G1181="","",'Journal'!G1181)</f>
        <v/>
      </c>
      <c r="H2360" s="5">
        <f>IF('Journal'!I1181="","",'Journal'!I1181)</f>
        <v/>
      </c>
    </row>
    <row r="2361">
      <c r="A2361" s="18">
        <f>IF('Journal'!A1182="","",'Journal'!A1182)</f>
        <v/>
      </c>
      <c r="B2361" s="21">
        <f>IF('Journal'!B1182="","",'Journal'!B1182)</f>
        <v/>
      </c>
      <c r="C2361" s="5">
        <f>IF('Journal'!C1182="","",'Journal'!C1182)</f>
        <v/>
      </c>
      <c r="D2361" s="5">
        <f>IF('Journal'!D1182="","",IFERROR(LEFT('Journal'!D1182,FIND(" ",'Journal'!D1182)-1),'Journal'!D1182))</f>
        <v/>
      </c>
      <c r="E2361" s="5">
        <f>IF('Journal'!D1182="","",IFERROR(INDEX('Kontoplan'!$B$3:$B$302,MATCH('Journal'!D1182,'Kontoplan'!$H$3:$H$302,0)),""))</f>
        <v/>
      </c>
      <c r="F2361" s="20">
        <f>IF('Journal'!G1182="","",'Journal'!G1182)</f>
        <v/>
      </c>
      <c r="G2361" s="20">
        <f>IF('Journal'!F1182="","",'Journal'!F1182)</f>
        <v/>
      </c>
      <c r="H2361" s="5">
        <f>IF('Journal'!I1182="","",'Journal'!I1182)</f>
        <v/>
      </c>
    </row>
    <row r="2362">
      <c r="A2362" s="18">
        <f>IF('Journal'!A1182="","",'Journal'!A1182)</f>
        <v/>
      </c>
      <c r="B2362" s="21">
        <f>IF('Journal'!B1182="","",'Journal'!B1182)</f>
        <v/>
      </c>
      <c r="C2362" s="5">
        <f>IF('Journal'!C1182="","",'Journal'!C1182)</f>
        <v/>
      </c>
      <c r="D2362" s="5">
        <f>IF('Journal'!E1182="","",IFERROR(LEFT('Journal'!E1182,FIND(" ",'Journal'!E1182)-1),'Journal'!E1182))</f>
        <v/>
      </c>
      <c r="E2362" s="5">
        <f>IF('Journal'!E1182="","",IFERROR(INDEX('Kontoplan'!$B$3:$B$302,MATCH('Journal'!E1182,'Kontoplan'!$H$3:$H$302,0)),""))</f>
        <v/>
      </c>
      <c r="F2362" s="20">
        <f>IF('Journal'!F1182="","",'Journal'!F1182)</f>
        <v/>
      </c>
      <c r="G2362" s="20">
        <f>IF('Journal'!G1182="","",'Journal'!G1182)</f>
        <v/>
      </c>
      <c r="H2362" s="5">
        <f>IF('Journal'!I1182="","",'Journal'!I1182)</f>
        <v/>
      </c>
    </row>
    <row r="2363">
      <c r="A2363" s="18">
        <f>IF('Journal'!A1183="","",'Journal'!A1183)</f>
        <v/>
      </c>
      <c r="B2363" s="21">
        <f>IF('Journal'!B1183="","",'Journal'!B1183)</f>
        <v/>
      </c>
      <c r="C2363" s="5">
        <f>IF('Journal'!C1183="","",'Journal'!C1183)</f>
        <v/>
      </c>
      <c r="D2363" s="5">
        <f>IF('Journal'!D1183="","",IFERROR(LEFT('Journal'!D1183,FIND(" ",'Journal'!D1183)-1),'Journal'!D1183))</f>
        <v/>
      </c>
      <c r="E2363" s="5">
        <f>IF('Journal'!D1183="","",IFERROR(INDEX('Kontoplan'!$B$3:$B$302,MATCH('Journal'!D1183,'Kontoplan'!$H$3:$H$302,0)),""))</f>
        <v/>
      </c>
      <c r="F2363" s="20">
        <f>IF('Journal'!G1183="","",'Journal'!G1183)</f>
        <v/>
      </c>
      <c r="G2363" s="20">
        <f>IF('Journal'!F1183="","",'Journal'!F1183)</f>
        <v/>
      </c>
      <c r="H2363" s="5">
        <f>IF('Journal'!I1183="","",'Journal'!I1183)</f>
        <v/>
      </c>
    </row>
    <row r="2364">
      <c r="A2364" s="18">
        <f>IF('Journal'!A1183="","",'Journal'!A1183)</f>
        <v/>
      </c>
      <c r="B2364" s="21">
        <f>IF('Journal'!B1183="","",'Journal'!B1183)</f>
        <v/>
      </c>
      <c r="C2364" s="5">
        <f>IF('Journal'!C1183="","",'Journal'!C1183)</f>
        <v/>
      </c>
      <c r="D2364" s="5">
        <f>IF('Journal'!E1183="","",IFERROR(LEFT('Journal'!E1183,FIND(" ",'Journal'!E1183)-1),'Journal'!E1183))</f>
        <v/>
      </c>
      <c r="E2364" s="5">
        <f>IF('Journal'!E1183="","",IFERROR(INDEX('Kontoplan'!$B$3:$B$302,MATCH('Journal'!E1183,'Kontoplan'!$H$3:$H$302,0)),""))</f>
        <v/>
      </c>
      <c r="F2364" s="20">
        <f>IF('Journal'!F1183="","",'Journal'!F1183)</f>
        <v/>
      </c>
      <c r="G2364" s="20">
        <f>IF('Journal'!G1183="","",'Journal'!G1183)</f>
        <v/>
      </c>
      <c r="H2364" s="5">
        <f>IF('Journal'!I1183="","",'Journal'!I1183)</f>
        <v/>
      </c>
    </row>
    <row r="2365">
      <c r="A2365" s="18">
        <f>IF('Journal'!A1184="","",'Journal'!A1184)</f>
        <v/>
      </c>
      <c r="B2365" s="21">
        <f>IF('Journal'!B1184="","",'Journal'!B1184)</f>
        <v/>
      </c>
      <c r="C2365" s="5">
        <f>IF('Journal'!C1184="","",'Journal'!C1184)</f>
        <v/>
      </c>
      <c r="D2365" s="5">
        <f>IF('Journal'!D1184="","",IFERROR(LEFT('Journal'!D1184,FIND(" ",'Journal'!D1184)-1),'Journal'!D1184))</f>
        <v/>
      </c>
      <c r="E2365" s="5">
        <f>IF('Journal'!D1184="","",IFERROR(INDEX('Kontoplan'!$B$3:$B$302,MATCH('Journal'!D1184,'Kontoplan'!$H$3:$H$302,0)),""))</f>
        <v/>
      </c>
      <c r="F2365" s="20">
        <f>IF('Journal'!G1184="","",'Journal'!G1184)</f>
        <v/>
      </c>
      <c r="G2365" s="20">
        <f>IF('Journal'!F1184="","",'Journal'!F1184)</f>
        <v/>
      </c>
      <c r="H2365" s="5">
        <f>IF('Journal'!I1184="","",'Journal'!I1184)</f>
        <v/>
      </c>
    </row>
    <row r="2366">
      <c r="A2366" s="18">
        <f>IF('Journal'!A1184="","",'Journal'!A1184)</f>
        <v/>
      </c>
      <c r="B2366" s="21">
        <f>IF('Journal'!B1184="","",'Journal'!B1184)</f>
        <v/>
      </c>
      <c r="C2366" s="5">
        <f>IF('Journal'!C1184="","",'Journal'!C1184)</f>
        <v/>
      </c>
      <c r="D2366" s="5">
        <f>IF('Journal'!E1184="","",IFERROR(LEFT('Journal'!E1184,FIND(" ",'Journal'!E1184)-1),'Journal'!E1184))</f>
        <v/>
      </c>
      <c r="E2366" s="5">
        <f>IF('Journal'!E1184="","",IFERROR(INDEX('Kontoplan'!$B$3:$B$302,MATCH('Journal'!E1184,'Kontoplan'!$H$3:$H$302,0)),""))</f>
        <v/>
      </c>
      <c r="F2366" s="20">
        <f>IF('Journal'!F1184="","",'Journal'!F1184)</f>
        <v/>
      </c>
      <c r="G2366" s="20">
        <f>IF('Journal'!G1184="","",'Journal'!G1184)</f>
        <v/>
      </c>
      <c r="H2366" s="5">
        <f>IF('Journal'!I1184="","",'Journal'!I1184)</f>
        <v/>
      </c>
    </row>
    <row r="2367">
      <c r="A2367" s="18">
        <f>IF('Journal'!A1185="","",'Journal'!A1185)</f>
        <v/>
      </c>
      <c r="B2367" s="21">
        <f>IF('Journal'!B1185="","",'Journal'!B1185)</f>
        <v/>
      </c>
      <c r="C2367" s="5">
        <f>IF('Journal'!C1185="","",'Journal'!C1185)</f>
        <v/>
      </c>
      <c r="D2367" s="5">
        <f>IF('Journal'!D1185="","",IFERROR(LEFT('Journal'!D1185,FIND(" ",'Journal'!D1185)-1),'Journal'!D1185))</f>
        <v/>
      </c>
      <c r="E2367" s="5">
        <f>IF('Journal'!D1185="","",IFERROR(INDEX('Kontoplan'!$B$3:$B$302,MATCH('Journal'!D1185,'Kontoplan'!$H$3:$H$302,0)),""))</f>
        <v/>
      </c>
      <c r="F2367" s="20">
        <f>IF('Journal'!G1185="","",'Journal'!G1185)</f>
        <v/>
      </c>
      <c r="G2367" s="20">
        <f>IF('Journal'!F1185="","",'Journal'!F1185)</f>
        <v/>
      </c>
      <c r="H2367" s="5">
        <f>IF('Journal'!I1185="","",'Journal'!I1185)</f>
        <v/>
      </c>
    </row>
    <row r="2368">
      <c r="A2368" s="18">
        <f>IF('Journal'!A1185="","",'Journal'!A1185)</f>
        <v/>
      </c>
      <c r="B2368" s="21">
        <f>IF('Journal'!B1185="","",'Journal'!B1185)</f>
        <v/>
      </c>
      <c r="C2368" s="5">
        <f>IF('Journal'!C1185="","",'Journal'!C1185)</f>
        <v/>
      </c>
      <c r="D2368" s="5">
        <f>IF('Journal'!E1185="","",IFERROR(LEFT('Journal'!E1185,FIND(" ",'Journal'!E1185)-1),'Journal'!E1185))</f>
        <v/>
      </c>
      <c r="E2368" s="5">
        <f>IF('Journal'!E1185="","",IFERROR(INDEX('Kontoplan'!$B$3:$B$302,MATCH('Journal'!E1185,'Kontoplan'!$H$3:$H$302,0)),""))</f>
        <v/>
      </c>
      <c r="F2368" s="20">
        <f>IF('Journal'!F1185="","",'Journal'!F1185)</f>
        <v/>
      </c>
      <c r="G2368" s="20">
        <f>IF('Journal'!G1185="","",'Journal'!G1185)</f>
        <v/>
      </c>
      <c r="H2368" s="5">
        <f>IF('Journal'!I1185="","",'Journal'!I1185)</f>
        <v/>
      </c>
    </row>
    <row r="2369">
      <c r="A2369" s="18">
        <f>IF('Journal'!A1186="","",'Journal'!A1186)</f>
        <v/>
      </c>
      <c r="B2369" s="21">
        <f>IF('Journal'!B1186="","",'Journal'!B1186)</f>
        <v/>
      </c>
      <c r="C2369" s="5">
        <f>IF('Journal'!C1186="","",'Journal'!C1186)</f>
        <v/>
      </c>
      <c r="D2369" s="5">
        <f>IF('Journal'!D1186="","",IFERROR(LEFT('Journal'!D1186,FIND(" ",'Journal'!D1186)-1),'Journal'!D1186))</f>
        <v/>
      </c>
      <c r="E2369" s="5">
        <f>IF('Journal'!D1186="","",IFERROR(INDEX('Kontoplan'!$B$3:$B$302,MATCH('Journal'!D1186,'Kontoplan'!$H$3:$H$302,0)),""))</f>
        <v/>
      </c>
      <c r="F2369" s="20">
        <f>IF('Journal'!G1186="","",'Journal'!G1186)</f>
        <v/>
      </c>
      <c r="G2369" s="20">
        <f>IF('Journal'!F1186="","",'Journal'!F1186)</f>
        <v/>
      </c>
      <c r="H2369" s="5">
        <f>IF('Journal'!I1186="","",'Journal'!I1186)</f>
        <v/>
      </c>
    </row>
    <row r="2370">
      <c r="A2370" s="18">
        <f>IF('Journal'!A1186="","",'Journal'!A1186)</f>
        <v/>
      </c>
      <c r="B2370" s="21">
        <f>IF('Journal'!B1186="","",'Journal'!B1186)</f>
        <v/>
      </c>
      <c r="C2370" s="5">
        <f>IF('Journal'!C1186="","",'Journal'!C1186)</f>
        <v/>
      </c>
      <c r="D2370" s="5">
        <f>IF('Journal'!E1186="","",IFERROR(LEFT('Journal'!E1186,FIND(" ",'Journal'!E1186)-1),'Journal'!E1186))</f>
        <v/>
      </c>
      <c r="E2370" s="5">
        <f>IF('Journal'!E1186="","",IFERROR(INDEX('Kontoplan'!$B$3:$B$302,MATCH('Journal'!E1186,'Kontoplan'!$H$3:$H$302,0)),""))</f>
        <v/>
      </c>
      <c r="F2370" s="20">
        <f>IF('Journal'!F1186="","",'Journal'!F1186)</f>
        <v/>
      </c>
      <c r="G2370" s="20">
        <f>IF('Journal'!G1186="","",'Journal'!G1186)</f>
        <v/>
      </c>
      <c r="H2370" s="5">
        <f>IF('Journal'!I1186="","",'Journal'!I1186)</f>
        <v/>
      </c>
    </row>
    <row r="2371">
      <c r="A2371" s="18">
        <f>IF('Journal'!A1187="","",'Journal'!A1187)</f>
        <v/>
      </c>
      <c r="B2371" s="21">
        <f>IF('Journal'!B1187="","",'Journal'!B1187)</f>
        <v/>
      </c>
      <c r="C2371" s="5">
        <f>IF('Journal'!C1187="","",'Journal'!C1187)</f>
        <v/>
      </c>
      <c r="D2371" s="5">
        <f>IF('Journal'!D1187="","",IFERROR(LEFT('Journal'!D1187,FIND(" ",'Journal'!D1187)-1),'Journal'!D1187))</f>
        <v/>
      </c>
      <c r="E2371" s="5">
        <f>IF('Journal'!D1187="","",IFERROR(INDEX('Kontoplan'!$B$3:$B$302,MATCH('Journal'!D1187,'Kontoplan'!$H$3:$H$302,0)),""))</f>
        <v/>
      </c>
      <c r="F2371" s="20">
        <f>IF('Journal'!G1187="","",'Journal'!G1187)</f>
        <v/>
      </c>
      <c r="G2371" s="20">
        <f>IF('Journal'!F1187="","",'Journal'!F1187)</f>
        <v/>
      </c>
      <c r="H2371" s="5">
        <f>IF('Journal'!I1187="","",'Journal'!I1187)</f>
        <v/>
      </c>
    </row>
    <row r="2372">
      <c r="A2372" s="18">
        <f>IF('Journal'!A1187="","",'Journal'!A1187)</f>
        <v/>
      </c>
      <c r="B2372" s="21">
        <f>IF('Journal'!B1187="","",'Journal'!B1187)</f>
        <v/>
      </c>
      <c r="C2372" s="5">
        <f>IF('Journal'!C1187="","",'Journal'!C1187)</f>
        <v/>
      </c>
      <c r="D2372" s="5">
        <f>IF('Journal'!E1187="","",IFERROR(LEFT('Journal'!E1187,FIND(" ",'Journal'!E1187)-1),'Journal'!E1187))</f>
        <v/>
      </c>
      <c r="E2372" s="5">
        <f>IF('Journal'!E1187="","",IFERROR(INDEX('Kontoplan'!$B$3:$B$302,MATCH('Journal'!E1187,'Kontoplan'!$H$3:$H$302,0)),""))</f>
        <v/>
      </c>
      <c r="F2372" s="20">
        <f>IF('Journal'!F1187="","",'Journal'!F1187)</f>
        <v/>
      </c>
      <c r="G2372" s="20">
        <f>IF('Journal'!G1187="","",'Journal'!G1187)</f>
        <v/>
      </c>
      <c r="H2372" s="5">
        <f>IF('Journal'!I1187="","",'Journal'!I1187)</f>
        <v/>
      </c>
    </row>
    <row r="2373">
      <c r="A2373" s="18">
        <f>IF('Journal'!A1188="","",'Journal'!A1188)</f>
        <v/>
      </c>
      <c r="B2373" s="21">
        <f>IF('Journal'!B1188="","",'Journal'!B1188)</f>
        <v/>
      </c>
      <c r="C2373" s="5">
        <f>IF('Journal'!C1188="","",'Journal'!C1188)</f>
        <v/>
      </c>
      <c r="D2373" s="5">
        <f>IF('Journal'!D1188="","",IFERROR(LEFT('Journal'!D1188,FIND(" ",'Journal'!D1188)-1),'Journal'!D1188))</f>
        <v/>
      </c>
      <c r="E2373" s="5">
        <f>IF('Journal'!D1188="","",IFERROR(INDEX('Kontoplan'!$B$3:$B$302,MATCH('Journal'!D1188,'Kontoplan'!$H$3:$H$302,0)),""))</f>
        <v/>
      </c>
      <c r="F2373" s="20">
        <f>IF('Journal'!G1188="","",'Journal'!G1188)</f>
        <v/>
      </c>
      <c r="G2373" s="20">
        <f>IF('Journal'!F1188="","",'Journal'!F1188)</f>
        <v/>
      </c>
      <c r="H2373" s="5">
        <f>IF('Journal'!I1188="","",'Journal'!I1188)</f>
        <v/>
      </c>
    </row>
    <row r="2374">
      <c r="A2374" s="18">
        <f>IF('Journal'!A1188="","",'Journal'!A1188)</f>
        <v/>
      </c>
      <c r="B2374" s="21">
        <f>IF('Journal'!B1188="","",'Journal'!B1188)</f>
        <v/>
      </c>
      <c r="C2374" s="5">
        <f>IF('Journal'!C1188="","",'Journal'!C1188)</f>
        <v/>
      </c>
      <c r="D2374" s="5">
        <f>IF('Journal'!E1188="","",IFERROR(LEFT('Journal'!E1188,FIND(" ",'Journal'!E1188)-1),'Journal'!E1188))</f>
        <v/>
      </c>
      <c r="E2374" s="5">
        <f>IF('Journal'!E1188="","",IFERROR(INDEX('Kontoplan'!$B$3:$B$302,MATCH('Journal'!E1188,'Kontoplan'!$H$3:$H$302,0)),""))</f>
        <v/>
      </c>
      <c r="F2374" s="20">
        <f>IF('Journal'!F1188="","",'Journal'!F1188)</f>
        <v/>
      </c>
      <c r="G2374" s="20">
        <f>IF('Journal'!G1188="","",'Journal'!G1188)</f>
        <v/>
      </c>
      <c r="H2374" s="5">
        <f>IF('Journal'!I1188="","",'Journal'!I1188)</f>
        <v/>
      </c>
    </row>
    <row r="2375">
      <c r="A2375" s="18">
        <f>IF('Journal'!A1189="","",'Journal'!A1189)</f>
        <v/>
      </c>
      <c r="B2375" s="21">
        <f>IF('Journal'!B1189="","",'Journal'!B1189)</f>
        <v/>
      </c>
      <c r="C2375" s="5">
        <f>IF('Journal'!C1189="","",'Journal'!C1189)</f>
        <v/>
      </c>
      <c r="D2375" s="5">
        <f>IF('Journal'!D1189="","",IFERROR(LEFT('Journal'!D1189,FIND(" ",'Journal'!D1189)-1),'Journal'!D1189))</f>
        <v/>
      </c>
      <c r="E2375" s="5">
        <f>IF('Journal'!D1189="","",IFERROR(INDEX('Kontoplan'!$B$3:$B$302,MATCH('Journal'!D1189,'Kontoplan'!$H$3:$H$302,0)),""))</f>
        <v/>
      </c>
      <c r="F2375" s="20">
        <f>IF('Journal'!G1189="","",'Journal'!G1189)</f>
        <v/>
      </c>
      <c r="G2375" s="20">
        <f>IF('Journal'!F1189="","",'Journal'!F1189)</f>
        <v/>
      </c>
      <c r="H2375" s="5">
        <f>IF('Journal'!I1189="","",'Journal'!I1189)</f>
        <v/>
      </c>
    </row>
    <row r="2376">
      <c r="A2376" s="18">
        <f>IF('Journal'!A1189="","",'Journal'!A1189)</f>
        <v/>
      </c>
      <c r="B2376" s="21">
        <f>IF('Journal'!B1189="","",'Journal'!B1189)</f>
        <v/>
      </c>
      <c r="C2376" s="5">
        <f>IF('Journal'!C1189="","",'Journal'!C1189)</f>
        <v/>
      </c>
      <c r="D2376" s="5">
        <f>IF('Journal'!E1189="","",IFERROR(LEFT('Journal'!E1189,FIND(" ",'Journal'!E1189)-1),'Journal'!E1189))</f>
        <v/>
      </c>
      <c r="E2376" s="5">
        <f>IF('Journal'!E1189="","",IFERROR(INDEX('Kontoplan'!$B$3:$B$302,MATCH('Journal'!E1189,'Kontoplan'!$H$3:$H$302,0)),""))</f>
        <v/>
      </c>
      <c r="F2376" s="20">
        <f>IF('Journal'!F1189="","",'Journal'!F1189)</f>
        <v/>
      </c>
      <c r="G2376" s="20">
        <f>IF('Journal'!G1189="","",'Journal'!G1189)</f>
        <v/>
      </c>
      <c r="H2376" s="5">
        <f>IF('Journal'!I1189="","",'Journal'!I1189)</f>
        <v/>
      </c>
    </row>
    <row r="2377">
      <c r="A2377" s="18">
        <f>IF('Journal'!A1190="","",'Journal'!A1190)</f>
        <v/>
      </c>
      <c r="B2377" s="21">
        <f>IF('Journal'!B1190="","",'Journal'!B1190)</f>
        <v/>
      </c>
      <c r="C2377" s="5">
        <f>IF('Journal'!C1190="","",'Journal'!C1190)</f>
        <v/>
      </c>
      <c r="D2377" s="5">
        <f>IF('Journal'!D1190="","",IFERROR(LEFT('Journal'!D1190,FIND(" ",'Journal'!D1190)-1),'Journal'!D1190))</f>
        <v/>
      </c>
      <c r="E2377" s="5">
        <f>IF('Journal'!D1190="","",IFERROR(INDEX('Kontoplan'!$B$3:$B$302,MATCH('Journal'!D1190,'Kontoplan'!$H$3:$H$302,0)),""))</f>
        <v/>
      </c>
      <c r="F2377" s="20">
        <f>IF('Journal'!G1190="","",'Journal'!G1190)</f>
        <v/>
      </c>
      <c r="G2377" s="20">
        <f>IF('Journal'!F1190="","",'Journal'!F1190)</f>
        <v/>
      </c>
      <c r="H2377" s="5">
        <f>IF('Journal'!I1190="","",'Journal'!I1190)</f>
        <v/>
      </c>
    </row>
    <row r="2378">
      <c r="A2378" s="18">
        <f>IF('Journal'!A1190="","",'Journal'!A1190)</f>
        <v/>
      </c>
      <c r="B2378" s="21">
        <f>IF('Journal'!B1190="","",'Journal'!B1190)</f>
        <v/>
      </c>
      <c r="C2378" s="5">
        <f>IF('Journal'!C1190="","",'Journal'!C1190)</f>
        <v/>
      </c>
      <c r="D2378" s="5">
        <f>IF('Journal'!E1190="","",IFERROR(LEFT('Journal'!E1190,FIND(" ",'Journal'!E1190)-1),'Journal'!E1190))</f>
        <v/>
      </c>
      <c r="E2378" s="5">
        <f>IF('Journal'!E1190="","",IFERROR(INDEX('Kontoplan'!$B$3:$B$302,MATCH('Journal'!E1190,'Kontoplan'!$H$3:$H$302,0)),""))</f>
        <v/>
      </c>
      <c r="F2378" s="20">
        <f>IF('Journal'!F1190="","",'Journal'!F1190)</f>
        <v/>
      </c>
      <c r="G2378" s="20">
        <f>IF('Journal'!G1190="","",'Journal'!G1190)</f>
        <v/>
      </c>
      <c r="H2378" s="5">
        <f>IF('Journal'!I1190="","",'Journal'!I1190)</f>
        <v/>
      </c>
    </row>
    <row r="2379">
      <c r="A2379" s="18">
        <f>IF('Journal'!A1191="","",'Journal'!A1191)</f>
        <v/>
      </c>
      <c r="B2379" s="21">
        <f>IF('Journal'!B1191="","",'Journal'!B1191)</f>
        <v/>
      </c>
      <c r="C2379" s="5">
        <f>IF('Journal'!C1191="","",'Journal'!C1191)</f>
        <v/>
      </c>
      <c r="D2379" s="5">
        <f>IF('Journal'!D1191="","",IFERROR(LEFT('Journal'!D1191,FIND(" ",'Journal'!D1191)-1),'Journal'!D1191))</f>
        <v/>
      </c>
      <c r="E2379" s="5">
        <f>IF('Journal'!D1191="","",IFERROR(INDEX('Kontoplan'!$B$3:$B$302,MATCH('Journal'!D1191,'Kontoplan'!$H$3:$H$302,0)),""))</f>
        <v/>
      </c>
      <c r="F2379" s="20">
        <f>IF('Journal'!G1191="","",'Journal'!G1191)</f>
        <v/>
      </c>
      <c r="G2379" s="20">
        <f>IF('Journal'!F1191="","",'Journal'!F1191)</f>
        <v/>
      </c>
      <c r="H2379" s="5">
        <f>IF('Journal'!I1191="","",'Journal'!I1191)</f>
        <v/>
      </c>
    </row>
    <row r="2380">
      <c r="A2380" s="18">
        <f>IF('Journal'!A1191="","",'Journal'!A1191)</f>
        <v/>
      </c>
      <c r="B2380" s="21">
        <f>IF('Journal'!B1191="","",'Journal'!B1191)</f>
        <v/>
      </c>
      <c r="C2380" s="5">
        <f>IF('Journal'!C1191="","",'Journal'!C1191)</f>
        <v/>
      </c>
      <c r="D2380" s="5">
        <f>IF('Journal'!E1191="","",IFERROR(LEFT('Journal'!E1191,FIND(" ",'Journal'!E1191)-1),'Journal'!E1191))</f>
        <v/>
      </c>
      <c r="E2380" s="5">
        <f>IF('Journal'!E1191="","",IFERROR(INDEX('Kontoplan'!$B$3:$B$302,MATCH('Journal'!E1191,'Kontoplan'!$H$3:$H$302,0)),""))</f>
        <v/>
      </c>
      <c r="F2380" s="20">
        <f>IF('Journal'!F1191="","",'Journal'!F1191)</f>
        <v/>
      </c>
      <c r="G2380" s="20">
        <f>IF('Journal'!G1191="","",'Journal'!G1191)</f>
        <v/>
      </c>
      <c r="H2380" s="5">
        <f>IF('Journal'!I1191="","",'Journal'!I1191)</f>
        <v/>
      </c>
    </row>
    <row r="2381">
      <c r="A2381" s="18">
        <f>IF('Journal'!A1192="","",'Journal'!A1192)</f>
        <v/>
      </c>
      <c r="B2381" s="21">
        <f>IF('Journal'!B1192="","",'Journal'!B1192)</f>
        <v/>
      </c>
      <c r="C2381" s="5">
        <f>IF('Journal'!C1192="","",'Journal'!C1192)</f>
        <v/>
      </c>
      <c r="D2381" s="5">
        <f>IF('Journal'!D1192="","",IFERROR(LEFT('Journal'!D1192,FIND(" ",'Journal'!D1192)-1),'Journal'!D1192))</f>
        <v/>
      </c>
      <c r="E2381" s="5">
        <f>IF('Journal'!D1192="","",IFERROR(INDEX('Kontoplan'!$B$3:$B$302,MATCH('Journal'!D1192,'Kontoplan'!$H$3:$H$302,0)),""))</f>
        <v/>
      </c>
      <c r="F2381" s="20">
        <f>IF('Journal'!G1192="","",'Journal'!G1192)</f>
        <v/>
      </c>
      <c r="G2381" s="20">
        <f>IF('Journal'!F1192="","",'Journal'!F1192)</f>
        <v/>
      </c>
      <c r="H2381" s="5">
        <f>IF('Journal'!I1192="","",'Journal'!I1192)</f>
        <v/>
      </c>
    </row>
    <row r="2382">
      <c r="A2382" s="18">
        <f>IF('Journal'!A1192="","",'Journal'!A1192)</f>
        <v/>
      </c>
      <c r="B2382" s="21">
        <f>IF('Journal'!B1192="","",'Journal'!B1192)</f>
        <v/>
      </c>
      <c r="C2382" s="5">
        <f>IF('Journal'!C1192="","",'Journal'!C1192)</f>
        <v/>
      </c>
      <c r="D2382" s="5">
        <f>IF('Journal'!E1192="","",IFERROR(LEFT('Journal'!E1192,FIND(" ",'Journal'!E1192)-1),'Journal'!E1192))</f>
        <v/>
      </c>
      <c r="E2382" s="5">
        <f>IF('Journal'!E1192="","",IFERROR(INDEX('Kontoplan'!$B$3:$B$302,MATCH('Journal'!E1192,'Kontoplan'!$H$3:$H$302,0)),""))</f>
        <v/>
      </c>
      <c r="F2382" s="20">
        <f>IF('Journal'!F1192="","",'Journal'!F1192)</f>
        <v/>
      </c>
      <c r="G2382" s="20">
        <f>IF('Journal'!G1192="","",'Journal'!G1192)</f>
        <v/>
      </c>
      <c r="H2382" s="5">
        <f>IF('Journal'!I1192="","",'Journal'!I1192)</f>
        <v/>
      </c>
    </row>
    <row r="2383">
      <c r="A2383" s="18">
        <f>IF('Journal'!A1193="","",'Journal'!A1193)</f>
        <v/>
      </c>
      <c r="B2383" s="21">
        <f>IF('Journal'!B1193="","",'Journal'!B1193)</f>
        <v/>
      </c>
      <c r="C2383" s="5">
        <f>IF('Journal'!C1193="","",'Journal'!C1193)</f>
        <v/>
      </c>
      <c r="D2383" s="5">
        <f>IF('Journal'!D1193="","",IFERROR(LEFT('Journal'!D1193,FIND(" ",'Journal'!D1193)-1),'Journal'!D1193))</f>
        <v/>
      </c>
      <c r="E2383" s="5">
        <f>IF('Journal'!D1193="","",IFERROR(INDEX('Kontoplan'!$B$3:$B$302,MATCH('Journal'!D1193,'Kontoplan'!$H$3:$H$302,0)),""))</f>
        <v/>
      </c>
      <c r="F2383" s="20">
        <f>IF('Journal'!G1193="","",'Journal'!G1193)</f>
        <v/>
      </c>
      <c r="G2383" s="20">
        <f>IF('Journal'!F1193="","",'Journal'!F1193)</f>
        <v/>
      </c>
      <c r="H2383" s="5">
        <f>IF('Journal'!I1193="","",'Journal'!I1193)</f>
        <v/>
      </c>
    </row>
    <row r="2384">
      <c r="A2384" s="18">
        <f>IF('Journal'!A1193="","",'Journal'!A1193)</f>
        <v/>
      </c>
      <c r="B2384" s="21">
        <f>IF('Journal'!B1193="","",'Journal'!B1193)</f>
        <v/>
      </c>
      <c r="C2384" s="5">
        <f>IF('Journal'!C1193="","",'Journal'!C1193)</f>
        <v/>
      </c>
      <c r="D2384" s="5">
        <f>IF('Journal'!E1193="","",IFERROR(LEFT('Journal'!E1193,FIND(" ",'Journal'!E1193)-1),'Journal'!E1193))</f>
        <v/>
      </c>
      <c r="E2384" s="5">
        <f>IF('Journal'!E1193="","",IFERROR(INDEX('Kontoplan'!$B$3:$B$302,MATCH('Journal'!E1193,'Kontoplan'!$H$3:$H$302,0)),""))</f>
        <v/>
      </c>
      <c r="F2384" s="20">
        <f>IF('Journal'!F1193="","",'Journal'!F1193)</f>
        <v/>
      </c>
      <c r="G2384" s="20">
        <f>IF('Journal'!G1193="","",'Journal'!G1193)</f>
        <v/>
      </c>
      <c r="H2384" s="5">
        <f>IF('Journal'!I1193="","",'Journal'!I1193)</f>
        <v/>
      </c>
    </row>
    <row r="2385">
      <c r="A2385" s="18">
        <f>IF('Journal'!A1194="","",'Journal'!A1194)</f>
        <v/>
      </c>
      <c r="B2385" s="21">
        <f>IF('Journal'!B1194="","",'Journal'!B1194)</f>
        <v/>
      </c>
      <c r="C2385" s="5">
        <f>IF('Journal'!C1194="","",'Journal'!C1194)</f>
        <v/>
      </c>
      <c r="D2385" s="5">
        <f>IF('Journal'!D1194="","",IFERROR(LEFT('Journal'!D1194,FIND(" ",'Journal'!D1194)-1),'Journal'!D1194))</f>
        <v/>
      </c>
      <c r="E2385" s="5">
        <f>IF('Journal'!D1194="","",IFERROR(INDEX('Kontoplan'!$B$3:$B$302,MATCH('Journal'!D1194,'Kontoplan'!$H$3:$H$302,0)),""))</f>
        <v/>
      </c>
      <c r="F2385" s="20">
        <f>IF('Journal'!G1194="","",'Journal'!G1194)</f>
        <v/>
      </c>
      <c r="G2385" s="20">
        <f>IF('Journal'!F1194="","",'Journal'!F1194)</f>
        <v/>
      </c>
      <c r="H2385" s="5">
        <f>IF('Journal'!I1194="","",'Journal'!I1194)</f>
        <v/>
      </c>
    </row>
    <row r="2386">
      <c r="A2386" s="18">
        <f>IF('Journal'!A1194="","",'Journal'!A1194)</f>
        <v/>
      </c>
      <c r="B2386" s="21">
        <f>IF('Journal'!B1194="","",'Journal'!B1194)</f>
        <v/>
      </c>
      <c r="C2386" s="5">
        <f>IF('Journal'!C1194="","",'Journal'!C1194)</f>
        <v/>
      </c>
      <c r="D2386" s="5">
        <f>IF('Journal'!E1194="","",IFERROR(LEFT('Journal'!E1194,FIND(" ",'Journal'!E1194)-1),'Journal'!E1194))</f>
        <v/>
      </c>
      <c r="E2386" s="5">
        <f>IF('Journal'!E1194="","",IFERROR(INDEX('Kontoplan'!$B$3:$B$302,MATCH('Journal'!E1194,'Kontoplan'!$H$3:$H$302,0)),""))</f>
        <v/>
      </c>
      <c r="F2386" s="20">
        <f>IF('Journal'!F1194="","",'Journal'!F1194)</f>
        <v/>
      </c>
      <c r="G2386" s="20">
        <f>IF('Journal'!G1194="","",'Journal'!G1194)</f>
        <v/>
      </c>
      <c r="H2386" s="5">
        <f>IF('Journal'!I1194="","",'Journal'!I1194)</f>
        <v/>
      </c>
    </row>
    <row r="2387">
      <c r="A2387" s="18">
        <f>IF('Journal'!A1195="","",'Journal'!A1195)</f>
        <v/>
      </c>
      <c r="B2387" s="21">
        <f>IF('Journal'!B1195="","",'Journal'!B1195)</f>
        <v/>
      </c>
      <c r="C2387" s="5">
        <f>IF('Journal'!C1195="","",'Journal'!C1195)</f>
        <v/>
      </c>
      <c r="D2387" s="5">
        <f>IF('Journal'!D1195="","",IFERROR(LEFT('Journal'!D1195,FIND(" ",'Journal'!D1195)-1),'Journal'!D1195))</f>
        <v/>
      </c>
      <c r="E2387" s="5">
        <f>IF('Journal'!D1195="","",IFERROR(INDEX('Kontoplan'!$B$3:$B$302,MATCH('Journal'!D1195,'Kontoplan'!$H$3:$H$302,0)),""))</f>
        <v/>
      </c>
      <c r="F2387" s="20">
        <f>IF('Journal'!G1195="","",'Journal'!G1195)</f>
        <v/>
      </c>
      <c r="G2387" s="20">
        <f>IF('Journal'!F1195="","",'Journal'!F1195)</f>
        <v/>
      </c>
      <c r="H2387" s="5">
        <f>IF('Journal'!I1195="","",'Journal'!I1195)</f>
        <v/>
      </c>
    </row>
    <row r="2388">
      <c r="A2388" s="18">
        <f>IF('Journal'!A1195="","",'Journal'!A1195)</f>
        <v/>
      </c>
      <c r="B2388" s="21">
        <f>IF('Journal'!B1195="","",'Journal'!B1195)</f>
        <v/>
      </c>
      <c r="C2388" s="5">
        <f>IF('Journal'!C1195="","",'Journal'!C1195)</f>
        <v/>
      </c>
      <c r="D2388" s="5">
        <f>IF('Journal'!E1195="","",IFERROR(LEFT('Journal'!E1195,FIND(" ",'Journal'!E1195)-1),'Journal'!E1195))</f>
        <v/>
      </c>
      <c r="E2388" s="5">
        <f>IF('Journal'!E1195="","",IFERROR(INDEX('Kontoplan'!$B$3:$B$302,MATCH('Journal'!E1195,'Kontoplan'!$H$3:$H$302,0)),""))</f>
        <v/>
      </c>
      <c r="F2388" s="20">
        <f>IF('Journal'!F1195="","",'Journal'!F1195)</f>
        <v/>
      </c>
      <c r="G2388" s="20">
        <f>IF('Journal'!G1195="","",'Journal'!G1195)</f>
        <v/>
      </c>
      <c r="H2388" s="5">
        <f>IF('Journal'!I1195="","",'Journal'!I1195)</f>
        <v/>
      </c>
    </row>
    <row r="2389">
      <c r="A2389" s="18">
        <f>IF('Journal'!A1196="","",'Journal'!A1196)</f>
        <v/>
      </c>
      <c r="B2389" s="21">
        <f>IF('Journal'!B1196="","",'Journal'!B1196)</f>
        <v/>
      </c>
      <c r="C2389" s="5">
        <f>IF('Journal'!C1196="","",'Journal'!C1196)</f>
        <v/>
      </c>
      <c r="D2389" s="5">
        <f>IF('Journal'!D1196="","",IFERROR(LEFT('Journal'!D1196,FIND(" ",'Journal'!D1196)-1),'Journal'!D1196))</f>
        <v/>
      </c>
      <c r="E2389" s="5">
        <f>IF('Journal'!D1196="","",IFERROR(INDEX('Kontoplan'!$B$3:$B$302,MATCH('Journal'!D1196,'Kontoplan'!$H$3:$H$302,0)),""))</f>
        <v/>
      </c>
      <c r="F2389" s="20">
        <f>IF('Journal'!G1196="","",'Journal'!G1196)</f>
        <v/>
      </c>
      <c r="G2389" s="20">
        <f>IF('Journal'!F1196="","",'Journal'!F1196)</f>
        <v/>
      </c>
      <c r="H2389" s="5">
        <f>IF('Journal'!I1196="","",'Journal'!I1196)</f>
        <v/>
      </c>
    </row>
    <row r="2390">
      <c r="A2390" s="18">
        <f>IF('Journal'!A1196="","",'Journal'!A1196)</f>
        <v/>
      </c>
      <c r="B2390" s="21">
        <f>IF('Journal'!B1196="","",'Journal'!B1196)</f>
        <v/>
      </c>
      <c r="C2390" s="5">
        <f>IF('Journal'!C1196="","",'Journal'!C1196)</f>
        <v/>
      </c>
      <c r="D2390" s="5">
        <f>IF('Journal'!E1196="","",IFERROR(LEFT('Journal'!E1196,FIND(" ",'Journal'!E1196)-1),'Journal'!E1196))</f>
        <v/>
      </c>
      <c r="E2390" s="5">
        <f>IF('Journal'!E1196="","",IFERROR(INDEX('Kontoplan'!$B$3:$B$302,MATCH('Journal'!E1196,'Kontoplan'!$H$3:$H$302,0)),""))</f>
        <v/>
      </c>
      <c r="F2390" s="20">
        <f>IF('Journal'!F1196="","",'Journal'!F1196)</f>
        <v/>
      </c>
      <c r="G2390" s="20">
        <f>IF('Journal'!G1196="","",'Journal'!G1196)</f>
        <v/>
      </c>
      <c r="H2390" s="5">
        <f>IF('Journal'!I1196="","",'Journal'!I1196)</f>
        <v/>
      </c>
    </row>
    <row r="2391">
      <c r="A2391" s="18">
        <f>IF('Journal'!A1197="","",'Journal'!A1197)</f>
        <v/>
      </c>
      <c r="B2391" s="21">
        <f>IF('Journal'!B1197="","",'Journal'!B1197)</f>
        <v/>
      </c>
      <c r="C2391" s="5">
        <f>IF('Journal'!C1197="","",'Journal'!C1197)</f>
        <v/>
      </c>
      <c r="D2391" s="5">
        <f>IF('Journal'!D1197="","",IFERROR(LEFT('Journal'!D1197,FIND(" ",'Journal'!D1197)-1),'Journal'!D1197))</f>
        <v/>
      </c>
      <c r="E2391" s="5">
        <f>IF('Journal'!D1197="","",IFERROR(INDEX('Kontoplan'!$B$3:$B$302,MATCH('Journal'!D1197,'Kontoplan'!$H$3:$H$302,0)),""))</f>
        <v/>
      </c>
      <c r="F2391" s="20">
        <f>IF('Journal'!G1197="","",'Journal'!G1197)</f>
        <v/>
      </c>
      <c r="G2391" s="20">
        <f>IF('Journal'!F1197="","",'Journal'!F1197)</f>
        <v/>
      </c>
      <c r="H2391" s="5">
        <f>IF('Journal'!I1197="","",'Journal'!I1197)</f>
        <v/>
      </c>
    </row>
    <row r="2392">
      <c r="A2392" s="18">
        <f>IF('Journal'!A1197="","",'Journal'!A1197)</f>
        <v/>
      </c>
      <c r="B2392" s="21">
        <f>IF('Journal'!B1197="","",'Journal'!B1197)</f>
        <v/>
      </c>
      <c r="C2392" s="5">
        <f>IF('Journal'!C1197="","",'Journal'!C1197)</f>
        <v/>
      </c>
      <c r="D2392" s="5">
        <f>IF('Journal'!E1197="","",IFERROR(LEFT('Journal'!E1197,FIND(" ",'Journal'!E1197)-1),'Journal'!E1197))</f>
        <v/>
      </c>
      <c r="E2392" s="5">
        <f>IF('Journal'!E1197="","",IFERROR(INDEX('Kontoplan'!$B$3:$B$302,MATCH('Journal'!E1197,'Kontoplan'!$H$3:$H$302,0)),""))</f>
        <v/>
      </c>
      <c r="F2392" s="20">
        <f>IF('Journal'!F1197="","",'Journal'!F1197)</f>
        <v/>
      </c>
      <c r="G2392" s="20">
        <f>IF('Journal'!G1197="","",'Journal'!G1197)</f>
        <v/>
      </c>
      <c r="H2392" s="5">
        <f>IF('Journal'!I1197="","",'Journal'!I1197)</f>
        <v/>
      </c>
    </row>
    <row r="2393">
      <c r="A2393" s="18">
        <f>IF('Journal'!A1198="","",'Journal'!A1198)</f>
        <v/>
      </c>
      <c r="B2393" s="21">
        <f>IF('Journal'!B1198="","",'Journal'!B1198)</f>
        <v/>
      </c>
      <c r="C2393" s="5">
        <f>IF('Journal'!C1198="","",'Journal'!C1198)</f>
        <v/>
      </c>
      <c r="D2393" s="5">
        <f>IF('Journal'!D1198="","",IFERROR(LEFT('Journal'!D1198,FIND(" ",'Journal'!D1198)-1),'Journal'!D1198))</f>
        <v/>
      </c>
      <c r="E2393" s="5">
        <f>IF('Journal'!D1198="","",IFERROR(INDEX('Kontoplan'!$B$3:$B$302,MATCH('Journal'!D1198,'Kontoplan'!$H$3:$H$302,0)),""))</f>
        <v/>
      </c>
      <c r="F2393" s="20">
        <f>IF('Journal'!G1198="","",'Journal'!G1198)</f>
        <v/>
      </c>
      <c r="G2393" s="20">
        <f>IF('Journal'!F1198="","",'Journal'!F1198)</f>
        <v/>
      </c>
      <c r="H2393" s="5">
        <f>IF('Journal'!I1198="","",'Journal'!I1198)</f>
        <v/>
      </c>
    </row>
    <row r="2394">
      <c r="A2394" s="18">
        <f>IF('Journal'!A1198="","",'Journal'!A1198)</f>
        <v/>
      </c>
      <c r="B2394" s="21">
        <f>IF('Journal'!B1198="","",'Journal'!B1198)</f>
        <v/>
      </c>
      <c r="C2394" s="5">
        <f>IF('Journal'!C1198="","",'Journal'!C1198)</f>
        <v/>
      </c>
      <c r="D2394" s="5">
        <f>IF('Journal'!E1198="","",IFERROR(LEFT('Journal'!E1198,FIND(" ",'Journal'!E1198)-1),'Journal'!E1198))</f>
        <v/>
      </c>
      <c r="E2394" s="5">
        <f>IF('Journal'!E1198="","",IFERROR(INDEX('Kontoplan'!$B$3:$B$302,MATCH('Journal'!E1198,'Kontoplan'!$H$3:$H$302,0)),""))</f>
        <v/>
      </c>
      <c r="F2394" s="20">
        <f>IF('Journal'!F1198="","",'Journal'!F1198)</f>
        <v/>
      </c>
      <c r="G2394" s="20">
        <f>IF('Journal'!G1198="","",'Journal'!G1198)</f>
        <v/>
      </c>
      <c r="H2394" s="5">
        <f>IF('Journal'!I1198="","",'Journal'!I1198)</f>
        <v/>
      </c>
    </row>
    <row r="2395">
      <c r="A2395" s="18">
        <f>IF('Journal'!A1199="","",'Journal'!A1199)</f>
        <v/>
      </c>
      <c r="B2395" s="21">
        <f>IF('Journal'!B1199="","",'Journal'!B1199)</f>
        <v/>
      </c>
      <c r="C2395" s="5">
        <f>IF('Journal'!C1199="","",'Journal'!C1199)</f>
        <v/>
      </c>
      <c r="D2395" s="5">
        <f>IF('Journal'!D1199="","",IFERROR(LEFT('Journal'!D1199,FIND(" ",'Journal'!D1199)-1),'Journal'!D1199))</f>
        <v/>
      </c>
      <c r="E2395" s="5">
        <f>IF('Journal'!D1199="","",IFERROR(INDEX('Kontoplan'!$B$3:$B$302,MATCH('Journal'!D1199,'Kontoplan'!$H$3:$H$302,0)),""))</f>
        <v/>
      </c>
      <c r="F2395" s="20">
        <f>IF('Journal'!G1199="","",'Journal'!G1199)</f>
        <v/>
      </c>
      <c r="G2395" s="20">
        <f>IF('Journal'!F1199="","",'Journal'!F1199)</f>
        <v/>
      </c>
      <c r="H2395" s="5">
        <f>IF('Journal'!I1199="","",'Journal'!I1199)</f>
        <v/>
      </c>
    </row>
    <row r="2396">
      <c r="A2396" s="18">
        <f>IF('Journal'!A1199="","",'Journal'!A1199)</f>
        <v/>
      </c>
      <c r="B2396" s="21">
        <f>IF('Journal'!B1199="","",'Journal'!B1199)</f>
        <v/>
      </c>
      <c r="C2396" s="5">
        <f>IF('Journal'!C1199="","",'Journal'!C1199)</f>
        <v/>
      </c>
      <c r="D2396" s="5">
        <f>IF('Journal'!E1199="","",IFERROR(LEFT('Journal'!E1199,FIND(" ",'Journal'!E1199)-1),'Journal'!E1199))</f>
        <v/>
      </c>
      <c r="E2396" s="5">
        <f>IF('Journal'!E1199="","",IFERROR(INDEX('Kontoplan'!$B$3:$B$302,MATCH('Journal'!E1199,'Kontoplan'!$H$3:$H$302,0)),""))</f>
        <v/>
      </c>
      <c r="F2396" s="20">
        <f>IF('Journal'!F1199="","",'Journal'!F1199)</f>
        <v/>
      </c>
      <c r="G2396" s="20">
        <f>IF('Journal'!G1199="","",'Journal'!G1199)</f>
        <v/>
      </c>
      <c r="H2396" s="5">
        <f>IF('Journal'!I1199="","",'Journal'!I1199)</f>
        <v/>
      </c>
    </row>
    <row r="2397">
      <c r="A2397" s="18">
        <f>IF('Journal'!A1200="","",'Journal'!A1200)</f>
        <v/>
      </c>
      <c r="B2397" s="21">
        <f>IF('Journal'!B1200="","",'Journal'!B1200)</f>
        <v/>
      </c>
      <c r="C2397" s="5">
        <f>IF('Journal'!C1200="","",'Journal'!C1200)</f>
        <v/>
      </c>
      <c r="D2397" s="5">
        <f>IF('Journal'!D1200="","",IFERROR(LEFT('Journal'!D1200,FIND(" ",'Journal'!D1200)-1),'Journal'!D1200))</f>
        <v/>
      </c>
      <c r="E2397" s="5">
        <f>IF('Journal'!D1200="","",IFERROR(INDEX('Kontoplan'!$B$3:$B$302,MATCH('Journal'!D1200,'Kontoplan'!$H$3:$H$302,0)),""))</f>
        <v/>
      </c>
      <c r="F2397" s="20">
        <f>IF('Journal'!G1200="","",'Journal'!G1200)</f>
        <v/>
      </c>
      <c r="G2397" s="20">
        <f>IF('Journal'!F1200="","",'Journal'!F1200)</f>
        <v/>
      </c>
      <c r="H2397" s="5">
        <f>IF('Journal'!I1200="","",'Journal'!I1200)</f>
        <v/>
      </c>
    </row>
    <row r="2398">
      <c r="A2398" s="18">
        <f>IF('Journal'!A1200="","",'Journal'!A1200)</f>
        <v/>
      </c>
      <c r="B2398" s="21">
        <f>IF('Journal'!B1200="","",'Journal'!B1200)</f>
        <v/>
      </c>
      <c r="C2398" s="5">
        <f>IF('Journal'!C1200="","",'Journal'!C1200)</f>
        <v/>
      </c>
      <c r="D2398" s="5">
        <f>IF('Journal'!E1200="","",IFERROR(LEFT('Journal'!E1200,FIND(" ",'Journal'!E1200)-1),'Journal'!E1200))</f>
        <v/>
      </c>
      <c r="E2398" s="5">
        <f>IF('Journal'!E1200="","",IFERROR(INDEX('Kontoplan'!$B$3:$B$302,MATCH('Journal'!E1200,'Kontoplan'!$H$3:$H$302,0)),""))</f>
        <v/>
      </c>
      <c r="F2398" s="20">
        <f>IF('Journal'!F1200="","",'Journal'!F1200)</f>
        <v/>
      </c>
      <c r="G2398" s="20">
        <f>IF('Journal'!G1200="","",'Journal'!G1200)</f>
        <v/>
      </c>
      <c r="H2398" s="5">
        <f>IF('Journal'!I1200="","",'Journal'!I1200)</f>
        <v/>
      </c>
    </row>
    <row r="2399">
      <c r="A2399" s="18">
        <f>IF('Journal'!A1201="","",'Journal'!A1201)</f>
        <v/>
      </c>
      <c r="B2399" s="21">
        <f>IF('Journal'!B1201="","",'Journal'!B1201)</f>
        <v/>
      </c>
      <c r="C2399" s="5">
        <f>IF('Journal'!C1201="","",'Journal'!C1201)</f>
        <v/>
      </c>
      <c r="D2399" s="5">
        <f>IF('Journal'!D1201="","",IFERROR(LEFT('Journal'!D1201,FIND(" ",'Journal'!D1201)-1),'Journal'!D1201))</f>
        <v/>
      </c>
      <c r="E2399" s="5">
        <f>IF('Journal'!D1201="","",IFERROR(INDEX('Kontoplan'!$B$3:$B$302,MATCH('Journal'!D1201,'Kontoplan'!$H$3:$H$302,0)),""))</f>
        <v/>
      </c>
      <c r="F2399" s="20">
        <f>IF('Journal'!G1201="","",'Journal'!G1201)</f>
        <v/>
      </c>
      <c r="G2399" s="20">
        <f>IF('Journal'!F1201="","",'Journal'!F1201)</f>
        <v/>
      </c>
      <c r="H2399" s="5">
        <f>IF('Journal'!I1201="","",'Journal'!I1201)</f>
        <v/>
      </c>
    </row>
    <row r="2400">
      <c r="A2400" s="18">
        <f>IF('Journal'!A1201="","",'Journal'!A1201)</f>
        <v/>
      </c>
      <c r="B2400" s="21">
        <f>IF('Journal'!B1201="","",'Journal'!B1201)</f>
        <v/>
      </c>
      <c r="C2400" s="5">
        <f>IF('Journal'!C1201="","",'Journal'!C1201)</f>
        <v/>
      </c>
      <c r="D2400" s="5">
        <f>IF('Journal'!E1201="","",IFERROR(LEFT('Journal'!E1201,FIND(" ",'Journal'!E1201)-1),'Journal'!E1201))</f>
        <v/>
      </c>
      <c r="E2400" s="5">
        <f>IF('Journal'!E1201="","",IFERROR(INDEX('Kontoplan'!$B$3:$B$302,MATCH('Journal'!E1201,'Kontoplan'!$H$3:$H$302,0)),""))</f>
        <v/>
      </c>
      <c r="F2400" s="20">
        <f>IF('Journal'!F1201="","",'Journal'!F1201)</f>
        <v/>
      </c>
      <c r="G2400" s="20">
        <f>IF('Journal'!G1201="","",'Journal'!G1201)</f>
        <v/>
      </c>
      <c r="H2400" s="5">
        <f>IF('Journal'!I1201="","",'Journal'!I1201)</f>
        <v/>
      </c>
    </row>
    <row r="2401">
      <c r="A2401" s="18">
        <f>IF('Journal'!A1202="","",'Journal'!A1202)</f>
        <v/>
      </c>
      <c r="B2401" s="21">
        <f>IF('Journal'!B1202="","",'Journal'!B1202)</f>
        <v/>
      </c>
      <c r="C2401" s="5">
        <f>IF('Journal'!C1202="","",'Journal'!C1202)</f>
        <v/>
      </c>
      <c r="D2401" s="5">
        <f>IF('Journal'!D1202="","",IFERROR(LEFT('Journal'!D1202,FIND(" ",'Journal'!D1202)-1),'Journal'!D1202))</f>
        <v/>
      </c>
      <c r="E2401" s="5">
        <f>IF('Journal'!D1202="","",IFERROR(INDEX('Kontoplan'!$B$3:$B$302,MATCH('Journal'!D1202,'Kontoplan'!$H$3:$H$302,0)),""))</f>
        <v/>
      </c>
      <c r="F2401" s="20">
        <f>IF('Journal'!G1202="","",'Journal'!G1202)</f>
        <v/>
      </c>
      <c r="G2401" s="20">
        <f>IF('Journal'!F1202="","",'Journal'!F1202)</f>
        <v/>
      </c>
      <c r="H2401" s="5">
        <f>IF('Journal'!I1202="","",'Journal'!I1202)</f>
        <v/>
      </c>
    </row>
    <row r="2402">
      <c r="A2402" s="18">
        <f>IF('Journal'!A1202="","",'Journal'!A1202)</f>
        <v/>
      </c>
      <c r="B2402" s="21">
        <f>IF('Journal'!B1202="","",'Journal'!B1202)</f>
        <v/>
      </c>
      <c r="C2402" s="5">
        <f>IF('Journal'!C1202="","",'Journal'!C1202)</f>
        <v/>
      </c>
      <c r="D2402" s="5">
        <f>IF('Journal'!E1202="","",IFERROR(LEFT('Journal'!E1202,FIND(" ",'Journal'!E1202)-1),'Journal'!E1202))</f>
        <v/>
      </c>
      <c r="E2402" s="5">
        <f>IF('Journal'!E1202="","",IFERROR(INDEX('Kontoplan'!$B$3:$B$302,MATCH('Journal'!E1202,'Kontoplan'!$H$3:$H$302,0)),""))</f>
        <v/>
      </c>
      <c r="F2402" s="20">
        <f>IF('Journal'!F1202="","",'Journal'!F1202)</f>
        <v/>
      </c>
      <c r="G2402" s="20">
        <f>IF('Journal'!G1202="","",'Journal'!G1202)</f>
        <v/>
      </c>
      <c r="H2402" s="5">
        <f>IF('Journal'!I1202="","",'Journal'!I1202)</f>
        <v/>
      </c>
    </row>
    <row r="2403">
      <c r="A2403" s="18">
        <f>IF('Journal'!A1203="","",'Journal'!A1203)</f>
        <v/>
      </c>
      <c r="B2403" s="21">
        <f>IF('Journal'!B1203="","",'Journal'!B1203)</f>
        <v/>
      </c>
      <c r="C2403" s="5">
        <f>IF('Journal'!C1203="","",'Journal'!C1203)</f>
        <v/>
      </c>
      <c r="D2403" s="5">
        <f>IF('Journal'!D1203="","",IFERROR(LEFT('Journal'!D1203,FIND(" ",'Journal'!D1203)-1),'Journal'!D1203))</f>
        <v/>
      </c>
      <c r="E2403" s="5">
        <f>IF('Journal'!D1203="","",IFERROR(INDEX('Kontoplan'!$B$3:$B$302,MATCH('Journal'!D1203,'Kontoplan'!$H$3:$H$302,0)),""))</f>
        <v/>
      </c>
      <c r="F2403" s="20">
        <f>IF('Journal'!G1203="","",'Journal'!G1203)</f>
        <v/>
      </c>
      <c r="G2403" s="20">
        <f>IF('Journal'!F1203="","",'Journal'!F1203)</f>
        <v/>
      </c>
      <c r="H2403" s="5">
        <f>IF('Journal'!I1203="","",'Journal'!I1203)</f>
        <v/>
      </c>
    </row>
    <row r="2404">
      <c r="A2404" s="18">
        <f>IF('Journal'!A1203="","",'Journal'!A1203)</f>
        <v/>
      </c>
      <c r="B2404" s="21">
        <f>IF('Journal'!B1203="","",'Journal'!B1203)</f>
        <v/>
      </c>
      <c r="C2404" s="5">
        <f>IF('Journal'!C1203="","",'Journal'!C1203)</f>
        <v/>
      </c>
      <c r="D2404" s="5">
        <f>IF('Journal'!E1203="","",IFERROR(LEFT('Journal'!E1203,FIND(" ",'Journal'!E1203)-1),'Journal'!E1203))</f>
        <v/>
      </c>
      <c r="E2404" s="5">
        <f>IF('Journal'!E1203="","",IFERROR(INDEX('Kontoplan'!$B$3:$B$302,MATCH('Journal'!E1203,'Kontoplan'!$H$3:$H$302,0)),""))</f>
        <v/>
      </c>
      <c r="F2404" s="20">
        <f>IF('Journal'!F1203="","",'Journal'!F1203)</f>
        <v/>
      </c>
      <c r="G2404" s="20">
        <f>IF('Journal'!G1203="","",'Journal'!G1203)</f>
        <v/>
      </c>
      <c r="H2404" s="5">
        <f>IF('Journal'!I1203="","",'Journal'!I1203)</f>
        <v/>
      </c>
    </row>
    <row r="2405">
      <c r="A2405" s="18">
        <f>IF('Journal'!A1204="","",'Journal'!A1204)</f>
        <v/>
      </c>
      <c r="B2405" s="21">
        <f>IF('Journal'!B1204="","",'Journal'!B1204)</f>
        <v/>
      </c>
      <c r="C2405" s="5">
        <f>IF('Journal'!C1204="","",'Journal'!C1204)</f>
        <v/>
      </c>
      <c r="D2405" s="5">
        <f>IF('Journal'!D1204="","",IFERROR(LEFT('Journal'!D1204,FIND(" ",'Journal'!D1204)-1),'Journal'!D1204))</f>
        <v/>
      </c>
      <c r="E2405" s="5">
        <f>IF('Journal'!D1204="","",IFERROR(INDEX('Kontoplan'!$B$3:$B$302,MATCH('Journal'!D1204,'Kontoplan'!$H$3:$H$302,0)),""))</f>
        <v/>
      </c>
      <c r="F2405" s="20">
        <f>IF('Journal'!G1204="","",'Journal'!G1204)</f>
        <v/>
      </c>
      <c r="G2405" s="20">
        <f>IF('Journal'!F1204="","",'Journal'!F1204)</f>
        <v/>
      </c>
      <c r="H2405" s="5">
        <f>IF('Journal'!I1204="","",'Journal'!I1204)</f>
        <v/>
      </c>
    </row>
    <row r="2406">
      <c r="A2406" s="18">
        <f>IF('Journal'!A1204="","",'Journal'!A1204)</f>
        <v/>
      </c>
      <c r="B2406" s="21">
        <f>IF('Journal'!B1204="","",'Journal'!B1204)</f>
        <v/>
      </c>
      <c r="C2406" s="5">
        <f>IF('Journal'!C1204="","",'Journal'!C1204)</f>
        <v/>
      </c>
      <c r="D2406" s="5">
        <f>IF('Journal'!E1204="","",IFERROR(LEFT('Journal'!E1204,FIND(" ",'Journal'!E1204)-1),'Journal'!E1204))</f>
        <v/>
      </c>
      <c r="E2406" s="5">
        <f>IF('Journal'!E1204="","",IFERROR(INDEX('Kontoplan'!$B$3:$B$302,MATCH('Journal'!E1204,'Kontoplan'!$H$3:$H$302,0)),""))</f>
        <v/>
      </c>
      <c r="F2406" s="20">
        <f>IF('Journal'!F1204="","",'Journal'!F1204)</f>
        <v/>
      </c>
      <c r="G2406" s="20">
        <f>IF('Journal'!G1204="","",'Journal'!G1204)</f>
        <v/>
      </c>
      <c r="H2406" s="5">
        <f>IF('Journal'!I1204="","",'Journal'!I1204)</f>
        <v/>
      </c>
    </row>
    <row r="2407">
      <c r="A2407" s="18">
        <f>IF('Journal'!A1205="","",'Journal'!A1205)</f>
        <v/>
      </c>
      <c r="B2407" s="21">
        <f>IF('Journal'!B1205="","",'Journal'!B1205)</f>
        <v/>
      </c>
      <c r="C2407" s="5">
        <f>IF('Journal'!C1205="","",'Journal'!C1205)</f>
        <v/>
      </c>
      <c r="D2407" s="5">
        <f>IF('Journal'!D1205="","",IFERROR(LEFT('Journal'!D1205,FIND(" ",'Journal'!D1205)-1),'Journal'!D1205))</f>
        <v/>
      </c>
      <c r="E2407" s="5">
        <f>IF('Journal'!D1205="","",IFERROR(INDEX('Kontoplan'!$B$3:$B$302,MATCH('Journal'!D1205,'Kontoplan'!$H$3:$H$302,0)),""))</f>
        <v/>
      </c>
      <c r="F2407" s="20">
        <f>IF('Journal'!G1205="","",'Journal'!G1205)</f>
        <v/>
      </c>
      <c r="G2407" s="20">
        <f>IF('Journal'!F1205="","",'Journal'!F1205)</f>
        <v/>
      </c>
      <c r="H2407" s="5">
        <f>IF('Journal'!I1205="","",'Journal'!I1205)</f>
        <v/>
      </c>
    </row>
    <row r="2408">
      <c r="A2408" s="18">
        <f>IF('Journal'!A1205="","",'Journal'!A1205)</f>
        <v/>
      </c>
      <c r="B2408" s="21">
        <f>IF('Journal'!B1205="","",'Journal'!B1205)</f>
        <v/>
      </c>
      <c r="C2408" s="5">
        <f>IF('Journal'!C1205="","",'Journal'!C1205)</f>
        <v/>
      </c>
      <c r="D2408" s="5">
        <f>IF('Journal'!E1205="","",IFERROR(LEFT('Journal'!E1205,FIND(" ",'Journal'!E1205)-1),'Journal'!E1205))</f>
        <v/>
      </c>
      <c r="E2408" s="5">
        <f>IF('Journal'!E1205="","",IFERROR(INDEX('Kontoplan'!$B$3:$B$302,MATCH('Journal'!E1205,'Kontoplan'!$H$3:$H$302,0)),""))</f>
        <v/>
      </c>
      <c r="F2408" s="20">
        <f>IF('Journal'!F1205="","",'Journal'!F1205)</f>
        <v/>
      </c>
      <c r="G2408" s="20">
        <f>IF('Journal'!G1205="","",'Journal'!G1205)</f>
        <v/>
      </c>
      <c r="H2408" s="5">
        <f>IF('Journal'!I1205="","",'Journal'!I1205)</f>
        <v/>
      </c>
    </row>
    <row r="2409">
      <c r="A2409" s="18">
        <f>IF('Journal'!A1206="","",'Journal'!A1206)</f>
        <v/>
      </c>
      <c r="B2409" s="21">
        <f>IF('Journal'!B1206="","",'Journal'!B1206)</f>
        <v/>
      </c>
      <c r="C2409" s="5">
        <f>IF('Journal'!C1206="","",'Journal'!C1206)</f>
        <v/>
      </c>
      <c r="D2409" s="5">
        <f>IF('Journal'!D1206="","",IFERROR(LEFT('Journal'!D1206,FIND(" ",'Journal'!D1206)-1),'Journal'!D1206))</f>
        <v/>
      </c>
      <c r="E2409" s="5">
        <f>IF('Journal'!D1206="","",IFERROR(INDEX('Kontoplan'!$B$3:$B$302,MATCH('Journal'!D1206,'Kontoplan'!$H$3:$H$302,0)),""))</f>
        <v/>
      </c>
      <c r="F2409" s="20">
        <f>IF('Journal'!G1206="","",'Journal'!G1206)</f>
        <v/>
      </c>
      <c r="G2409" s="20">
        <f>IF('Journal'!F1206="","",'Journal'!F1206)</f>
        <v/>
      </c>
      <c r="H2409" s="5">
        <f>IF('Journal'!I1206="","",'Journal'!I1206)</f>
        <v/>
      </c>
    </row>
    <row r="2410">
      <c r="A2410" s="18">
        <f>IF('Journal'!A1206="","",'Journal'!A1206)</f>
        <v/>
      </c>
      <c r="B2410" s="21">
        <f>IF('Journal'!B1206="","",'Journal'!B1206)</f>
        <v/>
      </c>
      <c r="C2410" s="5">
        <f>IF('Journal'!C1206="","",'Journal'!C1206)</f>
        <v/>
      </c>
      <c r="D2410" s="5">
        <f>IF('Journal'!E1206="","",IFERROR(LEFT('Journal'!E1206,FIND(" ",'Journal'!E1206)-1),'Journal'!E1206))</f>
        <v/>
      </c>
      <c r="E2410" s="5">
        <f>IF('Journal'!E1206="","",IFERROR(INDEX('Kontoplan'!$B$3:$B$302,MATCH('Journal'!E1206,'Kontoplan'!$H$3:$H$302,0)),""))</f>
        <v/>
      </c>
      <c r="F2410" s="20">
        <f>IF('Journal'!F1206="","",'Journal'!F1206)</f>
        <v/>
      </c>
      <c r="G2410" s="20">
        <f>IF('Journal'!G1206="","",'Journal'!G1206)</f>
        <v/>
      </c>
      <c r="H2410" s="5">
        <f>IF('Journal'!I1206="","",'Journal'!I1206)</f>
        <v/>
      </c>
    </row>
    <row r="2411">
      <c r="A2411" s="18">
        <f>IF('Journal'!A1207="","",'Journal'!A1207)</f>
        <v/>
      </c>
      <c r="B2411" s="21">
        <f>IF('Journal'!B1207="","",'Journal'!B1207)</f>
        <v/>
      </c>
      <c r="C2411" s="5">
        <f>IF('Journal'!C1207="","",'Journal'!C1207)</f>
        <v/>
      </c>
      <c r="D2411" s="5">
        <f>IF('Journal'!D1207="","",IFERROR(LEFT('Journal'!D1207,FIND(" ",'Journal'!D1207)-1),'Journal'!D1207))</f>
        <v/>
      </c>
      <c r="E2411" s="5">
        <f>IF('Journal'!D1207="","",IFERROR(INDEX('Kontoplan'!$B$3:$B$302,MATCH('Journal'!D1207,'Kontoplan'!$H$3:$H$302,0)),""))</f>
        <v/>
      </c>
      <c r="F2411" s="20">
        <f>IF('Journal'!G1207="","",'Journal'!G1207)</f>
        <v/>
      </c>
      <c r="G2411" s="20">
        <f>IF('Journal'!F1207="","",'Journal'!F1207)</f>
        <v/>
      </c>
      <c r="H2411" s="5">
        <f>IF('Journal'!I1207="","",'Journal'!I1207)</f>
        <v/>
      </c>
    </row>
    <row r="2412">
      <c r="A2412" s="18">
        <f>IF('Journal'!A1207="","",'Journal'!A1207)</f>
        <v/>
      </c>
      <c r="B2412" s="21">
        <f>IF('Journal'!B1207="","",'Journal'!B1207)</f>
        <v/>
      </c>
      <c r="C2412" s="5">
        <f>IF('Journal'!C1207="","",'Journal'!C1207)</f>
        <v/>
      </c>
      <c r="D2412" s="5">
        <f>IF('Journal'!E1207="","",IFERROR(LEFT('Journal'!E1207,FIND(" ",'Journal'!E1207)-1),'Journal'!E1207))</f>
        <v/>
      </c>
      <c r="E2412" s="5">
        <f>IF('Journal'!E1207="","",IFERROR(INDEX('Kontoplan'!$B$3:$B$302,MATCH('Journal'!E1207,'Kontoplan'!$H$3:$H$302,0)),""))</f>
        <v/>
      </c>
      <c r="F2412" s="20">
        <f>IF('Journal'!F1207="","",'Journal'!F1207)</f>
        <v/>
      </c>
      <c r="G2412" s="20">
        <f>IF('Journal'!G1207="","",'Journal'!G1207)</f>
        <v/>
      </c>
      <c r="H2412" s="5">
        <f>IF('Journal'!I1207="","",'Journal'!I1207)</f>
        <v/>
      </c>
    </row>
    <row r="2413">
      <c r="A2413" s="18">
        <f>IF('Journal'!A1208="","",'Journal'!A1208)</f>
        <v/>
      </c>
      <c r="B2413" s="21">
        <f>IF('Journal'!B1208="","",'Journal'!B1208)</f>
        <v/>
      </c>
      <c r="C2413" s="5">
        <f>IF('Journal'!C1208="","",'Journal'!C1208)</f>
        <v/>
      </c>
      <c r="D2413" s="5">
        <f>IF('Journal'!D1208="","",IFERROR(LEFT('Journal'!D1208,FIND(" ",'Journal'!D1208)-1),'Journal'!D1208))</f>
        <v/>
      </c>
      <c r="E2413" s="5">
        <f>IF('Journal'!D1208="","",IFERROR(INDEX('Kontoplan'!$B$3:$B$302,MATCH('Journal'!D1208,'Kontoplan'!$H$3:$H$302,0)),""))</f>
        <v/>
      </c>
      <c r="F2413" s="20">
        <f>IF('Journal'!G1208="","",'Journal'!G1208)</f>
        <v/>
      </c>
      <c r="G2413" s="20">
        <f>IF('Journal'!F1208="","",'Journal'!F1208)</f>
        <v/>
      </c>
      <c r="H2413" s="5">
        <f>IF('Journal'!I1208="","",'Journal'!I1208)</f>
        <v/>
      </c>
    </row>
    <row r="2414">
      <c r="A2414" s="18">
        <f>IF('Journal'!A1208="","",'Journal'!A1208)</f>
        <v/>
      </c>
      <c r="B2414" s="21">
        <f>IF('Journal'!B1208="","",'Journal'!B1208)</f>
        <v/>
      </c>
      <c r="C2414" s="5">
        <f>IF('Journal'!C1208="","",'Journal'!C1208)</f>
        <v/>
      </c>
      <c r="D2414" s="5">
        <f>IF('Journal'!E1208="","",IFERROR(LEFT('Journal'!E1208,FIND(" ",'Journal'!E1208)-1),'Journal'!E1208))</f>
        <v/>
      </c>
      <c r="E2414" s="5">
        <f>IF('Journal'!E1208="","",IFERROR(INDEX('Kontoplan'!$B$3:$B$302,MATCH('Journal'!E1208,'Kontoplan'!$H$3:$H$302,0)),""))</f>
        <v/>
      </c>
      <c r="F2414" s="20">
        <f>IF('Journal'!F1208="","",'Journal'!F1208)</f>
        <v/>
      </c>
      <c r="G2414" s="20">
        <f>IF('Journal'!G1208="","",'Journal'!G1208)</f>
        <v/>
      </c>
      <c r="H2414" s="5">
        <f>IF('Journal'!I1208="","",'Journal'!I1208)</f>
        <v/>
      </c>
    </row>
    <row r="2415">
      <c r="A2415" s="18">
        <f>IF('Journal'!A1209="","",'Journal'!A1209)</f>
        <v/>
      </c>
      <c r="B2415" s="21">
        <f>IF('Journal'!B1209="","",'Journal'!B1209)</f>
        <v/>
      </c>
      <c r="C2415" s="5">
        <f>IF('Journal'!C1209="","",'Journal'!C1209)</f>
        <v/>
      </c>
      <c r="D2415" s="5">
        <f>IF('Journal'!D1209="","",IFERROR(LEFT('Journal'!D1209,FIND(" ",'Journal'!D1209)-1),'Journal'!D1209))</f>
        <v/>
      </c>
      <c r="E2415" s="5">
        <f>IF('Journal'!D1209="","",IFERROR(INDEX('Kontoplan'!$B$3:$B$302,MATCH('Journal'!D1209,'Kontoplan'!$H$3:$H$302,0)),""))</f>
        <v/>
      </c>
      <c r="F2415" s="20">
        <f>IF('Journal'!G1209="","",'Journal'!G1209)</f>
        <v/>
      </c>
      <c r="G2415" s="20">
        <f>IF('Journal'!F1209="","",'Journal'!F1209)</f>
        <v/>
      </c>
      <c r="H2415" s="5">
        <f>IF('Journal'!I1209="","",'Journal'!I1209)</f>
        <v/>
      </c>
    </row>
    <row r="2416">
      <c r="A2416" s="18">
        <f>IF('Journal'!A1209="","",'Journal'!A1209)</f>
        <v/>
      </c>
      <c r="B2416" s="21">
        <f>IF('Journal'!B1209="","",'Journal'!B1209)</f>
        <v/>
      </c>
      <c r="C2416" s="5">
        <f>IF('Journal'!C1209="","",'Journal'!C1209)</f>
        <v/>
      </c>
      <c r="D2416" s="5">
        <f>IF('Journal'!E1209="","",IFERROR(LEFT('Journal'!E1209,FIND(" ",'Journal'!E1209)-1),'Journal'!E1209))</f>
        <v/>
      </c>
      <c r="E2416" s="5">
        <f>IF('Journal'!E1209="","",IFERROR(INDEX('Kontoplan'!$B$3:$B$302,MATCH('Journal'!E1209,'Kontoplan'!$H$3:$H$302,0)),""))</f>
        <v/>
      </c>
      <c r="F2416" s="20">
        <f>IF('Journal'!F1209="","",'Journal'!F1209)</f>
        <v/>
      </c>
      <c r="G2416" s="20">
        <f>IF('Journal'!G1209="","",'Journal'!G1209)</f>
        <v/>
      </c>
      <c r="H2416" s="5">
        <f>IF('Journal'!I1209="","",'Journal'!I1209)</f>
        <v/>
      </c>
    </row>
    <row r="2417">
      <c r="A2417" s="18">
        <f>IF('Journal'!A1210="","",'Journal'!A1210)</f>
        <v/>
      </c>
      <c r="B2417" s="21">
        <f>IF('Journal'!B1210="","",'Journal'!B1210)</f>
        <v/>
      </c>
      <c r="C2417" s="5">
        <f>IF('Journal'!C1210="","",'Journal'!C1210)</f>
        <v/>
      </c>
      <c r="D2417" s="5">
        <f>IF('Journal'!D1210="","",IFERROR(LEFT('Journal'!D1210,FIND(" ",'Journal'!D1210)-1),'Journal'!D1210))</f>
        <v/>
      </c>
      <c r="E2417" s="5">
        <f>IF('Journal'!D1210="","",IFERROR(INDEX('Kontoplan'!$B$3:$B$302,MATCH('Journal'!D1210,'Kontoplan'!$H$3:$H$302,0)),""))</f>
        <v/>
      </c>
      <c r="F2417" s="20">
        <f>IF('Journal'!G1210="","",'Journal'!G1210)</f>
        <v/>
      </c>
      <c r="G2417" s="20">
        <f>IF('Journal'!F1210="","",'Journal'!F1210)</f>
        <v/>
      </c>
      <c r="H2417" s="5">
        <f>IF('Journal'!I1210="","",'Journal'!I1210)</f>
        <v/>
      </c>
    </row>
    <row r="2418">
      <c r="A2418" s="18">
        <f>IF('Journal'!A1210="","",'Journal'!A1210)</f>
        <v/>
      </c>
      <c r="B2418" s="21">
        <f>IF('Journal'!B1210="","",'Journal'!B1210)</f>
        <v/>
      </c>
      <c r="C2418" s="5">
        <f>IF('Journal'!C1210="","",'Journal'!C1210)</f>
        <v/>
      </c>
      <c r="D2418" s="5">
        <f>IF('Journal'!E1210="","",IFERROR(LEFT('Journal'!E1210,FIND(" ",'Journal'!E1210)-1),'Journal'!E1210))</f>
        <v/>
      </c>
      <c r="E2418" s="5">
        <f>IF('Journal'!E1210="","",IFERROR(INDEX('Kontoplan'!$B$3:$B$302,MATCH('Journal'!E1210,'Kontoplan'!$H$3:$H$302,0)),""))</f>
        <v/>
      </c>
      <c r="F2418" s="20">
        <f>IF('Journal'!F1210="","",'Journal'!F1210)</f>
        <v/>
      </c>
      <c r="G2418" s="20">
        <f>IF('Journal'!G1210="","",'Journal'!G1210)</f>
        <v/>
      </c>
      <c r="H2418" s="5">
        <f>IF('Journal'!I1210="","",'Journal'!I1210)</f>
        <v/>
      </c>
    </row>
    <row r="2419">
      <c r="A2419" s="18">
        <f>IF('Journal'!A1211="","",'Journal'!A1211)</f>
        <v/>
      </c>
      <c r="B2419" s="21">
        <f>IF('Journal'!B1211="","",'Journal'!B1211)</f>
        <v/>
      </c>
      <c r="C2419" s="5">
        <f>IF('Journal'!C1211="","",'Journal'!C1211)</f>
        <v/>
      </c>
      <c r="D2419" s="5">
        <f>IF('Journal'!D1211="","",IFERROR(LEFT('Journal'!D1211,FIND(" ",'Journal'!D1211)-1),'Journal'!D1211))</f>
        <v/>
      </c>
      <c r="E2419" s="5">
        <f>IF('Journal'!D1211="","",IFERROR(INDEX('Kontoplan'!$B$3:$B$302,MATCH('Journal'!D1211,'Kontoplan'!$H$3:$H$302,0)),""))</f>
        <v/>
      </c>
      <c r="F2419" s="20">
        <f>IF('Journal'!G1211="","",'Journal'!G1211)</f>
        <v/>
      </c>
      <c r="G2419" s="20">
        <f>IF('Journal'!F1211="","",'Journal'!F1211)</f>
        <v/>
      </c>
      <c r="H2419" s="5">
        <f>IF('Journal'!I1211="","",'Journal'!I1211)</f>
        <v/>
      </c>
    </row>
    <row r="2420">
      <c r="A2420" s="18">
        <f>IF('Journal'!A1211="","",'Journal'!A1211)</f>
        <v/>
      </c>
      <c r="B2420" s="21">
        <f>IF('Journal'!B1211="","",'Journal'!B1211)</f>
        <v/>
      </c>
      <c r="C2420" s="5">
        <f>IF('Journal'!C1211="","",'Journal'!C1211)</f>
        <v/>
      </c>
      <c r="D2420" s="5">
        <f>IF('Journal'!E1211="","",IFERROR(LEFT('Journal'!E1211,FIND(" ",'Journal'!E1211)-1),'Journal'!E1211))</f>
        <v/>
      </c>
      <c r="E2420" s="5">
        <f>IF('Journal'!E1211="","",IFERROR(INDEX('Kontoplan'!$B$3:$B$302,MATCH('Journal'!E1211,'Kontoplan'!$H$3:$H$302,0)),""))</f>
        <v/>
      </c>
      <c r="F2420" s="20">
        <f>IF('Journal'!F1211="","",'Journal'!F1211)</f>
        <v/>
      </c>
      <c r="G2420" s="20">
        <f>IF('Journal'!G1211="","",'Journal'!G1211)</f>
        <v/>
      </c>
      <c r="H2420" s="5">
        <f>IF('Journal'!I1211="","",'Journal'!I1211)</f>
        <v/>
      </c>
    </row>
    <row r="2421">
      <c r="A2421" s="18">
        <f>IF('Journal'!A1212="","",'Journal'!A1212)</f>
        <v/>
      </c>
      <c r="B2421" s="21">
        <f>IF('Journal'!B1212="","",'Journal'!B1212)</f>
        <v/>
      </c>
      <c r="C2421" s="5">
        <f>IF('Journal'!C1212="","",'Journal'!C1212)</f>
        <v/>
      </c>
      <c r="D2421" s="5">
        <f>IF('Journal'!D1212="","",IFERROR(LEFT('Journal'!D1212,FIND(" ",'Journal'!D1212)-1),'Journal'!D1212))</f>
        <v/>
      </c>
      <c r="E2421" s="5">
        <f>IF('Journal'!D1212="","",IFERROR(INDEX('Kontoplan'!$B$3:$B$302,MATCH('Journal'!D1212,'Kontoplan'!$H$3:$H$302,0)),""))</f>
        <v/>
      </c>
      <c r="F2421" s="20">
        <f>IF('Journal'!G1212="","",'Journal'!G1212)</f>
        <v/>
      </c>
      <c r="G2421" s="20">
        <f>IF('Journal'!F1212="","",'Journal'!F1212)</f>
        <v/>
      </c>
      <c r="H2421" s="5">
        <f>IF('Journal'!I1212="","",'Journal'!I1212)</f>
        <v/>
      </c>
    </row>
    <row r="2422">
      <c r="A2422" s="18">
        <f>IF('Journal'!A1212="","",'Journal'!A1212)</f>
        <v/>
      </c>
      <c r="B2422" s="21">
        <f>IF('Journal'!B1212="","",'Journal'!B1212)</f>
        <v/>
      </c>
      <c r="C2422" s="5">
        <f>IF('Journal'!C1212="","",'Journal'!C1212)</f>
        <v/>
      </c>
      <c r="D2422" s="5">
        <f>IF('Journal'!E1212="","",IFERROR(LEFT('Journal'!E1212,FIND(" ",'Journal'!E1212)-1),'Journal'!E1212))</f>
        <v/>
      </c>
      <c r="E2422" s="5">
        <f>IF('Journal'!E1212="","",IFERROR(INDEX('Kontoplan'!$B$3:$B$302,MATCH('Journal'!E1212,'Kontoplan'!$H$3:$H$302,0)),""))</f>
        <v/>
      </c>
      <c r="F2422" s="20">
        <f>IF('Journal'!F1212="","",'Journal'!F1212)</f>
        <v/>
      </c>
      <c r="G2422" s="20">
        <f>IF('Journal'!G1212="","",'Journal'!G1212)</f>
        <v/>
      </c>
      <c r="H2422" s="5">
        <f>IF('Journal'!I1212="","",'Journal'!I1212)</f>
        <v/>
      </c>
    </row>
    <row r="2423">
      <c r="A2423" s="18">
        <f>IF('Journal'!A1213="","",'Journal'!A1213)</f>
        <v/>
      </c>
      <c r="B2423" s="21">
        <f>IF('Journal'!B1213="","",'Journal'!B1213)</f>
        <v/>
      </c>
      <c r="C2423" s="5">
        <f>IF('Journal'!C1213="","",'Journal'!C1213)</f>
        <v/>
      </c>
      <c r="D2423" s="5">
        <f>IF('Journal'!D1213="","",IFERROR(LEFT('Journal'!D1213,FIND(" ",'Journal'!D1213)-1),'Journal'!D1213))</f>
        <v/>
      </c>
      <c r="E2423" s="5">
        <f>IF('Journal'!D1213="","",IFERROR(INDEX('Kontoplan'!$B$3:$B$302,MATCH('Journal'!D1213,'Kontoplan'!$H$3:$H$302,0)),""))</f>
        <v/>
      </c>
      <c r="F2423" s="20">
        <f>IF('Journal'!G1213="","",'Journal'!G1213)</f>
        <v/>
      </c>
      <c r="G2423" s="20">
        <f>IF('Journal'!F1213="","",'Journal'!F1213)</f>
        <v/>
      </c>
      <c r="H2423" s="5">
        <f>IF('Journal'!I1213="","",'Journal'!I1213)</f>
        <v/>
      </c>
    </row>
    <row r="2424">
      <c r="A2424" s="18">
        <f>IF('Journal'!A1213="","",'Journal'!A1213)</f>
        <v/>
      </c>
      <c r="B2424" s="21">
        <f>IF('Journal'!B1213="","",'Journal'!B1213)</f>
        <v/>
      </c>
      <c r="C2424" s="5">
        <f>IF('Journal'!C1213="","",'Journal'!C1213)</f>
        <v/>
      </c>
      <c r="D2424" s="5">
        <f>IF('Journal'!E1213="","",IFERROR(LEFT('Journal'!E1213,FIND(" ",'Journal'!E1213)-1),'Journal'!E1213))</f>
        <v/>
      </c>
      <c r="E2424" s="5">
        <f>IF('Journal'!E1213="","",IFERROR(INDEX('Kontoplan'!$B$3:$B$302,MATCH('Journal'!E1213,'Kontoplan'!$H$3:$H$302,0)),""))</f>
        <v/>
      </c>
      <c r="F2424" s="20">
        <f>IF('Journal'!F1213="","",'Journal'!F1213)</f>
        <v/>
      </c>
      <c r="G2424" s="20">
        <f>IF('Journal'!G1213="","",'Journal'!G1213)</f>
        <v/>
      </c>
      <c r="H2424" s="5">
        <f>IF('Journal'!I1213="","",'Journal'!I1213)</f>
        <v/>
      </c>
    </row>
    <row r="2425">
      <c r="A2425" s="18">
        <f>IF('Journal'!A1214="","",'Journal'!A1214)</f>
        <v/>
      </c>
      <c r="B2425" s="21">
        <f>IF('Journal'!B1214="","",'Journal'!B1214)</f>
        <v/>
      </c>
      <c r="C2425" s="5">
        <f>IF('Journal'!C1214="","",'Journal'!C1214)</f>
        <v/>
      </c>
      <c r="D2425" s="5">
        <f>IF('Journal'!D1214="","",IFERROR(LEFT('Journal'!D1214,FIND(" ",'Journal'!D1214)-1),'Journal'!D1214))</f>
        <v/>
      </c>
      <c r="E2425" s="5">
        <f>IF('Journal'!D1214="","",IFERROR(INDEX('Kontoplan'!$B$3:$B$302,MATCH('Journal'!D1214,'Kontoplan'!$H$3:$H$302,0)),""))</f>
        <v/>
      </c>
      <c r="F2425" s="20">
        <f>IF('Journal'!G1214="","",'Journal'!G1214)</f>
        <v/>
      </c>
      <c r="G2425" s="20">
        <f>IF('Journal'!F1214="","",'Journal'!F1214)</f>
        <v/>
      </c>
      <c r="H2425" s="5">
        <f>IF('Journal'!I1214="","",'Journal'!I1214)</f>
        <v/>
      </c>
    </row>
    <row r="2426">
      <c r="A2426" s="18">
        <f>IF('Journal'!A1214="","",'Journal'!A1214)</f>
        <v/>
      </c>
      <c r="B2426" s="21">
        <f>IF('Journal'!B1214="","",'Journal'!B1214)</f>
        <v/>
      </c>
      <c r="C2426" s="5">
        <f>IF('Journal'!C1214="","",'Journal'!C1214)</f>
        <v/>
      </c>
      <c r="D2426" s="5">
        <f>IF('Journal'!E1214="","",IFERROR(LEFT('Journal'!E1214,FIND(" ",'Journal'!E1214)-1),'Journal'!E1214))</f>
        <v/>
      </c>
      <c r="E2426" s="5">
        <f>IF('Journal'!E1214="","",IFERROR(INDEX('Kontoplan'!$B$3:$B$302,MATCH('Journal'!E1214,'Kontoplan'!$H$3:$H$302,0)),""))</f>
        <v/>
      </c>
      <c r="F2426" s="20">
        <f>IF('Journal'!F1214="","",'Journal'!F1214)</f>
        <v/>
      </c>
      <c r="G2426" s="20">
        <f>IF('Journal'!G1214="","",'Journal'!G1214)</f>
        <v/>
      </c>
      <c r="H2426" s="5">
        <f>IF('Journal'!I1214="","",'Journal'!I1214)</f>
        <v/>
      </c>
    </row>
    <row r="2427">
      <c r="A2427" s="18">
        <f>IF('Journal'!A1215="","",'Journal'!A1215)</f>
        <v/>
      </c>
      <c r="B2427" s="21">
        <f>IF('Journal'!B1215="","",'Journal'!B1215)</f>
        <v/>
      </c>
      <c r="C2427" s="5">
        <f>IF('Journal'!C1215="","",'Journal'!C1215)</f>
        <v/>
      </c>
      <c r="D2427" s="5">
        <f>IF('Journal'!D1215="","",IFERROR(LEFT('Journal'!D1215,FIND(" ",'Journal'!D1215)-1),'Journal'!D1215))</f>
        <v/>
      </c>
      <c r="E2427" s="5">
        <f>IF('Journal'!D1215="","",IFERROR(INDEX('Kontoplan'!$B$3:$B$302,MATCH('Journal'!D1215,'Kontoplan'!$H$3:$H$302,0)),""))</f>
        <v/>
      </c>
      <c r="F2427" s="20">
        <f>IF('Journal'!G1215="","",'Journal'!G1215)</f>
        <v/>
      </c>
      <c r="G2427" s="20">
        <f>IF('Journal'!F1215="","",'Journal'!F1215)</f>
        <v/>
      </c>
      <c r="H2427" s="5">
        <f>IF('Journal'!I1215="","",'Journal'!I1215)</f>
        <v/>
      </c>
    </row>
    <row r="2428">
      <c r="A2428" s="18">
        <f>IF('Journal'!A1215="","",'Journal'!A1215)</f>
        <v/>
      </c>
      <c r="B2428" s="21">
        <f>IF('Journal'!B1215="","",'Journal'!B1215)</f>
        <v/>
      </c>
      <c r="C2428" s="5">
        <f>IF('Journal'!C1215="","",'Journal'!C1215)</f>
        <v/>
      </c>
      <c r="D2428" s="5">
        <f>IF('Journal'!E1215="","",IFERROR(LEFT('Journal'!E1215,FIND(" ",'Journal'!E1215)-1),'Journal'!E1215))</f>
        <v/>
      </c>
      <c r="E2428" s="5">
        <f>IF('Journal'!E1215="","",IFERROR(INDEX('Kontoplan'!$B$3:$B$302,MATCH('Journal'!E1215,'Kontoplan'!$H$3:$H$302,0)),""))</f>
        <v/>
      </c>
      <c r="F2428" s="20">
        <f>IF('Journal'!F1215="","",'Journal'!F1215)</f>
        <v/>
      </c>
      <c r="G2428" s="20">
        <f>IF('Journal'!G1215="","",'Journal'!G1215)</f>
        <v/>
      </c>
      <c r="H2428" s="5">
        <f>IF('Journal'!I1215="","",'Journal'!I1215)</f>
        <v/>
      </c>
    </row>
    <row r="2429">
      <c r="A2429" s="18">
        <f>IF('Journal'!A1216="","",'Journal'!A1216)</f>
        <v/>
      </c>
      <c r="B2429" s="21">
        <f>IF('Journal'!B1216="","",'Journal'!B1216)</f>
        <v/>
      </c>
      <c r="C2429" s="5">
        <f>IF('Journal'!C1216="","",'Journal'!C1216)</f>
        <v/>
      </c>
      <c r="D2429" s="5">
        <f>IF('Journal'!D1216="","",IFERROR(LEFT('Journal'!D1216,FIND(" ",'Journal'!D1216)-1),'Journal'!D1216))</f>
        <v/>
      </c>
      <c r="E2429" s="5">
        <f>IF('Journal'!D1216="","",IFERROR(INDEX('Kontoplan'!$B$3:$B$302,MATCH('Journal'!D1216,'Kontoplan'!$H$3:$H$302,0)),""))</f>
        <v/>
      </c>
      <c r="F2429" s="20">
        <f>IF('Journal'!G1216="","",'Journal'!G1216)</f>
        <v/>
      </c>
      <c r="G2429" s="20">
        <f>IF('Journal'!F1216="","",'Journal'!F1216)</f>
        <v/>
      </c>
      <c r="H2429" s="5">
        <f>IF('Journal'!I1216="","",'Journal'!I1216)</f>
        <v/>
      </c>
    </row>
    <row r="2430">
      <c r="A2430" s="18">
        <f>IF('Journal'!A1216="","",'Journal'!A1216)</f>
        <v/>
      </c>
      <c r="B2430" s="21">
        <f>IF('Journal'!B1216="","",'Journal'!B1216)</f>
        <v/>
      </c>
      <c r="C2430" s="5">
        <f>IF('Journal'!C1216="","",'Journal'!C1216)</f>
        <v/>
      </c>
      <c r="D2430" s="5">
        <f>IF('Journal'!E1216="","",IFERROR(LEFT('Journal'!E1216,FIND(" ",'Journal'!E1216)-1),'Journal'!E1216))</f>
        <v/>
      </c>
      <c r="E2430" s="5">
        <f>IF('Journal'!E1216="","",IFERROR(INDEX('Kontoplan'!$B$3:$B$302,MATCH('Journal'!E1216,'Kontoplan'!$H$3:$H$302,0)),""))</f>
        <v/>
      </c>
      <c r="F2430" s="20">
        <f>IF('Journal'!F1216="","",'Journal'!F1216)</f>
        <v/>
      </c>
      <c r="G2430" s="20">
        <f>IF('Journal'!G1216="","",'Journal'!G1216)</f>
        <v/>
      </c>
      <c r="H2430" s="5">
        <f>IF('Journal'!I1216="","",'Journal'!I1216)</f>
        <v/>
      </c>
    </row>
    <row r="2431">
      <c r="A2431" s="18">
        <f>IF('Journal'!A1217="","",'Journal'!A1217)</f>
        <v/>
      </c>
      <c r="B2431" s="21">
        <f>IF('Journal'!B1217="","",'Journal'!B1217)</f>
        <v/>
      </c>
      <c r="C2431" s="5">
        <f>IF('Journal'!C1217="","",'Journal'!C1217)</f>
        <v/>
      </c>
      <c r="D2431" s="5">
        <f>IF('Journal'!D1217="","",IFERROR(LEFT('Journal'!D1217,FIND(" ",'Journal'!D1217)-1),'Journal'!D1217))</f>
        <v/>
      </c>
      <c r="E2431" s="5">
        <f>IF('Journal'!D1217="","",IFERROR(INDEX('Kontoplan'!$B$3:$B$302,MATCH('Journal'!D1217,'Kontoplan'!$H$3:$H$302,0)),""))</f>
        <v/>
      </c>
      <c r="F2431" s="20">
        <f>IF('Journal'!G1217="","",'Journal'!G1217)</f>
        <v/>
      </c>
      <c r="G2431" s="20">
        <f>IF('Journal'!F1217="","",'Journal'!F1217)</f>
        <v/>
      </c>
      <c r="H2431" s="5">
        <f>IF('Journal'!I1217="","",'Journal'!I1217)</f>
        <v/>
      </c>
    </row>
    <row r="2432">
      <c r="A2432" s="18">
        <f>IF('Journal'!A1217="","",'Journal'!A1217)</f>
        <v/>
      </c>
      <c r="B2432" s="21">
        <f>IF('Journal'!B1217="","",'Journal'!B1217)</f>
        <v/>
      </c>
      <c r="C2432" s="5">
        <f>IF('Journal'!C1217="","",'Journal'!C1217)</f>
        <v/>
      </c>
      <c r="D2432" s="5">
        <f>IF('Journal'!E1217="","",IFERROR(LEFT('Journal'!E1217,FIND(" ",'Journal'!E1217)-1),'Journal'!E1217))</f>
        <v/>
      </c>
      <c r="E2432" s="5">
        <f>IF('Journal'!E1217="","",IFERROR(INDEX('Kontoplan'!$B$3:$B$302,MATCH('Journal'!E1217,'Kontoplan'!$H$3:$H$302,0)),""))</f>
        <v/>
      </c>
      <c r="F2432" s="20">
        <f>IF('Journal'!F1217="","",'Journal'!F1217)</f>
        <v/>
      </c>
      <c r="G2432" s="20">
        <f>IF('Journal'!G1217="","",'Journal'!G1217)</f>
        <v/>
      </c>
      <c r="H2432" s="5">
        <f>IF('Journal'!I1217="","",'Journal'!I1217)</f>
        <v/>
      </c>
    </row>
    <row r="2433">
      <c r="A2433" s="18">
        <f>IF('Journal'!A1218="","",'Journal'!A1218)</f>
        <v/>
      </c>
      <c r="B2433" s="21">
        <f>IF('Journal'!B1218="","",'Journal'!B1218)</f>
        <v/>
      </c>
      <c r="C2433" s="5">
        <f>IF('Journal'!C1218="","",'Journal'!C1218)</f>
        <v/>
      </c>
      <c r="D2433" s="5">
        <f>IF('Journal'!D1218="","",IFERROR(LEFT('Journal'!D1218,FIND(" ",'Journal'!D1218)-1),'Journal'!D1218))</f>
        <v/>
      </c>
      <c r="E2433" s="5">
        <f>IF('Journal'!D1218="","",IFERROR(INDEX('Kontoplan'!$B$3:$B$302,MATCH('Journal'!D1218,'Kontoplan'!$H$3:$H$302,0)),""))</f>
        <v/>
      </c>
      <c r="F2433" s="20">
        <f>IF('Journal'!G1218="","",'Journal'!G1218)</f>
        <v/>
      </c>
      <c r="G2433" s="20">
        <f>IF('Journal'!F1218="","",'Journal'!F1218)</f>
        <v/>
      </c>
      <c r="H2433" s="5">
        <f>IF('Journal'!I1218="","",'Journal'!I1218)</f>
        <v/>
      </c>
    </row>
    <row r="2434">
      <c r="A2434" s="18">
        <f>IF('Journal'!A1218="","",'Journal'!A1218)</f>
        <v/>
      </c>
      <c r="B2434" s="21">
        <f>IF('Journal'!B1218="","",'Journal'!B1218)</f>
        <v/>
      </c>
      <c r="C2434" s="5">
        <f>IF('Journal'!C1218="","",'Journal'!C1218)</f>
        <v/>
      </c>
      <c r="D2434" s="5">
        <f>IF('Journal'!E1218="","",IFERROR(LEFT('Journal'!E1218,FIND(" ",'Journal'!E1218)-1),'Journal'!E1218))</f>
        <v/>
      </c>
      <c r="E2434" s="5">
        <f>IF('Journal'!E1218="","",IFERROR(INDEX('Kontoplan'!$B$3:$B$302,MATCH('Journal'!E1218,'Kontoplan'!$H$3:$H$302,0)),""))</f>
        <v/>
      </c>
      <c r="F2434" s="20">
        <f>IF('Journal'!F1218="","",'Journal'!F1218)</f>
        <v/>
      </c>
      <c r="G2434" s="20">
        <f>IF('Journal'!G1218="","",'Journal'!G1218)</f>
        <v/>
      </c>
      <c r="H2434" s="5">
        <f>IF('Journal'!I1218="","",'Journal'!I1218)</f>
        <v/>
      </c>
    </row>
    <row r="2435">
      <c r="A2435" s="18">
        <f>IF('Journal'!A1219="","",'Journal'!A1219)</f>
        <v/>
      </c>
      <c r="B2435" s="21">
        <f>IF('Journal'!B1219="","",'Journal'!B1219)</f>
        <v/>
      </c>
      <c r="C2435" s="5">
        <f>IF('Journal'!C1219="","",'Journal'!C1219)</f>
        <v/>
      </c>
      <c r="D2435" s="5">
        <f>IF('Journal'!D1219="","",IFERROR(LEFT('Journal'!D1219,FIND(" ",'Journal'!D1219)-1),'Journal'!D1219))</f>
        <v/>
      </c>
      <c r="E2435" s="5">
        <f>IF('Journal'!D1219="","",IFERROR(INDEX('Kontoplan'!$B$3:$B$302,MATCH('Journal'!D1219,'Kontoplan'!$H$3:$H$302,0)),""))</f>
        <v/>
      </c>
      <c r="F2435" s="20">
        <f>IF('Journal'!G1219="","",'Journal'!G1219)</f>
        <v/>
      </c>
      <c r="G2435" s="20">
        <f>IF('Journal'!F1219="","",'Journal'!F1219)</f>
        <v/>
      </c>
      <c r="H2435" s="5">
        <f>IF('Journal'!I1219="","",'Journal'!I1219)</f>
        <v/>
      </c>
    </row>
    <row r="2436">
      <c r="A2436" s="18">
        <f>IF('Journal'!A1219="","",'Journal'!A1219)</f>
        <v/>
      </c>
      <c r="B2436" s="21">
        <f>IF('Journal'!B1219="","",'Journal'!B1219)</f>
        <v/>
      </c>
      <c r="C2436" s="5">
        <f>IF('Journal'!C1219="","",'Journal'!C1219)</f>
        <v/>
      </c>
      <c r="D2436" s="5">
        <f>IF('Journal'!E1219="","",IFERROR(LEFT('Journal'!E1219,FIND(" ",'Journal'!E1219)-1),'Journal'!E1219))</f>
        <v/>
      </c>
      <c r="E2436" s="5">
        <f>IF('Journal'!E1219="","",IFERROR(INDEX('Kontoplan'!$B$3:$B$302,MATCH('Journal'!E1219,'Kontoplan'!$H$3:$H$302,0)),""))</f>
        <v/>
      </c>
      <c r="F2436" s="20">
        <f>IF('Journal'!F1219="","",'Journal'!F1219)</f>
        <v/>
      </c>
      <c r="G2436" s="20">
        <f>IF('Journal'!G1219="","",'Journal'!G1219)</f>
        <v/>
      </c>
      <c r="H2436" s="5">
        <f>IF('Journal'!I1219="","",'Journal'!I1219)</f>
        <v/>
      </c>
    </row>
    <row r="2437">
      <c r="A2437" s="18">
        <f>IF('Journal'!A1220="","",'Journal'!A1220)</f>
        <v/>
      </c>
      <c r="B2437" s="21">
        <f>IF('Journal'!B1220="","",'Journal'!B1220)</f>
        <v/>
      </c>
      <c r="C2437" s="5">
        <f>IF('Journal'!C1220="","",'Journal'!C1220)</f>
        <v/>
      </c>
      <c r="D2437" s="5">
        <f>IF('Journal'!D1220="","",IFERROR(LEFT('Journal'!D1220,FIND(" ",'Journal'!D1220)-1),'Journal'!D1220))</f>
        <v/>
      </c>
      <c r="E2437" s="5">
        <f>IF('Journal'!D1220="","",IFERROR(INDEX('Kontoplan'!$B$3:$B$302,MATCH('Journal'!D1220,'Kontoplan'!$H$3:$H$302,0)),""))</f>
        <v/>
      </c>
      <c r="F2437" s="20">
        <f>IF('Journal'!G1220="","",'Journal'!G1220)</f>
        <v/>
      </c>
      <c r="G2437" s="20">
        <f>IF('Journal'!F1220="","",'Journal'!F1220)</f>
        <v/>
      </c>
      <c r="H2437" s="5">
        <f>IF('Journal'!I1220="","",'Journal'!I1220)</f>
        <v/>
      </c>
    </row>
    <row r="2438">
      <c r="A2438" s="18">
        <f>IF('Journal'!A1220="","",'Journal'!A1220)</f>
        <v/>
      </c>
      <c r="B2438" s="21">
        <f>IF('Journal'!B1220="","",'Journal'!B1220)</f>
        <v/>
      </c>
      <c r="C2438" s="5">
        <f>IF('Journal'!C1220="","",'Journal'!C1220)</f>
        <v/>
      </c>
      <c r="D2438" s="5">
        <f>IF('Journal'!E1220="","",IFERROR(LEFT('Journal'!E1220,FIND(" ",'Journal'!E1220)-1),'Journal'!E1220))</f>
        <v/>
      </c>
      <c r="E2438" s="5">
        <f>IF('Journal'!E1220="","",IFERROR(INDEX('Kontoplan'!$B$3:$B$302,MATCH('Journal'!E1220,'Kontoplan'!$H$3:$H$302,0)),""))</f>
        <v/>
      </c>
      <c r="F2438" s="20">
        <f>IF('Journal'!F1220="","",'Journal'!F1220)</f>
        <v/>
      </c>
      <c r="G2438" s="20">
        <f>IF('Journal'!G1220="","",'Journal'!G1220)</f>
        <v/>
      </c>
      <c r="H2438" s="5">
        <f>IF('Journal'!I1220="","",'Journal'!I1220)</f>
        <v/>
      </c>
    </row>
    <row r="2439">
      <c r="A2439" s="18">
        <f>IF('Journal'!A1221="","",'Journal'!A1221)</f>
        <v/>
      </c>
      <c r="B2439" s="21">
        <f>IF('Journal'!B1221="","",'Journal'!B1221)</f>
        <v/>
      </c>
      <c r="C2439" s="5">
        <f>IF('Journal'!C1221="","",'Journal'!C1221)</f>
        <v/>
      </c>
      <c r="D2439" s="5">
        <f>IF('Journal'!D1221="","",IFERROR(LEFT('Journal'!D1221,FIND(" ",'Journal'!D1221)-1),'Journal'!D1221))</f>
        <v/>
      </c>
      <c r="E2439" s="5">
        <f>IF('Journal'!D1221="","",IFERROR(INDEX('Kontoplan'!$B$3:$B$302,MATCH('Journal'!D1221,'Kontoplan'!$H$3:$H$302,0)),""))</f>
        <v/>
      </c>
      <c r="F2439" s="20">
        <f>IF('Journal'!G1221="","",'Journal'!G1221)</f>
        <v/>
      </c>
      <c r="G2439" s="20">
        <f>IF('Journal'!F1221="","",'Journal'!F1221)</f>
        <v/>
      </c>
      <c r="H2439" s="5">
        <f>IF('Journal'!I1221="","",'Journal'!I1221)</f>
        <v/>
      </c>
    </row>
    <row r="2440">
      <c r="A2440" s="18">
        <f>IF('Journal'!A1221="","",'Journal'!A1221)</f>
        <v/>
      </c>
      <c r="B2440" s="21">
        <f>IF('Journal'!B1221="","",'Journal'!B1221)</f>
        <v/>
      </c>
      <c r="C2440" s="5">
        <f>IF('Journal'!C1221="","",'Journal'!C1221)</f>
        <v/>
      </c>
      <c r="D2440" s="5">
        <f>IF('Journal'!E1221="","",IFERROR(LEFT('Journal'!E1221,FIND(" ",'Journal'!E1221)-1),'Journal'!E1221))</f>
        <v/>
      </c>
      <c r="E2440" s="5">
        <f>IF('Journal'!E1221="","",IFERROR(INDEX('Kontoplan'!$B$3:$B$302,MATCH('Journal'!E1221,'Kontoplan'!$H$3:$H$302,0)),""))</f>
        <v/>
      </c>
      <c r="F2440" s="20">
        <f>IF('Journal'!F1221="","",'Journal'!F1221)</f>
        <v/>
      </c>
      <c r="G2440" s="20">
        <f>IF('Journal'!G1221="","",'Journal'!G1221)</f>
        <v/>
      </c>
      <c r="H2440" s="5">
        <f>IF('Journal'!I1221="","",'Journal'!I1221)</f>
        <v/>
      </c>
    </row>
    <row r="2441">
      <c r="A2441" s="18">
        <f>IF('Journal'!A1222="","",'Journal'!A1222)</f>
        <v/>
      </c>
      <c r="B2441" s="21">
        <f>IF('Journal'!B1222="","",'Journal'!B1222)</f>
        <v/>
      </c>
      <c r="C2441" s="5">
        <f>IF('Journal'!C1222="","",'Journal'!C1222)</f>
        <v/>
      </c>
      <c r="D2441" s="5">
        <f>IF('Journal'!D1222="","",IFERROR(LEFT('Journal'!D1222,FIND(" ",'Journal'!D1222)-1),'Journal'!D1222))</f>
        <v/>
      </c>
      <c r="E2441" s="5">
        <f>IF('Journal'!D1222="","",IFERROR(INDEX('Kontoplan'!$B$3:$B$302,MATCH('Journal'!D1222,'Kontoplan'!$H$3:$H$302,0)),""))</f>
        <v/>
      </c>
      <c r="F2441" s="20">
        <f>IF('Journal'!G1222="","",'Journal'!G1222)</f>
        <v/>
      </c>
      <c r="G2441" s="20">
        <f>IF('Journal'!F1222="","",'Journal'!F1222)</f>
        <v/>
      </c>
      <c r="H2441" s="5">
        <f>IF('Journal'!I1222="","",'Journal'!I1222)</f>
        <v/>
      </c>
    </row>
    <row r="2442">
      <c r="A2442" s="18">
        <f>IF('Journal'!A1222="","",'Journal'!A1222)</f>
        <v/>
      </c>
      <c r="B2442" s="21">
        <f>IF('Journal'!B1222="","",'Journal'!B1222)</f>
        <v/>
      </c>
      <c r="C2442" s="5">
        <f>IF('Journal'!C1222="","",'Journal'!C1222)</f>
        <v/>
      </c>
      <c r="D2442" s="5">
        <f>IF('Journal'!E1222="","",IFERROR(LEFT('Journal'!E1222,FIND(" ",'Journal'!E1222)-1),'Journal'!E1222))</f>
        <v/>
      </c>
      <c r="E2442" s="5">
        <f>IF('Journal'!E1222="","",IFERROR(INDEX('Kontoplan'!$B$3:$B$302,MATCH('Journal'!E1222,'Kontoplan'!$H$3:$H$302,0)),""))</f>
        <v/>
      </c>
      <c r="F2442" s="20">
        <f>IF('Journal'!F1222="","",'Journal'!F1222)</f>
        <v/>
      </c>
      <c r="G2442" s="20">
        <f>IF('Journal'!G1222="","",'Journal'!G1222)</f>
        <v/>
      </c>
      <c r="H2442" s="5">
        <f>IF('Journal'!I1222="","",'Journal'!I1222)</f>
        <v/>
      </c>
    </row>
    <row r="2443">
      <c r="A2443" s="18">
        <f>IF('Journal'!A1223="","",'Journal'!A1223)</f>
        <v/>
      </c>
      <c r="B2443" s="21">
        <f>IF('Journal'!B1223="","",'Journal'!B1223)</f>
        <v/>
      </c>
      <c r="C2443" s="5">
        <f>IF('Journal'!C1223="","",'Journal'!C1223)</f>
        <v/>
      </c>
      <c r="D2443" s="5">
        <f>IF('Journal'!D1223="","",IFERROR(LEFT('Journal'!D1223,FIND(" ",'Journal'!D1223)-1),'Journal'!D1223))</f>
        <v/>
      </c>
      <c r="E2443" s="5">
        <f>IF('Journal'!D1223="","",IFERROR(INDEX('Kontoplan'!$B$3:$B$302,MATCH('Journal'!D1223,'Kontoplan'!$H$3:$H$302,0)),""))</f>
        <v/>
      </c>
      <c r="F2443" s="20">
        <f>IF('Journal'!G1223="","",'Journal'!G1223)</f>
        <v/>
      </c>
      <c r="G2443" s="20">
        <f>IF('Journal'!F1223="","",'Journal'!F1223)</f>
        <v/>
      </c>
      <c r="H2443" s="5">
        <f>IF('Journal'!I1223="","",'Journal'!I1223)</f>
        <v/>
      </c>
    </row>
    <row r="2444">
      <c r="A2444" s="18">
        <f>IF('Journal'!A1223="","",'Journal'!A1223)</f>
        <v/>
      </c>
      <c r="B2444" s="21">
        <f>IF('Journal'!B1223="","",'Journal'!B1223)</f>
        <v/>
      </c>
      <c r="C2444" s="5">
        <f>IF('Journal'!C1223="","",'Journal'!C1223)</f>
        <v/>
      </c>
      <c r="D2444" s="5">
        <f>IF('Journal'!E1223="","",IFERROR(LEFT('Journal'!E1223,FIND(" ",'Journal'!E1223)-1),'Journal'!E1223))</f>
        <v/>
      </c>
      <c r="E2444" s="5">
        <f>IF('Journal'!E1223="","",IFERROR(INDEX('Kontoplan'!$B$3:$B$302,MATCH('Journal'!E1223,'Kontoplan'!$H$3:$H$302,0)),""))</f>
        <v/>
      </c>
      <c r="F2444" s="20">
        <f>IF('Journal'!F1223="","",'Journal'!F1223)</f>
        <v/>
      </c>
      <c r="G2444" s="20">
        <f>IF('Journal'!G1223="","",'Journal'!G1223)</f>
        <v/>
      </c>
      <c r="H2444" s="5">
        <f>IF('Journal'!I1223="","",'Journal'!I1223)</f>
        <v/>
      </c>
    </row>
    <row r="2445">
      <c r="A2445" s="18">
        <f>IF('Journal'!A1224="","",'Journal'!A1224)</f>
        <v/>
      </c>
      <c r="B2445" s="21">
        <f>IF('Journal'!B1224="","",'Journal'!B1224)</f>
        <v/>
      </c>
      <c r="C2445" s="5">
        <f>IF('Journal'!C1224="","",'Journal'!C1224)</f>
        <v/>
      </c>
      <c r="D2445" s="5">
        <f>IF('Journal'!D1224="","",IFERROR(LEFT('Journal'!D1224,FIND(" ",'Journal'!D1224)-1),'Journal'!D1224))</f>
        <v/>
      </c>
      <c r="E2445" s="5">
        <f>IF('Journal'!D1224="","",IFERROR(INDEX('Kontoplan'!$B$3:$B$302,MATCH('Journal'!D1224,'Kontoplan'!$H$3:$H$302,0)),""))</f>
        <v/>
      </c>
      <c r="F2445" s="20">
        <f>IF('Journal'!G1224="","",'Journal'!G1224)</f>
        <v/>
      </c>
      <c r="G2445" s="20">
        <f>IF('Journal'!F1224="","",'Journal'!F1224)</f>
        <v/>
      </c>
      <c r="H2445" s="5">
        <f>IF('Journal'!I1224="","",'Journal'!I1224)</f>
        <v/>
      </c>
    </row>
    <row r="2446">
      <c r="A2446" s="18">
        <f>IF('Journal'!A1224="","",'Journal'!A1224)</f>
        <v/>
      </c>
      <c r="B2446" s="21">
        <f>IF('Journal'!B1224="","",'Journal'!B1224)</f>
        <v/>
      </c>
      <c r="C2446" s="5">
        <f>IF('Journal'!C1224="","",'Journal'!C1224)</f>
        <v/>
      </c>
      <c r="D2446" s="5">
        <f>IF('Journal'!E1224="","",IFERROR(LEFT('Journal'!E1224,FIND(" ",'Journal'!E1224)-1),'Journal'!E1224))</f>
        <v/>
      </c>
      <c r="E2446" s="5">
        <f>IF('Journal'!E1224="","",IFERROR(INDEX('Kontoplan'!$B$3:$B$302,MATCH('Journal'!E1224,'Kontoplan'!$H$3:$H$302,0)),""))</f>
        <v/>
      </c>
      <c r="F2446" s="20">
        <f>IF('Journal'!F1224="","",'Journal'!F1224)</f>
        <v/>
      </c>
      <c r="G2446" s="20">
        <f>IF('Journal'!G1224="","",'Journal'!G1224)</f>
        <v/>
      </c>
      <c r="H2446" s="5">
        <f>IF('Journal'!I1224="","",'Journal'!I1224)</f>
        <v/>
      </c>
    </row>
    <row r="2447">
      <c r="A2447" s="18">
        <f>IF('Journal'!A1225="","",'Journal'!A1225)</f>
        <v/>
      </c>
      <c r="B2447" s="21">
        <f>IF('Journal'!B1225="","",'Journal'!B1225)</f>
        <v/>
      </c>
      <c r="C2447" s="5">
        <f>IF('Journal'!C1225="","",'Journal'!C1225)</f>
        <v/>
      </c>
      <c r="D2447" s="5">
        <f>IF('Journal'!D1225="","",IFERROR(LEFT('Journal'!D1225,FIND(" ",'Journal'!D1225)-1),'Journal'!D1225))</f>
        <v/>
      </c>
      <c r="E2447" s="5">
        <f>IF('Journal'!D1225="","",IFERROR(INDEX('Kontoplan'!$B$3:$B$302,MATCH('Journal'!D1225,'Kontoplan'!$H$3:$H$302,0)),""))</f>
        <v/>
      </c>
      <c r="F2447" s="20">
        <f>IF('Journal'!G1225="","",'Journal'!G1225)</f>
        <v/>
      </c>
      <c r="G2447" s="20">
        <f>IF('Journal'!F1225="","",'Journal'!F1225)</f>
        <v/>
      </c>
      <c r="H2447" s="5">
        <f>IF('Journal'!I1225="","",'Journal'!I1225)</f>
        <v/>
      </c>
    </row>
    <row r="2448">
      <c r="A2448" s="18">
        <f>IF('Journal'!A1225="","",'Journal'!A1225)</f>
        <v/>
      </c>
      <c r="B2448" s="21">
        <f>IF('Journal'!B1225="","",'Journal'!B1225)</f>
        <v/>
      </c>
      <c r="C2448" s="5">
        <f>IF('Journal'!C1225="","",'Journal'!C1225)</f>
        <v/>
      </c>
      <c r="D2448" s="5">
        <f>IF('Journal'!E1225="","",IFERROR(LEFT('Journal'!E1225,FIND(" ",'Journal'!E1225)-1),'Journal'!E1225))</f>
        <v/>
      </c>
      <c r="E2448" s="5">
        <f>IF('Journal'!E1225="","",IFERROR(INDEX('Kontoplan'!$B$3:$B$302,MATCH('Journal'!E1225,'Kontoplan'!$H$3:$H$302,0)),""))</f>
        <v/>
      </c>
      <c r="F2448" s="20">
        <f>IF('Journal'!F1225="","",'Journal'!F1225)</f>
        <v/>
      </c>
      <c r="G2448" s="20">
        <f>IF('Journal'!G1225="","",'Journal'!G1225)</f>
        <v/>
      </c>
      <c r="H2448" s="5">
        <f>IF('Journal'!I1225="","",'Journal'!I1225)</f>
        <v/>
      </c>
    </row>
    <row r="2449">
      <c r="A2449" s="18">
        <f>IF('Journal'!A1226="","",'Journal'!A1226)</f>
        <v/>
      </c>
      <c r="B2449" s="21">
        <f>IF('Journal'!B1226="","",'Journal'!B1226)</f>
        <v/>
      </c>
      <c r="C2449" s="5">
        <f>IF('Journal'!C1226="","",'Journal'!C1226)</f>
        <v/>
      </c>
      <c r="D2449" s="5">
        <f>IF('Journal'!D1226="","",IFERROR(LEFT('Journal'!D1226,FIND(" ",'Journal'!D1226)-1),'Journal'!D1226))</f>
        <v/>
      </c>
      <c r="E2449" s="5">
        <f>IF('Journal'!D1226="","",IFERROR(INDEX('Kontoplan'!$B$3:$B$302,MATCH('Journal'!D1226,'Kontoplan'!$H$3:$H$302,0)),""))</f>
        <v/>
      </c>
      <c r="F2449" s="20">
        <f>IF('Journal'!G1226="","",'Journal'!G1226)</f>
        <v/>
      </c>
      <c r="G2449" s="20">
        <f>IF('Journal'!F1226="","",'Journal'!F1226)</f>
        <v/>
      </c>
      <c r="H2449" s="5">
        <f>IF('Journal'!I1226="","",'Journal'!I1226)</f>
        <v/>
      </c>
    </row>
    <row r="2450">
      <c r="A2450" s="18">
        <f>IF('Journal'!A1226="","",'Journal'!A1226)</f>
        <v/>
      </c>
      <c r="B2450" s="21">
        <f>IF('Journal'!B1226="","",'Journal'!B1226)</f>
        <v/>
      </c>
      <c r="C2450" s="5">
        <f>IF('Journal'!C1226="","",'Journal'!C1226)</f>
        <v/>
      </c>
      <c r="D2450" s="5">
        <f>IF('Journal'!E1226="","",IFERROR(LEFT('Journal'!E1226,FIND(" ",'Journal'!E1226)-1),'Journal'!E1226))</f>
        <v/>
      </c>
      <c r="E2450" s="5">
        <f>IF('Journal'!E1226="","",IFERROR(INDEX('Kontoplan'!$B$3:$B$302,MATCH('Journal'!E1226,'Kontoplan'!$H$3:$H$302,0)),""))</f>
        <v/>
      </c>
      <c r="F2450" s="20">
        <f>IF('Journal'!F1226="","",'Journal'!F1226)</f>
        <v/>
      </c>
      <c r="G2450" s="20">
        <f>IF('Journal'!G1226="","",'Journal'!G1226)</f>
        <v/>
      </c>
      <c r="H2450" s="5">
        <f>IF('Journal'!I1226="","",'Journal'!I1226)</f>
        <v/>
      </c>
    </row>
    <row r="2451">
      <c r="A2451" s="18">
        <f>IF('Journal'!A1227="","",'Journal'!A1227)</f>
        <v/>
      </c>
      <c r="B2451" s="21">
        <f>IF('Journal'!B1227="","",'Journal'!B1227)</f>
        <v/>
      </c>
      <c r="C2451" s="5">
        <f>IF('Journal'!C1227="","",'Journal'!C1227)</f>
        <v/>
      </c>
      <c r="D2451" s="5">
        <f>IF('Journal'!D1227="","",IFERROR(LEFT('Journal'!D1227,FIND(" ",'Journal'!D1227)-1),'Journal'!D1227))</f>
        <v/>
      </c>
      <c r="E2451" s="5">
        <f>IF('Journal'!D1227="","",IFERROR(INDEX('Kontoplan'!$B$3:$B$302,MATCH('Journal'!D1227,'Kontoplan'!$H$3:$H$302,0)),""))</f>
        <v/>
      </c>
      <c r="F2451" s="20">
        <f>IF('Journal'!G1227="","",'Journal'!G1227)</f>
        <v/>
      </c>
      <c r="G2451" s="20">
        <f>IF('Journal'!F1227="","",'Journal'!F1227)</f>
        <v/>
      </c>
      <c r="H2451" s="5">
        <f>IF('Journal'!I1227="","",'Journal'!I1227)</f>
        <v/>
      </c>
    </row>
    <row r="2452">
      <c r="A2452" s="18">
        <f>IF('Journal'!A1227="","",'Journal'!A1227)</f>
        <v/>
      </c>
      <c r="B2452" s="21">
        <f>IF('Journal'!B1227="","",'Journal'!B1227)</f>
        <v/>
      </c>
      <c r="C2452" s="5">
        <f>IF('Journal'!C1227="","",'Journal'!C1227)</f>
        <v/>
      </c>
      <c r="D2452" s="5">
        <f>IF('Journal'!E1227="","",IFERROR(LEFT('Journal'!E1227,FIND(" ",'Journal'!E1227)-1),'Journal'!E1227))</f>
        <v/>
      </c>
      <c r="E2452" s="5">
        <f>IF('Journal'!E1227="","",IFERROR(INDEX('Kontoplan'!$B$3:$B$302,MATCH('Journal'!E1227,'Kontoplan'!$H$3:$H$302,0)),""))</f>
        <v/>
      </c>
      <c r="F2452" s="20">
        <f>IF('Journal'!F1227="","",'Journal'!F1227)</f>
        <v/>
      </c>
      <c r="G2452" s="20">
        <f>IF('Journal'!G1227="","",'Journal'!G1227)</f>
        <v/>
      </c>
      <c r="H2452" s="5">
        <f>IF('Journal'!I1227="","",'Journal'!I1227)</f>
        <v/>
      </c>
    </row>
    <row r="2453">
      <c r="A2453" s="18">
        <f>IF('Journal'!A1228="","",'Journal'!A1228)</f>
        <v/>
      </c>
      <c r="B2453" s="21">
        <f>IF('Journal'!B1228="","",'Journal'!B1228)</f>
        <v/>
      </c>
      <c r="C2453" s="5">
        <f>IF('Journal'!C1228="","",'Journal'!C1228)</f>
        <v/>
      </c>
      <c r="D2453" s="5">
        <f>IF('Journal'!D1228="","",IFERROR(LEFT('Journal'!D1228,FIND(" ",'Journal'!D1228)-1),'Journal'!D1228))</f>
        <v/>
      </c>
      <c r="E2453" s="5">
        <f>IF('Journal'!D1228="","",IFERROR(INDEX('Kontoplan'!$B$3:$B$302,MATCH('Journal'!D1228,'Kontoplan'!$H$3:$H$302,0)),""))</f>
        <v/>
      </c>
      <c r="F2453" s="20">
        <f>IF('Journal'!G1228="","",'Journal'!G1228)</f>
        <v/>
      </c>
      <c r="G2453" s="20">
        <f>IF('Journal'!F1228="","",'Journal'!F1228)</f>
        <v/>
      </c>
      <c r="H2453" s="5">
        <f>IF('Journal'!I1228="","",'Journal'!I1228)</f>
        <v/>
      </c>
    </row>
    <row r="2454">
      <c r="A2454" s="18">
        <f>IF('Journal'!A1228="","",'Journal'!A1228)</f>
        <v/>
      </c>
      <c r="B2454" s="21">
        <f>IF('Journal'!B1228="","",'Journal'!B1228)</f>
        <v/>
      </c>
      <c r="C2454" s="5">
        <f>IF('Journal'!C1228="","",'Journal'!C1228)</f>
        <v/>
      </c>
      <c r="D2454" s="5">
        <f>IF('Journal'!E1228="","",IFERROR(LEFT('Journal'!E1228,FIND(" ",'Journal'!E1228)-1),'Journal'!E1228))</f>
        <v/>
      </c>
      <c r="E2454" s="5">
        <f>IF('Journal'!E1228="","",IFERROR(INDEX('Kontoplan'!$B$3:$B$302,MATCH('Journal'!E1228,'Kontoplan'!$H$3:$H$302,0)),""))</f>
        <v/>
      </c>
      <c r="F2454" s="20">
        <f>IF('Journal'!F1228="","",'Journal'!F1228)</f>
        <v/>
      </c>
      <c r="G2454" s="20">
        <f>IF('Journal'!G1228="","",'Journal'!G1228)</f>
        <v/>
      </c>
      <c r="H2454" s="5">
        <f>IF('Journal'!I1228="","",'Journal'!I1228)</f>
        <v/>
      </c>
    </row>
    <row r="2455">
      <c r="A2455" s="18">
        <f>IF('Journal'!A1229="","",'Journal'!A1229)</f>
        <v/>
      </c>
      <c r="B2455" s="21">
        <f>IF('Journal'!B1229="","",'Journal'!B1229)</f>
        <v/>
      </c>
      <c r="C2455" s="5">
        <f>IF('Journal'!C1229="","",'Journal'!C1229)</f>
        <v/>
      </c>
      <c r="D2455" s="5">
        <f>IF('Journal'!D1229="","",IFERROR(LEFT('Journal'!D1229,FIND(" ",'Journal'!D1229)-1),'Journal'!D1229))</f>
        <v/>
      </c>
      <c r="E2455" s="5">
        <f>IF('Journal'!D1229="","",IFERROR(INDEX('Kontoplan'!$B$3:$B$302,MATCH('Journal'!D1229,'Kontoplan'!$H$3:$H$302,0)),""))</f>
        <v/>
      </c>
      <c r="F2455" s="20">
        <f>IF('Journal'!G1229="","",'Journal'!G1229)</f>
        <v/>
      </c>
      <c r="G2455" s="20">
        <f>IF('Journal'!F1229="","",'Journal'!F1229)</f>
        <v/>
      </c>
      <c r="H2455" s="5">
        <f>IF('Journal'!I1229="","",'Journal'!I1229)</f>
        <v/>
      </c>
    </row>
    <row r="2456">
      <c r="A2456" s="18">
        <f>IF('Journal'!A1229="","",'Journal'!A1229)</f>
        <v/>
      </c>
      <c r="B2456" s="21">
        <f>IF('Journal'!B1229="","",'Journal'!B1229)</f>
        <v/>
      </c>
      <c r="C2456" s="5">
        <f>IF('Journal'!C1229="","",'Journal'!C1229)</f>
        <v/>
      </c>
      <c r="D2456" s="5">
        <f>IF('Journal'!E1229="","",IFERROR(LEFT('Journal'!E1229,FIND(" ",'Journal'!E1229)-1),'Journal'!E1229))</f>
        <v/>
      </c>
      <c r="E2456" s="5">
        <f>IF('Journal'!E1229="","",IFERROR(INDEX('Kontoplan'!$B$3:$B$302,MATCH('Journal'!E1229,'Kontoplan'!$H$3:$H$302,0)),""))</f>
        <v/>
      </c>
      <c r="F2456" s="20">
        <f>IF('Journal'!F1229="","",'Journal'!F1229)</f>
        <v/>
      </c>
      <c r="G2456" s="20">
        <f>IF('Journal'!G1229="","",'Journal'!G1229)</f>
        <v/>
      </c>
      <c r="H2456" s="5">
        <f>IF('Journal'!I1229="","",'Journal'!I1229)</f>
        <v/>
      </c>
    </row>
    <row r="2457">
      <c r="A2457" s="18">
        <f>IF('Journal'!A1230="","",'Journal'!A1230)</f>
        <v/>
      </c>
      <c r="B2457" s="21">
        <f>IF('Journal'!B1230="","",'Journal'!B1230)</f>
        <v/>
      </c>
      <c r="C2457" s="5">
        <f>IF('Journal'!C1230="","",'Journal'!C1230)</f>
        <v/>
      </c>
      <c r="D2457" s="5">
        <f>IF('Journal'!D1230="","",IFERROR(LEFT('Journal'!D1230,FIND(" ",'Journal'!D1230)-1),'Journal'!D1230))</f>
        <v/>
      </c>
      <c r="E2457" s="5">
        <f>IF('Journal'!D1230="","",IFERROR(INDEX('Kontoplan'!$B$3:$B$302,MATCH('Journal'!D1230,'Kontoplan'!$H$3:$H$302,0)),""))</f>
        <v/>
      </c>
      <c r="F2457" s="20">
        <f>IF('Journal'!G1230="","",'Journal'!G1230)</f>
        <v/>
      </c>
      <c r="G2457" s="20">
        <f>IF('Journal'!F1230="","",'Journal'!F1230)</f>
        <v/>
      </c>
      <c r="H2457" s="5">
        <f>IF('Journal'!I1230="","",'Journal'!I1230)</f>
        <v/>
      </c>
    </row>
    <row r="2458">
      <c r="A2458" s="18">
        <f>IF('Journal'!A1230="","",'Journal'!A1230)</f>
        <v/>
      </c>
      <c r="B2458" s="21">
        <f>IF('Journal'!B1230="","",'Journal'!B1230)</f>
        <v/>
      </c>
      <c r="C2458" s="5">
        <f>IF('Journal'!C1230="","",'Journal'!C1230)</f>
        <v/>
      </c>
      <c r="D2458" s="5">
        <f>IF('Journal'!E1230="","",IFERROR(LEFT('Journal'!E1230,FIND(" ",'Journal'!E1230)-1),'Journal'!E1230))</f>
        <v/>
      </c>
      <c r="E2458" s="5">
        <f>IF('Journal'!E1230="","",IFERROR(INDEX('Kontoplan'!$B$3:$B$302,MATCH('Journal'!E1230,'Kontoplan'!$H$3:$H$302,0)),""))</f>
        <v/>
      </c>
      <c r="F2458" s="20">
        <f>IF('Journal'!F1230="","",'Journal'!F1230)</f>
        <v/>
      </c>
      <c r="G2458" s="20">
        <f>IF('Journal'!G1230="","",'Journal'!G1230)</f>
        <v/>
      </c>
      <c r="H2458" s="5">
        <f>IF('Journal'!I1230="","",'Journal'!I1230)</f>
        <v/>
      </c>
    </row>
    <row r="2459">
      <c r="A2459" s="18">
        <f>IF('Journal'!A1231="","",'Journal'!A1231)</f>
        <v/>
      </c>
      <c r="B2459" s="21">
        <f>IF('Journal'!B1231="","",'Journal'!B1231)</f>
        <v/>
      </c>
      <c r="C2459" s="5">
        <f>IF('Journal'!C1231="","",'Journal'!C1231)</f>
        <v/>
      </c>
      <c r="D2459" s="5">
        <f>IF('Journal'!D1231="","",IFERROR(LEFT('Journal'!D1231,FIND(" ",'Journal'!D1231)-1),'Journal'!D1231))</f>
        <v/>
      </c>
      <c r="E2459" s="5">
        <f>IF('Journal'!D1231="","",IFERROR(INDEX('Kontoplan'!$B$3:$B$302,MATCH('Journal'!D1231,'Kontoplan'!$H$3:$H$302,0)),""))</f>
        <v/>
      </c>
      <c r="F2459" s="20">
        <f>IF('Journal'!G1231="","",'Journal'!G1231)</f>
        <v/>
      </c>
      <c r="G2459" s="20">
        <f>IF('Journal'!F1231="","",'Journal'!F1231)</f>
        <v/>
      </c>
      <c r="H2459" s="5">
        <f>IF('Journal'!I1231="","",'Journal'!I1231)</f>
        <v/>
      </c>
    </row>
    <row r="2460">
      <c r="A2460" s="18">
        <f>IF('Journal'!A1231="","",'Journal'!A1231)</f>
        <v/>
      </c>
      <c r="B2460" s="21">
        <f>IF('Journal'!B1231="","",'Journal'!B1231)</f>
        <v/>
      </c>
      <c r="C2460" s="5">
        <f>IF('Journal'!C1231="","",'Journal'!C1231)</f>
        <v/>
      </c>
      <c r="D2460" s="5">
        <f>IF('Journal'!E1231="","",IFERROR(LEFT('Journal'!E1231,FIND(" ",'Journal'!E1231)-1),'Journal'!E1231))</f>
        <v/>
      </c>
      <c r="E2460" s="5">
        <f>IF('Journal'!E1231="","",IFERROR(INDEX('Kontoplan'!$B$3:$B$302,MATCH('Journal'!E1231,'Kontoplan'!$H$3:$H$302,0)),""))</f>
        <v/>
      </c>
      <c r="F2460" s="20">
        <f>IF('Journal'!F1231="","",'Journal'!F1231)</f>
        <v/>
      </c>
      <c r="G2460" s="20">
        <f>IF('Journal'!G1231="","",'Journal'!G1231)</f>
        <v/>
      </c>
      <c r="H2460" s="5">
        <f>IF('Journal'!I1231="","",'Journal'!I1231)</f>
        <v/>
      </c>
    </row>
    <row r="2461">
      <c r="A2461" s="18">
        <f>IF('Journal'!A1232="","",'Journal'!A1232)</f>
        <v/>
      </c>
      <c r="B2461" s="21">
        <f>IF('Journal'!B1232="","",'Journal'!B1232)</f>
        <v/>
      </c>
      <c r="C2461" s="5">
        <f>IF('Journal'!C1232="","",'Journal'!C1232)</f>
        <v/>
      </c>
      <c r="D2461" s="5">
        <f>IF('Journal'!D1232="","",IFERROR(LEFT('Journal'!D1232,FIND(" ",'Journal'!D1232)-1),'Journal'!D1232))</f>
        <v/>
      </c>
      <c r="E2461" s="5">
        <f>IF('Journal'!D1232="","",IFERROR(INDEX('Kontoplan'!$B$3:$B$302,MATCH('Journal'!D1232,'Kontoplan'!$H$3:$H$302,0)),""))</f>
        <v/>
      </c>
      <c r="F2461" s="20">
        <f>IF('Journal'!G1232="","",'Journal'!G1232)</f>
        <v/>
      </c>
      <c r="G2461" s="20">
        <f>IF('Journal'!F1232="","",'Journal'!F1232)</f>
        <v/>
      </c>
      <c r="H2461" s="5">
        <f>IF('Journal'!I1232="","",'Journal'!I1232)</f>
        <v/>
      </c>
    </row>
    <row r="2462">
      <c r="A2462" s="18">
        <f>IF('Journal'!A1232="","",'Journal'!A1232)</f>
        <v/>
      </c>
      <c r="B2462" s="21">
        <f>IF('Journal'!B1232="","",'Journal'!B1232)</f>
        <v/>
      </c>
      <c r="C2462" s="5">
        <f>IF('Journal'!C1232="","",'Journal'!C1232)</f>
        <v/>
      </c>
      <c r="D2462" s="5">
        <f>IF('Journal'!E1232="","",IFERROR(LEFT('Journal'!E1232,FIND(" ",'Journal'!E1232)-1),'Journal'!E1232))</f>
        <v/>
      </c>
      <c r="E2462" s="5">
        <f>IF('Journal'!E1232="","",IFERROR(INDEX('Kontoplan'!$B$3:$B$302,MATCH('Journal'!E1232,'Kontoplan'!$H$3:$H$302,0)),""))</f>
        <v/>
      </c>
      <c r="F2462" s="20">
        <f>IF('Journal'!F1232="","",'Journal'!F1232)</f>
        <v/>
      </c>
      <c r="G2462" s="20">
        <f>IF('Journal'!G1232="","",'Journal'!G1232)</f>
        <v/>
      </c>
      <c r="H2462" s="5">
        <f>IF('Journal'!I1232="","",'Journal'!I1232)</f>
        <v/>
      </c>
    </row>
    <row r="2463">
      <c r="A2463" s="18">
        <f>IF('Journal'!A1233="","",'Journal'!A1233)</f>
        <v/>
      </c>
      <c r="B2463" s="21">
        <f>IF('Journal'!B1233="","",'Journal'!B1233)</f>
        <v/>
      </c>
      <c r="C2463" s="5">
        <f>IF('Journal'!C1233="","",'Journal'!C1233)</f>
        <v/>
      </c>
      <c r="D2463" s="5">
        <f>IF('Journal'!D1233="","",IFERROR(LEFT('Journal'!D1233,FIND(" ",'Journal'!D1233)-1),'Journal'!D1233))</f>
        <v/>
      </c>
      <c r="E2463" s="5">
        <f>IF('Journal'!D1233="","",IFERROR(INDEX('Kontoplan'!$B$3:$B$302,MATCH('Journal'!D1233,'Kontoplan'!$H$3:$H$302,0)),""))</f>
        <v/>
      </c>
      <c r="F2463" s="20">
        <f>IF('Journal'!G1233="","",'Journal'!G1233)</f>
        <v/>
      </c>
      <c r="G2463" s="20">
        <f>IF('Journal'!F1233="","",'Journal'!F1233)</f>
        <v/>
      </c>
      <c r="H2463" s="5">
        <f>IF('Journal'!I1233="","",'Journal'!I1233)</f>
        <v/>
      </c>
    </row>
    <row r="2464">
      <c r="A2464" s="18">
        <f>IF('Journal'!A1233="","",'Journal'!A1233)</f>
        <v/>
      </c>
      <c r="B2464" s="21">
        <f>IF('Journal'!B1233="","",'Journal'!B1233)</f>
        <v/>
      </c>
      <c r="C2464" s="5">
        <f>IF('Journal'!C1233="","",'Journal'!C1233)</f>
        <v/>
      </c>
      <c r="D2464" s="5">
        <f>IF('Journal'!E1233="","",IFERROR(LEFT('Journal'!E1233,FIND(" ",'Journal'!E1233)-1),'Journal'!E1233))</f>
        <v/>
      </c>
      <c r="E2464" s="5">
        <f>IF('Journal'!E1233="","",IFERROR(INDEX('Kontoplan'!$B$3:$B$302,MATCH('Journal'!E1233,'Kontoplan'!$H$3:$H$302,0)),""))</f>
        <v/>
      </c>
      <c r="F2464" s="20">
        <f>IF('Journal'!F1233="","",'Journal'!F1233)</f>
        <v/>
      </c>
      <c r="G2464" s="20">
        <f>IF('Journal'!G1233="","",'Journal'!G1233)</f>
        <v/>
      </c>
      <c r="H2464" s="5">
        <f>IF('Journal'!I1233="","",'Journal'!I1233)</f>
        <v/>
      </c>
    </row>
    <row r="2465">
      <c r="A2465" s="18">
        <f>IF('Journal'!A1234="","",'Journal'!A1234)</f>
        <v/>
      </c>
      <c r="B2465" s="21">
        <f>IF('Journal'!B1234="","",'Journal'!B1234)</f>
        <v/>
      </c>
      <c r="C2465" s="5">
        <f>IF('Journal'!C1234="","",'Journal'!C1234)</f>
        <v/>
      </c>
      <c r="D2465" s="5">
        <f>IF('Journal'!D1234="","",IFERROR(LEFT('Journal'!D1234,FIND(" ",'Journal'!D1234)-1),'Journal'!D1234))</f>
        <v/>
      </c>
      <c r="E2465" s="5">
        <f>IF('Journal'!D1234="","",IFERROR(INDEX('Kontoplan'!$B$3:$B$302,MATCH('Journal'!D1234,'Kontoplan'!$H$3:$H$302,0)),""))</f>
        <v/>
      </c>
      <c r="F2465" s="20">
        <f>IF('Journal'!G1234="","",'Journal'!G1234)</f>
        <v/>
      </c>
      <c r="G2465" s="20">
        <f>IF('Journal'!F1234="","",'Journal'!F1234)</f>
        <v/>
      </c>
      <c r="H2465" s="5">
        <f>IF('Journal'!I1234="","",'Journal'!I1234)</f>
        <v/>
      </c>
    </row>
    <row r="2466">
      <c r="A2466" s="18">
        <f>IF('Journal'!A1234="","",'Journal'!A1234)</f>
        <v/>
      </c>
      <c r="B2466" s="21">
        <f>IF('Journal'!B1234="","",'Journal'!B1234)</f>
        <v/>
      </c>
      <c r="C2466" s="5">
        <f>IF('Journal'!C1234="","",'Journal'!C1234)</f>
        <v/>
      </c>
      <c r="D2466" s="5">
        <f>IF('Journal'!E1234="","",IFERROR(LEFT('Journal'!E1234,FIND(" ",'Journal'!E1234)-1),'Journal'!E1234))</f>
        <v/>
      </c>
      <c r="E2466" s="5">
        <f>IF('Journal'!E1234="","",IFERROR(INDEX('Kontoplan'!$B$3:$B$302,MATCH('Journal'!E1234,'Kontoplan'!$H$3:$H$302,0)),""))</f>
        <v/>
      </c>
      <c r="F2466" s="20">
        <f>IF('Journal'!F1234="","",'Journal'!F1234)</f>
        <v/>
      </c>
      <c r="G2466" s="20">
        <f>IF('Journal'!G1234="","",'Journal'!G1234)</f>
        <v/>
      </c>
      <c r="H2466" s="5">
        <f>IF('Journal'!I1234="","",'Journal'!I1234)</f>
        <v/>
      </c>
    </row>
    <row r="2467">
      <c r="A2467" s="18">
        <f>IF('Journal'!A1235="","",'Journal'!A1235)</f>
        <v/>
      </c>
      <c r="B2467" s="21">
        <f>IF('Journal'!B1235="","",'Journal'!B1235)</f>
        <v/>
      </c>
      <c r="C2467" s="5">
        <f>IF('Journal'!C1235="","",'Journal'!C1235)</f>
        <v/>
      </c>
      <c r="D2467" s="5">
        <f>IF('Journal'!D1235="","",IFERROR(LEFT('Journal'!D1235,FIND(" ",'Journal'!D1235)-1),'Journal'!D1235))</f>
        <v/>
      </c>
      <c r="E2467" s="5">
        <f>IF('Journal'!D1235="","",IFERROR(INDEX('Kontoplan'!$B$3:$B$302,MATCH('Journal'!D1235,'Kontoplan'!$H$3:$H$302,0)),""))</f>
        <v/>
      </c>
      <c r="F2467" s="20">
        <f>IF('Journal'!G1235="","",'Journal'!G1235)</f>
        <v/>
      </c>
      <c r="G2467" s="20">
        <f>IF('Journal'!F1235="","",'Journal'!F1235)</f>
        <v/>
      </c>
      <c r="H2467" s="5">
        <f>IF('Journal'!I1235="","",'Journal'!I1235)</f>
        <v/>
      </c>
    </row>
    <row r="2468">
      <c r="A2468" s="18">
        <f>IF('Journal'!A1235="","",'Journal'!A1235)</f>
        <v/>
      </c>
      <c r="B2468" s="21">
        <f>IF('Journal'!B1235="","",'Journal'!B1235)</f>
        <v/>
      </c>
      <c r="C2468" s="5">
        <f>IF('Journal'!C1235="","",'Journal'!C1235)</f>
        <v/>
      </c>
      <c r="D2468" s="5">
        <f>IF('Journal'!E1235="","",IFERROR(LEFT('Journal'!E1235,FIND(" ",'Journal'!E1235)-1),'Journal'!E1235))</f>
        <v/>
      </c>
      <c r="E2468" s="5">
        <f>IF('Journal'!E1235="","",IFERROR(INDEX('Kontoplan'!$B$3:$B$302,MATCH('Journal'!E1235,'Kontoplan'!$H$3:$H$302,0)),""))</f>
        <v/>
      </c>
      <c r="F2468" s="20">
        <f>IF('Journal'!F1235="","",'Journal'!F1235)</f>
        <v/>
      </c>
      <c r="G2468" s="20">
        <f>IF('Journal'!G1235="","",'Journal'!G1235)</f>
        <v/>
      </c>
      <c r="H2468" s="5">
        <f>IF('Journal'!I1235="","",'Journal'!I1235)</f>
        <v/>
      </c>
    </row>
    <row r="2469">
      <c r="A2469" s="18">
        <f>IF('Journal'!A1236="","",'Journal'!A1236)</f>
        <v/>
      </c>
      <c r="B2469" s="21">
        <f>IF('Journal'!B1236="","",'Journal'!B1236)</f>
        <v/>
      </c>
      <c r="C2469" s="5">
        <f>IF('Journal'!C1236="","",'Journal'!C1236)</f>
        <v/>
      </c>
      <c r="D2469" s="5">
        <f>IF('Journal'!D1236="","",IFERROR(LEFT('Journal'!D1236,FIND(" ",'Journal'!D1236)-1),'Journal'!D1236))</f>
        <v/>
      </c>
      <c r="E2469" s="5">
        <f>IF('Journal'!D1236="","",IFERROR(INDEX('Kontoplan'!$B$3:$B$302,MATCH('Journal'!D1236,'Kontoplan'!$H$3:$H$302,0)),""))</f>
        <v/>
      </c>
      <c r="F2469" s="20">
        <f>IF('Journal'!G1236="","",'Journal'!G1236)</f>
        <v/>
      </c>
      <c r="G2469" s="20">
        <f>IF('Journal'!F1236="","",'Journal'!F1236)</f>
        <v/>
      </c>
      <c r="H2469" s="5">
        <f>IF('Journal'!I1236="","",'Journal'!I1236)</f>
        <v/>
      </c>
    </row>
    <row r="2470">
      <c r="A2470" s="18">
        <f>IF('Journal'!A1236="","",'Journal'!A1236)</f>
        <v/>
      </c>
      <c r="B2470" s="21">
        <f>IF('Journal'!B1236="","",'Journal'!B1236)</f>
        <v/>
      </c>
      <c r="C2470" s="5">
        <f>IF('Journal'!C1236="","",'Journal'!C1236)</f>
        <v/>
      </c>
      <c r="D2470" s="5">
        <f>IF('Journal'!E1236="","",IFERROR(LEFT('Journal'!E1236,FIND(" ",'Journal'!E1236)-1),'Journal'!E1236))</f>
        <v/>
      </c>
      <c r="E2470" s="5">
        <f>IF('Journal'!E1236="","",IFERROR(INDEX('Kontoplan'!$B$3:$B$302,MATCH('Journal'!E1236,'Kontoplan'!$H$3:$H$302,0)),""))</f>
        <v/>
      </c>
      <c r="F2470" s="20">
        <f>IF('Journal'!F1236="","",'Journal'!F1236)</f>
        <v/>
      </c>
      <c r="G2470" s="20">
        <f>IF('Journal'!G1236="","",'Journal'!G1236)</f>
        <v/>
      </c>
      <c r="H2470" s="5">
        <f>IF('Journal'!I1236="","",'Journal'!I1236)</f>
        <v/>
      </c>
    </row>
    <row r="2471">
      <c r="A2471" s="18">
        <f>IF('Journal'!A1237="","",'Journal'!A1237)</f>
        <v/>
      </c>
      <c r="B2471" s="21">
        <f>IF('Journal'!B1237="","",'Journal'!B1237)</f>
        <v/>
      </c>
      <c r="C2471" s="5">
        <f>IF('Journal'!C1237="","",'Journal'!C1237)</f>
        <v/>
      </c>
      <c r="D2471" s="5">
        <f>IF('Journal'!D1237="","",IFERROR(LEFT('Journal'!D1237,FIND(" ",'Journal'!D1237)-1),'Journal'!D1237))</f>
        <v/>
      </c>
      <c r="E2471" s="5">
        <f>IF('Journal'!D1237="","",IFERROR(INDEX('Kontoplan'!$B$3:$B$302,MATCH('Journal'!D1237,'Kontoplan'!$H$3:$H$302,0)),""))</f>
        <v/>
      </c>
      <c r="F2471" s="20">
        <f>IF('Journal'!G1237="","",'Journal'!G1237)</f>
        <v/>
      </c>
      <c r="G2471" s="20">
        <f>IF('Journal'!F1237="","",'Journal'!F1237)</f>
        <v/>
      </c>
      <c r="H2471" s="5">
        <f>IF('Journal'!I1237="","",'Journal'!I1237)</f>
        <v/>
      </c>
    </row>
    <row r="2472">
      <c r="A2472" s="18">
        <f>IF('Journal'!A1237="","",'Journal'!A1237)</f>
        <v/>
      </c>
      <c r="B2472" s="21">
        <f>IF('Journal'!B1237="","",'Journal'!B1237)</f>
        <v/>
      </c>
      <c r="C2472" s="5">
        <f>IF('Journal'!C1237="","",'Journal'!C1237)</f>
        <v/>
      </c>
      <c r="D2472" s="5">
        <f>IF('Journal'!E1237="","",IFERROR(LEFT('Journal'!E1237,FIND(" ",'Journal'!E1237)-1),'Journal'!E1237))</f>
        <v/>
      </c>
      <c r="E2472" s="5">
        <f>IF('Journal'!E1237="","",IFERROR(INDEX('Kontoplan'!$B$3:$B$302,MATCH('Journal'!E1237,'Kontoplan'!$H$3:$H$302,0)),""))</f>
        <v/>
      </c>
      <c r="F2472" s="20">
        <f>IF('Journal'!F1237="","",'Journal'!F1237)</f>
        <v/>
      </c>
      <c r="G2472" s="20">
        <f>IF('Journal'!G1237="","",'Journal'!G1237)</f>
        <v/>
      </c>
      <c r="H2472" s="5">
        <f>IF('Journal'!I1237="","",'Journal'!I1237)</f>
        <v/>
      </c>
    </row>
    <row r="2473">
      <c r="A2473" s="18">
        <f>IF('Journal'!A1238="","",'Journal'!A1238)</f>
        <v/>
      </c>
      <c r="B2473" s="21">
        <f>IF('Journal'!B1238="","",'Journal'!B1238)</f>
        <v/>
      </c>
      <c r="C2473" s="5">
        <f>IF('Journal'!C1238="","",'Journal'!C1238)</f>
        <v/>
      </c>
      <c r="D2473" s="5">
        <f>IF('Journal'!D1238="","",IFERROR(LEFT('Journal'!D1238,FIND(" ",'Journal'!D1238)-1),'Journal'!D1238))</f>
        <v/>
      </c>
      <c r="E2473" s="5">
        <f>IF('Journal'!D1238="","",IFERROR(INDEX('Kontoplan'!$B$3:$B$302,MATCH('Journal'!D1238,'Kontoplan'!$H$3:$H$302,0)),""))</f>
        <v/>
      </c>
      <c r="F2473" s="20">
        <f>IF('Journal'!G1238="","",'Journal'!G1238)</f>
        <v/>
      </c>
      <c r="G2473" s="20">
        <f>IF('Journal'!F1238="","",'Journal'!F1238)</f>
        <v/>
      </c>
      <c r="H2473" s="5">
        <f>IF('Journal'!I1238="","",'Journal'!I1238)</f>
        <v/>
      </c>
    </row>
    <row r="2474">
      <c r="A2474" s="18">
        <f>IF('Journal'!A1238="","",'Journal'!A1238)</f>
        <v/>
      </c>
      <c r="B2474" s="21">
        <f>IF('Journal'!B1238="","",'Journal'!B1238)</f>
        <v/>
      </c>
      <c r="C2474" s="5">
        <f>IF('Journal'!C1238="","",'Journal'!C1238)</f>
        <v/>
      </c>
      <c r="D2474" s="5">
        <f>IF('Journal'!E1238="","",IFERROR(LEFT('Journal'!E1238,FIND(" ",'Journal'!E1238)-1),'Journal'!E1238))</f>
        <v/>
      </c>
      <c r="E2474" s="5">
        <f>IF('Journal'!E1238="","",IFERROR(INDEX('Kontoplan'!$B$3:$B$302,MATCH('Journal'!E1238,'Kontoplan'!$H$3:$H$302,0)),""))</f>
        <v/>
      </c>
      <c r="F2474" s="20">
        <f>IF('Journal'!F1238="","",'Journal'!F1238)</f>
        <v/>
      </c>
      <c r="G2474" s="20">
        <f>IF('Journal'!G1238="","",'Journal'!G1238)</f>
        <v/>
      </c>
      <c r="H2474" s="5">
        <f>IF('Journal'!I1238="","",'Journal'!I1238)</f>
        <v/>
      </c>
    </row>
    <row r="2475">
      <c r="A2475" s="18">
        <f>IF('Journal'!A1239="","",'Journal'!A1239)</f>
        <v/>
      </c>
      <c r="B2475" s="21">
        <f>IF('Journal'!B1239="","",'Journal'!B1239)</f>
        <v/>
      </c>
      <c r="C2475" s="5">
        <f>IF('Journal'!C1239="","",'Journal'!C1239)</f>
        <v/>
      </c>
      <c r="D2475" s="5">
        <f>IF('Journal'!D1239="","",IFERROR(LEFT('Journal'!D1239,FIND(" ",'Journal'!D1239)-1),'Journal'!D1239))</f>
        <v/>
      </c>
      <c r="E2475" s="5">
        <f>IF('Journal'!D1239="","",IFERROR(INDEX('Kontoplan'!$B$3:$B$302,MATCH('Journal'!D1239,'Kontoplan'!$H$3:$H$302,0)),""))</f>
        <v/>
      </c>
      <c r="F2475" s="20">
        <f>IF('Journal'!G1239="","",'Journal'!G1239)</f>
        <v/>
      </c>
      <c r="G2475" s="20">
        <f>IF('Journal'!F1239="","",'Journal'!F1239)</f>
        <v/>
      </c>
      <c r="H2475" s="5">
        <f>IF('Journal'!I1239="","",'Journal'!I1239)</f>
        <v/>
      </c>
    </row>
    <row r="2476">
      <c r="A2476" s="18">
        <f>IF('Journal'!A1239="","",'Journal'!A1239)</f>
        <v/>
      </c>
      <c r="B2476" s="21">
        <f>IF('Journal'!B1239="","",'Journal'!B1239)</f>
        <v/>
      </c>
      <c r="C2476" s="5">
        <f>IF('Journal'!C1239="","",'Journal'!C1239)</f>
        <v/>
      </c>
      <c r="D2476" s="5">
        <f>IF('Journal'!E1239="","",IFERROR(LEFT('Journal'!E1239,FIND(" ",'Journal'!E1239)-1),'Journal'!E1239))</f>
        <v/>
      </c>
      <c r="E2476" s="5">
        <f>IF('Journal'!E1239="","",IFERROR(INDEX('Kontoplan'!$B$3:$B$302,MATCH('Journal'!E1239,'Kontoplan'!$H$3:$H$302,0)),""))</f>
        <v/>
      </c>
      <c r="F2476" s="20">
        <f>IF('Journal'!F1239="","",'Journal'!F1239)</f>
        <v/>
      </c>
      <c r="G2476" s="20">
        <f>IF('Journal'!G1239="","",'Journal'!G1239)</f>
        <v/>
      </c>
      <c r="H2476" s="5">
        <f>IF('Journal'!I1239="","",'Journal'!I1239)</f>
        <v/>
      </c>
    </row>
    <row r="2477">
      <c r="A2477" s="18">
        <f>IF('Journal'!A1240="","",'Journal'!A1240)</f>
        <v/>
      </c>
      <c r="B2477" s="21">
        <f>IF('Journal'!B1240="","",'Journal'!B1240)</f>
        <v/>
      </c>
      <c r="C2477" s="5">
        <f>IF('Journal'!C1240="","",'Journal'!C1240)</f>
        <v/>
      </c>
      <c r="D2477" s="5">
        <f>IF('Journal'!D1240="","",IFERROR(LEFT('Journal'!D1240,FIND(" ",'Journal'!D1240)-1),'Journal'!D1240))</f>
        <v/>
      </c>
      <c r="E2477" s="5">
        <f>IF('Journal'!D1240="","",IFERROR(INDEX('Kontoplan'!$B$3:$B$302,MATCH('Journal'!D1240,'Kontoplan'!$H$3:$H$302,0)),""))</f>
        <v/>
      </c>
      <c r="F2477" s="20">
        <f>IF('Journal'!G1240="","",'Journal'!G1240)</f>
        <v/>
      </c>
      <c r="G2477" s="20">
        <f>IF('Journal'!F1240="","",'Journal'!F1240)</f>
        <v/>
      </c>
      <c r="H2477" s="5">
        <f>IF('Journal'!I1240="","",'Journal'!I1240)</f>
        <v/>
      </c>
    </row>
    <row r="2478">
      <c r="A2478" s="18">
        <f>IF('Journal'!A1240="","",'Journal'!A1240)</f>
        <v/>
      </c>
      <c r="B2478" s="21">
        <f>IF('Journal'!B1240="","",'Journal'!B1240)</f>
        <v/>
      </c>
      <c r="C2478" s="5">
        <f>IF('Journal'!C1240="","",'Journal'!C1240)</f>
        <v/>
      </c>
      <c r="D2478" s="5">
        <f>IF('Journal'!E1240="","",IFERROR(LEFT('Journal'!E1240,FIND(" ",'Journal'!E1240)-1),'Journal'!E1240))</f>
        <v/>
      </c>
      <c r="E2478" s="5">
        <f>IF('Journal'!E1240="","",IFERROR(INDEX('Kontoplan'!$B$3:$B$302,MATCH('Journal'!E1240,'Kontoplan'!$H$3:$H$302,0)),""))</f>
        <v/>
      </c>
      <c r="F2478" s="20">
        <f>IF('Journal'!F1240="","",'Journal'!F1240)</f>
        <v/>
      </c>
      <c r="G2478" s="20">
        <f>IF('Journal'!G1240="","",'Journal'!G1240)</f>
        <v/>
      </c>
      <c r="H2478" s="5">
        <f>IF('Journal'!I1240="","",'Journal'!I1240)</f>
        <v/>
      </c>
    </row>
    <row r="2479">
      <c r="A2479" s="18">
        <f>IF('Journal'!A1241="","",'Journal'!A1241)</f>
        <v/>
      </c>
      <c r="B2479" s="21">
        <f>IF('Journal'!B1241="","",'Journal'!B1241)</f>
        <v/>
      </c>
      <c r="C2479" s="5">
        <f>IF('Journal'!C1241="","",'Journal'!C1241)</f>
        <v/>
      </c>
      <c r="D2479" s="5">
        <f>IF('Journal'!D1241="","",IFERROR(LEFT('Journal'!D1241,FIND(" ",'Journal'!D1241)-1),'Journal'!D1241))</f>
        <v/>
      </c>
      <c r="E2479" s="5">
        <f>IF('Journal'!D1241="","",IFERROR(INDEX('Kontoplan'!$B$3:$B$302,MATCH('Journal'!D1241,'Kontoplan'!$H$3:$H$302,0)),""))</f>
        <v/>
      </c>
      <c r="F2479" s="20">
        <f>IF('Journal'!G1241="","",'Journal'!G1241)</f>
        <v/>
      </c>
      <c r="G2479" s="20">
        <f>IF('Journal'!F1241="","",'Journal'!F1241)</f>
        <v/>
      </c>
      <c r="H2479" s="5">
        <f>IF('Journal'!I1241="","",'Journal'!I1241)</f>
        <v/>
      </c>
    </row>
    <row r="2480">
      <c r="A2480" s="18">
        <f>IF('Journal'!A1241="","",'Journal'!A1241)</f>
        <v/>
      </c>
      <c r="B2480" s="21">
        <f>IF('Journal'!B1241="","",'Journal'!B1241)</f>
        <v/>
      </c>
      <c r="C2480" s="5">
        <f>IF('Journal'!C1241="","",'Journal'!C1241)</f>
        <v/>
      </c>
      <c r="D2480" s="5">
        <f>IF('Journal'!E1241="","",IFERROR(LEFT('Journal'!E1241,FIND(" ",'Journal'!E1241)-1),'Journal'!E1241))</f>
        <v/>
      </c>
      <c r="E2480" s="5">
        <f>IF('Journal'!E1241="","",IFERROR(INDEX('Kontoplan'!$B$3:$B$302,MATCH('Journal'!E1241,'Kontoplan'!$H$3:$H$302,0)),""))</f>
        <v/>
      </c>
      <c r="F2480" s="20">
        <f>IF('Journal'!F1241="","",'Journal'!F1241)</f>
        <v/>
      </c>
      <c r="G2480" s="20">
        <f>IF('Journal'!G1241="","",'Journal'!G1241)</f>
        <v/>
      </c>
      <c r="H2480" s="5">
        <f>IF('Journal'!I1241="","",'Journal'!I1241)</f>
        <v/>
      </c>
    </row>
    <row r="2481">
      <c r="A2481" s="18">
        <f>IF('Journal'!A1242="","",'Journal'!A1242)</f>
        <v/>
      </c>
      <c r="B2481" s="21">
        <f>IF('Journal'!B1242="","",'Journal'!B1242)</f>
        <v/>
      </c>
      <c r="C2481" s="5">
        <f>IF('Journal'!C1242="","",'Journal'!C1242)</f>
        <v/>
      </c>
      <c r="D2481" s="5">
        <f>IF('Journal'!D1242="","",IFERROR(LEFT('Journal'!D1242,FIND(" ",'Journal'!D1242)-1),'Journal'!D1242))</f>
        <v/>
      </c>
      <c r="E2481" s="5">
        <f>IF('Journal'!D1242="","",IFERROR(INDEX('Kontoplan'!$B$3:$B$302,MATCH('Journal'!D1242,'Kontoplan'!$H$3:$H$302,0)),""))</f>
        <v/>
      </c>
      <c r="F2481" s="20">
        <f>IF('Journal'!G1242="","",'Journal'!G1242)</f>
        <v/>
      </c>
      <c r="G2481" s="20">
        <f>IF('Journal'!F1242="","",'Journal'!F1242)</f>
        <v/>
      </c>
      <c r="H2481" s="5">
        <f>IF('Journal'!I1242="","",'Journal'!I1242)</f>
        <v/>
      </c>
    </row>
    <row r="2482">
      <c r="A2482" s="18">
        <f>IF('Journal'!A1242="","",'Journal'!A1242)</f>
        <v/>
      </c>
      <c r="B2482" s="21">
        <f>IF('Journal'!B1242="","",'Journal'!B1242)</f>
        <v/>
      </c>
      <c r="C2482" s="5">
        <f>IF('Journal'!C1242="","",'Journal'!C1242)</f>
        <v/>
      </c>
      <c r="D2482" s="5">
        <f>IF('Journal'!E1242="","",IFERROR(LEFT('Journal'!E1242,FIND(" ",'Journal'!E1242)-1),'Journal'!E1242))</f>
        <v/>
      </c>
      <c r="E2482" s="5">
        <f>IF('Journal'!E1242="","",IFERROR(INDEX('Kontoplan'!$B$3:$B$302,MATCH('Journal'!E1242,'Kontoplan'!$H$3:$H$302,0)),""))</f>
        <v/>
      </c>
      <c r="F2482" s="20">
        <f>IF('Journal'!F1242="","",'Journal'!F1242)</f>
        <v/>
      </c>
      <c r="G2482" s="20">
        <f>IF('Journal'!G1242="","",'Journal'!G1242)</f>
        <v/>
      </c>
      <c r="H2482" s="5">
        <f>IF('Journal'!I1242="","",'Journal'!I1242)</f>
        <v/>
      </c>
    </row>
    <row r="2483">
      <c r="A2483" s="18">
        <f>IF('Journal'!A1243="","",'Journal'!A1243)</f>
        <v/>
      </c>
      <c r="B2483" s="21">
        <f>IF('Journal'!B1243="","",'Journal'!B1243)</f>
        <v/>
      </c>
      <c r="C2483" s="5">
        <f>IF('Journal'!C1243="","",'Journal'!C1243)</f>
        <v/>
      </c>
      <c r="D2483" s="5">
        <f>IF('Journal'!D1243="","",IFERROR(LEFT('Journal'!D1243,FIND(" ",'Journal'!D1243)-1),'Journal'!D1243))</f>
        <v/>
      </c>
      <c r="E2483" s="5">
        <f>IF('Journal'!D1243="","",IFERROR(INDEX('Kontoplan'!$B$3:$B$302,MATCH('Journal'!D1243,'Kontoplan'!$H$3:$H$302,0)),""))</f>
        <v/>
      </c>
      <c r="F2483" s="20">
        <f>IF('Journal'!G1243="","",'Journal'!G1243)</f>
        <v/>
      </c>
      <c r="G2483" s="20">
        <f>IF('Journal'!F1243="","",'Journal'!F1243)</f>
        <v/>
      </c>
      <c r="H2483" s="5">
        <f>IF('Journal'!I1243="","",'Journal'!I1243)</f>
        <v/>
      </c>
    </row>
    <row r="2484">
      <c r="A2484" s="18">
        <f>IF('Journal'!A1243="","",'Journal'!A1243)</f>
        <v/>
      </c>
      <c r="B2484" s="21">
        <f>IF('Journal'!B1243="","",'Journal'!B1243)</f>
        <v/>
      </c>
      <c r="C2484" s="5">
        <f>IF('Journal'!C1243="","",'Journal'!C1243)</f>
        <v/>
      </c>
      <c r="D2484" s="5">
        <f>IF('Journal'!E1243="","",IFERROR(LEFT('Journal'!E1243,FIND(" ",'Journal'!E1243)-1),'Journal'!E1243))</f>
        <v/>
      </c>
      <c r="E2484" s="5">
        <f>IF('Journal'!E1243="","",IFERROR(INDEX('Kontoplan'!$B$3:$B$302,MATCH('Journal'!E1243,'Kontoplan'!$H$3:$H$302,0)),""))</f>
        <v/>
      </c>
      <c r="F2484" s="20">
        <f>IF('Journal'!F1243="","",'Journal'!F1243)</f>
        <v/>
      </c>
      <c r="G2484" s="20">
        <f>IF('Journal'!G1243="","",'Journal'!G1243)</f>
        <v/>
      </c>
      <c r="H2484" s="5">
        <f>IF('Journal'!I1243="","",'Journal'!I1243)</f>
        <v/>
      </c>
    </row>
    <row r="2485">
      <c r="A2485" s="18">
        <f>IF('Journal'!A1244="","",'Journal'!A1244)</f>
        <v/>
      </c>
      <c r="B2485" s="21">
        <f>IF('Journal'!B1244="","",'Journal'!B1244)</f>
        <v/>
      </c>
      <c r="C2485" s="5">
        <f>IF('Journal'!C1244="","",'Journal'!C1244)</f>
        <v/>
      </c>
      <c r="D2485" s="5">
        <f>IF('Journal'!D1244="","",IFERROR(LEFT('Journal'!D1244,FIND(" ",'Journal'!D1244)-1),'Journal'!D1244))</f>
        <v/>
      </c>
      <c r="E2485" s="5">
        <f>IF('Journal'!D1244="","",IFERROR(INDEX('Kontoplan'!$B$3:$B$302,MATCH('Journal'!D1244,'Kontoplan'!$H$3:$H$302,0)),""))</f>
        <v/>
      </c>
      <c r="F2485" s="20">
        <f>IF('Journal'!G1244="","",'Journal'!G1244)</f>
        <v/>
      </c>
      <c r="G2485" s="20">
        <f>IF('Journal'!F1244="","",'Journal'!F1244)</f>
        <v/>
      </c>
      <c r="H2485" s="5">
        <f>IF('Journal'!I1244="","",'Journal'!I1244)</f>
        <v/>
      </c>
    </row>
    <row r="2486">
      <c r="A2486" s="18">
        <f>IF('Journal'!A1244="","",'Journal'!A1244)</f>
        <v/>
      </c>
      <c r="B2486" s="21">
        <f>IF('Journal'!B1244="","",'Journal'!B1244)</f>
        <v/>
      </c>
      <c r="C2486" s="5">
        <f>IF('Journal'!C1244="","",'Journal'!C1244)</f>
        <v/>
      </c>
      <c r="D2486" s="5">
        <f>IF('Journal'!E1244="","",IFERROR(LEFT('Journal'!E1244,FIND(" ",'Journal'!E1244)-1),'Journal'!E1244))</f>
        <v/>
      </c>
      <c r="E2486" s="5">
        <f>IF('Journal'!E1244="","",IFERROR(INDEX('Kontoplan'!$B$3:$B$302,MATCH('Journal'!E1244,'Kontoplan'!$H$3:$H$302,0)),""))</f>
        <v/>
      </c>
      <c r="F2486" s="20">
        <f>IF('Journal'!F1244="","",'Journal'!F1244)</f>
        <v/>
      </c>
      <c r="G2486" s="20">
        <f>IF('Journal'!G1244="","",'Journal'!G1244)</f>
        <v/>
      </c>
      <c r="H2486" s="5">
        <f>IF('Journal'!I1244="","",'Journal'!I1244)</f>
        <v/>
      </c>
    </row>
    <row r="2487">
      <c r="A2487" s="18">
        <f>IF('Journal'!A1245="","",'Journal'!A1245)</f>
        <v/>
      </c>
      <c r="B2487" s="21">
        <f>IF('Journal'!B1245="","",'Journal'!B1245)</f>
        <v/>
      </c>
      <c r="C2487" s="5">
        <f>IF('Journal'!C1245="","",'Journal'!C1245)</f>
        <v/>
      </c>
      <c r="D2487" s="5">
        <f>IF('Journal'!D1245="","",IFERROR(LEFT('Journal'!D1245,FIND(" ",'Journal'!D1245)-1),'Journal'!D1245))</f>
        <v/>
      </c>
      <c r="E2487" s="5">
        <f>IF('Journal'!D1245="","",IFERROR(INDEX('Kontoplan'!$B$3:$B$302,MATCH('Journal'!D1245,'Kontoplan'!$H$3:$H$302,0)),""))</f>
        <v/>
      </c>
      <c r="F2487" s="20">
        <f>IF('Journal'!G1245="","",'Journal'!G1245)</f>
        <v/>
      </c>
      <c r="G2487" s="20">
        <f>IF('Journal'!F1245="","",'Journal'!F1245)</f>
        <v/>
      </c>
      <c r="H2487" s="5">
        <f>IF('Journal'!I1245="","",'Journal'!I1245)</f>
        <v/>
      </c>
    </row>
    <row r="2488">
      <c r="A2488" s="18">
        <f>IF('Journal'!A1245="","",'Journal'!A1245)</f>
        <v/>
      </c>
      <c r="B2488" s="21">
        <f>IF('Journal'!B1245="","",'Journal'!B1245)</f>
        <v/>
      </c>
      <c r="C2488" s="5">
        <f>IF('Journal'!C1245="","",'Journal'!C1245)</f>
        <v/>
      </c>
      <c r="D2488" s="5">
        <f>IF('Journal'!E1245="","",IFERROR(LEFT('Journal'!E1245,FIND(" ",'Journal'!E1245)-1),'Journal'!E1245))</f>
        <v/>
      </c>
      <c r="E2488" s="5">
        <f>IF('Journal'!E1245="","",IFERROR(INDEX('Kontoplan'!$B$3:$B$302,MATCH('Journal'!E1245,'Kontoplan'!$H$3:$H$302,0)),""))</f>
        <v/>
      </c>
      <c r="F2488" s="20">
        <f>IF('Journal'!F1245="","",'Journal'!F1245)</f>
        <v/>
      </c>
      <c r="G2488" s="20">
        <f>IF('Journal'!G1245="","",'Journal'!G1245)</f>
        <v/>
      </c>
      <c r="H2488" s="5">
        <f>IF('Journal'!I1245="","",'Journal'!I1245)</f>
        <v/>
      </c>
    </row>
    <row r="2489">
      <c r="A2489" s="18">
        <f>IF('Journal'!A1246="","",'Journal'!A1246)</f>
        <v/>
      </c>
      <c r="B2489" s="21">
        <f>IF('Journal'!B1246="","",'Journal'!B1246)</f>
        <v/>
      </c>
      <c r="C2489" s="5">
        <f>IF('Journal'!C1246="","",'Journal'!C1246)</f>
        <v/>
      </c>
      <c r="D2489" s="5">
        <f>IF('Journal'!D1246="","",IFERROR(LEFT('Journal'!D1246,FIND(" ",'Journal'!D1246)-1),'Journal'!D1246))</f>
        <v/>
      </c>
      <c r="E2489" s="5">
        <f>IF('Journal'!D1246="","",IFERROR(INDEX('Kontoplan'!$B$3:$B$302,MATCH('Journal'!D1246,'Kontoplan'!$H$3:$H$302,0)),""))</f>
        <v/>
      </c>
      <c r="F2489" s="20">
        <f>IF('Journal'!G1246="","",'Journal'!G1246)</f>
        <v/>
      </c>
      <c r="G2489" s="20">
        <f>IF('Journal'!F1246="","",'Journal'!F1246)</f>
        <v/>
      </c>
      <c r="H2489" s="5">
        <f>IF('Journal'!I1246="","",'Journal'!I1246)</f>
        <v/>
      </c>
    </row>
    <row r="2490">
      <c r="A2490" s="18">
        <f>IF('Journal'!A1246="","",'Journal'!A1246)</f>
        <v/>
      </c>
      <c r="B2490" s="21">
        <f>IF('Journal'!B1246="","",'Journal'!B1246)</f>
        <v/>
      </c>
      <c r="C2490" s="5">
        <f>IF('Journal'!C1246="","",'Journal'!C1246)</f>
        <v/>
      </c>
      <c r="D2490" s="5">
        <f>IF('Journal'!E1246="","",IFERROR(LEFT('Journal'!E1246,FIND(" ",'Journal'!E1246)-1),'Journal'!E1246))</f>
        <v/>
      </c>
      <c r="E2490" s="5">
        <f>IF('Journal'!E1246="","",IFERROR(INDEX('Kontoplan'!$B$3:$B$302,MATCH('Journal'!E1246,'Kontoplan'!$H$3:$H$302,0)),""))</f>
        <v/>
      </c>
      <c r="F2490" s="20">
        <f>IF('Journal'!F1246="","",'Journal'!F1246)</f>
        <v/>
      </c>
      <c r="G2490" s="20">
        <f>IF('Journal'!G1246="","",'Journal'!G1246)</f>
        <v/>
      </c>
      <c r="H2490" s="5">
        <f>IF('Journal'!I1246="","",'Journal'!I1246)</f>
        <v/>
      </c>
    </row>
    <row r="2491">
      <c r="A2491" s="18">
        <f>IF('Journal'!A1247="","",'Journal'!A1247)</f>
        <v/>
      </c>
      <c r="B2491" s="21">
        <f>IF('Journal'!B1247="","",'Journal'!B1247)</f>
        <v/>
      </c>
      <c r="C2491" s="5">
        <f>IF('Journal'!C1247="","",'Journal'!C1247)</f>
        <v/>
      </c>
      <c r="D2491" s="5">
        <f>IF('Journal'!D1247="","",IFERROR(LEFT('Journal'!D1247,FIND(" ",'Journal'!D1247)-1),'Journal'!D1247))</f>
        <v/>
      </c>
      <c r="E2491" s="5">
        <f>IF('Journal'!D1247="","",IFERROR(INDEX('Kontoplan'!$B$3:$B$302,MATCH('Journal'!D1247,'Kontoplan'!$H$3:$H$302,0)),""))</f>
        <v/>
      </c>
      <c r="F2491" s="20">
        <f>IF('Journal'!G1247="","",'Journal'!G1247)</f>
        <v/>
      </c>
      <c r="G2491" s="20">
        <f>IF('Journal'!F1247="","",'Journal'!F1247)</f>
        <v/>
      </c>
      <c r="H2491" s="5">
        <f>IF('Journal'!I1247="","",'Journal'!I1247)</f>
        <v/>
      </c>
    </row>
    <row r="2492">
      <c r="A2492" s="18">
        <f>IF('Journal'!A1247="","",'Journal'!A1247)</f>
        <v/>
      </c>
      <c r="B2492" s="21">
        <f>IF('Journal'!B1247="","",'Journal'!B1247)</f>
        <v/>
      </c>
      <c r="C2492" s="5">
        <f>IF('Journal'!C1247="","",'Journal'!C1247)</f>
        <v/>
      </c>
      <c r="D2492" s="5">
        <f>IF('Journal'!E1247="","",IFERROR(LEFT('Journal'!E1247,FIND(" ",'Journal'!E1247)-1),'Journal'!E1247))</f>
        <v/>
      </c>
      <c r="E2492" s="5">
        <f>IF('Journal'!E1247="","",IFERROR(INDEX('Kontoplan'!$B$3:$B$302,MATCH('Journal'!E1247,'Kontoplan'!$H$3:$H$302,0)),""))</f>
        <v/>
      </c>
      <c r="F2492" s="20">
        <f>IF('Journal'!F1247="","",'Journal'!F1247)</f>
        <v/>
      </c>
      <c r="G2492" s="20">
        <f>IF('Journal'!G1247="","",'Journal'!G1247)</f>
        <v/>
      </c>
      <c r="H2492" s="5">
        <f>IF('Journal'!I1247="","",'Journal'!I1247)</f>
        <v/>
      </c>
    </row>
    <row r="2493">
      <c r="A2493" s="18">
        <f>IF('Journal'!A1248="","",'Journal'!A1248)</f>
        <v/>
      </c>
      <c r="B2493" s="21">
        <f>IF('Journal'!B1248="","",'Journal'!B1248)</f>
        <v/>
      </c>
      <c r="C2493" s="5">
        <f>IF('Journal'!C1248="","",'Journal'!C1248)</f>
        <v/>
      </c>
      <c r="D2493" s="5">
        <f>IF('Journal'!D1248="","",IFERROR(LEFT('Journal'!D1248,FIND(" ",'Journal'!D1248)-1),'Journal'!D1248))</f>
        <v/>
      </c>
      <c r="E2493" s="5">
        <f>IF('Journal'!D1248="","",IFERROR(INDEX('Kontoplan'!$B$3:$B$302,MATCH('Journal'!D1248,'Kontoplan'!$H$3:$H$302,0)),""))</f>
        <v/>
      </c>
      <c r="F2493" s="20">
        <f>IF('Journal'!G1248="","",'Journal'!G1248)</f>
        <v/>
      </c>
      <c r="G2493" s="20">
        <f>IF('Journal'!F1248="","",'Journal'!F1248)</f>
        <v/>
      </c>
      <c r="H2493" s="5">
        <f>IF('Journal'!I1248="","",'Journal'!I1248)</f>
        <v/>
      </c>
    </row>
    <row r="2494">
      <c r="A2494" s="18">
        <f>IF('Journal'!A1248="","",'Journal'!A1248)</f>
        <v/>
      </c>
      <c r="B2494" s="21">
        <f>IF('Journal'!B1248="","",'Journal'!B1248)</f>
        <v/>
      </c>
      <c r="C2494" s="5">
        <f>IF('Journal'!C1248="","",'Journal'!C1248)</f>
        <v/>
      </c>
      <c r="D2494" s="5">
        <f>IF('Journal'!E1248="","",IFERROR(LEFT('Journal'!E1248,FIND(" ",'Journal'!E1248)-1),'Journal'!E1248))</f>
        <v/>
      </c>
      <c r="E2494" s="5">
        <f>IF('Journal'!E1248="","",IFERROR(INDEX('Kontoplan'!$B$3:$B$302,MATCH('Journal'!E1248,'Kontoplan'!$H$3:$H$302,0)),""))</f>
        <v/>
      </c>
      <c r="F2494" s="20">
        <f>IF('Journal'!F1248="","",'Journal'!F1248)</f>
        <v/>
      </c>
      <c r="G2494" s="20">
        <f>IF('Journal'!G1248="","",'Journal'!G1248)</f>
        <v/>
      </c>
      <c r="H2494" s="5">
        <f>IF('Journal'!I1248="","",'Journal'!I1248)</f>
        <v/>
      </c>
    </row>
    <row r="2495">
      <c r="A2495" s="18">
        <f>IF('Journal'!A1249="","",'Journal'!A1249)</f>
        <v/>
      </c>
      <c r="B2495" s="21">
        <f>IF('Journal'!B1249="","",'Journal'!B1249)</f>
        <v/>
      </c>
      <c r="C2495" s="5">
        <f>IF('Journal'!C1249="","",'Journal'!C1249)</f>
        <v/>
      </c>
      <c r="D2495" s="5">
        <f>IF('Journal'!D1249="","",IFERROR(LEFT('Journal'!D1249,FIND(" ",'Journal'!D1249)-1),'Journal'!D1249))</f>
        <v/>
      </c>
      <c r="E2495" s="5">
        <f>IF('Journal'!D1249="","",IFERROR(INDEX('Kontoplan'!$B$3:$B$302,MATCH('Journal'!D1249,'Kontoplan'!$H$3:$H$302,0)),""))</f>
        <v/>
      </c>
      <c r="F2495" s="20">
        <f>IF('Journal'!G1249="","",'Journal'!G1249)</f>
        <v/>
      </c>
      <c r="G2495" s="20">
        <f>IF('Journal'!F1249="","",'Journal'!F1249)</f>
        <v/>
      </c>
      <c r="H2495" s="5">
        <f>IF('Journal'!I1249="","",'Journal'!I1249)</f>
        <v/>
      </c>
    </row>
    <row r="2496">
      <c r="A2496" s="18">
        <f>IF('Journal'!A1249="","",'Journal'!A1249)</f>
        <v/>
      </c>
      <c r="B2496" s="21">
        <f>IF('Journal'!B1249="","",'Journal'!B1249)</f>
        <v/>
      </c>
      <c r="C2496" s="5">
        <f>IF('Journal'!C1249="","",'Journal'!C1249)</f>
        <v/>
      </c>
      <c r="D2496" s="5">
        <f>IF('Journal'!E1249="","",IFERROR(LEFT('Journal'!E1249,FIND(" ",'Journal'!E1249)-1),'Journal'!E1249))</f>
        <v/>
      </c>
      <c r="E2496" s="5">
        <f>IF('Journal'!E1249="","",IFERROR(INDEX('Kontoplan'!$B$3:$B$302,MATCH('Journal'!E1249,'Kontoplan'!$H$3:$H$302,0)),""))</f>
        <v/>
      </c>
      <c r="F2496" s="20">
        <f>IF('Journal'!F1249="","",'Journal'!F1249)</f>
        <v/>
      </c>
      <c r="G2496" s="20">
        <f>IF('Journal'!G1249="","",'Journal'!G1249)</f>
        <v/>
      </c>
      <c r="H2496" s="5">
        <f>IF('Journal'!I1249="","",'Journal'!I1249)</f>
        <v/>
      </c>
    </row>
    <row r="2497">
      <c r="A2497" s="18">
        <f>IF('Journal'!A1250="","",'Journal'!A1250)</f>
        <v/>
      </c>
      <c r="B2497" s="21">
        <f>IF('Journal'!B1250="","",'Journal'!B1250)</f>
        <v/>
      </c>
      <c r="C2497" s="5">
        <f>IF('Journal'!C1250="","",'Journal'!C1250)</f>
        <v/>
      </c>
      <c r="D2497" s="5">
        <f>IF('Journal'!D1250="","",IFERROR(LEFT('Journal'!D1250,FIND(" ",'Journal'!D1250)-1),'Journal'!D1250))</f>
        <v/>
      </c>
      <c r="E2497" s="5">
        <f>IF('Journal'!D1250="","",IFERROR(INDEX('Kontoplan'!$B$3:$B$302,MATCH('Journal'!D1250,'Kontoplan'!$H$3:$H$302,0)),""))</f>
        <v/>
      </c>
      <c r="F2497" s="20">
        <f>IF('Journal'!G1250="","",'Journal'!G1250)</f>
        <v/>
      </c>
      <c r="G2497" s="20">
        <f>IF('Journal'!F1250="","",'Journal'!F1250)</f>
        <v/>
      </c>
      <c r="H2497" s="5">
        <f>IF('Journal'!I1250="","",'Journal'!I1250)</f>
        <v/>
      </c>
    </row>
    <row r="2498">
      <c r="A2498" s="18">
        <f>IF('Journal'!A1250="","",'Journal'!A1250)</f>
        <v/>
      </c>
      <c r="B2498" s="21">
        <f>IF('Journal'!B1250="","",'Journal'!B1250)</f>
        <v/>
      </c>
      <c r="C2498" s="5">
        <f>IF('Journal'!C1250="","",'Journal'!C1250)</f>
        <v/>
      </c>
      <c r="D2498" s="5">
        <f>IF('Journal'!E1250="","",IFERROR(LEFT('Journal'!E1250,FIND(" ",'Journal'!E1250)-1),'Journal'!E1250))</f>
        <v/>
      </c>
      <c r="E2498" s="5">
        <f>IF('Journal'!E1250="","",IFERROR(INDEX('Kontoplan'!$B$3:$B$302,MATCH('Journal'!E1250,'Kontoplan'!$H$3:$H$302,0)),""))</f>
        <v/>
      </c>
      <c r="F2498" s="20">
        <f>IF('Journal'!F1250="","",'Journal'!F1250)</f>
        <v/>
      </c>
      <c r="G2498" s="20">
        <f>IF('Journal'!G1250="","",'Journal'!G1250)</f>
        <v/>
      </c>
      <c r="H2498" s="5">
        <f>IF('Journal'!I1250="","",'Journal'!I1250)</f>
        <v/>
      </c>
    </row>
    <row r="2499">
      <c r="A2499" s="18">
        <f>IF('Journal'!A1251="","",'Journal'!A1251)</f>
        <v/>
      </c>
      <c r="B2499" s="21">
        <f>IF('Journal'!B1251="","",'Journal'!B1251)</f>
        <v/>
      </c>
      <c r="C2499" s="5">
        <f>IF('Journal'!C1251="","",'Journal'!C1251)</f>
        <v/>
      </c>
      <c r="D2499" s="5">
        <f>IF('Journal'!D1251="","",IFERROR(LEFT('Journal'!D1251,FIND(" ",'Journal'!D1251)-1),'Journal'!D1251))</f>
        <v/>
      </c>
      <c r="E2499" s="5">
        <f>IF('Journal'!D1251="","",IFERROR(INDEX('Kontoplan'!$B$3:$B$302,MATCH('Journal'!D1251,'Kontoplan'!$H$3:$H$302,0)),""))</f>
        <v/>
      </c>
      <c r="F2499" s="20">
        <f>IF('Journal'!G1251="","",'Journal'!G1251)</f>
        <v/>
      </c>
      <c r="G2499" s="20">
        <f>IF('Journal'!F1251="","",'Journal'!F1251)</f>
        <v/>
      </c>
      <c r="H2499" s="5">
        <f>IF('Journal'!I1251="","",'Journal'!I1251)</f>
        <v/>
      </c>
    </row>
    <row r="2500">
      <c r="A2500" s="18">
        <f>IF('Journal'!A1251="","",'Journal'!A1251)</f>
        <v/>
      </c>
      <c r="B2500" s="21">
        <f>IF('Journal'!B1251="","",'Journal'!B1251)</f>
        <v/>
      </c>
      <c r="C2500" s="5">
        <f>IF('Journal'!C1251="","",'Journal'!C1251)</f>
        <v/>
      </c>
      <c r="D2500" s="5">
        <f>IF('Journal'!E1251="","",IFERROR(LEFT('Journal'!E1251,FIND(" ",'Journal'!E1251)-1),'Journal'!E1251))</f>
        <v/>
      </c>
      <c r="E2500" s="5">
        <f>IF('Journal'!E1251="","",IFERROR(INDEX('Kontoplan'!$B$3:$B$302,MATCH('Journal'!E1251,'Kontoplan'!$H$3:$H$302,0)),""))</f>
        <v/>
      </c>
      <c r="F2500" s="20">
        <f>IF('Journal'!F1251="","",'Journal'!F1251)</f>
        <v/>
      </c>
      <c r="G2500" s="20">
        <f>IF('Journal'!G1251="","",'Journal'!G1251)</f>
        <v/>
      </c>
      <c r="H2500" s="5">
        <f>IF('Journal'!I1251="","",'Journal'!I1251)</f>
        <v/>
      </c>
    </row>
    <row r="2501">
      <c r="A2501" s="18">
        <f>IF('Journal'!A1252="","",'Journal'!A1252)</f>
        <v/>
      </c>
      <c r="B2501" s="21">
        <f>IF('Journal'!B1252="","",'Journal'!B1252)</f>
        <v/>
      </c>
      <c r="C2501" s="5">
        <f>IF('Journal'!C1252="","",'Journal'!C1252)</f>
        <v/>
      </c>
      <c r="D2501" s="5">
        <f>IF('Journal'!D1252="","",IFERROR(LEFT('Journal'!D1252,FIND(" ",'Journal'!D1252)-1),'Journal'!D1252))</f>
        <v/>
      </c>
      <c r="E2501" s="5">
        <f>IF('Journal'!D1252="","",IFERROR(INDEX('Kontoplan'!$B$3:$B$302,MATCH('Journal'!D1252,'Kontoplan'!$H$3:$H$302,0)),""))</f>
        <v/>
      </c>
      <c r="F2501" s="20">
        <f>IF('Journal'!G1252="","",'Journal'!G1252)</f>
        <v/>
      </c>
      <c r="G2501" s="20">
        <f>IF('Journal'!F1252="","",'Journal'!F1252)</f>
        <v/>
      </c>
      <c r="H2501" s="5">
        <f>IF('Journal'!I1252="","",'Journal'!I1252)</f>
        <v/>
      </c>
    </row>
    <row r="2502">
      <c r="A2502" s="18">
        <f>IF('Journal'!A1252="","",'Journal'!A1252)</f>
        <v/>
      </c>
      <c r="B2502" s="21">
        <f>IF('Journal'!B1252="","",'Journal'!B1252)</f>
        <v/>
      </c>
      <c r="C2502" s="5">
        <f>IF('Journal'!C1252="","",'Journal'!C1252)</f>
        <v/>
      </c>
      <c r="D2502" s="5">
        <f>IF('Journal'!E1252="","",IFERROR(LEFT('Journal'!E1252,FIND(" ",'Journal'!E1252)-1),'Journal'!E1252))</f>
        <v/>
      </c>
      <c r="E2502" s="5">
        <f>IF('Journal'!E1252="","",IFERROR(INDEX('Kontoplan'!$B$3:$B$302,MATCH('Journal'!E1252,'Kontoplan'!$H$3:$H$302,0)),""))</f>
        <v/>
      </c>
      <c r="F2502" s="20">
        <f>IF('Journal'!F1252="","",'Journal'!F1252)</f>
        <v/>
      </c>
      <c r="G2502" s="20">
        <f>IF('Journal'!G1252="","",'Journal'!G1252)</f>
        <v/>
      </c>
      <c r="H2502" s="5">
        <f>IF('Journal'!I1252="","",'Journal'!I1252)</f>
        <v/>
      </c>
    </row>
    <row r="2503">
      <c r="A2503" s="18">
        <f>IF('Journal'!A1253="","",'Journal'!A1253)</f>
        <v/>
      </c>
      <c r="B2503" s="21">
        <f>IF('Journal'!B1253="","",'Journal'!B1253)</f>
        <v/>
      </c>
      <c r="C2503" s="5">
        <f>IF('Journal'!C1253="","",'Journal'!C1253)</f>
        <v/>
      </c>
      <c r="D2503" s="5">
        <f>IF('Journal'!D1253="","",IFERROR(LEFT('Journal'!D1253,FIND(" ",'Journal'!D1253)-1),'Journal'!D1253))</f>
        <v/>
      </c>
      <c r="E2503" s="5">
        <f>IF('Journal'!D1253="","",IFERROR(INDEX('Kontoplan'!$B$3:$B$302,MATCH('Journal'!D1253,'Kontoplan'!$H$3:$H$302,0)),""))</f>
        <v/>
      </c>
      <c r="F2503" s="20">
        <f>IF('Journal'!G1253="","",'Journal'!G1253)</f>
        <v/>
      </c>
      <c r="G2503" s="20">
        <f>IF('Journal'!F1253="","",'Journal'!F1253)</f>
        <v/>
      </c>
      <c r="H2503" s="5">
        <f>IF('Journal'!I1253="","",'Journal'!I1253)</f>
        <v/>
      </c>
    </row>
    <row r="2504">
      <c r="A2504" s="18">
        <f>IF('Journal'!A1253="","",'Journal'!A1253)</f>
        <v/>
      </c>
      <c r="B2504" s="21">
        <f>IF('Journal'!B1253="","",'Journal'!B1253)</f>
        <v/>
      </c>
      <c r="C2504" s="5">
        <f>IF('Journal'!C1253="","",'Journal'!C1253)</f>
        <v/>
      </c>
      <c r="D2504" s="5">
        <f>IF('Journal'!E1253="","",IFERROR(LEFT('Journal'!E1253,FIND(" ",'Journal'!E1253)-1),'Journal'!E1253))</f>
        <v/>
      </c>
      <c r="E2504" s="5">
        <f>IF('Journal'!E1253="","",IFERROR(INDEX('Kontoplan'!$B$3:$B$302,MATCH('Journal'!E1253,'Kontoplan'!$H$3:$H$302,0)),""))</f>
        <v/>
      </c>
      <c r="F2504" s="20">
        <f>IF('Journal'!F1253="","",'Journal'!F1253)</f>
        <v/>
      </c>
      <c r="G2504" s="20">
        <f>IF('Journal'!G1253="","",'Journal'!G1253)</f>
        <v/>
      </c>
      <c r="H2504" s="5">
        <f>IF('Journal'!I1253="","",'Journal'!I1253)</f>
        <v/>
      </c>
    </row>
    <row r="2505">
      <c r="A2505" s="18">
        <f>IF('Journal'!A1254="","",'Journal'!A1254)</f>
        <v/>
      </c>
      <c r="B2505" s="21">
        <f>IF('Journal'!B1254="","",'Journal'!B1254)</f>
        <v/>
      </c>
      <c r="C2505" s="5">
        <f>IF('Journal'!C1254="","",'Journal'!C1254)</f>
        <v/>
      </c>
      <c r="D2505" s="5">
        <f>IF('Journal'!D1254="","",IFERROR(LEFT('Journal'!D1254,FIND(" ",'Journal'!D1254)-1),'Journal'!D1254))</f>
        <v/>
      </c>
      <c r="E2505" s="5">
        <f>IF('Journal'!D1254="","",IFERROR(INDEX('Kontoplan'!$B$3:$B$302,MATCH('Journal'!D1254,'Kontoplan'!$H$3:$H$302,0)),""))</f>
        <v/>
      </c>
      <c r="F2505" s="20">
        <f>IF('Journal'!G1254="","",'Journal'!G1254)</f>
        <v/>
      </c>
      <c r="G2505" s="20">
        <f>IF('Journal'!F1254="","",'Journal'!F1254)</f>
        <v/>
      </c>
      <c r="H2505" s="5">
        <f>IF('Journal'!I1254="","",'Journal'!I1254)</f>
        <v/>
      </c>
    </row>
    <row r="2506">
      <c r="A2506" s="18">
        <f>IF('Journal'!A1254="","",'Journal'!A1254)</f>
        <v/>
      </c>
      <c r="B2506" s="21">
        <f>IF('Journal'!B1254="","",'Journal'!B1254)</f>
        <v/>
      </c>
      <c r="C2506" s="5">
        <f>IF('Journal'!C1254="","",'Journal'!C1254)</f>
        <v/>
      </c>
      <c r="D2506" s="5">
        <f>IF('Journal'!E1254="","",IFERROR(LEFT('Journal'!E1254,FIND(" ",'Journal'!E1254)-1),'Journal'!E1254))</f>
        <v/>
      </c>
      <c r="E2506" s="5">
        <f>IF('Journal'!E1254="","",IFERROR(INDEX('Kontoplan'!$B$3:$B$302,MATCH('Journal'!E1254,'Kontoplan'!$H$3:$H$302,0)),""))</f>
        <v/>
      </c>
      <c r="F2506" s="20">
        <f>IF('Journal'!F1254="","",'Journal'!F1254)</f>
        <v/>
      </c>
      <c r="G2506" s="20">
        <f>IF('Journal'!G1254="","",'Journal'!G1254)</f>
        <v/>
      </c>
      <c r="H2506" s="5">
        <f>IF('Journal'!I1254="","",'Journal'!I1254)</f>
        <v/>
      </c>
    </row>
    <row r="2507">
      <c r="A2507" s="18">
        <f>IF('Journal'!A1255="","",'Journal'!A1255)</f>
        <v/>
      </c>
      <c r="B2507" s="21">
        <f>IF('Journal'!B1255="","",'Journal'!B1255)</f>
        <v/>
      </c>
      <c r="C2507" s="5">
        <f>IF('Journal'!C1255="","",'Journal'!C1255)</f>
        <v/>
      </c>
      <c r="D2507" s="5">
        <f>IF('Journal'!D1255="","",IFERROR(LEFT('Journal'!D1255,FIND(" ",'Journal'!D1255)-1),'Journal'!D1255))</f>
        <v/>
      </c>
      <c r="E2507" s="5">
        <f>IF('Journal'!D1255="","",IFERROR(INDEX('Kontoplan'!$B$3:$B$302,MATCH('Journal'!D1255,'Kontoplan'!$H$3:$H$302,0)),""))</f>
        <v/>
      </c>
      <c r="F2507" s="20">
        <f>IF('Journal'!G1255="","",'Journal'!G1255)</f>
        <v/>
      </c>
      <c r="G2507" s="20">
        <f>IF('Journal'!F1255="","",'Journal'!F1255)</f>
        <v/>
      </c>
      <c r="H2507" s="5">
        <f>IF('Journal'!I1255="","",'Journal'!I1255)</f>
        <v/>
      </c>
    </row>
    <row r="2508">
      <c r="A2508" s="18">
        <f>IF('Journal'!A1255="","",'Journal'!A1255)</f>
        <v/>
      </c>
      <c r="B2508" s="21">
        <f>IF('Journal'!B1255="","",'Journal'!B1255)</f>
        <v/>
      </c>
      <c r="C2508" s="5">
        <f>IF('Journal'!C1255="","",'Journal'!C1255)</f>
        <v/>
      </c>
      <c r="D2508" s="5">
        <f>IF('Journal'!E1255="","",IFERROR(LEFT('Journal'!E1255,FIND(" ",'Journal'!E1255)-1),'Journal'!E1255))</f>
        <v/>
      </c>
      <c r="E2508" s="5">
        <f>IF('Journal'!E1255="","",IFERROR(INDEX('Kontoplan'!$B$3:$B$302,MATCH('Journal'!E1255,'Kontoplan'!$H$3:$H$302,0)),""))</f>
        <v/>
      </c>
      <c r="F2508" s="20">
        <f>IF('Journal'!F1255="","",'Journal'!F1255)</f>
        <v/>
      </c>
      <c r="G2508" s="20">
        <f>IF('Journal'!G1255="","",'Journal'!G1255)</f>
        <v/>
      </c>
      <c r="H2508" s="5">
        <f>IF('Journal'!I1255="","",'Journal'!I1255)</f>
        <v/>
      </c>
    </row>
    <row r="2509">
      <c r="A2509" s="18">
        <f>IF('Journal'!A1256="","",'Journal'!A1256)</f>
        <v/>
      </c>
      <c r="B2509" s="21">
        <f>IF('Journal'!B1256="","",'Journal'!B1256)</f>
        <v/>
      </c>
      <c r="C2509" s="5">
        <f>IF('Journal'!C1256="","",'Journal'!C1256)</f>
        <v/>
      </c>
      <c r="D2509" s="5">
        <f>IF('Journal'!D1256="","",IFERROR(LEFT('Journal'!D1256,FIND(" ",'Journal'!D1256)-1),'Journal'!D1256))</f>
        <v/>
      </c>
      <c r="E2509" s="5">
        <f>IF('Journal'!D1256="","",IFERROR(INDEX('Kontoplan'!$B$3:$B$302,MATCH('Journal'!D1256,'Kontoplan'!$H$3:$H$302,0)),""))</f>
        <v/>
      </c>
      <c r="F2509" s="20">
        <f>IF('Journal'!G1256="","",'Journal'!G1256)</f>
        <v/>
      </c>
      <c r="G2509" s="20">
        <f>IF('Journal'!F1256="","",'Journal'!F1256)</f>
        <v/>
      </c>
      <c r="H2509" s="5">
        <f>IF('Journal'!I1256="","",'Journal'!I1256)</f>
        <v/>
      </c>
    </row>
    <row r="2510">
      <c r="A2510" s="18">
        <f>IF('Journal'!A1256="","",'Journal'!A1256)</f>
        <v/>
      </c>
      <c r="B2510" s="21">
        <f>IF('Journal'!B1256="","",'Journal'!B1256)</f>
        <v/>
      </c>
      <c r="C2510" s="5">
        <f>IF('Journal'!C1256="","",'Journal'!C1256)</f>
        <v/>
      </c>
      <c r="D2510" s="5">
        <f>IF('Journal'!E1256="","",IFERROR(LEFT('Journal'!E1256,FIND(" ",'Journal'!E1256)-1),'Journal'!E1256))</f>
        <v/>
      </c>
      <c r="E2510" s="5">
        <f>IF('Journal'!E1256="","",IFERROR(INDEX('Kontoplan'!$B$3:$B$302,MATCH('Journal'!E1256,'Kontoplan'!$H$3:$H$302,0)),""))</f>
        <v/>
      </c>
      <c r="F2510" s="20">
        <f>IF('Journal'!F1256="","",'Journal'!F1256)</f>
        <v/>
      </c>
      <c r="G2510" s="20">
        <f>IF('Journal'!G1256="","",'Journal'!G1256)</f>
        <v/>
      </c>
      <c r="H2510" s="5">
        <f>IF('Journal'!I1256="","",'Journal'!I1256)</f>
        <v/>
      </c>
    </row>
    <row r="2511">
      <c r="A2511" s="18">
        <f>IF('Journal'!A1257="","",'Journal'!A1257)</f>
        <v/>
      </c>
      <c r="B2511" s="21">
        <f>IF('Journal'!B1257="","",'Journal'!B1257)</f>
        <v/>
      </c>
      <c r="C2511" s="5">
        <f>IF('Journal'!C1257="","",'Journal'!C1257)</f>
        <v/>
      </c>
      <c r="D2511" s="5">
        <f>IF('Journal'!D1257="","",IFERROR(LEFT('Journal'!D1257,FIND(" ",'Journal'!D1257)-1),'Journal'!D1257))</f>
        <v/>
      </c>
      <c r="E2511" s="5">
        <f>IF('Journal'!D1257="","",IFERROR(INDEX('Kontoplan'!$B$3:$B$302,MATCH('Journal'!D1257,'Kontoplan'!$H$3:$H$302,0)),""))</f>
        <v/>
      </c>
      <c r="F2511" s="20">
        <f>IF('Journal'!G1257="","",'Journal'!G1257)</f>
        <v/>
      </c>
      <c r="G2511" s="20">
        <f>IF('Journal'!F1257="","",'Journal'!F1257)</f>
        <v/>
      </c>
      <c r="H2511" s="5">
        <f>IF('Journal'!I1257="","",'Journal'!I1257)</f>
        <v/>
      </c>
    </row>
    <row r="2512">
      <c r="A2512" s="18">
        <f>IF('Journal'!A1257="","",'Journal'!A1257)</f>
        <v/>
      </c>
      <c r="B2512" s="21">
        <f>IF('Journal'!B1257="","",'Journal'!B1257)</f>
        <v/>
      </c>
      <c r="C2512" s="5">
        <f>IF('Journal'!C1257="","",'Journal'!C1257)</f>
        <v/>
      </c>
      <c r="D2512" s="5">
        <f>IF('Journal'!E1257="","",IFERROR(LEFT('Journal'!E1257,FIND(" ",'Journal'!E1257)-1),'Journal'!E1257))</f>
        <v/>
      </c>
      <c r="E2512" s="5">
        <f>IF('Journal'!E1257="","",IFERROR(INDEX('Kontoplan'!$B$3:$B$302,MATCH('Journal'!E1257,'Kontoplan'!$H$3:$H$302,0)),""))</f>
        <v/>
      </c>
      <c r="F2512" s="20">
        <f>IF('Journal'!F1257="","",'Journal'!F1257)</f>
        <v/>
      </c>
      <c r="G2512" s="20">
        <f>IF('Journal'!G1257="","",'Journal'!G1257)</f>
        <v/>
      </c>
      <c r="H2512" s="5">
        <f>IF('Journal'!I1257="","",'Journal'!I1257)</f>
        <v/>
      </c>
    </row>
    <row r="2513">
      <c r="A2513" s="18">
        <f>IF('Journal'!A1258="","",'Journal'!A1258)</f>
        <v/>
      </c>
      <c r="B2513" s="21">
        <f>IF('Journal'!B1258="","",'Journal'!B1258)</f>
        <v/>
      </c>
      <c r="C2513" s="5">
        <f>IF('Journal'!C1258="","",'Journal'!C1258)</f>
        <v/>
      </c>
      <c r="D2513" s="5">
        <f>IF('Journal'!D1258="","",IFERROR(LEFT('Journal'!D1258,FIND(" ",'Journal'!D1258)-1),'Journal'!D1258))</f>
        <v/>
      </c>
      <c r="E2513" s="5">
        <f>IF('Journal'!D1258="","",IFERROR(INDEX('Kontoplan'!$B$3:$B$302,MATCH('Journal'!D1258,'Kontoplan'!$H$3:$H$302,0)),""))</f>
        <v/>
      </c>
      <c r="F2513" s="20">
        <f>IF('Journal'!G1258="","",'Journal'!G1258)</f>
        <v/>
      </c>
      <c r="G2513" s="20">
        <f>IF('Journal'!F1258="","",'Journal'!F1258)</f>
        <v/>
      </c>
      <c r="H2513" s="5">
        <f>IF('Journal'!I1258="","",'Journal'!I1258)</f>
        <v/>
      </c>
    </row>
    <row r="2514">
      <c r="A2514" s="18">
        <f>IF('Journal'!A1258="","",'Journal'!A1258)</f>
        <v/>
      </c>
      <c r="B2514" s="21">
        <f>IF('Journal'!B1258="","",'Journal'!B1258)</f>
        <v/>
      </c>
      <c r="C2514" s="5">
        <f>IF('Journal'!C1258="","",'Journal'!C1258)</f>
        <v/>
      </c>
      <c r="D2514" s="5">
        <f>IF('Journal'!E1258="","",IFERROR(LEFT('Journal'!E1258,FIND(" ",'Journal'!E1258)-1),'Journal'!E1258))</f>
        <v/>
      </c>
      <c r="E2514" s="5">
        <f>IF('Journal'!E1258="","",IFERROR(INDEX('Kontoplan'!$B$3:$B$302,MATCH('Journal'!E1258,'Kontoplan'!$H$3:$H$302,0)),""))</f>
        <v/>
      </c>
      <c r="F2514" s="20">
        <f>IF('Journal'!F1258="","",'Journal'!F1258)</f>
        <v/>
      </c>
      <c r="G2514" s="20">
        <f>IF('Journal'!G1258="","",'Journal'!G1258)</f>
        <v/>
      </c>
      <c r="H2514" s="5">
        <f>IF('Journal'!I1258="","",'Journal'!I1258)</f>
        <v/>
      </c>
    </row>
    <row r="2515">
      <c r="A2515" s="18">
        <f>IF('Journal'!A1259="","",'Journal'!A1259)</f>
        <v/>
      </c>
      <c r="B2515" s="21">
        <f>IF('Journal'!B1259="","",'Journal'!B1259)</f>
        <v/>
      </c>
      <c r="C2515" s="5">
        <f>IF('Journal'!C1259="","",'Journal'!C1259)</f>
        <v/>
      </c>
      <c r="D2515" s="5">
        <f>IF('Journal'!D1259="","",IFERROR(LEFT('Journal'!D1259,FIND(" ",'Journal'!D1259)-1),'Journal'!D1259))</f>
        <v/>
      </c>
      <c r="E2515" s="5">
        <f>IF('Journal'!D1259="","",IFERROR(INDEX('Kontoplan'!$B$3:$B$302,MATCH('Journal'!D1259,'Kontoplan'!$H$3:$H$302,0)),""))</f>
        <v/>
      </c>
      <c r="F2515" s="20">
        <f>IF('Journal'!G1259="","",'Journal'!G1259)</f>
        <v/>
      </c>
      <c r="G2515" s="20">
        <f>IF('Journal'!F1259="","",'Journal'!F1259)</f>
        <v/>
      </c>
      <c r="H2515" s="5">
        <f>IF('Journal'!I1259="","",'Journal'!I1259)</f>
        <v/>
      </c>
    </row>
    <row r="2516">
      <c r="A2516" s="18">
        <f>IF('Journal'!A1259="","",'Journal'!A1259)</f>
        <v/>
      </c>
      <c r="B2516" s="21">
        <f>IF('Journal'!B1259="","",'Journal'!B1259)</f>
        <v/>
      </c>
      <c r="C2516" s="5">
        <f>IF('Journal'!C1259="","",'Journal'!C1259)</f>
        <v/>
      </c>
      <c r="D2516" s="5">
        <f>IF('Journal'!E1259="","",IFERROR(LEFT('Journal'!E1259,FIND(" ",'Journal'!E1259)-1),'Journal'!E1259))</f>
        <v/>
      </c>
      <c r="E2516" s="5">
        <f>IF('Journal'!E1259="","",IFERROR(INDEX('Kontoplan'!$B$3:$B$302,MATCH('Journal'!E1259,'Kontoplan'!$H$3:$H$302,0)),""))</f>
        <v/>
      </c>
      <c r="F2516" s="20">
        <f>IF('Journal'!F1259="","",'Journal'!F1259)</f>
        <v/>
      </c>
      <c r="G2516" s="20">
        <f>IF('Journal'!G1259="","",'Journal'!G1259)</f>
        <v/>
      </c>
      <c r="H2516" s="5">
        <f>IF('Journal'!I1259="","",'Journal'!I1259)</f>
        <v/>
      </c>
    </row>
    <row r="2517">
      <c r="A2517" s="18">
        <f>IF('Journal'!A1260="","",'Journal'!A1260)</f>
        <v/>
      </c>
      <c r="B2517" s="21">
        <f>IF('Journal'!B1260="","",'Journal'!B1260)</f>
        <v/>
      </c>
      <c r="C2517" s="5">
        <f>IF('Journal'!C1260="","",'Journal'!C1260)</f>
        <v/>
      </c>
      <c r="D2517" s="5">
        <f>IF('Journal'!D1260="","",IFERROR(LEFT('Journal'!D1260,FIND(" ",'Journal'!D1260)-1),'Journal'!D1260))</f>
        <v/>
      </c>
      <c r="E2517" s="5">
        <f>IF('Journal'!D1260="","",IFERROR(INDEX('Kontoplan'!$B$3:$B$302,MATCH('Journal'!D1260,'Kontoplan'!$H$3:$H$302,0)),""))</f>
        <v/>
      </c>
      <c r="F2517" s="20">
        <f>IF('Journal'!G1260="","",'Journal'!G1260)</f>
        <v/>
      </c>
      <c r="G2517" s="20">
        <f>IF('Journal'!F1260="","",'Journal'!F1260)</f>
        <v/>
      </c>
      <c r="H2517" s="5">
        <f>IF('Journal'!I1260="","",'Journal'!I1260)</f>
        <v/>
      </c>
    </row>
    <row r="2518">
      <c r="A2518" s="18">
        <f>IF('Journal'!A1260="","",'Journal'!A1260)</f>
        <v/>
      </c>
      <c r="B2518" s="21">
        <f>IF('Journal'!B1260="","",'Journal'!B1260)</f>
        <v/>
      </c>
      <c r="C2518" s="5">
        <f>IF('Journal'!C1260="","",'Journal'!C1260)</f>
        <v/>
      </c>
      <c r="D2518" s="5">
        <f>IF('Journal'!E1260="","",IFERROR(LEFT('Journal'!E1260,FIND(" ",'Journal'!E1260)-1),'Journal'!E1260))</f>
        <v/>
      </c>
      <c r="E2518" s="5">
        <f>IF('Journal'!E1260="","",IFERROR(INDEX('Kontoplan'!$B$3:$B$302,MATCH('Journal'!E1260,'Kontoplan'!$H$3:$H$302,0)),""))</f>
        <v/>
      </c>
      <c r="F2518" s="20">
        <f>IF('Journal'!F1260="","",'Journal'!F1260)</f>
        <v/>
      </c>
      <c r="G2518" s="20">
        <f>IF('Journal'!G1260="","",'Journal'!G1260)</f>
        <v/>
      </c>
      <c r="H2518" s="5">
        <f>IF('Journal'!I1260="","",'Journal'!I1260)</f>
        <v/>
      </c>
    </row>
    <row r="2519">
      <c r="A2519" s="18">
        <f>IF('Journal'!A1261="","",'Journal'!A1261)</f>
        <v/>
      </c>
      <c r="B2519" s="21">
        <f>IF('Journal'!B1261="","",'Journal'!B1261)</f>
        <v/>
      </c>
      <c r="C2519" s="5">
        <f>IF('Journal'!C1261="","",'Journal'!C1261)</f>
        <v/>
      </c>
      <c r="D2519" s="5">
        <f>IF('Journal'!D1261="","",IFERROR(LEFT('Journal'!D1261,FIND(" ",'Journal'!D1261)-1),'Journal'!D1261))</f>
        <v/>
      </c>
      <c r="E2519" s="5">
        <f>IF('Journal'!D1261="","",IFERROR(INDEX('Kontoplan'!$B$3:$B$302,MATCH('Journal'!D1261,'Kontoplan'!$H$3:$H$302,0)),""))</f>
        <v/>
      </c>
      <c r="F2519" s="20">
        <f>IF('Journal'!G1261="","",'Journal'!G1261)</f>
        <v/>
      </c>
      <c r="G2519" s="20">
        <f>IF('Journal'!F1261="","",'Journal'!F1261)</f>
        <v/>
      </c>
      <c r="H2519" s="5">
        <f>IF('Journal'!I1261="","",'Journal'!I1261)</f>
        <v/>
      </c>
    </row>
    <row r="2520">
      <c r="A2520" s="18">
        <f>IF('Journal'!A1261="","",'Journal'!A1261)</f>
        <v/>
      </c>
      <c r="B2520" s="21">
        <f>IF('Journal'!B1261="","",'Journal'!B1261)</f>
        <v/>
      </c>
      <c r="C2520" s="5">
        <f>IF('Journal'!C1261="","",'Journal'!C1261)</f>
        <v/>
      </c>
      <c r="D2520" s="5">
        <f>IF('Journal'!E1261="","",IFERROR(LEFT('Journal'!E1261,FIND(" ",'Journal'!E1261)-1),'Journal'!E1261))</f>
        <v/>
      </c>
      <c r="E2520" s="5">
        <f>IF('Journal'!E1261="","",IFERROR(INDEX('Kontoplan'!$B$3:$B$302,MATCH('Journal'!E1261,'Kontoplan'!$H$3:$H$302,0)),""))</f>
        <v/>
      </c>
      <c r="F2520" s="20">
        <f>IF('Journal'!F1261="","",'Journal'!F1261)</f>
        <v/>
      </c>
      <c r="G2520" s="20">
        <f>IF('Journal'!G1261="","",'Journal'!G1261)</f>
        <v/>
      </c>
      <c r="H2520" s="5">
        <f>IF('Journal'!I1261="","",'Journal'!I1261)</f>
        <v/>
      </c>
    </row>
    <row r="2521">
      <c r="A2521" s="18">
        <f>IF('Journal'!A1262="","",'Journal'!A1262)</f>
        <v/>
      </c>
      <c r="B2521" s="21">
        <f>IF('Journal'!B1262="","",'Journal'!B1262)</f>
        <v/>
      </c>
      <c r="C2521" s="5">
        <f>IF('Journal'!C1262="","",'Journal'!C1262)</f>
        <v/>
      </c>
      <c r="D2521" s="5">
        <f>IF('Journal'!D1262="","",IFERROR(LEFT('Journal'!D1262,FIND(" ",'Journal'!D1262)-1),'Journal'!D1262))</f>
        <v/>
      </c>
      <c r="E2521" s="5">
        <f>IF('Journal'!D1262="","",IFERROR(INDEX('Kontoplan'!$B$3:$B$302,MATCH('Journal'!D1262,'Kontoplan'!$H$3:$H$302,0)),""))</f>
        <v/>
      </c>
      <c r="F2521" s="20">
        <f>IF('Journal'!G1262="","",'Journal'!G1262)</f>
        <v/>
      </c>
      <c r="G2521" s="20">
        <f>IF('Journal'!F1262="","",'Journal'!F1262)</f>
        <v/>
      </c>
      <c r="H2521" s="5">
        <f>IF('Journal'!I1262="","",'Journal'!I1262)</f>
        <v/>
      </c>
    </row>
    <row r="2522">
      <c r="A2522" s="18">
        <f>IF('Journal'!A1262="","",'Journal'!A1262)</f>
        <v/>
      </c>
      <c r="B2522" s="21">
        <f>IF('Journal'!B1262="","",'Journal'!B1262)</f>
        <v/>
      </c>
      <c r="C2522" s="5">
        <f>IF('Journal'!C1262="","",'Journal'!C1262)</f>
        <v/>
      </c>
      <c r="D2522" s="5">
        <f>IF('Journal'!E1262="","",IFERROR(LEFT('Journal'!E1262,FIND(" ",'Journal'!E1262)-1),'Journal'!E1262))</f>
        <v/>
      </c>
      <c r="E2522" s="5">
        <f>IF('Journal'!E1262="","",IFERROR(INDEX('Kontoplan'!$B$3:$B$302,MATCH('Journal'!E1262,'Kontoplan'!$H$3:$H$302,0)),""))</f>
        <v/>
      </c>
      <c r="F2522" s="20">
        <f>IF('Journal'!F1262="","",'Journal'!F1262)</f>
        <v/>
      </c>
      <c r="G2522" s="20">
        <f>IF('Journal'!G1262="","",'Journal'!G1262)</f>
        <v/>
      </c>
      <c r="H2522" s="5">
        <f>IF('Journal'!I1262="","",'Journal'!I1262)</f>
        <v/>
      </c>
    </row>
    <row r="2523">
      <c r="A2523" s="18">
        <f>IF('Journal'!A1263="","",'Journal'!A1263)</f>
        <v/>
      </c>
      <c r="B2523" s="21">
        <f>IF('Journal'!B1263="","",'Journal'!B1263)</f>
        <v/>
      </c>
      <c r="C2523" s="5">
        <f>IF('Journal'!C1263="","",'Journal'!C1263)</f>
        <v/>
      </c>
      <c r="D2523" s="5">
        <f>IF('Journal'!D1263="","",IFERROR(LEFT('Journal'!D1263,FIND(" ",'Journal'!D1263)-1),'Journal'!D1263))</f>
        <v/>
      </c>
      <c r="E2523" s="5">
        <f>IF('Journal'!D1263="","",IFERROR(INDEX('Kontoplan'!$B$3:$B$302,MATCH('Journal'!D1263,'Kontoplan'!$H$3:$H$302,0)),""))</f>
        <v/>
      </c>
      <c r="F2523" s="20">
        <f>IF('Journal'!G1263="","",'Journal'!G1263)</f>
        <v/>
      </c>
      <c r="G2523" s="20">
        <f>IF('Journal'!F1263="","",'Journal'!F1263)</f>
        <v/>
      </c>
      <c r="H2523" s="5">
        <f>IF('Journal'!I1263="","",'Journal'!I1263)</f>
        <v/>
      </c>
    </row>
    <row r="2524">
      <c r="A2524" s="18">
        <f>IF('Journal'!A1263="","",'Journal'!A1263)</f>
        <v/>
      </c>
      <c r="B2524" s="21">
        <f>IF('Journal'!B1263="","",'Journal'!B1263)</f>
        <v/>
      </c>
      <c r="C2524" s="5">
        <f>IF('Journal'!C1263="","",'Journal'!C1263)</f>
        <v/>
      </c>
      <c r="D2524" s="5">
        <f>IF('Journal'!E1263="","",IFERROR(LEFT('Journal'!E1263,FIND(" ",'Journal'!E1263)-1),'Journal'!E1263))</f>
        <v/>
      </c>
      <c r="E2524" s="5">
        <f>IF('Journal'!E1263="","",IFERROR(INDEX('Kontoplan'!$B$3:$B$302,MATCH('Journal'!E1263,'Kontoplan'!$H$3:$H$302,0)),""))</f>
        <v/>
      </c>
      <c r="F2524" s="20">
        <f>IF('Journal'!F1263="","",'Journal'!F1263)</f>
        <v/>
      </c>
      <c r="G2524" s="20">
        <f>IF('Journal'!G1263="","",'Journal'!G1263)</f>
        <v/>
      </c>
      <c r="H2524" s="5">
        <f>IF('Journal'!I1263="","",'Journal'!I1263)</f>
        <v/>
      </c>
    </row>
    <row r="2525">
      <c r="A2525" s="18">
        <f>IF('Journal'!A1264="","",'Journal'!A1264)</f>
        <v/>
      </c>
      <c r="B2525" s="21">
        <f>IF('Journal'!B1264="","",'Journal'!B1264)</f>
        <v/>
      </c>
      <c r="C2525" s="5">
        <f>IF('Journal'!C1264="","",'Journal'!C1264)</f>
        <v/>
      </c>
      <c r="D2525" s="5">
        <f>IF('Journal'!D1264="","",IFERROR(LEFT('Journal'!D1264,FIND(" ",'Journal'!D1264)-1),'Journal'!D1264))</f>
        <v/>
      </c>
      <c r="E2525" s="5">
        <f>IF('Journal'!D1264="","",IFERROR(INDEX('Kontoplan'!$B$3:$B$302,MATCH('Journal'!D1264,'Kontoplan'!$H$3:$H$302,0)),""))</f>
        <v/>
      </c>
      <c r="F2525" s="20">
        <f>IF('Journal'!G1264="","",'Journal'!G1264)</f>
        <v/>
      </c>
      <c r="G2525" s="20">
        <f>IF('Journal'!F1264="","",'Journal'!F1264)</f>
        <v/>
      </c>
      <c r="H2525" s="5">
        <f>IF('Journal'!I1264="","",'Journal'!I1264)</f>
        <v/>
      </c>
    </row>
    <row r="2526">
      <c r="A2526" s="18">
        <f>IF('Journal'!A1264="","",'Journal'!A1264)</f>
        <v/>
      </c>
      <c r="B2526" s="21">
        <f>IF('Journal'!B1264="","",'Journal'!B1264)</f>
        <v/>
      </c>
      <c r="C2526" s="5">
        <f>IF('Journal'!C1264="","",'Journal'!C1264)</f>
        <v/>
      </c>
      <c r="D2526" s="5">
        <f>IF('Journal'!E1264="","",IFERROR(LEFT('Journal'!E1264,FIND(" ",'Journal'!E1264)-1),'Journal'!E1264))</f>
        <v/>
      </c>
      <c r="E2526" s="5">
        <f>IF('Journal'!E1264="","",IFERROR(INDEX('Kontoplan'!$B$3:$B$302,MATCH('Journal'!E1264,'Kontoplan'!$H$3:$H$302,0)),""))</f>
        <v/>
      </c>
      <c r="F2526" s="20">
        <f>IF('Journal'!F1264="","",'Journal'!F1264)</f>
        <v/>
      </c>
      <c r="G2526" s="20">
        <f>IF('Journal'!G1264="","",'Journal'!G1264)</f>
        <v/>
      </c>
      <c r="H2526" s="5">
        <f>IF('Journal'!I1264="","",'Journal'!I1264)</f>
        <v/>
      </c>
    </row>
    <row r="2527">
      <c r="A2527" s="18">
        <f>IF('Journal'!A1265="","",'Journal'!A1265)</f>
        <v/>
      </c>
      <c r="B2527" s="21">
        <f>IF('Journal'!B1265="","",'Journal'!B1265)</f>
        <v/>
      </c>
      <c r="C2527" s="5">
        <f>IF('Journal'!C1265="","",'Journal'!C1265)</f>
        <v/>
      </c>
      <c r="D2527" s="5">
        <f>IF('Journal'!D1265="","",IFERROR(LEFT('Journal'!D1265,FIND(" ",'Journal'!D1265)-1),'Journal'!D1265))</f>
        <v/>
      </c>
      <c r="E2527" s="5">
        <f>IF('Journal'!D1265="","",IFERROR(INDEX('Kontoplan'!$B$3:$B$302,MATCH('Journal'!D1265,'Kontoplan'!$H$3:$H$302,0)),""))</f>
        <v/>
      </c>
      <c r="F2527" s="20">
        <f>IF('Journal'!G1265="","",'Journal'!G1265)</f>
        <v/>
      </c>
      <c r="G2527" s="20">
        <f>IF('Journal'!F1265="","",'Journal'!F1265)</f>
        <v/>
      </c>
      <c r="H2527" s="5">
        <f>IF('Journal'!I1265="","",'Journal'!I1265)</f>
        <v/>
      </c>
    </row>
    <row r="2528">
      <c r="A2528" s="18">
        <f>IF('Journal'!A1265="","",'Journal'!A1265)</f>
        <v/>
      </c>
      <c r="B2528" s="21">
        <f>IF('Journal'!B1265="","",'Journal'!B1265)</f>
        <v/>
      </c>
      <c r="C2528" s="5">
        <f>IF('Journal'!C1265="","",'Journal'!C1265)</f>
        <v/>
      </c>
      <c r="D2528" s="5">
        <f>IF('Journal'!E1265="","",IFERROR(LEFT('Journal'!E1265,FIND(" ",'Journal'!E1265)-1),'Journal'!E1265))</f>
        <v/>
      </c>
      <c r="E2528" s="5">
        <f>IF('Journal'!E1265="","",IFERROR(INDEX('Kontoplan'!$B$3:$B$302,MATCH('Journal'!E1265,'Kontoplan'!$H$3:$H$302,0)),""))</f>
        <v/>
      </c>
      <c r="F2528" s="20">
        <f>IF('Journal'!F1265="","",'Journal'!F1265)</f>
        <v/>
      </c>
      <c r="G2528" s="20">
        <f>IF('Journal'!G1265="","",'Journal'!G1265)</f>
        <v/>
      </c>
      <c r="H2528" s="5">
        <f>IF('Journal'!I1265="","",'Journal'!I1265)</f>
        <v/>
      </c>
    </row>
    <row r="2529">
      <c r="A2529" s="18">
        <f>IF('Journal'!A1266="","",'Journal'!A1266)</f>
        <v/>
      </c>
      <c r="B2529" s="21">
        <f>IF('Journal'!B1266="","",'Journal'!B1266)</f>
        <v/>
      </c>
      <c r="C2529" s="5">
        <f>IF('Journal'!C1266="","",'Journal'!C1266)</f>
        <v/>
      </c>
      <c r="D2529" s="5">
        <f>IF('Journal'!D1266="","",IFERROR(LEFT('Journal'!D1266,FIND(" ",'Journal'!D1266)-1),'Journal'!D1266))</f>
        <v/>
      </c>
      <c r="E2529" s="5">
        <f>IF('Journal'!D1266="","",IFERROR(INDEX('Kontoplan'!$B$3:$B$302,MATCH('Journal'!D1266,'Kontoplan'!$H$3:$H$302,0)),""))</f>
        <v/>
      </c>
      <c r="F2529" s="20">
        <f>IF('Journal'!G1266="","",'Journal'!G1266)</f>
        <v/>
      </c>
      <c r="G2529" s="20">
        <f>IF('Journal'!F1266="","",'Journal'!F1266)</f>
        <v/>
      </c>
      <c r="H2529" s="5">
        <f>IF('Journal'!I1266="","",'Journal'!I1266)</f>
        <v/>
      </c>
    </row>
    <row r="2530">
      <c r="A2530" s="18">
        <f>IF('Journal'!A1266="","",'Journal'!A1266)</f>
        <v/>
      </c>
      <c r="B2530" s="21">
        <f>IF('Journal'!B1266="","",'Journal'!B1266)</f>
        <v/>
      </c>
      <c r="C2530" s="5">
        <f>IF('Journal'!C1266="","",'Journal'!C1266)</f>
        <v/>
      </c>
      <c r="D2530" s="5">
        <f>IF('Journal'!E1266="","",IFERROR(LEFT('Journal'!E1266,FIND(" ",'Journal'!E1266)-1),'Journal'!E1266))</f>
        <v/>
      </c>
      <c r="E2530" s="5">
        <f>IF('Journal'!E1266="","",IFERROR(INDEX('Kontoplan'!$B$3:$B$302,MATCH('Journal'!E1266,'Kontoplan'!$H$3:$H$302,0)),""))</f>
        <v/>
      </c>
      <c r="F2530" s="20">
        <f>IF('Journal'!F1266="","",'Journal'!F1266)</f>
        <v/>
      </c>
      <c r="G2530" s="20">
        <f>IF('Journal'!G1266="","",'Journal'!G1266)</f>
        <v/>
      </c>
      <c r="H2530" s="5">
        <f>IF('Journal'!I1266="","",'Journal'!I1266)</f>
        <v/>
      </c>
    </row>
    <row r="2531">
      <c r="A2531" s="18">
        <f>IF('Journal'!A1267="","",'Journal'!A1267)</f>
        <v/>
      </c>
      <c r="B2531" s="21">
        <f>IF('Journal'!B1267="","",'Journal'!B1267)</f>
        <v/>
      </c>
      <c r="C2531" s="5">
        <f>IF('Journal'!C1267="","",'Journal'!C1267)</f>
        <v/>
      </c>
      <c r="D2531" s="5">
        <f>IF('Journal'!D1267="","",IFERROR(LEFT('Journal'!D1267,FIND(" ",'Journal'!D1267)-1),'Journal'!D1267))</f>
        <v/>
      </c>
      <c r="E2531" s="5">
        <f>IF('Journal'!D1267="","",IFERROR(INDEX('Kontoplan'!$B$3:$B$302,MATCH('Journal'!D1267,'Kontoplan'!$H$3:$H$302,0)),""))</f>
        <v/>
      </c>
      <c r="F2531" s="20">
        <f>IF('Journal'!G1267="","",'Journal'!G1267)</f>
        <v/>
      </c>
      <c r="G2531" s="20">
        <f>IF('Journal'!F1267="","",'Journal'!F1267)</f>
        <v/>
      </c>
      <c r="H2531" s="5">
        <f>IF('Journal'!I1267="","",'Journal'!I1267)</f>
        <v/>
      </c>
    </row>
    <row r="2532">
      <c r="A2532" s="18">
        <f>IF('Journal'!A1267="","",'Journal'!A1267)</f>
        <v/>
      </c>
      <c r="B2532" s="21">
        <f>IF('Journal'!B1267="","",'Journal'!B1267)</f>
        <v/>
      </c>
      <c r="C2532" s="5">
        <f>IF('Journal'!C1267="","",'Journal'!C1267)</f>
        <v/>
      </c>
      <c r="D2532" s="5">
        <f>IF('Journal'!E1267="","",IFERROR(LEFT('Journal'!E1267,FIND(" ",'Journal'!E1267)-1),'Journal'!E1267))</f>
        <v/>
      </c>
      <c r="E2532" s="5">
        <f>IF('Journal'!E1267="","",IFERROR(INDEX('Kontoplan'!$B$3:$B$302,MATCH('Journal'!E1267,'Kontoplan'!$H$3:$H$302,0)),""))</f>
        <v/>
      </c>
      <c r="F2532" s="20">
        <f>IF('Journal'!F1267="","",'Journal'!F1267)</f>
        <v/>
      </c>
      <c r="G2532" s="20">
        <f>IF('Journal'!G1267="","",'Journal'!G1267)</f>
        <v/>
      </c>
      <c r="H2532" s="5">
        <f>IF('Journal'!I1267="","",'Journal'!I1267)</f>
        <v/>
      </c>
    </row>
    <row r="2533">
      <c r="A2533" s="18">
        <f>IF('Journal'!A1268="","",'Journal'!A1268)</f>
        <v/>
      </c>
      <c r="B2533" s="21">
        <f>IF('Journal'!B1268="","",'Journal'!B1268)</f>
        <v/>
      </c>
      <c r="C2533" s="5">
        <f>IF('Journal'!C1268="","",'Journal'!C1268)</f>
        <v/>
      </c>
      <c r="D2533" s="5">
        <f>IF('Journal'!D1268="","",IFERROR(LEFT('Journal'!D1268,FIND(" ",'Journal'!D1268)-1),'Journal'!D1268))</f>
        <v/>
      </c>
      <c r="E2533" s="5">
        <f>IF('Journal'!D1268="","",IFERROR(INDEX('Kontoplan'!$B$3:$B$302,MATCH('Journal'!D1268,'Kontoplan'!$H$3:$H$302,0)),""))</f>
        <v/>
      </c>
      <c r="F2533" s="20">
        <f>IF('Journal'!G1268="","",'Journal'!G1268)</f>
        <v/>
      </c>
      <c r="G2533" s="20">
        <f>IF('Journal'!F1268="","",'Journal'!F1268)</f>
        <v/>
      </c>
      <c r="H2533" s="5">
        <f>IF('Journal'!I1268="","",'Journal'!I1268)</f>
        <v/>
      </c>
    </row>
    <row r="2534">
      <c r="A2534" s="18">
        <f>IF('Journal'!A1268="","",'Journal'!A1268)</f>
        <v/>
      </c>
      <c r="B2534" s="21">
        <f>IF('Journal'!B1268="","",'Journal'!B1268)</f>
        <v/>
      </c>
      <c r="C2534" s="5">
        <f>IF('Journal'!C1268="","",'Journal'!C1268)</f>
        <v/>
      </c>
      <c r="D2534" s="5">
        <f>IF('Journal'!E1268="","",IFERROR(LEFT('Journal'!E1268,FIND(" ",'Journal'!E1268)-1),'Journal'!E1268))</f>
        <v/>
      </c>
      <c r="E2534" s="5">
        <f>IF('Journal'!E1268="","",IFERROR(INDEX('Kontoplan'!$B$3:$B$302,MATCH('Journal'!E1268,'Kontoplan'!$H$3:$H$302,0)),""))</f>
        <v/>
      </c>
      <c r="F2534" s="20">
        <f>IF('Journal'!F1268="","",'Journal'!F1268)</f>
        <v/>
      </c>
      <c r="G2534" s="20">
        <f>IF('Journal'!G1268="","",'Journal'!G1268)</f>
        <v/>
      </c>
      <c r="H2534" s="5">
        <f>IF('Journal'!I1268="","",'Journal'!I1268)</f>
        <v/>
      </c>
    </row>
    <row r="2535">
      <c r="A2535" s="18">
        <f>IF('Journal'!A1269="","",'Journal'!A1269)</f>
        <v/>
      </c>
      <c r="B2535" s="21">
        <f>IF('Journal'!B1269="","",'Journal'!B1269)</f>
        <v/>
      </c>
      <c r="C2535" s="5">
        <f>IF('Journal'!C1269="","",'Journal'!C1269)</f>
        <v/>
      </c>
      <c r="D2535" s="5">
        <f>IF('Journal'!D1269="","",IFERROR(LEFT('Journal'!D1269,FIND(" ",'Journal'!D1269)-1),'Journal'!D1269))</f>
        <v/>
      </c>
      <c r="E2535" s="5">
        <f>IF('Journal'!D1269="","",IFERROR(INDEX('Kontoplan'!$B$3:$B$302,MATCH('Journal'!D1269,'Kontoplan'!$H$3:$H$302,0)),""))</f>
        <v/>
      </c>
      <c r="F2535" s="20">
        <f>IF('Journal'!G1269="","",'Journal'!G1269)</f>
        <v/>
      </c>
      <c r="G2535" s="20">
        <f>IF('Journal'!F1269="","",'Journal'!F1269)</f>
        <v/>
      </c>
      <c r="H2535" s="5">
        <f>IF('Journal'!I1269="","",'Journal'!I1269)</f>
        <v/>
      </c>
    </row>
    <row r="2536">
      <c r="A2536" s="18">
        <f>IF('Journal'!A1269="","",'Journal'!A1269)</f>
        <v/>
      </c>
      <c r="B2536" s="21">
        <f>IF('Journal'!B1269="","",'Journal'!B1269)</f>
        <v/>
      </c>
      <c r="C2536" s="5">
        <f>IF('Journal'!C1269="","",'Journal'!C1269)</f>
        <v/>
      </c>
      <c r="D2536" s="5">
        <f>IF('Journal'!E1269="","",IFERROR(LEFT('Journal'!E1269,FIND(" ",'Journal'!E1269)-1),'Journal'!E1269))</f>
        <v/>
      </c>
      <c r="E2536" s="5">
        <f>IF('Journal'!E1269="","",IFERROR(INDEX('Kontoplan'!$B$3:$B$302,MATCH('Journal'!E1269,'Kontoplan'!$H$3:$H$302,0)),""))</f>
        <v/>
      </c>
      <c r="F2536" s="20">
        <f>IF('Journal'!F1269="","",'Journal'!F1269)</f>
        <v/>
      </c>
      <c r="G2536" s="20">
        <f>IF('Journal'!G1269="","",'Journal'!G1269)</f>
        <v/>
      </c>
      <c r="H2536" s="5">
        <f>IF('Journal'!I1269="","",'Journal'!I1269)</f>
        <v/>
      </c>
    </row>
    <row r="2537">
      <c r="A2537" s="18">
        <f>IF('Journal'!A1270="","",'Journal'!A1270)</f>
        <v/>
      </c>
      <c r="B2537" s="21">
        <f>IF('Journal'!B1270="","",'Journal'!B1270)</f>
        <v/>
      </c>
      <c r="C2537" s="5">
        <f>IF('Journal'!C1270="","",'Journal'!C1270)</f>
        <v/>
      </c>
      <c r="D2537" s="5">
        <f>IF('Journal'!D1270="","",IFERROR(LEFT('Journal'!D1270,FIND(" ",'Journal'!D1270)-1),'Journal'!D1270))</f>
        <v/>
      </c>
      <c r="E2537" s="5">
        <f>IF('Journal'!D1270="","",IFERROR(INDEX('Kontoplan'!$B$3:$B$302,MATCH('Journal'!D1270,'Kontoplan'!$H$3:$H$302,0)),""))</f>
        <v/>
      </c>
      <c r="F2537" s="20">
        <f>IF('Journal'!G1270="","",'Journal'!G1270)</f>
        <v/>
      </c>
      <c r="G2537" s="20">
        <f>IF('Journal'!F1270="","",'Journal'!F1270)</f>
        <v/>
      </c>
      <c r="H2537" s="5">
        <f>IF('Journal'!I1270="","",'Journal'!I1270)</f>
        <v/>
      </c>
    </row>
    <row r="2538">
      <c r="A2538" s="18">
        <f>IF('Journal'!A1270="","",'Journal'!A1270)</f>
        <v/>
      </c>
      <c r="B2538" s="21">
        <f>IF('Journal'!B1270="","",'Journal'!B1270)</f>
        <v/>
      </c>
      <c r="C2538" s="5">
        <f>IF('Journal'!C1270="","",'Journal'!C1270)</f>
        <v/>
      </c>
      <c r="D2538" s="5">
        <f>IF('Journal'!E1270="","",IFERROR(LEFT('Journal'!E1270,FIND(" ",'Journal'!E1270)-1),'Journal'!E1270))</f>
        <v/>
      </c>
      <c r="E2538" s="5">
        <f>IF('Journal'!E1270="","",IFERROR(INDEX('Kontoplan'!$B$3:$B$302,MATCH('Journal'!E1270,'Kontoplan'!$H$3:$H$302,0)),""))</f>
        <v/>
      </c>
      <c r="F2538" s="20">
        <f>IF('Journal'!F1270="","",'Journal'!F1270)</f>
        <v/>
      </c>
      <c r="G2538" s="20">
        <f>IF('Journal'!G1270="","",'Journal'!G1270)</f>
        <v/>
      </c>
      <c r="H2538" s="5">
        <f>IF('Journal'!I1270="","",'Journal'!I1270)</f>
        <v/>
      </c>
    </row>
    <row r="2539">
      <c r="A2539" s="18">
        <f>IF('Journal'!A1271="","",'Journal'!A1271)</f>
        <v/>
      </c>
      <c r="B2539" s="21">
        <f>IF('Journal'!B1271="","",'Journal'!B1271)</f>
        <v/>
      </c>
      <c r="C2539" s="5">
        <f>IF('Journal'!C1271="","",'Journal'!C1271)</f>
        <v/>
      </c>
      <c r="D2539" s="5">
        <f>IF('Journal'!D1271="","",IFERROR(LEFT('Journal'!D1271,FIND(" ",'Journal'!D1271)-1),'Journal'!D1271))</f>
        <v/>
      </c>
      <c r="E2539" s="5">
        <f>IF('Journal'!D1271="","",IFERROR(INDEX('Kontoplan'!$B$3:$B$302,MATCH('Journal'!D1271,'Kontoplan'!$H$3:$H$302,0)),""))</f>
        <v/>
      </c>
      <c r="F2539" s="20">
        <f>IF('Journal'!G1271="","",'Journal'!G1271)</f>
        <v/>
      </c>
      <c r="G2539" s="20">
        <f>IF('Journal'!F1271="","",'Journal'!F1271)</f>
        <v/>
      </c>
      <c r="H2539" s="5">
        <f>IF('Journal'!I1271="","",'Journal'!I1271)</f>
        <v/>
      </c>
    </row>
    <row r="2540">
      <c r="A2540" s="18">
        <f>IF('Journal'!A1271="","",'Journal'!A1271)</f>
        <v/>
      </c>
      <c r="B2540" s="21">
        <f>IF('Journal'!B1271="","",'Journal'!B1271)</f>
        <v/>
      </c>
      <c r="C2540" s="5">
        <f>IF('Journal'!C1271="","",'Journal'!C1271)</f>
        <v/>
      </c>
      <c r="D2540" s="5">
        <f>IF('Journal'!E1271="","",IFERROR(LEFT('Journal'!E1271,FIND(" ",'Journal'!E1271)-1),'Journal'!E1271))</f>
        <v/>
      </c>
      <c r="E2540" s="5">
        <f>IF('Journal'!E1271="","",IFERROR(INDEX('Kontoplan'!$B$3:$B$302,MATCH('Journal'!E1271,'Kontoplan'!$H$3:$H$302,0)),""))</f>
        <v/>
      </c>
      <c r="F2540" s="20">
        <f>IF('Journal'!F1271="","",'Journal'!F1271)</f>
        <v/>
      </c>
      <c r="G2540" s="20">
        <f>IF('Journal'!G1271="","",'Journal'!G1271)</f>
        <v/>
      </c>
      <c r="H2540" s="5">
        <f>IF('Journal'!I1271="","",'Journal'!I1271)</f>
        <v/>
      </c>
    </row>
    <row r="2541">
      <c r="A2541" s="18">
        <f>IF('Journal'!A1272="","",'Journal'!A1272)</f>
        <v/>
      </c>
      <c r="B2541" s="21">
        <f>IF('Journal'!B1272="","",'Journal'!B1272)</f>
        <v/>
      </c>
      <c r="C2541" s="5">
        <f>IF('Journal'!C1272="","",'Journal'!C1272)</f>
        <v/>
      </c>
      <c r="D2541" s="5">
        <f>IF('Journal'!D1272="","",IFERROR(LEFT('Journal'!D1272,FIND(" ",'Journal'!D1272)-1),'Journal'!D1272))</f>
        <v/>
      </c>
      <c r="E2541" s="5">
        <f>IF('Journal'!D1272="","",IFERROR(INDEX('Kontoplan'!$B$3:$B$302,MATCH('Journal'!D1272,'Kontoplan'!$H$3:$H$302,0)),""))</f>
        <v/>
      </c>
      <c r="F2541" s="20">
        <f>IF('Journal'!G1272="","",'Journal'!G1272)</f>
        <v/>
      </c>
      <c r="G2541" s="20">
        <f>IF('Journal'!F1272="","",'Journal'!F1272)</f>
        <v/>
      </c>
      <c r="H2541" s="5">
        <f>IF('Journal'!I1272="","",'Journal'!I1272)</f>
        <v/>
      </c>
    </row>
    <row r="2542">
      <c r="A2542" s="18">
        <f>IF('Journal'!A1272="","",'Journal'!A1272)</f>
        <v/>
      </c>
      <c r="B2542" s="21">
        <f>IF('Journal'!B1272="","",'Journal'!B1272)</f>
        <v/>
      </c>
      <c r="C2542" s="5">
        <f>IF('Journal'!C1272="","",'Journal'!C1272)</f>
        <v/>
      </c>
      <c r="D2542" s="5">
        <f>IF('Journal'!E1272="","",IFERROR(LEFT('Journal'!E1272,FIND(" ",'Journal'!E1272)-1),'Journal'!E1272))</f>
        <v/>
      </c>
      <c r="E2542" s="5">
        <f>IF('Journal'!E1272="","",IFERROR(INDEX('Kontoplan'!$B$3:$B$302,MATCH('Journal'!E1272,'Kontoplan'!$H$3:$H$302,0)),""))</f>
        <v/>
      </c>
      <c r="F2542" s="20">
        <f>IF('Journal'!F1272="","",'Journal'!F1272)</f>
        <v/>
      </c>
      <c r="G2542" s="20">
        <f>IF('Journal'!G1272="","",'Journal'!G1272)</f>
        <v/>
      </c>
      <c r="H2542" s="5">
        <f>IF('Journal'!I1272="","",'Journal'!I1272)</f>
        <v/>
      </c>
    </row>
    <row r="2543">
      <c r="A2543" s="18">
        <f>IF('Journal'!A1273="","",'Journal'!A1273)</f>
        <v/>
      </c>
      <c r="B2543" s="21">
        <f>IF('Journal'!B1273="","",'Journal'!B1273)</f>
        <v/>
      </c>
      <c r="C2543" s="5">
        <f>IF('Journal'!C1273="","",'Journal'!C1273)</f>
        <v/>
      </c>
      <c r="D2543" s="5">
        <f>IF('Journal'!D1273="","",IFERROR(LEFT('Journal'!D1273,FIND(" ",'Journal'!D1273)-1),'Journal'!D1273))</f>
        <v/>
      </c>
      <c r="E2543" s="5">
        <f>IF('Journal'!D1273="","",IFERROR(INDEX('Kontoplan'!$B$3:$B$302,MATCH('Journal'!D1273,'Kontoplan'!$H$3:$H$302,0)),""))</f>
        <v/>
      </c>
      <c r="F2543" s="20">
        <f>IF('Journal'!G1273="","",'Journal'!G1273)</f>
        <v/>
      </c>
      <c r="G2543" s="20">
        <f>IF('Journal'!F1273="","",'Journal'!F1273)</f>
        <v/>
      </c>
      <c r="H2543" s="5">
        <f>IF('Journal'!I1273="","",'Journal'!I1273)</f>
        <v/>
      </c>
    </row>
    <row r="2544">
      <c r="A2544" s="18">
        <f>IF('Journal'!A1273="","",'Journal'!A1273)</f>
        <v/>
      </c>
      <c r="B2544" s="21">
        <f>IF('Journal'!B1273="","",'Journal'!B1273)</f>
        <v/>
      </c>
      <c r="C2544" s="5">
        <f>IF('Journal'!C1273="","",'Journal'!C1273)</f>
        <v/>
      </c>
      <c r="D2544" s="5">
        <f>IF('Journal'!E1273="","",IFERROR(LEFT('Journal'!E1273,FIND(" ",'Journal'!E1273)-1),'Journal'!E1273))</f>
        <v/>
      </c>
      <c r="E2544" s="5">
        <f>IF('Journal'!E1273="","",IFERROR(INDEX('Kontoplan'!$B$3:$B$302,MATCH('Journal'!E1273,'Kontoplan'!$H$3:$H$302,0)),""))</f>
        <v/>
      </c>
      <c r="F2544" s="20">
        <f>IF('Journal'!F1273="","",'Journal'!F1273)</f>
        <v/>
      </c>
      <c r="G2544" s="20">
        <f>IF('Journal'!G1273="","",'Journal'!G1273)</f>
        <v/>
      </c>
      <c r="H2544" s="5">
        <f>IF('Journal'!I1273="","",'Journal'!I1273)</f>
        <v/>
      </c>
    </row>
    <row r="2545">
      <c r="A2545" s="18">
        <f>IF('Journal'!A1274="","",'Journal'!A1274)</f>
        <v/>
      </c>
      <c r="B2545" s="21">
        <f>IF('Journal'!B1274="","",'Journal'!B1274)</f>
        <v/>
      </c>
      <c r="C2545" s="5">
        <f>IF('Journal'!C1274="","",'Journal'!C1274)</f>
        <v/>
      </c>
      <c r="D2545" s="5">
        <f>IF('Journal'!D1274="","",IFERROR(LEFT('Journal'!D1274,FIND(" ",'Journal'!D1274)-1),'Journal'!D1274))</f>
        <v/>
      </c>
      <c r="E2545" s="5">
        <f>IF('Journal'!D1274="","",IFERROR(INDEX('Kontoplan'!$B$3:$B$302,MATCH('Journal'!D1274,'Kontoplan'!$H$3:$H$302,0)),""))</f>
        <v/>
      </c>
      <c r="F2545" s="20">
        <f>IF('Journal'!G1274="","",'Journal'!G1274)</f>
        <v/>
      </c>
      <c r="G2545" s="20">
        <f>IF('Journal'!F1274="","",'Journal'!F1274)</f>
        <v/>
      </c>
      <c r="H2545" s="5">
        <f>IF('Journal'!I1274="","",'Journal'!I1274)</f>
        <v/>
      </c>
    </row>
    <row r="2546">
      <c r="A2546" s="18">
        <f>IF('Journal'!A1274="","",'Journal'!A1274)</f>
        <v/>
      </c>
      <c r="B2546" s="21">
        <f>IF('Journal'!B1274="","",'Journal'!B1274)</f>
        <v/>
      </c>
      <c r="C2546" s="5">
        <f>IF('Journal'!C1274="","",'Journal'!C1274)</f>
        <v/>
      </c>
      <c r="D2546" s="5">
        <f>IF('Journal'!E1274="","",IFERROR(LEFT('Journal'!E1274,FIND(" ",'Journal'!E1274)-1),'Journal'!E1274))</f>
        <v/>
      </c>
      <c r="E2546" s="5">
        <f>IF('Journal'!E1274="","",IFERROR(INDEX('Kontoplan'!$B$3:$B$302,MATCH('Journal'!E1274,'Kontoplan'!$H$3:$H$302,0)),""))</f>
        <v/>
      </c>
      <c r="F2546" s="20">
        <f>IF('Journal'!F1274="","",'Journal'!F1274)</f>
        <v/>
      </c>
      <c r="G2546" s="20">
        <f>IF('Journal'!G1274="","",'Journal'!G1274)</f>
        <v/>
      </c>
      <c r="H2546" s="5">
        <f>IF('Journal'!I1274="","",'Journal'!I1274)</f>
        <v/>
      </c>
    </row>
    <row r="2547">
      <c r="A2547" s="18">
        <f>IF('Journal'!A1275="","",'Journal'!A1275)</f>
        <v/>
      </c>
      <c r="B2547" s="21">
        <f>IF('Journal'!B1275="","",'Journal'!B1275)</f>
        <v/>
      </c>
      <c r="C2547" s="5">
        <f>IF('Journal'!C1275="","",'Journal'!C1275)</f>
        <v/>
      </c>
      <c r="D2547" s="5">
        <f>IF('Journal'!D1275="","",IFERROR(LEFT('Journal'!D1275,FIND(" ",'Journal'!D1275)-1),'Journal'!D1275))</f>
        <v/>
      </c>
      <c r="E2547" s="5">
        <f>IF('Journal'!D1275="","",IFERROR(INDEX('Kontoplan'!$B$3:$B$302,MATCH('Journal'!D1275,'Kontoplan'!$H$3:$H$302,0)),""))</f>
        <v/>
      </c>
      <c r="F2547" s="20">
        <f>IF('Journal'!G1275="","",'Journal'!G1275)</f>
        <v/>
      </c>
      <c r="G2547" s="20">
        <f>IF('Journal'!F1275="","",'Journal'!F1275)</f>
        <v/>
      </c>
      <c r="H2547" s="5">
        <f>IF('Journal'!I1275="","",'Journal'!I1275)</f>
        <v/>
      </c>
    </row>
    <row r="2548">
      <c r="A2548" s="18">
        <f>IF('Journal'!A1275="","",'Journal'!A1275)</f>
        <v/>
      </c>
      <c r="B2548" s="21">
        <f>IF('Journal'!B1275="","",'Journal'!B1275)</f>
        <v/>
      </c>
      <c r="C2548" s="5">
        <f>IF('Journal'!C1275="","",'Journal'!C1275)</f>
        <v/>
      </c>
      <c r="D2548" s="5">
        <f>IF('Journal'!E1275="","",IFERROR(LEFT('Journal'!E1275,FIND(" ",'Journal'!E1275)-1),'Journal'!E1275))</f>
        <v/>
      </c>
      <c r="E2548" s="5">
        <f>IF('Journal'!E1275="","",IFERROR(INDEX('Kontoplan'!$B$3:$B$302,MATCH('Journal'!E1275,'Kontoplan'!$H$3:$H$302,0)),""))</f>
        <v/>
      </c>
      <c r="F2548" s="20">
        <f>IF('Journal'!F1275="","",'Journal'!F1275)</f>
        <v/>
      </c>
      <c r="G2548" s="20">
        <f>IF('Journal'!G1275="","",'Journal'!G1275)</f>
        <v/>
      </c>
      <c r="H2548" s="5">
        <f>IF('Journal'!I1275="","",'Journal'!I1275)</f>
        <v/>
      </c>
    </row>
    <row r="2549">
      <c r="A2549" s="18">
        <f>IF('Journal'!A1276="","",'Journal'!A1276)</f>
        <v/>
      </c>
      <c r="B2549" s="21">
        <f>IF('Journal'!B1276="","",'Journal'!B1276)</f>
        <v/>
      </c>
      <c r="C2549" s="5">
        <f>IF('Journal'!C1276="","",'Journal'!C1276)</f>
        <v/>
      </c>
      <c r="D2549" s="5">
        <f>IF('Journal'!D1276="","",IFERROR(LEFT('Journal'!D1276,FIND(" ",'Journal'!D1276)-1),'Journal'!D1276))</f>
        <v/>
      </c>
      <c r="E2549" s="5">
        <f>IF('Journal'!D1276="","",IFERROR(INDEX('Kontoplan'!$B$3:$B$302,MATCH('Journal'!D1276,'Kontoplan'!$H$3:$H$302,0)),""))</f>
        <v/>
      </c>
      <c r="F2549" s="20">
        <f>IF('Journal'!G1276="","",'Journal'!G1276)</f>
        <v/>
      </c>
      <c r="G2549" s="20">
        <f>IF('Journal'!F1276="","",'Journal'!F1276)</f>
        <v/>
      </c>
      <c r="H2549" s="5">
        <f>IF('Journal'!I1276="","",'Journal'!I1276)</f>
        <v/>
      </c>
    </row>
    <row r="2550">
      <c r="A2550" s="18">
        <f>IF('Journal'!A1276="","",'Journal'!A1276)</f>
        <v/>
      </c>
      <c r="B2550" s="21">
        <f>IF('Journal'!B1276="","",'Journal'!B1276)</f>
        <v/>
      </c>
      <c r="C2550" s="5">
        <f>IF('Journal'!C1276="","",'Journal'!C1276)</f>
        <v/>
      </c>
      <c r="D2550" s="5">
        <f>IF('Journal'!E1276="","",IFERROR(LEFT('Journal'!E1276,FIND(" ",'Journal'!E1276)-1),'Journal'!E1276))</f>
        <v/>
      </c>
      <c r="E2550" s="5">
        <f>IF('Journal'!E1276="","",IFERROR(INDEX('Kontoplan'!$B$3:$B$302,MATCH('Journal'!E1276,'Kontoplan'!$H$3:$H$302,0)),""))</f>
        <v/>
      </c>
      <c r="F2550" s="20">
        <f>IF('Journal'!F1276="","",'Journal'!F1276)</f>
        <v/>
      </c>
      <c r="G2550" s="20">
        <f>IF('Journal'!G1276="","",'Journal'!G1276)</f>
        <v/>
      </c>
      <c r="H2550" s="5">
        <f>IF('Journal'!I1276="","",'Journal'!I1276)</f>
        <v/>
      </c>
    </row>
    <row r="2551">
      <c r="A2551" s="18">
        <f>IF('Journal'!A1277="","",'Journal'!A1277)</f>
        <v/>
      </c>
      <c r="B2551" s="21">
        <f>IF('Journal'!B1277="","",'Journal'!B1277)</f>
        <v/>
      </c>
      <c r="C2551" s="5">
        <f>IF('Journal'!C1277="","",'Journal'!C1277)</f>
        <v/>
      </c>
      <c r="D2551" s="5">
        <f>IF('Journal'!D1277="","",IFERROR(LEFT('Journal'!D1277,FIND(" ",'Journal'!D1277)-1),'Journal'!D1277))</f>
        <v/>
      </c>
      <c r="E2551" s="5">
        <f>IF('Journal'!D1277="","",IFERROR(INDEX('Kontoplan'!$B$3:$B$302,MATCH('Journal'!D1277,'Kontoplan'!$H$3:$H$302,0)),""))</f>
        <v/>
      </c>
      <c r="F2551" s="20">
        <f>IF('Journal'!G1277="","",'Journal'!G1277)</f>
        <v/>
      </c>
      <c r="G2551" s="20">
        <f>IF('Journal'!F1277="","",'Journal'!F1277)</f>
        <v/>
      </c>
      <c r="H2551" s="5">
        <f>IF('Journal'!I1277="","",'Journal'!I1277)</f>
        <v/>
      </c>
    </row>
    <row r="2552">
      <c r="A2552" s="18">
        <f>IF('Journal'!A1277="","",'Journal'!A1277)</f>
        <v/>
      </c>
      <c r="B2552" s="21">
        <f>IF('Journal'!B1277="","",'Journal'!B1277)</f>
        <v/>
      </c>
      <c r="C2552" s="5">
        <f>IF('Journal'!C1277="","",'Journal'!C1277)</f>
        <v/>
      </c>
      <c r="D2552" s="5">
        <f>IF('Journal'!E1277="","",IFERROR(LEFT('Journal'!E1277,FIND(" ",'Journal'!E1277)-1),'Journal'!E1277))</f>
        <v/>
      </c>
      <c r="E2552" s="5">
        <f>IF('Journal'!E1277="","",IFERROR(INDEX('Kontoplan'!$B$3:$B$302,MATCH('Journal'!E1277,'Kontoplan'!$H$3:$H$302,0)),""))</f>
        <v/>
      </c>
      <c r="F2552" s="20">
        <f>IF('Journal'!F1277="","",'Journal'!F1277)</f>
        <v/>
      </c>
      <c r="G2552" s="20">
        <f>IF('Journal'!G1277="","",'Journal'!G1277)</f>
        <v/>
      </c>
      <c r="H2552" s="5">
        <f>IF('Journal'!I1277="","",'Journal'!I1277)</f>
        <v/>
      </c>
    </row>
    <row r="2553">
      <c r="A2553" s="18">
        <f>IF('Journal'!A1278="","",'Journal'!A1278)</f>
        <v/>
      </c>
      <c r="B2553" s="21">
        <f>IF('Journal'!B1278="","",'Journal'!B1278)</f>
        <v/>
      </c>
      <c r="C2553" s="5">
        <f>IF('Journal'!C1278="","",'Journal'!C1278)</f>
        <v/>
      </c>
      <c r="D2553" s="5">
        <f>IF('Journal'!D1278="","",IFERROR(LEFT('Journal'!D1278,FIND(" ",'Journal'!D1278)-1),'Journal'!D1278))</f>
        <v/>
      </c>
      <c r="E2553" s="5">
        <f>IF('Journal'!D1278="","",IFERROR(INDEX('Kontoplan'!$B$3:$B$302,MATCH('Journal'!D1278,'Kontoplan'!$H$3:$H$302,0)),""))</f>
        <v/>
      </c>
      <c r="F2553" s="20">
        <f>IF('Journal'!G1278="","",'Journal'!G1278)</f>
        <v/>
      </c>
      <c r="G2553" s="20">
        <f>IF('Journal'!F1278="","",'Journal'!F1278)</f>
        <v/>
      </c>
      <c r="H2553" s="5">
        <f>IF('Journal'!I1278="","",'Journal'!I1278)</f>
        <v/>
      </c>
    </row>
    <row r="2554">
      <c r="A2554" s="18">
        <f>IF('Journal'!A1278="","",'Journal'!A1278)</f>
        <v/>
      </c>
      <c r="B2554" s="21">
        <f>IF('Journal'!B1278="","",'Journal'!B1278)</f>
        <v/>
      </c>
      <c r="C2554" s="5">
        <f>IF('Journal'!C1278="","",'Journal'!C1278)</f>
        <v/>
      </c>
      <c r="D2554" s="5">
        <f>IF('Journal'!E1278="","",IFERROR(LEFT('Journal'!E1278,FIND(" ",'Journal'!E1278)-1),'Journal'!E1278))</f>
        <v/>
      </c>
      <c r="E2554" s="5">
        <f>IF('Journal'!E1278="","",IFERROR(INDEX('Kontoplan'!$B$3:$B$302,MATCH('Journal'!E1278,'Kontoplan'!$H$3:$H$302,0)),""))</f>
        <v/>
      </c>
      <c r="F2554" s="20">
        <f>IF('Journal'!F1278="","",'Journal'!F1278)</f>
        <v/>
      </c>
      <c r="G2554" s="20">
        <f>IF('Journal'!G1278="","",'Journal'!G1278)</f>
        <v/>
      </c>
      <c r="H2554" s="5">
        <f>IF('Journal'!I1278="","",'Journal'!I1278)</f>
        <v/>
      </c>
    </row>
    <row r="2555">
      <c r="A2555" s="18">
        <f>IF('Journal'!A1279="","",'Journal'!A1279)</f>
        <v/>
      </c>
      <c r="B2555" s="21">
        <f>IF('Journal'!B1279="","",'Journal'!B1279)</f>
        <v/>
      </c>
      <c r="C2555" s="5">
        <f>IF('Journal'!C1279="","",'Journal'!C1279)</f>
        <v/>
      </c>
      <c r="D2555" s="5">
        <f>IF('Journal'!D1279="","",IFERROR(LEFT('Journal'!D1279,FIND(" ",'Journal'!D1279)-1),'Journal'!D1279))</f>
        <v/>
      </c>
      <c r="E2555" s="5">
        <f>IF('Journal'!D1279="","",IFERROR(INDEX('Kontoplan'!$B$3:$B$302,MATCH('Journal'!D1279,'Kontoplan'!$H$3:$H$302,0)),""))</f>
        <v/>
      </c>
      <c r="F2555" s="20">
        <f>IF('Journal'!G1279="","",'Journal'!G1279)</f>
        <v/>
      </c>
      <c r="G2555" s="20">
        <f>IF('Journal'!F1279="","",'Journal'!F1279)</f>
        <v/>
      </c>
      <c r="H2555" s="5">
        <f>IF('Journal'!I1279="","",'Journal'!I1279)</f>
        <v/>
      </c>
    </row>
    <row r="2556">
      <c r="A2556" s="18">
        <f>IF('Journal'!A1279="","",'Journal'!A1279)</f>
        <v/>
      </c>
      <c r="B2556" s="21">
        <f>IF('Journal'!B1279="","",'Journal'!B1279)</f>
        <v/>
      </c>
      <c r="C2556" s="5">
        <f>IF('Journal'!C1279="","",'Journal'!C1279)</f>
        <v/>
      </c>
      <c r="D2556" s="5">
        <f>IF('Journal'!E1279="","",IFERROR(LEFT('Journal'!E1279,FIND(" ",'Journal'!E1279)-1),'Journal'!E1279))</f>
        <v/>
      </c>
      <c r="E2556" s="5">
        <f>IF('Journal'!E1279="","",IFERROR(INDEX('Kontoplan'!$B$3:$B$302,MATCH('Journal'!E1279,'Kontoplan'!$H$3:$H$302,0)),""))</f>
        <v/>
      </c>
      <c r="F2556" s="20">
        <f>IF('Journal'!F1279="","",'Journal'!F1279)</f>
        <v/>
      </c>
      <c r="G2556" s="20">
        <f>IF('Journal'!G1279="","",'Journal'!G1279)</f>
        <v/>
      </c>
      <c r="H2556" s="5">
        <f>IF('Journal'!I1279="","",'Journal'!I1279)</f>
        <v/>
      </c>
    </row>
    <row r="2557">
      <c r="A2557" s="18">
        <f>IF('Journal'!A1280="","",'Journal'!A1280)</f>
        <v/>
      </c>
      <c r="B2557" s="21">
        <f>IF('Journal'!B1280="","",'Journal'!B1280)</f>
        <v/>
      </c>
      <c r="C2557" s="5">
        <f>IF('Journal'!C1280="","",'Journal'!C1280)</f>
        <v/>
      </c>
      <c r="D2557" s="5">
        <f>IF('Journal'!D1280="","",IFERROR(LEFT('Journal'!D1280,FIND(" ",'Journal'!D1280)-1),'Journal'!D1280))</f>
        <v/>
      </c>
      <c r="E2557" s="5">
        <f>IF('Journal'!D1280="","",IFERROR(INDEX('Kontoplan'!$B$3:$B$302,MATCH('Journal'!D1280,'Kontoplan'!$H$3:$H$302,0)),""))</f>
        <v/>
      </c>
      <c r="F2557" s="20">
        <f>IF('Journal'!G1280="","",'Journal'!G1280)</f>
        <v/>
      </c>
      <c r="G2557" s="20">
        <f>IF('Journal'!F1280="","",'Journal'!F1280)</f>
        <v/>
      </c>
      <c r="H2557" s="5">
        <f>IF('Journal'!I1280="","",'Journal'!I1280)</f>
        <v/>
      </c>
    </row>
    <row r="2558">
      <c r="A2558" s="18">
        <f>IF('Journal'!A1280="","",'Journal'!A1280)</f>
        <v/>
      </c>
      <c r="B2558" s="21">
        <f>IF('Journal'!B1280="","",'Journal'!B1280)</f>
        <v/>
      </c>
      <c r="C2558" s="5">
        <f>IF('Journal'!C1280="","",'Journal'!C1280)</f>
        <v/>
      </c>
      <c r="D2558" s="5">
        <f>IF('Journal'!E1280="","",IFERROR(LEFT('Journal'!E1280,FIND(" ",'Journal'!E1280)-1),'Journal'!E1280))</f>
        <v/>
      </c>
      <c r="E2558" s="5">
        <f>IF('Journal'!E1280="","",IFERROR(INDEX('Kontoplan'!$B$3:$B$302,MATCH('Journal'!E1280,'Kontoplan'!$H$3:$H$302,0)),""))</f>
        <v/>
      </c>
      <c r="F2558" s="20">
        <f>IF('Journal'!F1280="","",'Journal'!F1280)</f>
        <v/>
      </c>
      <c r="G2558" s="20">
        <f>IF('Journal'!G1280="","",'Journal'!G1280)</f>
        <v/>
      </c>
      <c r="H2558" s="5">
        <f>IF('Journal'!I1280="","",'Journal'!I1280)</f>
        <v/>
      </c>
    </row>
    <row r="2559">
      <c r="A2559" s="18">
        <f>IF('Journal'!A1281="","",'Journal'!A1281)</f>
        <v/>
      </c>
      <c r="B2559" s="21">
        <f>IF('Journal'!B1281="","",'Journal'!B1281)</f>
        <v/>
      </c>
      <c r="C2559" s="5">
        <f>IF('Journal'!C1281="","",'Journal'!C1281)</f>
        <v/>
      </c>
      <c r="D2559" s="5">
        <f>IF('Journal'!D1281="","",IFERROR(LEFT('Journal'!D1281,FIND(" ",'Journal'!D1281)-1),'Journal'!D1281))</f>
        <v/>
      </c>
      <c r="E2559" s="5">
        <f>IF('Journal'!D1281="","",IFERROR(INDEX('Kontoplan'!$B$3:$B$302,MATCH('Journal'!D1281,'Kontoplan'!$H$3:$H$302,0)),""))</f>
        <v/>
      </c>
      <c r="F2559" s="20">
        <f>IF('Journal'!G1281="","",'Journal'!G1281)</f>
        <v/>
      </c>
      <c r="G2559" s="20">
        <f>IF('Journal'!F1281="","",'Journal'!F1281)</f>
        <v/>
      </c>
      <c r="H2559" s="5">
        <f>IF('Journal'!I1281="","",'Journal'!I1281)</f>
        <v/>
      </c>
    </row>
    <row r="2560">
      <c r="A2560" s="18">
        <f>IF('Journal'!A1281="","",'Journal'!A1281)</f>
        <v/>
      </c>
      <c r="B2560" s="21">
        <f>IF('Journal'!B1281="","",'Journal'!B1281)</f>
        <v/>
      </c>
      <c r="C2560" s="5">
        <f>IF('Journal'!C1281="","",'Journal'!C1281)</f>
        <v/>
      </c>
      <c r="D2560" s="5">
        <f>IF('Journal'!E1281="","",IFERROR(LEFT('Journal'!E1281,FIND(" ",'Journal'!E1281)-1),'Journal'!E1281))</f>
        <v/>
      </c>
      <c r="E2560" s="5">
        <f>IF('Journal'!E1281="","",IFERROR(INDEX('Kontoplan'!$B$3:$B$302,MATCH('Journal'!E1281,'Kontoplan'!$H$3:$H$302,0)),""))</f>
        <v/>
      </c>
      <c r="F2560" s="20">
        <f>IF('Journal'!F1281="","",'Journal'!F1281)</f>
        <v/>
      </c>
      <c r="G2560" s="20">
        <f>IF('Journal'!G1281="","",'Journal'!G1281)</f>
        <v/>
      </c>
      <c r="H2560" s="5">
        <f>IF('Journal'!I1281="","",'Journal'!I1281)</f>
        <v/>
      </c>
    </row>
    <row r="2561">
      <c r="A2561" s="18">
        <f>IF('Journal'!A1282="","",'Journal'!A1282)</f>
        <v/>
      </c>
      <c r="B2561" s="21">
        <f>IF('Journal'!B1282="","",'Journal'!B1282)</f>
        <v/>
      </c>
      <c r="C2561" s="5">
        <f>IF('Journal'!C1282="","",'Journal'!C1282)</f>
        <v/>
      </c>
      <c r="D2561" s="5">
        <f>IF('Journal'!D1282="","",IFERROR(LEFT('Journal'!D1282,FIND(" ",'Journal'!D1282)-1),'Journal'!D1282))</f>
        <v/>
      </c>
      <c r="E2561" s="5">
        <f>IF('Journal'!D1282="","",IFERROR(INDEX('Kontoplan'!$B$3:$B$302,MATCH('Journal'!D1282,'Kontoplan'!$H$3:$H$302,0)),""))</f>
        <v/>
      </c>
      <c r="F2561" s="20">
        <f>IF('Journal'!G1282="","",'Journal'!G1282)</f>
        <v/>
      </c>
      <c r="G2561" s="20">
        <f>IF('Journal'!F1282="","",'Journal'!F1282)</f>
        <v/>
      </c>
      <c r="H2561" s="5">
        <f>IF('Journal'!I1282="","",'Journal'!I1282)</f>
        <v/>
      </c>
    </row>
    <row r="2562">
      <c r="A2562" s="18">
        <f>IF('Journal'!A1282="","",'Journal'!A1282)</f>
        <v/>
      </c>
      <c r="B2562" s="21">
        <f>IF('Journal'!B1282="","",'Journal'!B1282)</f>
        <v/>
      </c>
      <c r="C2562" s="5">
        <f>IF('Journal'!C1282="","",'Journal'!C1282)</f>
        <v/>
      </c>
      <c r="D2562" s="5">
        <f>IF('Journal'!E1282="","",IFERROR(LEFT('Journal'!E1282,FIND(" ",'Journal'!E1282)-1),'Journal'!E1282))</f>
        <v/>
      </c>
      <c r="E2562" s="5">
        <f>IF('Journal'!E1282="","",IFERROR(INDEX('Kontoplan'!$B$3:$B$302,MATCH('Journal'!E1282,'Kontoplan'!$H$3:$H$302,0)),""))</f>
        <v/>
      </c>
      <c r="F2562" s="20">
        <f>IF('Journal'!F1282="","",'Journal'!F1282)</f>
        <v/>
      </c>
      <c r="G2562" s="20">
        <f>IF('Journal'!G1282="","",'Journal'!G1282)</f>
        <v/>
      </c>
      <c r="H2562" s="5">
        <f>IF('Journal'!I1282="","",'Journal'!I1282)</f>
        <v/>
      </c>
    </row>
    <row r="2563">
      <c r="A2563" s="18">
        <f>IF('Journal'!A1283="","",'Journal'!A1283)</f>
        <v/>
      </c>
      <c r="B2563" s="21">
        <f>IF('Journal'!B1283="","",'Journal'!B1283)</f>
        <v/>
      </c>
      <c r="C2563" s="5">
        <f>IF('Journal'!C1283="","",'Journal'!C1283)</f>
        <v/>
      </c>
      <c r="D2563" s="5">
        <f>IF('Journal'!D1283="","",IFERROR(LEFT('Journal'!D1283,FIND(" ",'Journal'!D1283)-1),'Journal'!D1283))</f>
        <v/>
      </c>
      <c r="E2563" s="5">
        <f>IF('Journal'!D1283="","",IFERROR(INDEX('Kontoplan'!$B$3:$B$302,MATCH('Journal'!D1283,'Kontoplan'!$H$3:$H$302,0)),""))</f>
        <v/>
      </c>
      <c r="F2563" s="20">
        <f>IF('Journal'!G1283="","",'Journal'!G1283)</f>
        <v/>
      </c>
      <c r="G2563" s="20">
        <f>IF('Journal'!F1283="","",'Journal'!F1283)</f>
        <v/>
      </c>
      <c r="H2563" s="5">
        <f>IF('Journal'!I1283="","",'Journal'!I1283)</f>
        <v/>
      </c>
    </row>
    <row r="2564">
      <c r="A2564" s="18">
        <f>IF('Journal'!A1283="","",'Journal'!A1283)</f>
        <v/>
      </c>
      <c r="B2564" s="21">
        <f>IF('Journal'!B1283="","",'Journal'!B1283)</f>
        <v/>
      </c>
      <c r="C2564" s="5">
        <f>IF('Journal'!C1283="","",'Journal'!C1283)</f>
        <v/>
      </c>
      <c r="D2564" s="5">
        <f>IF('Journal'!E1283="","",IFERROR(LEFT('Journal'!E1283,FIND(" ",'Journal'!E1283)-1),'Journal'!E1283))</f>
        <v/>
      </c>
      <c r="E2564" s="5">
        <f>IF('Journal'!E1283="","",IFERROR(INDEX('Kontoplan'!$B$3:$B$302,MATCH('Journal'!E1283,'Kontoplan'!$H$3:$H$302,0)),""))</f>
        <v/>
      </c>
      <c r="F2564" s="20">
        <f>IF('Journal'!F1283="","",'Journal'!F1283)</f>
        <v/>
      </c>
      <c r="G2564" s="20">
        <f>IF('Journal'!G1283="","",'Journal'!G1283)</f>
        <v/>
      </c>
      <c r="H2564" s="5">
        <f>IF('Journal'!I1283="","",'Journal'!I1283)</f>
        <v/>
      </c>
    </row>
    <row r="2565">
      <c r="A2565" s="18">
        <f>IF('Journal'!A1284="","",'Journal'!A1284)</f>
        <v/>
      </c>
      <c r="B2565" s="21">
        <f>IF('Journal'!B1284="","",'Journal'!B1284)</f>
        <v/>
      </c>
      <c r="C2565" s="5">
        <f>IF('Journal'!C1284="","",'Journal'!C1284)</f>
        <v/>
      </c>
      <c r="D2565" s="5">
        <f>IF('Journal'!D1284="","",IFERROR(LEFT('Journal'!D1284,FIND(" ",'Journal'!D1284)-1),'Journal'!D1284))</f>
        <v/>
      </c>
      <c r="E2565" s="5">
        <f>IF('Journal'!D1284="","",IFERROR(INDEX('Kontoplan'!$B$3:$B$302,MATCH('Journal'!D1284,'Kontoplan'!$H$3:$H$302,0)),""))</f>
        <v/>
      </c>
      <c r="F2565" s="20">
        <f>IF('Journal'!G1284="","",'Journal'!G1284)</f>
        <v/>
      </c>
      <c r="G2565" s="20">
        <f>IF('Journal'!F1284="","",'Journal'!F1284)</f>
        <v/>
      </c>
      <c r="H2565" s="5">
        <f>IF('Journal'!I1284="","",'Journal'!I1284)</f>
        <v/>
      </c>
    </row>
    <row r="2566">
      <c r="A2566" s="18">
        <f>IF('Journal'!A1284="","",'Journal'!A1284)</f>
        <v/>
      </c>
      <c r="B2566" s="21">
        <f>IF('Journal'!B1284="","",'Journal'!B1284)</f>
        <v/>
      </c>
      <c r="C2566" s="5">
        <f>IF('Journal'!C1284="","",'Journal'!C1284)</f>
        <v/>
      </c>
      <c r="D2566" s="5">
        <f>IF('Journal'!E1284="","",IFERROR(LEFT('Journal'!E1284,FIND(" ",'Journal'!E1284)-1),'Journal'!E1284))</f>
        <v/>
      </c>
      <c r="E2566" s="5">
        <f>IF('Journal'!E1284="","",IFERROR(INDEX('Kontoplan'!$B$3:$B$302,MATCH('Journal'!E1284,'Kontoplan'!$H$3:$H$302,0)),""))</f>
        <v/>
      </c>
      <c r="F2566" s="20">
        <f>IF('Journal'!F1284="","",'Journal'!F1284)</f>
        <v/>
      </c>
      <c r="G2566" s="20">
        <f>IF('Journal'!G1284="","",'Journal'!G1284)</f>
        <v/>
      </c>
      <c r="H2566" s="5">
        <f>IF('Journal'!I1284="","",'Journal'!I1284)</f>
        <v/>
      </c>
    </row>
    <row r="2567">
      <c r="A2567" s="18">
        <f>IF('Journal'!A1285="","",'Journal'!A1285)</f>
        <v/>
      </c>
      <c r="B2567" s="21">
        <f>IF('Journal'!B1285="","",'Journal'!B1285)</f>
        <v/>
      </c>
      <c r="C2567" s="5">
        <f>IF('Journal'!C1285="","",'Journal'!C1285)</f>
        <v/>
      </c>
      <c r="D2567" s="5">
        <f>IF('Journal'!D1285="","",IFERROR(LEFT('Journal'!D1285,FIND(" ",'Journal'!D1285)-1),'Journal'!D1285))</f>
        <v/>
      </c>
      <c r="E2567" s="5">
        <f>IF('Journal'!D1285="","",IFERROR(INDEX('Kontoplan'!$B$3:$B$302,MATCH('Journal'!D1285,'Kontoplan'!$H$3:$H$302,0)),""))</f>
        <v/>
      </c>
      <c r="F2567" s="20">
        <f>IF('Journal'!G1285="","",'Journal'!G1285)</f>
        <v/>
      </c>
      <c r="G2567" s="20">
        <f>IF('Journal'!F1285="","",'Journal'!F1285)</f>
        <v/>
      </c>
      <c r="H2567" s="5">
        <f>IF('Journal'!I1285="","",'Journal'!I1285)</f>
        <v/>
      </c>
    </row>
    <row r="2568">
      <c r="A2568" s="18">
        <f>IF('Journal'!A1285="","",'Journal'!A1285)</f>
        <v/>
      </c>
      <c r="B2568" s="21">
        <f>IF('Journal'!B1285="","",'Journal'!B1285)</f>
        <v/>
      </c>
      <c r="C2568" s="5">
        <f>IF('Journal'!C1285="","",'Journal'!C1285)</f>
        <v/>
      </c>
      <c r="D2568" s="5">
        <f>IF('Journal'!E1285="","",IFERROR(LEFT('Journal'!E1285,FIND(" ",'Journal'!E1285)-1),'Journal'!E1285))</f>
        <v/>
      </c>
      <c r="E2568" s="5">
        <f>IF('Journal'!E1285="","",IFERROR(INDEX('Kontoplan'!$B$3:$B$302,MATCH('Journal'!E1285,'Kontoplan'!$H$3:$H$302,0)),""))</f>
        <v/>
      </c>
      <c r="F2568" s="20">
        <f>IF('Journal'!F1285="","",'Journal'!F1285)</f>
        <v/>
      </c>
      <c r="G2568" s="20">
        <f>IF('Journal'!G1285="","",'Journal'!G1285)</f>
        <v/>
      </c>
      <c r="H2568" s="5">
        <f>IF('Journal'!I1285="","",'Journal'!I1285)</f>
        <v/>
      </c>
    </row>
    <row r="2569">
      <c r="A2569" s="18">
        <f>IF('Journal'!A1286="","",'Journal'!A1286)</f>
        <v/>
      </c>
      <c r="B2569" s="21">
        <f>IF('Journal'!B1286="","",'Journal'!B1286)</f>
        <v/>
      </c>
      <c r="C2569" s="5">
        <f>IF('Journal'!C1286="","",'Journal'!C1286)</f>
        <v/>
      </c>
      <c r="D2569" s="5">
        <f>IF('Journal'!D1286="","",IFERROR(LEFT('Journal'!D1286,FIND(" ",'Journal'!D1286)-1),'Journal'!D1286))</f>
        <v/>
      </c>
      <c r="E2569" s="5">
        <f>IF('Journal'!D1286="","",IFERROR(INDEX('Kontoplan'!$B$3:$B$302,MATCH('Journal'!D1286,'Kontoplan'!$H$3:$H$302,0)),""))</f>
        <v/>
      </c>
      <c r="F2569" s="20">
        <f>IF('Journal'!G1286="","",'Journal'!G1286)</f>
        <v/>
      </c>
      <c r="G2569" s="20">
        <f>IF('Journal'!F1286="","",'Journal'!F1286)</f>
        <v/>
      </c>
      <c r="H2569" s="5">
        <f>IF('Journal'!I1286="","",'Journal'!I1286)</f>
        <v/>
      </c>
    </row>
    <row r="2570">
      <c r="A2570" s="18">
        <f>IF('Journal'!A1286="","",'Journal'!A1286)</f>
        <v/>
      </c>
      <c r="B2570" s="21">
        <f>IF('Journal'!B1286="","",'Journal'!B1286)</f>
        <v/>
      </c>
      <c r="C2570" s="5">
        <f>IF('Journal'!C1286="","",'Journal'!C1286)</f>
        <v/>
      </c>
      <c r="D2570" s="5">
        <f>IF('Journal'!E1286="","",IFERROR(LEFT('Journal'!E1286,FIND(" ",'Journal'!E1286)-1),'Journal'!E1286))</f>
        <v/>
      </c>
      <c r="E2570" s="5">
        <f>IF('Journal'!E1286="","",IFERROR(INDEX('Kontoplan'!$B$3:$B$302,MATCH('Journal'!E1286,'Kontoplan'!$H$3:$H$302,0)),""))</f>
        <v/>
      </c>
      <c r="F2570" s="20">
        <f>IF('Journal'!F1286="","",'Journal'!F1286)</f>
        <v/>
      </c>
      <c r="G2570" s="20">
        <f>IF('Journal'!G1286="","",'Journal'!G1286)</f>
        <v/>
      </c>
      <c r="H2570" s="5">
        <f>IF('Journal'!I1286="","",'Journal'!I1286)</f>
        <v/>
      </c>
    </row>
    <row r="2571">
      <c r="A2571" s="18">
        <f>IF('Journal'!A1287="","",'Journal'!A1287)</f>
        <v/>
      </c>
      <c r="B2571" s="21">
        <f>IF('Journal'!B1287="","",'Journal'!B1287)</f>
        <v/>
      </c>
      <c r="C2571" s="5">
        <f>IF('Journal'!C1287="","",'Journal'!C1287)</f>
        <v/>
      </c>
      <c r="D2571" s="5">
        <f>IF('Journal'!D1287="","",IFERROR(LEFT('Journal'!D1287,FIND(" ",'Journal'!D1287)-1),'Journal'!D1287))</f>
        <v/>
      </c>
      <c r="E2571" s="5">
        <f>IF('Journal'!D1287="","",IFERROR(INDEX('Kontoplan'!$B$3:$B$302,MATCH('Journal'!D1287,'Kontoplan'!$H$3:$H$302,0)),""))</f>
        <v/>
      </c>
      <c r="F2571" s="20">
        <f>IF('Journal'!G1287="","",'Journal'!G1287)</f>
        <v/>
      </c>
      <c r="G2571" s="20">
        <f>IF('Journal'!F1287="","",'Journal'!F1287)</f>
        <v/>
      </c>
      <c r="H2571" s="5">
        <f>IF('Journal'!I1287="","",'Journal'!I1287)</f>
        <v/>
      </c>
    </row>
    <row r="2572">
      <c r="A2572" s="18">
        <f>IF('Journal'!A1287="","",'Journal'!A1287)</f>
        <v/>
      </c>
      <c r="B2572" s="21">
        <f>IF('Journal'!B1287="","",'Journal'!B1287)</f>
        <v/>
      </c>
      <c r="C2572" s="5">
        <f>IF('Journal'!C1287="","",'Journal'!C1287)</f>
        <v/>
      </c>
      <c r="D2572" s="5">
        <f>IF('Journal'!E1287="","",IFERROR(LEFT('Journal'!E1287,FIND(" ",'Journal'!E1287)-1),'Journal'!E1287))</f>
        <v/>
      </c>
      <c r="E2572" s="5">
        <f>IF('Journal'!E1287="","",IFERROR(INDEX('Kontoplan'!$B$3:$B$302,MATCH('Journal'!E1287,'Kontoplan'!$H$3:$H$302,0)),""))</f>
        <v/>
      </c>
      <c r="F2572" s="20">
        <f>IF('Journal'!F1287="","",'Journal'!F1287)</f>
        <v/>
      </c>
      <c r="G2572" s="20">
        <f>IF('Journal'!G1287="","",'Journal'!G1287)</f>
        <v/>
      </c>
      <c r="H2572" s="5">
        <f>IF('Journal'!I1287="","",'Journal'!I1287)</f>
        <v/>
      </c>
    </row>
    <row r="2573">
      <c r="A2573" s="18">
        <f>IF('Journal'!A1288="","",'Journal'!A1288)</f>
        <v/>
      </c>
      <c r="B2573" s="21">
        <f>IF('Journal'!B1288="","",'Journal'!B1288)</f>
        <v/>
      </c>
      <c r="C2573" s="5">
        <f>IF('Journal'!C1288="","",'Journal'!C1288)</f>
        <v/>
      </c>
      <c r="D2573" s="5">
        <f>IF('Journal'!D1288="","",IFERROR(LEFT('Journal'!D1288,FIND(" ",'Journal'!D1288)-1),'Journal'!D1288))</f>
        <v/>
      </c>
      <c r="E2573" s="5">
        <f>IF('Journal'!D1288="","",IFERROR(INDEX('Kontoplan'!$B$3:$B$302,MATCH('Journal'!D1288,'Kontoplan'!$H$3:$H$302,0)),""))</f>
        <v/>
      </c>
      <c r="F2573" s="20">
        <f>IF('Journal'!G1288="","",'Journal'!G1288)</f>
        <v/>
      </c>
      <c r="G2573" s="20">
        <f>IF('Journal'!F1288="","",'Journal'!F1288)</f>
        <v/>
      </c>
      <c r="H2573" s="5">
        <f>IF('Journal'!I1288="","",'Journal'!I1288)</f>
        <v/>
      </c>
    </row>
    <row r="2574">
      <c r="A2574" s="18">
        <f>IF('Journal'!A1288="","",'Journal'!A1288)</f>
        <v/>
      </c>
      <c r="B2574" s="21">
        <f>IF('Journal'!B1288="","",'Journal'!B1288)</f>
        <v/>
      </c>
      <c r="C2574" s="5">
        <f>IF('Journal'!C1288="","",'Journal'!C1288)</f>
        <v/>
      </c>
      <c r="D2574" s="5">
        <f>IF('Journal'!E1288="","",IFERROR(LEFT('Journal'!E1288,FIND(" ",'Journal'!E1288)-1),'Journal'!E1288))</f>
        <v/>
      </c>
      <c r="E2574" s="5">
        <f>IF('Journal'!E1288="","",IFERROR(INDEX('Kontoplan'!$B$3:$B$302,MATCH('Journal'!E1288,'Kontoplan'!$H$3:$H$302,0)),""))</f>
        <v/>
      </c>
      <c r="F2574" s="20">
        <f>IF('Journal'!F1288="","",'Journal'!F1288)</f>
        <v/>
      </c>
      <c r="G2574" s="20">
        <f>IF('Journal'!G1288="","",'Journal'!G1288)</f>
        <v/>
      </c>
      <c r="H2574" s="5">
        <f>IF('Journal'!I1288="","",'Journal'!I1288)</f>
        <v/>
      </c>
    </row>
    <row r="2575">
      <c r="A2575" s="18">
        <f>IF('Journal'!A1289="","",'Journal'!A1289)</f>
        <v/>
      </c>
      <c r="B2575" s="21">
        <f>IF('Journal'!B1289="","",'Journal'!B1289)</f>
        <v/>
      </c>
      <c r="C2575" s="5">
        <f>IF('Journal'!C1289="","",'Journal'!C1289)</f>
        <v/>
      </c>
      <c r="D2575" s="5">
        <f>IF('Journal'!D1289="","",IFERROR(LEFT('Journal'!D1289,FIND(" ",'Journal'!D1289)-1),'Journal'!D1289))</f>
        <v/>
      </c>
      <c r="E2575" s="5">
        <f>IF('Journal'!D1289="","",IFERROR(INDEX('Kontoplan'!$B$3:$B$302,MATCH('Journal'!D1289,'Kontoplan'!$H$3:$H$302,0)),""))</f>
        <v/>
      </c>
      <c r="F2575" s="20">
        <f>IF('Journal'!G1289="","",'Journal'!G1289)</f>
        <v/>
      </c>
      <c r="G2575" s="20">
        <f>IF('Journal'!F1289="","",'Journal'!F1289)</f>
        <v/>
      </c>
      <c r="H2575" s="5">
        <f>IF('Journal'!I1289="","",'Journal'!I1289)</f>
        <v/>
      </c>
    </row>
    <row r="2576">
      <c r="A2576" s="18">
        <f>IF('Journal'!A1289="","",'Journal'!A1289)</f>
        <v/>
      </c>
      <c r="B2576" s="21">
        <f>IF('Journal'!B1289="","",'Journal'!B1289)</f>
        <v/>
      </c>
      <c r="C2576" s="5">
        <f>IF('Journal'!C1289="","",'Journal'!C1289)</f>
        <v/>
      </c>
      <c r="D2576" s="5">
        <f>IF('Journal'!E1289="","",IFERROR(LEFT('Journal'!E1289,FIND(" ",'Journal'!E1289)-1),'Journal'!E1289))</f>
        <v/>
      </c>
      <c r="E2576" s="5">
        <f>IF('Journal'!E1289="","",IFERROR(INDEX('Kontoplan'!$B$3:$B$302,MATCH('Journal'!E1289,'Kontoplan'!$H$3:$H$302,0)),""))</f>
        <v/>
      </c>
      <c r="F2576" s="20">
        <f>IF('Journal'!F1289="","",'Journal'!F1289)</f>
        <v/>
      </c>
      <c r="G2576" s="20">
        <f>IF('Journal'!G1289="","",'Journal'!G1289)</f>
        <v/>
      </c>
      <c r="H2576" s="5">
        <f>IF('Journal'!I1289="","",'Journal'!I1289)</f>
        <v/>
      </c>
    </row>
    <row r="2577">
      <c r="A2577" s="18">
        <f>IF('Journal'!A1290="","",'Journal'!A1290)</f>
        <v/>
      </c>
      <c r="B2577" s="21">
        <f>IF('Journal'!B1290="","",'Journal'!B1290)</f>
        <v/>
      </c>
      <c r="C2577" s="5">
        <f>IF('Journal'!C1290="","",'Journal'!C1290)</f>
        <v/>
      </c>
      <c r="D2577" s="5">
        <f>IF('Journal'!D1290="","",IFERROR(LEFT('Journal'!D1290,FIND(" ",'Journal'!D1290)-1),'Journal'!D1290))</f>
        <v/>
      </c>
      <c r="E2577" s="5">
        <f>IF('Journal'!D1290="","",IFERROR(INDEX('Kontoplan'!$B$3:$B$302,MATCH('Journal'!D1290,'Kontoplan'!$H$3:$H$302,0)),""))</f>
        <v/>
      </c>
      <c r="F2577" s="20">
        <f>IF('Journal'!G1290="","",'Journal'!G1290)</f>
        <v/>
      </c>
      <c r="G2577" s="20">
        <f>IF('Journal'!F1290="","",'Journal'!F1290)</f>
        <v/>
      </c>
      <c r="H2577" s="5">
        <f>IF('Journal'!I1290="","",'Journal'!I1290)</f>
        <v/>
      </c>
    </row>
    <row r="2578">
      <c r="A2578" s="18">
        <f>IF('Journal'!A1290="","",'Journal'!A1290)</f>
        <v/>
      </c>
      <c r="B2578" s="21">
        <f>IF('Journal'!B1290="","",'Journal'!B1290)</f>
        <v/>
      </c>
      <c r="C2578" s="5">
        <f>IF('Journal'!C1290="","",'Journal'!C1290)</f>
        <v/>
      </c>
      <c r="D2578" s="5">
        <f>IF('Journal'!E1290="","",IFERROR(LEFT('Journal'!E1290,FIND(" ",'Journal'!E1290)-1),'Journal'!E1290))</f>
        <v/>
      </c>
      <c r="E2578" s="5">
        <f>IF('Journal'!E1290="","",IFERROR(INDEX('Kontoplan'!$B$3:$B$302,MATCH('Journal'!E1290,'Kontoplan'!$H$3:$H$302,0)),""))</f>
        <v/>
      </c>
      <c r="F2578" s="20">
        <f>IF('Journal'!F1290="","",'Journal'!F1290)</f>
        <v/>
      </c>
      <c r="G2578" s="20">
        <f>IF('Journal'!G1290="","",'Journal'!G1290)</f>
        <v/>
      </c>
      <c r="H2578" s="5">
        <f>IF('Journal'!I1290="","",'Journal'!I1290)</f>
        <v/>
      </c>
    </row>
    <row r="2579">
      <c r="A2579" s="18">
        <f>IF('Journal'!A1291="","",'Journal'!A1291)</f>
        <v/>
      </c>
      <c r="B2579" s="21">
        <f>IF('Journal'!B1291="","",'Journal'!B1291)</f>
        <v/>
      </c>
      <c r="C2579" s="5">
        <f>IF('Journal'!C1291="","",'Journal'!C1291)</f>
        <v/>
      </c>
      <c r="D2579" s="5">
        <f>IF('Journal'!D1291="","",IFERROR(LEFT('Journal'!D1291,FIND(" ",'Journal'!D1291)-1),'Journal'!D1291))</f>
        <v/>
      </c>
      <c r="E2579" s="5">
        <f>IF('Journal'!D1291="","",IFERROR(INDEX('Kontoplan'!$B$3:$B$302,MATCH('Journal'!D1291,'Kontoplan'!$H$3:$H$302,0)),""))</f>
        <v/>
      </c>
      <c r="F2579" s="20">
        <f>IF('Journal'!G1291="","",'Journal'!G1291)</f>
        <v/>
      </c>
      <c r="G2579" s="20">
        <f>IF('Journal'!F1291="","",'Journal'!F1291)</f>
        <v/>
      </c>
      <c r="H2579" s="5">
        <f>IF('Journal'!I1291="","",'Journal'!I1291)</f>
        <v/>
      </c>
    </row>
    <row r="2580">
      <c r="A2580" s="18">
        <f>IF('Journal'!A1291="","",'Journal'!A1291)</f>
        <v/>
      </c>
      <c r="B2580" s="21">
        <f>IF('Journal'!B1291="","",'Journal'!B1291)</f>
        <v/>
      </c>
      <c r="C2580" s="5">
        <f>IF('Journal'!C1291="","",'Journal'!C1291)</f>
        <v/>
      </c>
      <c r="D2580" s="5">
        <f>IF('Journal'!E1291="","",IFERROR(LEFT('Journal'!E1291,FIND(" ",'Journal'!E1291)-1),'Journal'!E1291))</f>
        <v/>
      </c>
      <c r="E2580" s="5">
        <f>IF('Journal'!E1291="","",IFERROR(INDEX('Kontoplan'!$B$3:$B$302,MATCH('Journal'!E1291,'Kontoplan'!$H$3:$H$302,0)),""))</f>
        <v/>
      </c>
      <c r="F2580" s="20">
        <f>IF('Journal'!F1291="","",'Journal'!F1291)</f>
        <v/>
      </c>
      <c r="G2580" s="20">
        <f>IF('Journal'!G1291="","",'Journal'!G1291)</f>
        <v/>
      </c>
      <c r="H2580" s="5">
        <f>IF('Journal'!I1291="","",'Journal'!I1291)</f>
        <v/>
      </c>
    </row>
    <row r="2581">
      <c r="A2581" s="18">
        <f>IF('Journal'!A1292="","",'Journal'!A1292)</f>
        <v/>
      </c>
      <c r="B2581" s="21">
        <f>IF('Journal'!B1292="","",'Journal'!B1292)</f>
        <v/>
      </c>
      <c r="C2581" s="5">
        <f>IF('Journal'!C1292="","",'Journal'!C1292)</f>
        <v/>
      </c>
      <c r="D2581" s="5">
        <f>IF('Journal'!D1292="","",IFERROR(LEFT('Journal'!D1292,FIND(" ",'Journal'!D1292)-1),'Journal'!D1292))</f>
        <v/>
      </c>
      <c r="E2581" s="5">
        <f>IF('Journal'!D1292="","",IFERROR(INDEX('Kontoplan'!$B$3:$B$302,MATCH('Journal'!D1292,'Kontoplan'!$H$3:$H$302,0)),""))</f>
        <v/>
      </c>
      <c r="F2581" s="20">
        <f>IF('Journal'!G1292="","",'Journal'!G1292)</f>
        <v/>
      </c>
      <c r="G2581" s="20">
        <f>IF('Journal'!F1292="","",'Journal'!F1292)</f>
        <v/>
      </c>
      <c r="H2581" s="5">
        <f>IF('Journal'!I1292="","",'Journal'!I1292)</f>
        <v/>
      </c>
    </row>
    <row r="2582">
      <c r="A2582" s="18">
        <f>IF('Journal'!A1292="","",'Journal'!A1292)</f>
        <v/>
      </c>
      <c r="B2582" s="21">
        <f>IF('Journal'!B1292="","",'Journal'!B1292)</f>
        <v/>
      </c>
      <c r="C2582" s="5">
        <f>IF('Journal'!C1292="","",'Journal'!C1292)</f>
        <v/>
      </c>
      <c r="D2582" s="5">
        <f>IF('Journal'!E1292="","",IFERROR(LEFT('Journal'!E1292,FIND(" ",'Journal'!E1292)-1),'Journal'!E1292))</f>
        <v/>
      </c>
      <c r="E2582" s="5">
        <f>IF('Journal'!E1292="","",IFERROR(INDEX('Kontoplan'!$B$3:$B$302,MATCH('Journal'!E1292,'Kontoplan'!$H$3:$H$302,0)),""))</f>
        <v/>
      </c>
      <c r="F2582" s="20">
        <f>IF('Journal'!F1292="","",'Journal'!F1292)</f>
        <v/>
      </c>
      <c r="G2582" s="20">
        <f>IF('Journal'!G1292="","",'Journal'!G1292)</f>
        <v/>
      </c>
      <c r="H2582" s="5">
        <f>IF('Journal'!I1292="","",'Journal'!I1292)</f>
        <v/>
      </c>
    </row>
    <row r="2583">
      <c r="A2583" s="18">
        <f>IF('Journal'!A1293="","",'Journal'!A1293)</f>
        <v/>
      </c>
      <c r="B2583" s="21">
        <f>IF('Journal'!B1293="","",'Journal'!B1293)</f>
        <v/>
      </c>
      <c r="C2583" s="5">
        <f>IF('Journal'!C1293="","",'Journal'!C1293)</f>
        <v/>
      </c>
      <c r="D2583" s="5">
        <f>IF('Journal'!D1293="","",IFERROR(LEFT('Journal'!D1293,FIND(" ",'Journal'!D1293)-1),'Journal'!D1293))</f>
        <v/>
      </c>
      <c r="E2583" s="5">
        <f>IF('Journal'!D1293="","",IFERROR(INDEX('Kontoplan'!$B$3:$B$302,MATCH('Journal'!D1293,'Kontoplan'!$H$3:$H$302,0)),""))</f>
        <v/>
      </c>
      <c r="F2583" s="20">
        <f>IF('Journal'!G1293="","",'Journal'!G1293)</f>
        <v/>
      </c>
      <c r="G2583" s="20">
        <f>IF('Journal'!F1293="","",'Journal'!F1293)</f>
        <v/>
      </c>
      <c r="H2583" s="5">
        <f>IF('Journal'!I1293="","",'Journal'!I1293)</f>
        <v/>
      </c>
    </row>
    <row r="2584">
      <c r="A2584" s="18">
        <f>IF('Journal'!A1293="","",'Journal'!A1293)</f>
        <v/>
      </c>
      <c r="B2584" s="21">
        <f>IF('Journal'!B1293="","",'Journal'!B1293)</f>
        <v/>
      </c>
      <c r="C2584" s="5">
        <f>IF('Journal'!C1293="","",'Journal'!C1293)</f>
        <v/>
      </c>
      <c r="D2584" s="5">
        <f>IF('Journal'!E1293="","",IFERROR(LEFT('Journal'!E1293,FIND(" ",'Journal'!E1293)-1),'Journal'!E1293))</f>
        <v/>
      </c>
      <c r="E2584" s="5">
        <f>IF('Journal'!E1293="","",IFERROR(INDEX('Kontoplan'!$B$3:$B$302,MATCH('Journal'!E1293,'Kontoplan'!$H$3:$H$302,0)),""))</f>
        <v/>
      </c>
      <c r="F2584" s="20">
        <f>IF('Journal'!F1293="","",'Journal'!F1293)</f>
        <v/>
      </c>
      <c r="G2584" s="20">
        <f>IF('Journal'!G1293="","",'Journal'!G1293)</f>
        <v/>
      </c>
      <c r="H2584" s="5">
        <f>IF('Journal'!I1293="","",'Journal'!I1293)</f>
        <v/>
      </c>
    </row>
    <row r="2585">
      <c r="A2585" s="18">
        <f>IF('Journal'!A1294="","",'Journal'!A1294)</f>
        <v/>
      </c>
      <c r="B2585" s="21">
        <f>IF('Journal'!B1294="","",'Journal'!B1294)</f>
        <v/>
      </c>
      <c r="C2585" s="5">
        <f>IF('Journal'!C1294="","",'Journal'!C1294)</f>
        <v/>
      </c>
      <c r="D2585" s="5">
        <f>IF('Journal'!D1294="","",IFERROR(LEFT('Journal'!D1294,FIND(" ",'Journal'!D1294)-1),'Journal'!D1294))</f>
        <v/>
      </c>
      <c r="E2585" s="5">
        <f>IF('Journal'!D1294="","",IFERROR(INDEX('Kontoplan'!$B$3:$B$302,MATCH('Journal'!D1294,'Kontoplan'!$H$3:$H$302,0)),""))</f>
        <v/>
      </c>
      <c r="F2585" s="20">
        <f>IF('Journal'!G1294="","",'Journal'!G1294)</f>
        <v/>
      </c>
      <c r="G2585" s="20">
        <f>IF('Journal'!F1294="","",'Journal'!F1294)</f>
        <v/>
      </c>
      <c r="H2585" s="5">
        <f>IF('Journal'!I1294="","",'Journal'!I1294)</f>
        <v/>
      </c>
    </row>
    <row r="2586">
      <c r="A2586" s="18">
        <f>IF('Journal'!A1294="","",'Journal'!A1294)</f>
        <v/>
      </c>
      <c r="B2586" s="21">
        <f>IF('Journal'!B1294="","",'Journal'!B1294)</f>
        <v/>
      </c>
      <c r="C2586" s="5">
        <f>IF('Journal'!C1294="","",'Journal'!C1294)</f>
        <v/>
      </c>
      <c r="D2586" s="5">
        <f>IF('Journal'!E1294="","",IFERROR(LEFT('Journal'!E1294,FIND(" ",'Journal'!E1294)-1),'Journal'!E1294))</f>
        <v/>
      </c>
      <c r="E2586" s="5">
        <f>IF('Journal'!E1294="","",IFERROR(INDEX('Kontoplan'!$B$3:$B$302,MATCH('Journal'!E1294,'Kontoplan'!$H$3:$H$302,0)),""))</f>
        <v/>
      </c>
      <c r="F2586" s="20">
        <f>IF('Journal'!F1294="","",'Journal'!F1294)</f>
        <v/>
      </c>
      <c r="G2586" s="20">
        <f>IF('Journal'!G1294="","",'Journal'!G1294)</f>
        <v/>
      </c>
      <c r="H2586" s="5">
        <f>IF('Journal'!I1294="","",'Journal'!I1294)</f>
        <v/>
      </c>
    </row>
    <row r="2587">
      <c r="A2587" s="18">
        <f>IF('Journal'!A1295="","",'Journal'!A1295)</f>
        <v/>
      </c>
      <c r="B2587" s="21">
        <f>IF('Journal'!B1295="","",'Journal'!B1295)</f>
        <v/>
      </c>
      <c r="C2587" s="5">
        <f>IF('Journal'!C1295="","",'Journal'!C1295)</f>
        <v/>
      </c>
      <c r="D2587" s="5">
        <f>IF('Journal'!D1295="","",IFERROR(LEFT('Journal'!D1295,FIND(" ",'Journal'!D1295)-1),'Journal'!D1295))</f>
        <v/>
      </c>
      <c r="E2587" s="5">
        <f>IF('Journal'!D1295="","",IFERROR(INDEX('Kontoplan'!$B$3:$B$302,MATCH('Journal'!D1295,'Kontoplan'!$H$3:$H$302,0)),""))</f>
        <v/>
      </c>
      <c r="F2587" s="20">
        <f>IF('Journal'!G1295="","",'Journal'!G1295)</f>
        <v/>
      </c>
      <c r="G2587" s="20">
        <f>IF('Journal'!F1295="","",'Journal'!F1295)</f>
        <v/>
      </c>
      <c r="H2587" s="5">
        <f>IF('Journal'!I1295="","",'Journal'!I1295)</f>
        <v/>
      </c>
    </row>
    <row r="2588">
      <c r="A2588" s="18">
        <f>IF('Journal'!A1295="","",'Journal'!A1295)</f>
        <v/>
      </c>
      <c r="B2588" s="21">
        <f>IF('Journal'!B1295="","",'Journal'!B1295)</f>
        <v/>
      </c>
      <c r="C2588" s="5">
        <f>IF('Journal'!C1295="","",'Journal'!C1295)</f>
        <v/>
      </c>
      <c r="D2588" s="5">
        <f>IF('Journal'!E1295="","",IFERROR(LEFT('Journal'!E1295,FIND(" ",'Journal'!E1295)-1),'Journal'!E1295))</f>
        <v/>
      </c>
      <c r="E2588" s="5">
        <f>IF('Journal'!E1295="","",IFERROR(INDEX('Kontoplan'!$B$3:$B$302,MATCH('Journal'!E1295,'Kontoplan'!$H$3:$H$302,0)),""))</f>
        <v/>
      </c>
      <c r="F2588" s="20">
        <f>IF('Journal'!F1295="","",'Journal'!F1295)</f>
        <v/>
      </c>
      <c r="G2588" s="20">
        <f>IF('Journal'!G1295="","",'Journal'!G1295)</f>
        <v/>
      </c>
      <c r="H2588" s="5">
        <f>IF('Journal'!I1295="","",'Journal'!I1295)</f>
        <v/>
      </c>
    </row>
    <row r="2589">
      <c r="A2589" s="18">
        <f>IF('Journal'!A1296="","",'Journal'!A1296)</f>
        <v/>
      </c>
      <c r="B2589" s="21">
        <f>IF('Journal'!B1296="","",'Journal'!B1296)</f>
        <v/>
      </c>
      <c r="C2589" s="5">
        <f>IF('Journal'!C1296="","",'Journal'!C1296)</f>
        <v/>
      </c>
      <c r="D2589" s="5">
        <f>IF('Journal'!D1296="","",IFERROR(LEFT('Journal'!D1296,FIND(" ",'Journal'!D1296)-1),'Journal'!D1296))</f>
        <v/>
      </c>
      <c r="E2589" s="5">
        <f>IF('Journal'!D1296="","",IFERROR(INDEX('Kontoplan'!$B$3:$B$302,MATCH('Journal'!D1296,'Kontoplan'!$H$3:$H$302,0)),""))</f>
        <v/>
      </c>
      <c r="F2589" s="20">
        <f>IF('Journal'!G1296="","",'Journal'!G1296)</f>
        <v/>
      </c>
      <c r="G2589" s="20">
        <f>IF('Journal'!F1296="","",'Journal'!F1296)</f>
        <v/>
      </c>
      <c r="H2589" s="5">
        <f>IF('Journal'!I1296="","",'Journal'!I1296)</f>
        <v/>
      </c>
    </row>
    <row r="2590">
      <c r="A2590" s="18">
        <f>IF('Journal'!A1296="","",'Journal'!A1296)</f>
        <v/>
      </c>
      <c r="B2590" s="21">
        <f>IF('Journal'!B1296="","",'Journal'!B1296)</f>
        <v/>
      </c>
      <c r="C2590" s="5">
        <f>IF('Journal'!C1296="","",'Journal'!C1296)</f>
        <v/>
      </c>
      <c r="D2590" s="5">
        <f>IF('Journal'!E1296="","",IFERROR(LEFT('Journal'!E1296,FIND(" ",'Journal'!E1296)-1),'Journal'!E1296))</f>
        <v/>
      </c>
      <c r="E2590" s="5">
        <f>IF('Journal'!E1296="","",IFERROR(INDEX('Kontoplan'!$B$3:$B$302,MATCH('Journal'!E1296,'Kontoplan'!$H$3:$H$302,0)),""))</f>
        <v/>
      </c>
      <c r="F2590" s="20">
        <f>IF('Journal'!F1296="","",'Journal'!F1296)</f>
        <v/>
      </c>
      <c r="G2590" s="20">
        <f>IF('Journal'!G1296="","",'Journal'!G1296)</f>
        <v/>
      </c>
      <c r="H2590" s="5">
        <f>IF('Journal'!I1296="","",'Journal'!I1296)</f>
        <v/>
      </c>
    </row>
    <row r="2591">
      <c r="A2591" s="18">
        <f>IF('Journal'!A1297="","",'Journal'!A1297)</f>
        <v/>
      </c>
      <c r="B2591" s="21">
        <f>IF('Journal'!B1297="","",'Journal'!B1297)</f>
        <v/>
      </c>
      <c r="C2591" s="5">
        <f>IF('Journal'!C1297="","",'Journal'!C1297)</f>
        <v/>
      </c>
      <c r="D2591" s="5">
        <f>IF('Journal'!D1297="","",IFERROR(LEFT('Journal'!D1297,FIND(" ",'Journal'!D1297)-1),'Journal'!D1297))</f>
        <v/>
      </c>
      <c r="E2591" s="5">
        <f>IF('Journal'!D1297="","",IFERROR(INDEX('Kontoplan'!$B$3:$B$302,MATCH('Journal'!D1297,'Kontoplan'!$H$3:$H$302,0)),""))</f>
        <v/>
      </c>
      <c r="F2591" s="20">
        <f>IF('Journal'!G1297="","",'Journal'!G1297)</f>
        <v/>
      </c>
      <c r="G2591" s="20">
        <f>IF('Journal'!F1297="","",'Journal'!F1297)</f>
        <v/>
      </c>
      <c r="H2591" s="5">
        <f>IF('Journal'!I1297="","",'Journal'!I1297)</f>
        <v/>
      </c>
    </row>
    <row r="2592">
      <c r="A2592" s="18">
        <f>IF('Journal'!A1297="","",'Journal'!A1297)</f>
        <v/>
      </c>
      <c r="B2592" s="21">
        <f>IF('Journal'!B1297="","",'Journal'!B1297)</f>
        <v/>
      </c>
      <c r="C2592" s="5">
        <f>IF('Journal'!C1297="","",'Journal'!C1297)</f>
        <v/>
      </c>
      <c r="D2592" s="5">
        <f>IF('Journal'!E1297="","",IFERROR(LEFT('Journal'!E1297,FIND(" ",'Journal'!E1297)-1),'Journal'!E1297))</f>
        <v/>
      </c>
      <c r="E2592" s="5">
        <f>IF('Journal'!E1297="","",IFERROR(INDEX('Kontoplan'!$B$3:$B$302,MATCH('Journal'!E1297,'Kontoplan'!$H$3:$H$302,0)),""))</f>
        <v/>
      </c>
      <c r="F2592" s="20">
        <f>IF('Journal'!F1297="","",'Journal'!F1297)</f>
        <v/>
      </c>
      <c r="G2592" s="20">
        <f>IF('Journal'!G1297="","",'Journal'!G1297)</f>
        <v/>
      </c>
      <c r="H2592" s="5">
        <f>IF('Journal'!I1297="","",'Journal'!I1297)</f>
        <v/>
      </c>
    </row>
    <row r="2593">
      <c r="A2593" s="18">
        <f>IF('Journal'!A1298="","",'Journal'!A1298)</f>
        <v/>
      </c>
      <c r="B2593" s="21">
        <f>IF('Journal'!B1298="","",'Journal'!B1298)</f>
        <v/>
      </c>
      <c r="C2593" s="5">
        <f>IF('Journal'!C1298="","",'Journal'!C1298)</f>
        <v/>
      </c>
      <c r="D2593" s="5">
        <f>IF('Journal'!D1298="","",IFERROR(LEFT('Journal'!D1298,FIND(" ",'Journal'!D1298)-1),'Journal'!D1298))</f>
        <v/>
      </c>
      <c r="E2593" s="5">
        <f>IF('Journal'!D1298="","",IFERROR(INDEX('Kontoplan'!$B$3:$B$302,MATCH('Journal'!D1298,'Kontoplan'!$H$3:$H$302,0)),""))</f>
        <v/>
      </c>
      <c r="F2593" s="20">
        <f>IF('Journal'!G1298="","",'Journal'!G1298)</f>
        <v/>
      </c>
      <c r="G2593" s="20">
        <f>IF('Journal'!F1298="","",'Journal'!F1298)</f>
        <v/>
      </c>
      <c r="H2593" s="5">
        <f>IF('Journal'!I1298="","",'Journal'!I1298)</f>
        <v/>
      </c>
    </row>
    <row r="2594">
      <c r="A2594" s="18">
        <f>IF('Journal'!A1298="","",'Journal'!A1298)</f>
        <v/>
      </c>
      <c r="B2594" s="21">
        <f>IF('Journal'!B1298="","",'Journal'!B1298)</f>
        <v/>
      </c>
      <c r="C2594" s="5">
        <f>IF('Journal'!C1298="","",'Journal'!C1298)</f>
        <v/>
      </c>
      <c r="D2594" s="5">
        <f>IF('Journal'!E1298="","",IFERROR(LEFT('Journal'!E1298,FIND(" ",'Journal'!E1298)-1),'Journal'!E1298))</f>
        <v/>
      </c>
      <c r="E2594" s="5">
        <f>IF('Journal'!E1298="","",IFERROR(INDEX('Kontoplan'!$B$3:$B$302,MATCH('Journal'!E1298,'Kontoplan'!$H$3:$H$302,0)),""))</f>
        <v/>
      </c>
      <c r="F2594" s="20">
        <f>IF('Journal'!F1298="","",'Journal'!F1298)</f>
        <v/>
      </c>
      <c r="G2594" s="20">
        <f>IF('Journal'!G1298="","",'Journal'!G1298)</f>
        <v/>
      </c>
      <c r="H2594" s="5">
        <f>IF('Journal'!I1298="","",'Journal'!I1298)</f>
        <v/>
      </c>
    </row>
    <row r="2595">
      <c r="A2595" s="18">
        <f>IF('Journal'!A1299="","",'Journal'!A1299)</f>
        <v/>
      </c>
      <c r="B2595" s="21">
        <f>IF('Journal'!B1299="","",'Journal'!B1299)</f>
        <v/>
      </c>
      <c r="C2595" s="5">
        <f>IF('Journal'!C1299="","",'Journal'!C1299)</f>
        <v/>
      </c>
      <c r="D2595" s="5">
        <f>IF('Journal'!D1299="","",IFERROR(LEFT('Journal'!D1299,FIND(" ",'Journal'!D1299)-1),'Journal'!D1299))</f>
        <v/>
      </c>
      <c r="E2595" s="5">
        <f>IF('Journal'!D1299="","",IFERROR(INDEX('Kontoplan'!$B$3:$B$302,MATCH('Journal'!D1299,'Kontoplan'!$H$3:$H$302,0)),""))</f>
        <v/>
      </c>
      <c r="F2595" s="20">
        <f>IF('Journal'!G1299="","",'Journal'!G1299)</f>
        <v/>
      </c>
      <c r="G2595" s="20">
        <f>IF('Journal'!F1299="","",'Journal'!F1299)</f>
        <v/>
      </c>
      <c r="H2595" s="5">
        <f>IF('Journal'!I1299="","",'Journal'!I1299)</f>
        <v/>
      </c>
    </row>
    <row r="2596">
      <c r="A2596" s="18">
        <f>IF('Journal'!A1299="","",'Journal'!A1299)</f>
        <v/>
      </c>
      <c r="B2596" s="21">
        <f>IF('Journal'!B1299="","",'Journal'!B1299)</f>
        <v/>
      </c>
      <c r="C2596" s="5">
        <f>IF('Journal'!C1299="","",'Journal'!C1299)</f>
        <v/>
      </c>
      <c r="D2596" s="5">
        <f>IF('Journal'!E1299="","",IFERROR(LEFT('Journal'!E1299,FIND(" ",'Journal'!E1299)-1),'Journal'!E1299))</f>
        <v/>
      </c>
      <c r="E2596" s="5">
        <f>IF('Journal'!E1299="","",IFERROR(INDEX('Kontoplan'!$B$3:$B$302,MATCH('Journal'!E1299,'Kontoplan'!$H$3:$H$302,0)),""))</f>
        <v/>
      </c>
      <c r="F2596" s="20">
        <f>IF('Journal'!F1299="","",'Journal'!F1299)</f>
        <v/>
      </c>
      <c r="G2596" s="20">
        <f>IF('Journal'!G1299="","",'Journal'!G1299)</f>
        <v/>
      </c>
      <c r="H2596" s="5">
        <f>IF('Journal'!I1299="","",'Journal'!I1299)</f>
        <v/>
      </c>
    </row>
    <row r="2597">
      <c r="A2597" s="18">
        <f>IF('Journal'!A1300="","",'Journal'!A1300)</f>
        <v/>
      </c>
      <c r="B2597" s="21">
        <f>IF('Journal'!B1300="","",'Journal'!B1300)</f>
        <v/>
      </c>
      <c r="C2597" s="5">
        <f>IF('Journal'!C1300="","",'Journal'!C1300)</f>
        <v/>
      </c>
      <c r="D2597" s="5">
        <f>IF('Journal'!D1300="","",IFERROR(LEFT('Journal'!D1300,FIND(" ",'Journal'!D1300)-1),'Journal'!D1300))</f>
        <v/>
      </c>
      <c r="E2597" s="5">
        <f>IF('Journal'!D1300="","",IFERROR(INDEX('Kontoplan'!$B$3:$B$302,MATCH('Journal'!D1300,'Kontoplan'!$H$3:$H$302,0)),""))</f>
        <v/>
      </c>
      <c r="F2597" s="20">
        <f>IF('Journal'!G1300="","",'Journal'!G1300)</f>
        <v/>
      </c>
      <c r="G2597" s="20">
        <f>IF('Journal'!F1300="","",'Journal'!F1300)</f>
        <v/>
      </c>
      <c r="H2597" s="5">
        <f>IF('Journal'!I1300="","",'Journal'!I1300)</f>
        <v/>
      </c>
    </row>
    <row r="2598">
      <c r="A2598" s="18">
        <f>IF('Journal'!A1300="","",'Journal'!A1300)</f>
        <v/>
      </c>
      <c r="B2598" s="21">
        <f>IF('Journal'!B1300="","",'Journal'!B1300)</f>
        <v/>
      </c>
      <c r="C2598" s="5">
        <f>IF('Journal'!C1300="","",'Journal'!C1300)</f>
        <v/>
      </c>
      <c r="D2598" s="5">
        <f>IF('Journal'!E1300="","",IFERROR(LEFT('Journal'!E1300,FIND(" ",'Journal'!E1300)-1),'Journal'!E1300))</f>
        <v/>
      </c>
      <c r="E2598" s="5">
        <f>IF('Journal'!E1300="","",IFERROR(INDEX('Kontoplan'!$B$3:$B$302,MATCH('Journal'!E1300,'Kontoplan'!$H$3:$H$302,0)),""))</f>
        <v/>
      </c>
      <c r="F2598" s="20">
        <f>IF('Journal'!F1300="","",'Journal'!F1300)</f>
        <v/>
      </c>
      <c r="G2598" s="20">
        <f>IF('Journal'!G1300="","",'Journal'!G1300)</f>
        <v/>
      </c>
      <c r="H2598" s="5">
        <f>IF('Journal'!I1300="","",'Journal'!I1300)</f>
        <v/>
      </c>
    </row>
    <row r="2599">
      <c r="A2599" s="18">
        <f>IF('Journal'!A1301="","",'Journal'!A1301)</f>
        <v/>
      </c>
      <c r="B2599" s="21">
        <f>IF('Journal'!B1301="","",'Journal'!B1301)</f>
        <v/>
      </c>
      <c r="C2599" s="5">
        <f>IF('Journal'!C1301="","",'Journal'!C1301)</f>
        <v/>
      </c>
      <c r="D2599" s="5">
        <f>IF('Journal'!D1301="","",IFERROR(LEFT('Journal'!D1301,FIND(" ",'Journal'!D1301)-1),'Journal'!D1301))</f>
        <v/>
      </c>
      <c r="E2599" s="5">
        <f>IF('Journal'!D1301="","",IFERROR(INDEX('Kontoplan'!$B$3:$B$302,MATCH('Journal'!D1301,'Kontoplan'!$H$3:$H$302,0)),""))</f>
        <v/>
      </c>
      <c r="F2599" s="20">
        <f>IF('Journal'!G1301="","",'Journal'!G1301)</f>
        <v/>
      </c>
      <c r="G2599" s="20">
        <f>IF('Journal'!F1301="","",'Journal'!F1301)</f>
        <v/>
      </c>
      <c r="H2599" s="5">
        <f>IF('Journal'!I1301="","",'Journal'!I1301)</f>
        <v/>
      </c>
    </row>
    <row r="2600">
      <c r="A2600" s="18">
        <f>IF('Journal'!A1301="","",'Journal'!A1301)</f>
        <v/>
      </c>
      <c r="B2600" s="21">
        <f>IF('Journal'!B1301="","",'Journal'!B1301)</f>
        <v/>
      </c>
      <c r="C2600" s="5">
        <f>IF('Journal'!C1301="","",'Journal'!C1301)</f>
        <v/>
      </c>
      <c r="D2600" s="5">
        <f>IF('Journal'!E1301="","",IFERROR(LEFT('Journal'!E1301,FIND(" ",'Journal'!E1301)-1),'Journal'!E1301))</f>
        <v/>
      </c>
      <c r="E2600" s="5">
        <f>IF('Journal'!E1301="","",IFERROR(INDEX('Kontoplan'!$B$3:$B$302,MATCH('Journal'!E1301,'Kontoplan'!$H$3:$H$302,0)),""))</f>
        <v/>
      </c>
      <c r="F2600" s="20">
        <f>IF('Journal'!F1301="","",'Journal'!F1301)</f>
        <v/>
      </c>
      <c r="G2600" s="20">
        <f>IF('Journal'!G1301="","",'Journal'!G1301)</f>
        <v/>
      </c>
      <c r="H2600" s="5">
        <f>IF('Journal'!I1301="","",'Journal'!I1301)</f>
        <v/>
      </c>
    </row>
    <row r="2601">
      <c r="A2601" s="18">
        <f>IF('Journal'!A1302="","",'Journal'!A1302)</f>
        <v/>
      </c>
      <c r="B2601" s="21">
        <f>IF('Journal'!B1302="","",'Journal'!B1302)</f>
        <v/>
      </c>
      <c r="C2601" s="5">
        <f>IF('Journal'!C1302="","",'Journal'!C1302)</f>
        <v/>
      </c>
      <c r="D2601" s="5">
        <f>IF('Journal'!D1302="","",IFERROR(LEFT('Journal'!D1302,FIND(" ",'Journal'!D1302)-1),'Journal'!D1302))</f>
        <v/>
      </c>
      <c r="E2601" s="5">
        <f>IF('Journal'!D1302="","",IFERROR(INDEX('Kontoplan'!$B$3:$B$302,MATCH('Journal'!D1302,'Kontoplan'!$H$3:$H$302,0)),""))</f>
        <v/>
      </c>
      <c r="F2601" s="20">
        <f>IF('Journal'!G1302="","",'Journal'!G1302)</f>
        <v/>
      </c>
      <c r="G2601" s="20">
        <f>IF('Journal'!F1302="","",'Journal'!F1302)</f>
        <v/>
      </c>
      <c r="H2601" s="5">
        <f>IF('Journal'!I1302="","",'Journal'!I1302)</f>
        <v/>
      </c>
    </row>
    <row r="2602">
      <c r="A2602" s="18">
        <f>IF('Journal'!A1302="","",'Journal'!A1302)</f>
        <v/>
      </c>
      <c r="B2602" s="21">
        <f>IF('Journal'!B1302="","",'Journal'!B1302)</f>
        <v/>
      </c>
      <c r="C2602" s="5">
        <f>IF('Journal'!C1302="","",'Journal'!C1302)</f>
        <v/>
      </c>
      <c r="D2602" s="5">
        <f>IF('Journal'!E1302="","",IFERROR(LEFT('Journal'!E1302,FIND(" ",'Journal'!E1302)-1),'Journal'!E1302))</f>
        <v/>
      </c>
      <c r="E2602" s="5">
        <f>IF('Journal'!E1302="","",IFERROR(INDEX('Kontoplan'!$B$3:$B$302,MATCH('Journal'!E1302,'Kontoplan'!$H$3:$H$302,0)),""))</f>
        <v/>
      </c>
      <c r="F2602" s="20">
        <f>IF('Journal'!F1302="","",'Journal'!F1302)</f>
        <v/>
      </c>
      <c r="G2602" s="20">
        <f>IF('Journal'!G1302="","",'Journal'!G1302)</f>
        <v/>
      </c>
      <c r="H2602" s="5">
        <f>IF('Journal'!I1302="","",'Journal'!I1302)</f>
        <v/>
      </c>
    </row>
    <row r="2603">
      <c r="A2603" s="18">
        <f>IF('Journal'!A1303="","",'Journal'!A1303)</f>
        <v/>
      </c>
      <c r="B2603" s="21">
        <f>IF('Journal'!B1303="","",'Journal'!B1303)</f>
        <v/>
      </c>
      <c r="C2603" s="5">
        <f>IF('Journal'!C1303="","",'Journal'!C1303)</f>
        <v/>
      </c>
      <c r="D2603" s="5">
        <f>IF('Journal'!D1303="","",IFERROR(LEFT('Journal'!D1303,FIND(" ",'Journal'!D1303)-1),'Journal'!D1303))</f>
        <v/>
      </c>
      <c r="E2603" s="5">
        <f>IF('Journal'!D1303="","",IFERROR(INDEX('Kontoplan'!$B$3:$B$302,MATCH('Journal'!D1303,'Kontoplan'!$H$3:$H$302,0)),""))</f>
        <v/>
      </c>
      <c r="F2603" s="20">
        <f>IF('Journal'!G1303="","",'Journal'!G1303)</f>
        <v/>
      </c>
      <c r="G2603" s="20">
        <f>IF('Journal'!F1303="","",'Journal'!F1303)</f>
        <v/>
      </c>
      <c r="H2603" s="5">
        <f>IF('Journal'!I1303="","",'Journal'!I1303)</f>
        <v/>
      </c>
    </row>
    <row r="2604">
      <c r="A2604" s="18">
        <f>IF('Journal'!A1303="","",'Journal'!A1303)</f>
        <v/>
      </c>
      <c r="B2604" s="21">
        <f>IF('Journal'!B1303="","",'Journal'!B1303)</f>
        <v/>
      </c>
      <c r="C2604" s="5">
        <f>IF('Journal'!C1303="","",'Journal'!C1303)</f>
        <v/>
      </c>
      <c r="D2604" s="5">
        <f>IF('Journal'!E1303="","",IFERROR(LEFT('Journal'!E1303,FIND(" ",'Journal'!E1303)-1),'Journal'!E1303))</f>
        <v/>
      </c>
      <c r="E2604" s="5">
        <f>IF('Journal'!E1303="","",IFERROR(INDEX('Kontoplan'!$B$3:$B$302,MATCH('Journal'!E1303,'Kontoplan'!$H$3:$H$302,0)),""))</f>
        <v/>
      </c>
      <c r="F2604" s="20">
        <f>IF('Journal'!F1303="","",'Journal'!F1303)</f>
        <v/>
      </c>
      <c r="G2604" s="20">
        <f>IF('Journal'!G1303="","",'Journal'!G1303)</f>
        <v/>
      </c>
      <c r="H2604" s="5">
        <f>IF('Journal'!I1303="","",'Journal'!I1303)</f>
        <v/>
      </c>
    </row>
    <row r="2605">
      <c r="A2605" s="18">
        <f>IF('Journal'!A1304="","",'Journal'!A1304)</f>
        <v/>
      </c>
      <c r="B2605" s="21">
        <f>IF('Journal'!B1304="","",'Journal'!B1304)</f>
        <v/>
      </c>
      <c r="C2605" s="5">
        <f>IF('Journal'!C1304="","",'Journal'!C1304)</f>
        <v/>
      </c>
      <c r="D2605" s="5">
        <f>IF('Journal'!D1304="","",IFERROR(LEFT('Journal'!D1304,FIND(" ",'Journal'!D1304)-1),'Journal'!D1304))</f>
        <v/>
      </c>
      <c r="E2605" s="5">
        <f>IF('Journal'!D1304="","",IFERROR(INDEX('Kontoplan'!$B$3:$B$302,MATCH('Journal'!D1304,'Kontoplan'!$H$3:$H$302,0)),""))</f>
        <v/>
      </c>
      <c r="F2605" s="20">
        <f>IF('Journal'!G1304="","",'Journal'!G1304)</f>
        <v/>
      </c>
      <c r="G2605" s="20">
        <f>IF('Journal'!F1304="","",'Journal'!F1304)</f>
        <v/>
      </c>
      <c r="H2605" s="5">
        <f>IF('Journal'!I1304="","",'Journal'!I1304)</f>
        <v/>
      </c>
    </row>
    <row r="2606">
      <c r="A2606" s="18">
        <f>IF('Journal'!A1304="","",'Journal'!A1304)</f>
        <v/>
      </c>
      <c r="B2606" s="21">
        <f>IF('Journal'!B1304="","",'Journal'!B1304)</f>
        <v/>
      </c>
      <c r="C2606" s="5">
        <f>IF('Journal'!C1304="","",'Journal'!C1304)</f>
        <v/>
      </c>
      <c r="D2606" s="5">
        <f>IF('Journal'!E1304="","",IFERROR(LEFT('Journal'!E1304,FIND(" ",'Journal'!E1304)-1),'Journal'!E1304))</f>
        <v/>
      </c>
      <c r="E2606" s="5">
        <f>IF('Journal'!E1304="","",IFERROR(INDEX('Kontoplan'!$B$3:$B$302,MATCH('Journal'!E1304,'Kontoplan'!$H$3:$H$302,0)),""))</f>
        <v/>
      </c>
      <c r="F2606" s="20">
        <f>IF('Journal'!F1304="","",'Journal'!F1304)</f>
        <v/>
      </c>
      <c r="G2606" s="20">
        <f>IF('Journal'!G1304="","",'Journal'!G1304)</f>
        <v/>
      </c>
      <c r="H2606" s="5">
        <f>IF('Journal'!I1304="","",'Journal'!I1304)</f>
        <v/>
      </c>
    </row>
    <row r="2607">
      <c r="A2607" s="18">
        <f>IF('Journal'!A1305="","",'Journal'!A1305)</f>
        <v/>
      </c>
      <c r="B2607" s="21">
        <f>IF('Journal'!B1305="","",'Journal'!B1305)</f>
        <v/>
      </c>
      <c r="C2607" s="5">
        <f>IF('Journal'!C1305="","",'Journal'!C1305)</f>
        <v/>
      </c>
      <c r="D2607" s="5">
        <f>IF('Journal'!D1305="","",IFERROR(LEFT('Journal'!D1305,FIND(" ",'Journal'!D1305)-1),'Journal'!D1305))</f>
        <v/>
      </c>
      <c r="E2607" s="5">
        <f>IF('Journal'!D1305="","",IFERROR(INDEX('Kontoplan'!$B$3:$B$302,MATCH('Journal'!D1305,'Kontoplan'!$H$3:$H$302,0)),""))</f>
        <v/>
      </c>
      <c r="F2607" s="20">
        <f>IF('Journal'!G1305="","",'Journal'!G1305)</f>
        <v/>
      </c>
      <c r="G2607" s="20">
        <f>IF('Journal'!F1305="","",'Journal'!F1305)</f>
        <v/>
      </c>
      <c r="H2607" s="5">
        <f>IF('Journal'!I1305="","",'Journal'!I1305)</f>
        <v/>
      </c>
    </row>
    <row r="2608">
      <c r="A2608" s="18">
        <f>IF('Journal'!A1305="","",'Journal'!A1305)</f>
        <v/>
      </c>
      <c r="B2608" s="21">
        <f>IF('Journal'!B1305="","",'Journal'!B1305)</f>
        <v/>
      </c>
      <c r="C2608" s="5">
        <f>IF('Journal'!C1305="","",'Journal'!C1305)</f>
        <v/>
      </c>
      <c r="D2608" s="5">
        <f>IF('Journal'!E1305="","",IFERROR(LEFT('Journal'!E1305,FIND(" ",'Journal'!E1305)-1),'Journal'!E1305))</f>
        <v/>
      </c>
      <c r="E2608" s="5">
        <f>IF('Journal'!E1305="","",IFERROR(INDEX('Kontoplan'!$B$3:$B$302,MATCH('Journal'!E1305,'Kontoplan'!$H$3:$H$302,0)),""))</f>
        <v/>
      </c>
      <c r="F2608" s="20">
        <f>IF('Journal'!F1305="","",'Journal'!F1305)</f>
        <v/>
      </c>
      <c r="G2608" s="20">
        <f>IF('Journal'!G1305="","",'Journal'!G1305)</f>
        <v/>
      </c>
      <c r="H2608" s="5">
        <f>IF('Journal'!I1305="","",'Journal'!I1305)</f>
        <v/>
      </c>
    </row>
    <row r="2609">
      <c r="A2609" s="18">
        <f>IF('Journal'!A1306="","",'Journal'!A1306)</f>
        <v/>
      </c>
      <c r="B2609" s="21">
        <f>IF('Journal'!B1306="","",'Journal'!B1306)</f>
        <v/>
      </c>
      <c r="C2609" s="5">
        <f>IF('Journal'!C1306="","",'Journal'!C1306)</f>
        <v/>
      </c>
      <c r="D2609" s="5">
        <f>IF('Journal'!D1306="","",IFERROR(LEFT('Journal'!D1306,FIND(" ",'Journal'!D1306)-1),'Journal'!D1306))</f>
        <v/>
      </c>
      <c r="E2609" s="5">
        <f>IF('Journal'!D1306="","",IFERROR(INDEX('Kontoplan'!$B$3:$B$302,MATCH('Journal'!D1306,'Kontoplan'!$H$3:$H$302,0)),""))</f>
        <v/>
      </c>
      <c r="F2609" s="20">
        <f>IF('Journal'!G1306="","",'Journal'!G1306)</f>
        <v/>
      </c>
      <c r="G2609" s="20">
        <f>IF('Journal'!F1306="","",'Journal'!F1306)</f>
        <v/>
      </c>
      <c r="H2609" s="5">
        <f>IF('Journal'!I1306="","",'Journal'!I1306)</f>
        <v/>
      </c>
    </row>
    <row r="2610">
      <c r="A2610" s="18">
        <f>IF('Journal'!A1306="","",'Journal'!A1306)</f>
        <v/>
      </c>
      <c r="B2610" s="21">
        <f>IF('Journal'!B1306="","",'Journal'!B1306)</f>
        <v/>
      </c>
      <c r="C2610" s="5">
        <f>IF('Journal'!C1306="","",'Journal'!C1306)</f>
        <v/>
      </c>
      <c r="D2610" s="5">
        <f>IF('Journal'!E1306="","",IFERROR(LEFT('Journal'!E1306,FIND(" ",'Journal'!E1306)-1),'Journal'!E1306))</f>
        <v/>
      </c>
      <c r="E2610" s="5">
        <f>IF('Journal'!E1306="","",IFERROR(INDEX('Kontoplan'!$B$3:$B$302,MATCH('Journal'!E1306,'Kontoplan'!$H$3:$H$302,0)),""))</f>
        <v/>
      </c>
      <c r="F2610" s="20">
        <f>IF('Journal'!F1306="","",'Journal'!F1306)</f>
        <v/>
      </c>
      <c r="G2610" s="20">
        <f>IF('Journal'!G1306="","",'Journal'!G1306)</f>
        <v/>
      </c>
      <c r="H2610" s="5">
        <f>IF('Journal'!I1306="","",'Journal'!I1306)</f>
        <v/>
      </c>
    </row>
    <row r="2611">
      <c r="A2611" s="18">
        <f>IF('Journal'!A1307="","",'Journal'!A1307)</f>
        <v/>
      </c>
      <c r="B2611" s="21">
        <f>IF('Journal'!B1307="","",'Journal'!B1307)</f>
        <v/>
      </c>
      <c r="C2611" s="5">
        <f>IF('Journal'!C1307="","",'Journal'!C1307)</f>
        <v/>
      </c>
      <c r="D2611" s="5">
        <f>IF('Journal'!D1307="","",IFERROR(LEFT('Journal'!D1307,FIND(" ",'Journal'!D1307)-1),'Journal'!D1307))</f>
        <v/>
      </c>
      <c r="E2611" s="5">
        <f>IF('Journal'!D1307="","",IFERROR(INDEX('Kontoplan'!$B$3:$B$302,MATCH('Journal'!D1307,'Kontoplan'!$H$3:$H$302,0)),""))</f>
        <v/>
      </c>
      <c r="F2611" s="20">
        <f>IF('Journal'!G1307="","",'Journal'!G1307)</f>
        <v/>
      </c>
      <c r="G2611" s="20">
        <f>IF('Journal'!F1307="","",'Journal'!F1307)</f>
        <v/>
      </c>
      <c r="H2611" s="5">
        <f>IF('Journal'!I1307="","",'Journal'!I1307)</f>
        <v/>
      </c>
    </row>
    <row r="2612">
      <c r="A2612" s="18">
        <f>IF('Journal'!A1307="","",'Journal'!A1307)</f>
        <v/>
      </c>
      <c r="B2612" s="21">
        <f>IF('Journal'!B1307="","",'Journal'!B1307)</f>
        <v/>
      </c>
      <c r="C2612" s="5">
        <f>IF('Journal'!C1307="","",'Journal'!C1307)</f>
        <v/>
      </c>
      <c r="D2612" s="5">
        <f>IF('Journal'!E1307="","",IFERROR(LEFT('Journal'!E1307,FIND(" ",'Journal'!E1307)-1),'Journal'!E1307))</f>
        <v/>
      </c>
      <c r="E2612" s="5">
        <f>IF('Journal'!E1307="","",IFERROR(INDEX('Kontoplan'!$B$3:$B$302,MATCH('Journal'!E1307,'Kontoplan'!$H$3:$H$302,0)),""))</f>
        <v/>
      </c>
      <c r="F2612" s="20">
        <f>IF('Journal'!F1307="","",'Journal'!F1307)</f>
        <v/>
      </c>
      <c r="G2612" s="20">
        <f>IF('Journal'!G1307="","",'Journal'!G1307)</f>
        <v/>
      </c>
      <c r="H2612" s="5">
        <f>IF('Journal'!I1307="","",'Journal'!I1307)</f>
        <v/>
      </c>
    </row>
    <row r="2613">
      <c r="A2613" s="18">
        <f>IF('Journal'!A1308="","",'Journal'!A1308)</f>
        <v/>
      </c>
      <c r="B2613" s="21">
        <f>IF('Journal'!B1308="","",'Journal'!B1308)</f>
        <v/>
      </c>
      <c r="C2613" s="5">
        <f>IF('Journal'!C1308="","",'Journal'!C1308)</f>
        <v/>
      </c>
      <c r="D2613" s="5">
        <f>IF('Journal'!D1308="","",IFERROR(LEFT('Journal'!D1308,FIND(" ",'Journal'!D1308)-1),'Journal'!D1308))</f>
        <v/>
      </c>
      <c r="E2613" s="5">
        <f>IF('Journal'!D1308="","",IFERROR(INDEX('Kontoplan'!$B$3:$B$302,MATCH('Journal'!D1308,'Kontoplan'!$H$3:$H$302,0)),""))</f>
        <v/>
      </c>
      <c r="F2613" s="20">
        <f>IF('Journal'!G1308="","",'Journal'!G1308)</f>
        <v/>
      </c>
      <c r="G2613" s="20">
        <f>IF('Journal'!F1308="","",'Journal'!F1308)</f>
        <v/>
      </c>
      <c r="H2613" s="5">
        <f>IF('Journal'!I1308="","",'Journal'!I1308)</f>
        <v/>
      </c>
    </row>
    <row r="2614">
      <c r="A2614" s="18">
        <f>IF('Journal'!A1308="","",'Journal'!A1308)</f>
        <v/>
      </c>
      <c r="B2614" s="21">
        <f>IF('Journal'!B1308="","",'Journal'!B1308)</f>
        <v/>
      </c>
      <c r="C2614" s="5">
        <f>IF('Journal'!C1308="","",'Journal'!C1308)</f>
        <v/>
      </c>
      <c r="D2614" s="5">
        <f>IF('Journal'!E1308="","",IFERROR(LEFT('Journal'!E1308,FIND(" ",'Journal'!E1308)-1),'Journal'!E1308))</f>
        <v/>
      </c>
      <c r="E2614" s="5">
        <f>IF('Journal'!E1308="","",IFERROR(INDEX('Kontoplan'!$B$3:$B$302,MATCH('Journal'!E1308,'Kontoplan'!$H$3:$H$302,0)),""))</f>
        <v/>
      </c>
      <c r="F2614" s="20">
        <f>IF('Journal'!F1308="","",'Journal'!F1308)</f>
        <v/>
      </c>
      <c r="G2614" s="20">
        <f>IF('Journal'!G1308="","",'Journal'!G1308)</f>
        <v/>
      </c>
      <c r="H2614" s="5">
        <f>IF('Journal'!I1308="","",'Journal'!I1308)</f>
        <v/>
      </c>
    </row>
    <row r="2615">
      <c r="A2615" s="18">
        <f>IF('Journal'!A1309="","",'Journal'!A1309)</f>
        <v/>
      </c>
      <c r="B2615" s="21">
        <f>IF('Journal'!B1309="","",'Journal'!B1309)</f>
        <v/>
      </c>
      <c r="C2615" s="5">
        <f>IF('Journal'!C1309="","",'Journal'!C1309)</f>
        <v/>
      </c>
      <c r="D2615" s="5">
        <f>IF('Journal'!D1309="","",IFERROR(LEFT('Journal'!D1309,FIND(" ",'Journal'!D1309)-1),'Journal'!D1309))</f>
        <v/>
      </c>
      <c r="E2615" s="5">
        <f>IF('Journal'!D1309="","",IFERROR(INDEX('Kontoplan'!$B$3:$B$302,MATCH('Journal'!D1309,'Kontoplan'!$H$3:$H$302,0)),""))</f>
        <v/>
      </c>
      <c r="F2615" s="20">
        <f>IF('Journal'!G1309="","",'Journal'!G1309)</f>
        <v/>
      </c>
      <c r="G2615" s="20">
        <f>IF('Journal'!F1309="","",'Journal'!F1309)</f>
        <v/>
      </c>
      <c r="H2615" s="5">
        <f>IF('Journal'!I1309="","",'Journal'!I1309)</f>
        <v/>
      </c>
    </row>
    <row r="2616">
      <c r="A2616" s="18">
        <f>IF('Journal'!A1309="","",'Journal'!A1309)</f>
        <v/>
      </c>
      <c r="B2616" s="21">
        <f>IF('Journal'!B1309="","",'Journal'!B1309)</f>
        <v/>
      </c>
      <c r="C2616" s="5">
        <f>IF('Journal'!C1309="","",'Journal'!C1309)</f>
        <v/>
      </c>
      <c r="D2616" s="5">
        <f>IF('Journal'!E1309="","",IFERROR(LEFT('Journal'!E1309,FIND(" ",'Journal'!E1309)-1),'Journal'!E1309))</f>
        <v/>
      </c>
      <c r="E2616" s="5">
        <f>IF('Journal'!E1309="","",IFERROR(INDEX('Kontoplan'!$B$3:$B$302,MATCH('Journal'!E1309,'Kontoplan'!$H$3:$H$302,0)),""))</f>
        <v/>
      </c>
      <c r="F2616" s="20">
        <f>IF('Journal'!F1309="","",'Journal'!F1309)</f>
        <v/>
      </c>
      <c r="G2616" s="20">
        <f>IF('Journal'!G1309="","",'Journal'!G1309)</f>
        <v/>
      </c>
      <c r="H2616" s="5">
        <f>IF('Journal'!I1309="","",'Journal'!I1309)</f>
        <v/>
      </c>
    </row>
    <row r="2617">
      <c r="A2617" s="18">
        <f>IF('Journal'!A1310="","",'Journal'!A1310)</f>
        <v/>
      </c>
      <c r="B2617" s="21">
        <f>IF('Journal'!B1310="","",'Journal'!B1310)</f>
        <v/>
      </c>
      <c r="C2617" s="5">
        <f>IF('Journal'!C1310="","",'Journal'!C1310)</f>
        <v/>
      </c>
      <c r="D2617" s="5">
        <f>IF('Journal'!D1310="","",IFERROR(LEFT('Journal'!D1310,FIND(" ",'Journal'!D1310)-1),'Journal'!D1310))</f>
        <v/>
      </c>
      <c r="E2617" s="5">
        <f>IF('Journal'!D1310="","",IFERROR(INDEX('Kontoplan'!$B$3:$B$302,MATCH('Journal'!D1310,'Kontoplan'!$H$3:$H$302,0)),""))</f>
        <v/>
      </c>
      <c r="F2617" s="20">
        <f>IF('Journal'!G1310="","",'Journal'!G1310)</f>
        <v/>
      </c>
      <c r="G2617" s="20">
        <f>IF('Journal'!F1310="","",'Journal'!F1310)</f>
        <v/>
      </c>
      <c r="H2617" s="5">
        <f>IF('Journal'!I1310="","",'Journal'!I1310)</f>
        <v/>
      </c>
    </row>
    <row r="2618">
      <c r="A2618" s="18">
        <f>IF('Journal'!A1310="","",'Journal'!A1310)</f>
        <v/>
      </c>
      <c r="B2618" s="21">
        <f>IF('Journal'!B1310="","",'Journal'!B1310)</f>
        <v/>
      </c>
      <c r="C2618" s="5">
        <f>IF('Journal'!C1310="","",'Journal'!C1310)</f>
        <v/>
      </c>
      <c r="D2618" s="5">
        <f>IF('Journal'!E1310="","",IFERROR(LEFT('Journal'!E1310,FIND(" ",'Journal'!E1310)-1),'Journal'!E1310))</f>
        <v/>
      </c>
      <c r="E2618" s="5">
        <f>IF('Journal'!E1310="","",IFERROR(INDEX('Kontoplan'!$B$3:$B$302,MATCH('Journal'!E1310,'Kontoplan'!$H$3:$H$302,0)),""))</f>
        <v/>
      </c>
      <c r="F2618" s="20">
        <f>IF('Journal'!F1310="","",'Journal'!F1310)</f>
        <v/>
      </c>
      <c r="G2618" s="20">
        <f>IF('Journal'!G1310="","",'Journal'!G1310)</f>
        <v/>
      </c>
      <c r="H2618" s="5">
        <f>IF('Journal'!I1310="","",'Journal'!I1310)</f>
        <v/>
      </c>
    </row>
    <row r="2619">
      <c r="A2619" s="18">
        <f>IF('Journal'!A1311="","",'Journal'!A1311)</f>
        <v/>
      </c>
      <c r="B2619" s="21">
        <f>IF('Journal'!B1311="","",'Journal'!B1311)</f>
        <v/>
      </c>
      <c r="C2619" s="5">
        <f>IF('Journal'!C1311="","",'Journal'!C1311)</f>
        <v/>
      </c>
      <c r="D2619" s="5">
        <f>IF('Journal'!D1311="","",IFERROR(LEFT('Journal'!D1311,FIND(" ",'Journal'!D1311)-1),'Journal'!D1311))</f>
        <v/>
      </c>
      <c r="E2619" s="5">
        <f>IF('Journal'!D1311="","",IFERROR(INDEX('Kontoplan'!$B$3:$B$302,MATCH('Journal'!D1311,'Kontoplan'!$H$3:$H$302,0)),""))</f>
        <v/>
      </c>
      <c r="F2619" s="20">
        <f>IF('Journal'!G1311="","",'Journal'!G1311)</f>
        <v/>
      </c>
      <c r="G2619" s="20">
        <f>IF('Journal'!F1311="","",'Journal'!F1311)</f>
        <v/>
      </c>
      <c r="H2619" s="5">
        <f>IF('Journal'!I1311="","",'Journal'!I1311)</f>
        <v/>
      </c>
    </row>
    <row r="2620">
      <c r="A2620" s="18">
        <f>IF('Journal'!A1311="","",'Journal'!A1311)</f>
        <v/>
      </c>
      <c r="B2620" s="21">
        <f>IF('Journal'!B1311="","",'Journal'!B1311)</f>
        <v/>
      </c>
      <c r="C2620" s="5">
        <f>IF('Journal'!C1311="","",'Journal'!C1311)</f>
        <v/>
      </c>
      <c r="D2620" s="5">
        <f>IF('Journal'!E1311="","",IFERROR(LEFT('Journal'!E1311,FIND(" ",'Journal'!E1311)-1),'Journal'!E1311))</f>
        <v/>
      </c>
      <c r="E2620" s="5">
        <f>IF('Journal'!E1311="","",IFERROR(INDEX('Kontoplan'!$B$3:$B$302,MATCH('Journal'!E1311,'Kontoplan'!$H$3:$H$302,0)),""))</f>
        <v/>
      </c>
      <c r="F2620" s="20">
        <f>IF('Journal'!F1311="","",'Journal'!F1311)</f>
        <v/>
      </c>
      <c r="G2620" s="20">
        <f>IF('Journal'!G1311="","",'Journal'!G1311)</f>
        <v/>
      </c>
      <c r="H2620" s="5">
        <f>IF('Journal'!I1311="","",'Journal'!I1311)</f>
        <v/>
      </c>
    </row>
    <row r="2621">
      <c r="A2621" s="18">
        <f>IF('Journal'!A1312="","",'Journal'!A1312)</f>
        <v/>
      </c>
      <c r="B2621" s="21">
        <f>IF('Journal'!B1312="","",'Journal'!B1312)</f>
        <v/>
      </c>
      <c r="C2621" s="5">
        <f>IF('Journal'!C1312="","",'Journal'!C1312)</f>
        <v/>
      </c>
      <c r="D2621" s="5">
        <f>IF('Journal'!D1312="","",IFERROR(LEFT('Journal'!D1312,FIND(" ",'Journal'!D1312)-1),'Journal'!D1312))</f>
        <v/>
      </c>
      <c r="E2621" s="5">
        <f>IF('Journal'!D1312="","",IFERROR(INDEX('Kontoplan'!$B$3:$B$302,MATCH('Journal'!D1312,'Kontoplan'!$H$3:$H$302,0)),""))</f>
        <v/>
      </c>
      <c r="F2621" s="20">
        <f>IF('Journal'!G1312="","",'Journal'!G1312)</f>
        <v/>
      </c>
      <c r="G2621" s="20">
        <f>IF('Journal'!F1312="","",'Journal'!F1312)</f>
        <v/>
      </c>
      <c r="H2621" s="5">
        <f>IF('Journal'!I1312="","",'Journal'!I1312)</f>
        <v/>
      </c>
    </row>
    <row r="2622">
      <c r="A2622" s="18">
        <f>IF('Journal'!A1312="","",'Journal'!A1312)</f>
        <v/>
      </c>
      <c r="B2622" s="21">
        <f>IF('Journal'!B1312="","",'Journal'!B1312)</f>
        <v/>
      </c>
      <c r="C2622" s="5">
        <f>IF('Journal'!C1312="","",'Journal'!C1312)</f>
        <v/>
      </c>
      <c r="D2622" s="5">
        <f>IF('Journal'!E1312="","",IFERROR(LEFT('Journal'!E1312,FIND(" ",'Journal'!E1312)-1),'Journal'!E1312))</f>
        <v/>
      </c>
      <c r="E2622" s="5">
        <f>IF('Journal'!E1312="","",IFERROR(INDEX('Kontoplan'!$B$3:$B$302,MATCH('Journal'!E1312,'Kontoplan'!$H$3:$H$302,0)),""))</f>
        <v/>
      </c>
      <c r="F2622" s="20">
        <f>IF('Journal'!F1312="","",'Journal'!F1312)</f>
        <v/>
      </c>
      <c r="G2622" s="20">
        <f>IF('Journal'!G1312="","",'Journal'!G1312)</f>
        <v/>
      </c>
      <c r="H2622" s="5">
        <f>IF('Journal'!I1312="","",'Journal'!I1312)</f>
        <v/>
      </c>
    </row>
    <row r="2623">
      <c r="A2623" s="18">
        <f>IF('Journal'!A1313="","",'Journal'!A1313)</f>
        <v/>
      </c>
      <c r="B2623" s="21">
        <f>IF('Journal'!B1313="","",'Journal'!B1313)</f>
        <v/>
      </c>
      <c r="C2623" s="5">
        <f>IF('Journal'!C1313="","",'Journal'!C1313)</f>
        <v/>
      </c>
      <c r="D2623" s="5">
        <f>IF('Journal'!D1313="","",IFERROR(LEFT('Journal'!D1313,FIND(" ",'Journal'!D1313)-1),'Journal'!D1313))</f>
        <v/>
      </c>
      <c r="E2623" s="5">
        <f>IF('Journal'!D1313="","",IFERROR(INDEX('Kontoplan'!$B$3:$B$302,MATCH('Journal'!D1313,'Kontoplan'!$H$3:$H$302,0)),""))</f>
        <v/>
      </c>
      <c r="F2623" s="20">
        <f>IF('Journal'!G1313="","",'Journal'!G1313)</f>
        <v/>
      </c>
      <c r="G2623" s="20">
        <f>IF('Journal'!F1313="","",'Journal'!F1313)</f>
        <v/>
      </c>
      <c r="H2623" s="5">
        <f>IF('Journal'!I1313="","",'Journal'!I1313)</f>
        <v/>
      </c>
    </row>
    <row r="2624">
      <c r="A2624" s="18">
        <f>IF('Journal'!A1313="","",'Journal'!A1313)</f>
        <v/>
      </c>
      <c r="B2624" s="21">
        <f>IF('Journal'!B1313="","",'Journal'!B1313)</f>
        <v/>
      </c>
      <c r="C2624" s="5">
        <f>IF('Journal'!C1313="","",'Journal'!C1313)</f>
        <v/>
      </c>
      <c r="D2624" s="5">
        <f>IF('Journal'!E1313="","",IFERROR(LEFT('Journal'!E1313,FIND(" ",'Journal'!E1313)-1),'Journal'!E1313))</f>
        <v/>
      </c>
      <c r="E2624" s="5">
        <f>IF('Journal'!E1313="","",IFERROR(INDEX('Kontoplan'!$B$3:$B$302,MATCH('Journal'!E1313,'Kontoplan'!$H$3:$H$302,0)),""))</f>
        <v/>
      </c>
      <c r="F2624" s="20">
        <f>IF('Journal'!F1313="","",'Journal'!F1313)</f>
        <v/>
      </c>
      <c r="G2624" s="20">
        <f>IF('Journal'!G1313="","",'Journal'!G1313)</f>
        <v/>
      </c>
      <c r="H2624" s="5">
        <f>IF('Journal'!I1313="","",'Journal'!I1313)</f>
        <v/>
      </c>
    </row>
    <row r="2625">
      <c r="A2625" s="18">
        <f>IF('Journal'!A1314="","",'Journal'!A1314)</f>
        <v/>
      </c>
      <c r="B2625" s="21">
        <f>IF('Journal'!B1314="","",'Journal'!B1314)</f>
        <v/>
      </c>
      <c r="C2625" s="5">
        <f>IF('Journal'!C1314="","",'Journal'!C1314)</f>
        <v/>
      </c>
      <c r="D2625" s="5">
        <f>IF('Journal'!D1314="","",IFERROR(LEFT('Journal'!D1314,FIND(" ",'Journal'!D1314)-1),'Journal'!D1314))</f>
        <v/>
      </c>
      <c r="E2625" s="5">
        <f>IF('Journal'!D1314="","",IFERROR(INDEX('Kontoplan'!$B$3:$B$302,MATCH('Journal'!D1314,'Kontoplan'!$H$3:$H$302,0)),""))</f>
        <v/>
      </c>
      <c r="F2625" s="20">
        <f>IF('Journal'!G1314="","",'Journal'!G1314)</f>
        <v/>
      </c>
      <c r="G2625" s="20">
        <f>IF('Journal'!F1314="","",'Journal'!F1314)</f>
        <v/>
      </c>
      <c r="H2625" s="5">
        <f>IF('Journal'!I1314="","",'Journal'!I1314)</f>
        <v/>
      </c>
    </row>
    <row r="2626">
      <c r="A2626" s="18">
        <f>IF('Journal'!A1314="","",'Journal'!A1314)</f>
        <v/>
      </c>
      <c r="B2626" s="21">
        <f>IF('Journal'!B1314="","",'Journal'!B1314)</f>
        <v/>
      </c>
      <c r="C2626" s="5">
        <f>IF('Journal'!C1314="","",'Journal'!C1314)</f>
        <v/>
      </c>
      <c r="D2626" s="5">
        <f>IF('Journal'!E1314="","",IFERROR(LEFT('Journal'!E1314,FIND(" ",'Journal'!E1314)-1),'Journal'!E1314))</f>
        <v/>
      </c>
      <c r="E2626" s="5">
        <f>IF('Journal'!E1314="","",IFERROR(INDEX('Kontoplan'!$B$3:$B$302,MATCH('Journal'!E1314,'Kontoplan'!$H$3:$H$302,0)),""))</f>
        <v/>
      </c>
      <c r="F2626" s="20">
        <f>IF('Journal'!F1314="","",'Journal'!F1314)</f>
        <v/>
      </c>
      <c r="G2626" s="20">
        <f>IF('Journal'!G1314="","",'Journal'!G1314)</f>
        <v/>
      </c>
      <c r="H2626" s="5">
        <f>IF('Journal'!I1314="","",'Journal'!I1314)</f>
        <v/>
      </c>
    </row>
    <row r="2627">
      <c r="A2627" s="18">
        <f>IF('Journal'!A1315="","",'Journal'!A1315)</f>
        <v/>
      </c>
      <c r="B2627" s="21">
        <f>IF('Journal'!B1315="","",'Journal'!B1315)</f>
        <v/>
      </c>
      <c r="C2627" s="5">
        <f>IF('Journal'!C1315="","",'Journal'!C1315)</f>
        <v/>
      </c>
      <c r="D2627" s="5">
        <f>IF('Journal'!D1315="","",IFERROR(LEFT('Journal'!D1315,FIND(" ",'Journal'!D1315)-1),'Journal'!D1315))</f>
        <v/>
      </c>
      <c r="E2627" s="5">
        <f>IF('Journal'!D1315="","",IFERROR(INDEX('Kontoplan'!$B$3:$B$302,MATCH('Journal'!D1315,'Kontoplan'!$H$3:$H$302,0)),""))</f>
        <v/>
      </c>
      <c r="F2627" s="20">
        <f>IF('Journal'!G1315="","",'Journal'!G1315)</f>
        <v/>
      </c>
      <c r="G2627" s="20">
        <f>IF('Journal'!F1315="","",'Journal'!F1315)</f>
        <v/>
      </c>
      <c r="H2627" s="5">
        <f>IF('Journal'!I1315="","",'Journal'!I1315)</f>
        <v/>
      </c>
    </row>
    <row r="2628">
      <c r="A2628" s="18">
        <f>IF('Journal'!A1315="","",'Journal'!A1315)</f>
        <v/>
      </c>
      <c r="B2628" s="21">
        <f>IF('Journal'!B1315="","",'Journal'!B1315)</f>
        <v/>
      </c>
      <c r="C2628" s="5">
        <f>IF('Journal'!C1315="","",'Journal'!C1315)</f>
        <v/>
      </c>
      <c r="D2628" s="5">
        <f>IF('Journal'!E1315="","",IFERROR(LEFT('Journal'!E1315,FIND(" ",'Journal'!E1315)-1),'Journal'!E1315))</f>
        <v/>
      </c>
      <c r="E2628" s="5">
        <f>IF('Journal'!E1315="","",IFERROR(INDEX('Kontoplan'!$B$3:$B$302,MATCH('Journal'!E1315,'Kontoplan'!$H$3:$H$302,0)),""))</f>
        <v/>
      </c>
      <c r="F2628" s="20">
        <f>IF('Journal'!F1315="","",'Journal'!F1315)</f>
        <v/>
      </c>
      <c r="G2628" s="20">
        <f>IF('Journal'!G1315="","",'Journal'!G1315)</f>
        <v/>
      </c>
      <c r="H2628" s="5">
        <f>IF('Journal'!I1315="","",'Journal'!I1315)</f>
        <v/>
      </c>
    </row>
    <row r="2629">
      <c r="A2629" s="18">
        <f>IF('Journal'!A1316="","",'Journal'!A1316)</f>
        <v/>
      </c>
      <c r="B2629" s="21">
        <f>IF('Journal'!B1316="","",'Journal'!B1316)</f>
        <v/>
      </c>
      <c r="C2629" s="5">
        <f>IF('Journal'!C1316="","",'Journal'!C1316)</f>
        <v/>
      </c>
      <c r="D2629" s="5">
        <f>IF('Journal'!D1316="","",IFERROR(LEFT('Journal'!D1316,FIND(" ",'Journal'!D1316)-1),'Journal'!D1316))</f>
        <v/>
      </c>
      <c r="E2629" s="5">
        <f>IF('Journal'!D1316="","",IFERROR(INDEX('Kontoplan'!$B$3:$B$302,MATCH('Journal'!D1316,'Kontoplan'!$H$3:$H$302,0)),""))</f>
        <v/>
      </c>
      <c r="F2629" s="20">
        <f>IF('Journal'!G1316="","",'Journal'!G1316)</f>
        <v/>
      </c>
      <c r="G2629" s="20">
        <f>IF('Journal'!F1316="","",'Journal'!F1316)</f>
        <v/>
      </c>
      <c r="H2629" s="5">
        <f>IF('Journal'!I1316="","",'Journal'!I1316)</f>
        <v/>
      </c>
    </row>
    <row r="2630">
      <c r="A2630" s="18">
        <f>IF('Journal'!A1316="","",'Journal'!A1316)</f>
        <v/>
      </c>
      <c r="B2630" s="21">
        <f>IF('Journal'!B1316="","",'Journal'!B1316)</f>
        <v/>
      </c>
      <c r="C2630" s="5">
        <f>IF('Journal'!C1316="","",'Journal'!C1316)</f>
        <v/>
      </c>
      <c r="D2630" s="5">
        <f>IF('Journal'!E1316="","",IFERROR(LEFT('Journal'!E1316,FIND(" ",'Journal'!E1316)-1),'Journal'!E1316))</f>
        <v/>
      </c>
      <c r="E2630" s="5">
        <f>IF('Journal'!E1316="","",IFERROR(INDEX('Kontoplan'!$B$3:$B$302,MATCH('Journal'!E1316,'Kontoplan'!$H$3:$H$302,0)),""))</f>
        <v/>
      </c>
      <c r="F2630" s="20">
        <f>IF('Journal'!F1316="","",'Journal'!F1316)</f>
        <v/>
      </c>
      <c r="G2630" s="20">
        <f>IF('Journal'!G1316="","",'Journal'!G1316)</f>
        <v/>
      </c>
      <c r="H2630" s="5">
        <f>IF('Journal'!I1316="","",'Journal'!I1316)</f>
        <v/>
      </c>
    </row>
    <row r="2631">
      <c r="A2631" s="18">
        <f>IF('Journal'!A1317="","",'Journal'!A1317)</f>
        <v/>
      </c>
      <c r="B2631" s="21">
        <f>IF('Journal'!B1317="","",'Journal'!B1317)</f>
        <v/>
      </c>
      <c r="C2631" s="5">
        <f>IF('Journal'!C1317="","",'Journal'!C1317)</f>
        <v/>
      </c>
      <c r="D2631" s="5">
        <f>IF('Journal'!D1317="","",IFERROR(LEFT('Journal'!D1317,FIND(" ",'Journal'!D1317)-1),'Journal'!D1317))</f>
        <v/>
      </c>
      <c r="E2631" s="5">
        <f>IF('Journal'!D1317="","",IFERROR(INDEX('Kontoplan'!$B$3:$B$302,MATCH('Journal'!D1317,'Kontoplan'!$H$3:$H$302,0)),""))</f>
        <v/>
      </c>
      <c r="F2631" s="20">
        <f>IF('Journal'!G1317="","",'Journal'!G1317)</f>
        <v/>
      </c>
      <c r="G2631" s="20">
        <f>IF('Journal'!F1317="","",'Journal'!F1317)</f>
        <v/>
      </c>
      <c r="H2631" s="5">
        <f>IF('Journal'!I1317="","",'Journal'!I1317)</f>
        <v/>
      </c>
    </row>
    <row r="2632">
      <c r="A2632" s="18">
        <f>IF('Journal'!A1317="","",'Journal'!A1317)</f>
        <v/>
      </c>
      <c r="B2632" s="21">
        <f>IF('Journal'!B1317="","",'Journal'!B1317)</f>
        <v/>
      </c>
      <c r="C2632" s="5">
        <f>IF('Journal'!C1317="","",'Journal'!C1317)</f>
        <v/>
      </c>
      <c r="D2632" s="5">
        <f>IF('Journal'!E1317="","",IFERROR(LEFT('Journal'!E1317,FIND(" ",'Journal'!E1317)-1),'Journal'!E1317))</f>
        <v/>
      </c>
      <c r="E2632" s="5">
        <f>IF('Journal'!E1317="","",IFERROR(INDEX('Kontoplan'!$B$3:$B$302,MATCH('Journal'!E1317,'Kontoplan'!$H$3:$H$302,0)),""))</f>
        <v/>
      </c>
      <c r="F2632" s="20">
        <f>IF('Journal'!F1317="","",'Journal'!F1317)</f>
        <v/>
      </c>
      <c r="G2632" s="20">
        <f>IF('Journal'!G1317="","",'Journal'!G1317)</f>
        <v/>
      </c>
      <c r="H2632" s="5">
        <f>IF('Journal'!I1317="","",'Journal'!I1317)</f>
        <v/>
      </c>
    </row>
    <row r="2633">
      <c r="A2633" s="18">
        <f>IF('Journal'!A1318="","",'Journal'!A1318)</f>
        <v/>
      </c>
      <c r="B2633" s="21">
        <f>IF('Journal'!B1318="","",'Journal'!B1318)</f>
        <v/>
      </c>
      <c r="C2633" s="5">
        <f>IF('Journal'!C1318="","",'Journal'!C1318)</f>
        <v/>
      </c>
      <c r="D2633" s="5">
        <f>IF('Journal'!D1318="","",IFERROR(LEFT('Journal'!D1318,FIND(" ",'Journal'!D1318)-1),'Journal'!D1318))</f>
        <v/>
      </c>
      <c r="E2633" s="5">
        <f>IF('Journal'!D1318="","",IFERROR(INDEX('Kontoplan'!$B$3:$B$302,MATCH('Journal'!D1318,'Kontoplan'!$H$3:$H$302,0)),""))</f>
        <v/>
      </c>
      <c r="F2633" s="20">
        <f>IF('Journal'!G1318="","",'Journal'!G1318)</f>
        <v/>
      </c>
      <c r="G2633" s="20">
        <f>IF('Journal'!F1318="","",'Journal'!F1318)</f>
        <v/>
      </c>
      <c r="H2633" s="5">
        <f>IF('Journal'!I1318="","",'Journal'!I1318)</f>
        <v/>
      </c>
    </row>
    <row r="2634">
      <c r="A2634" s="18">
        <f>IF('Journal'!A1318="","",'Journal'!A1318)</f>
        <v/>
      </c>
      <c r="B2634" s="21">
        <f>IF('Journal'!B1318="","",'Journal'!B1318)</f>
        <v/>
      </c>
      <c r="C2634" s="5">
        <f>IF('Journal'!C1318="","",'Journal'!C1318)</f>
        <v/>
      </c>
      <c r="D2634" s="5">
        <f>IF('Journal'!E1318="","",IFERROR(LEFT('Journal'!E1318,FIND(" ",'Journal'!E1318)-1),'Journal'!E1318))</f>
        <v/>
      </c>
      <c r="E2634" s="5">
        <f>IF('Journal'!E1318="","",IFERROR(INDEX('Kontoplan'!$B$3:$B$302,MATCH('Journal'!E1318,'Kontoplan'!$H$3:$H$302,0)),""))</f>
        <v/>
      </c>
      <c r="F2634" s="20">
        <f>IF('Journal'!F1318="","",'Journal'!F1318)</f>
        <v/>
      </c>
      <c r="G2634" s="20">
        <f>IF('Journal'!G1318="","",'Journal'!G1318)</f>
        <v/>
      </c>
      <c r="H2634" s="5">
        <f>IF('Journal'!I1318="","",'Journal'!I1318)</f>
        <v/>
      </c>
    </row>
    <row r="2635">
      <c r="A2635" s="18">
        <f>IF('Journal'!A1319="","",'Journal'!A1319)</f>
        <v/>
      </c>
      <c r="B2635" s="21">
        <f>IF('Journal'!B1319="","",'Journal'!B1319)</f>
        <v/>
      </c>
      <c r="C2635" s="5">
        <f>IF('Journal'!C1319="","",'Journal'!C1319)</f>
        <v/>
      </c>
      <c r="D2635" s="5">
        <f>IF('Journal'!D1319="","",IFERROR(LEFT('Journal'!D1319,FIND(" ",'Journal'!D1319)-1),'Journal'!D1319))</f>
        <v/>
      </c>
      <c r="E2635" s="5">
        <f>IF('Journal'!D1319="","",IFERROR(INDEX('Kontoplan'!$B$3:$B$302,MATCH('Journal'!D1319,'Kontoplan'!$H$3:$H$302,0)),""))</f>
        <v/>
      </c>
      <c r="F2635" s="20">
        <f>IF('Journal'!G1319="","",'Journal'!G1319)</f>
        <v/>
      </c>
      <c r="G2635" s="20">
        <f>IF('Journal'!F1319="","",'Journal'!F1319)</f>
        <v/>
      </c>
      <c r="H2635" s="5">
        <f>IF('Journal'!I1319="","",'Journal'!I1319)</f>
        <v/>
      </c>
    </row>
    <row r="2636">
      <c r="A2636" s="18">
        <f>IF('Journal'!A1319="","",'Journal'!A1319)</f>
        <v/>
      </c>
      <c r="B2636" s="21">
        <f>IF('Journal'!B1319="","",'Journal'!B1319)</f>
        <v/>
      </c>
      <c r="C2636" s="5">
        <f>IF('Journal'!C1319="","",'Journal'!C1319)</f>
        <v/>
      </c>
      <c r="D2636" s="5">
        <f>IF('Journal'!E1319="","",IFERROR(LEFT('Journal'!E1319,FIND(" ",'Journal'!E1319)-1),'Journal'!E1319))</f>
        <v/>
      </c>
      <c r="E2636" s="5">
        <f>IF('Journal'!E1319="","",IFERROR(INDEX('Kontoplan'!$B$3:$B$302,MATCH('Journal'!E1319,'Kontoplan'!$H$3:$H$302,0)),""))</f>
        <v/>
      </c>
      <c r="F2636" s="20">
        <f>IF('Journal'!F1319="","",'Journal'!F1319)</f>
        <v/>
      </c>
      <c r="G2636" s="20">
        <f>IF('Journal'!G1319="","",'Journal'!G1319)</f>
        <v/>
      </c>
      <c r="H2636" s="5">
        <f>IF('Journal'!I1319="","",'Journal'!I1319)</f>
        <v/>
      </c>
    </row>
    <row r="2637">
      <c r="A2637" s="18">
        <f>IF('Journal'!A1320="","",'Journal'!A1320)</f>
        <v/>
      </c>
      <c r="B2637" s="21">
        <f>IF('Journal'!B1320="","",'Journal'!B1320)</f>
        <v/>
      </c>
      <c r="C2637" s="5">
        <f>IF('Journal'!C1320="","",'Journal'!C1320)</f>
        <v/>
      </c>
      <c r="D2637" s="5">
        <f>IF('Journal'!D1320="","",IFERROR(LEFT('Journal'!D1320,FIND(" ",'Journal'!D1320)-1),'Journal'!D1320))</f>
        <v/>
      </c>
      <c r="E2637" s="5">
        <f>IF('Journal'!D1320="","",IFERROR(INDEX('Kontoplan'!$B$3:$B$302,MATCH('Journal'!D1320,'Kontoplan'!$H$3:$H$302,0)),""))</f>
        <v/>
      </c>
      <c r="F2637" s="20">
        <f>IF('Journal'!G1320="","",'Journal'!G1320)</f>
        <v/>
      </c>
      <c r="G2637" s="20">
        <f>IF('Journal'!F1320="","",'Journal'!F1320)</f>
        <v/>
      </c>
      <c r="H2637" s="5">
        <f>IF('Journal'!I1320="","",'Journal'!I1320)</f>
        <v/>
      </c>
    </row>
    <row r="2638">
      <c r="A2638" s="18">
        <f>IF('Journal'!A1320="","",'Journal'!A1320)</f>
        <v/>
      </c>
      <c r="B2638" s="21">
        <f>IF('Journal'!B1320="","",'Journal'!B1320)</f>
        <v/>
      </c>
      <c r="C2638" s="5">
        <f>IF('Journal'!C1320="","",'Journal'!C1320)</f>
        <v/>
      </c>
      <c r="D2638" s="5">
        <f>IF('Journal'!E1320="","",IFERROR(LEFT('Journal'!E1320,FIND(" ",'Journal'!E1320)-1),'Journal'!E1320))</f>
        <v/>
      </c>
      <c r="E2638" s="5">
        <f>IF('Journal'!E1320="","",IFERROR(INDEX('Kontoplan'!$B$3:$B$302,MATCH('Journal'!E1320,'Kontoplan'!$H$3:$H$302,0)),""))</f>
        <v/>
      </c>
      <c r="F2638" s="20">
        <f>IF('Journal'!F1320="","",'Journal'!F1320)</f>
        <v/>
      </c>
      <c r="G2638" s="20">
        <f>IF('Journal'!G1320="","",'Journal'!G1320)</f>
        <v/>
      </c>
      <c r="H2638" s="5">
        <f>IF('Journal'!I1320="","",'Journal'!I1320)</f>
        <v/>
      </c>
    </row>
    <row r="2639">
      <c r="A2639" s="18">
        <f>IF('Journal'!A1321="","",'Journal'!A1321)</f>
        <v/>
      </c>
      <c r="B2639" s="21">
        <f>IF('Journal'!B1321="","",'Journal'!B1321)</f>
        <v/>
      </c>
      <c r="C2639" s="5">
        <f>IF('Journal'!C1321="","",'Journal'!C1321)</f>
        <v/>
      </c>
      <c r="D2639" s="5">
        <f>IF('Journal'!D1321="","",IFERROR(LEFT('Journal'!D1321,FIND(" ",'Journal'!D1321)-1),'Journal'!D1321))</f>
        <v/>
      </c>
      <c r="E2639" s="5">
        <f>IF('Journal'!D1321="","",IFERROR(INDEX('Kontoplan'!$B$3:$B$302,MATCH('Journal'!D1321,'Kontoplan'!$H$3:$H$302,0)),""))</f>
        <v/>
      </c>
      <c r="F2639" s="20">
        <f>IF('Journal'!G1321="","",'Journal'!G1321)</f>
        <v/>
      </c>
      <c r="G2639" s="20">
        <f>IF('Journal'!F1321="","",'Journal'!F1321)</f>
        <v/>
      </c>
      <c r="H2639" s="5">
        <f>IF('Journal'!I1321="","",'Journal'!I1321)</f>
        <v/>
      </c>
    </row>
    <row r="2640">
      <c r="A2640" s="18">
        <f>IF('Journal'!A1321="","",'Journal'!A1321)</f>
        <v/>
      </c>
      <c r="B2640" s="21">
        <f>IF('Journal'!B1321="","",'Journal'!B1321)</f>
        <v/>
      </c>
      <c r="C2640" s="5">
        <f>IF('Journal'!C1321="","",'Journal'!C1321)</f>
        <v/>
      </c>
      <c r="D2640" s="5">
        <f>IF('Journal'!E1321="","",IFERROR(LEFT('Journal'!E1321,FIND(" ",'Journal'!E1321)-1),'Journal'!E1321))</f>
        <v/>
      </c>
      <c r="E2640" s="5">
        <f>IF('Journal'!E1321="","",IFERROR(INDEX('Kontoplan'!$B$3:$B$302,MATCH('Journal'!E1321,'Kontoplan'!$H$3:$H$302,0)),""))</f>
        <v/>
      </c>
      <c r="F2640" s="20">
        <f>IF('Journal'!F1321="","",'Journal'!F1321)</f>
        <v/>
      </c>
      <c r="G2640" s="20">
        <f>IF('Journal'!G1321="","",'Journal'!G1321)</f>
        <v/>
      </c>
      <c r="H2640" s="5">
        <f>IF('Journal'!I1321="","",'Journal'!I1321)</f>
        <v/>
      </c>
    </row>
    <row r="2641">
      <c r="A2641" s="18">
        <f>IF('Journal'!A1322="","",'Journal'!A1322)</f>
        <v/>
      </c>
      <c r="B2641" s="21">
        <f>IF('Journal'!B1322="","",'Journal'!B1322)</f>
        <v/>
      </c>
      <c r="C2641" s="5">
        <f>IF('Journal'!C1322="","",'Journal'!C1322)</f>
        <v/>
      </c>
      <c r="D2641" s="5">
        <f>IF('Journal'!D1322="","",IFERROR(LEFT('Journal'!D1322,FIND(" ",'Journal'!D1322)-1),'Journal'!D1322))</f>
        <v/>
      </c>
      <c r="E2641" s="5">
        <f>IF('Journal'!D1322="","",IFERROR(INDEX('Kontoplan'!$B$3:$B$302,MATCH('Journal'!D1322,'Kontoplan'!$H$3:$H$302,0)),""))</f>
        <v/>
      </c>
      <c r="F2641" s="20">
        <f>IF('Journal'!G1322="","",'Journal'!G1322)</f>
        <v/>
      </c>
      <c r="G2641" s="20">
        <f>IF('Journal'!F1322="","",'Journal'!F1322)</f>
        <v/>
      </c>
      <c r="H2641" s="5">
        <f>IF('Journal'!I1322="","",'Journal'!I1322)</f>
        <v/>
      </c>
    </row>
    <row r="2642">
      <c r="A2642" s="18">
        <f>IF('Journal'!A1322="","",'Journal'!A1322)</f>
        <v/>
      </c>
      <c r="B2642" s="21">
        <f>IF('Journal'!B1322="","",'Journal'!B1322)</f>
        <v/>
      </c>
      <c r="C2642" s="5">
        <f>IF('Journal'!C1322="","",'Journal'!C1322)</f>
        <v/>
      </c>
      <c r="D2642" s="5">
        <f>IF('Journal'!E1322="","",IFERROR(LEFT('Journal'!E1322,FIND(" ",'Journal'!E1322)-1),'Journal'!E1322))</f>
        <v/>
      </c>
      <c r="E2642" s="5">
        <f>IF('Journal'!E1322="","",IFERROR(INDEX('Kontoplan'!$B$3:$B$302,MATCH('Journal'!E1322,'Kontoplan'!$H$3:$H$302,0)),""))</f>
        <v/>
      </c>
      <c r="F2642" s="20">
        <f>IF('Journal'!F1322="","",'Journal'!F1322)</f>
        <v/>
      </c>
      <c r="G2642" s="20">
        <f>IF('Journal'!G1322="","",'Journal'!G1322)</f>
        <v/>
      </c>
      <c r="H2642" s="5">
        <f>IF('Journal'!I1322="","",'Journal'!I1322)</f>
        <v/>
      </c>
    </row>
    <row r="2643">
      <c r="A2643" s="18">
        <f>IF('Journal'!A1323="","",'Journal'!A1323)</f>
        <v/>
      </c>
      <c r="B2643" s="21">
        <f>IF('Journal'!B1323="","",'Journal'!B1323)</f>
        <v/>
      </c>
      <c r="C2643" s="5">
        <f>IF('Journal'!C1323="","",'Journal'!C1323)</f>
        <v/>
      </c>
      <c r="D2643" s="5">
        <f>IF('Journal'!D1323="","",IFERROR(LEFT('Journal'!D1323,FIND(" ",'Journal'!D1323)-1),'Journal'!D1323))</f>
        <v/>
      </c>
      <c r="E2643" s="5">
        <f>IF('Journal'!D1323="","",IFERROR(INDEX('Kontoplan'!$B$3:$B$302,MATCH('Journal'!D1323,'Kontoplan'!$H$3:$H$302,0)),""))</f>
        <v/>
      </c>
      <c r="F2643" s="20">
        <f>IF('Journal'!G1323="","",'Journal'!G1323)</f>
        <v/>
      </c>
      <c r="G2643" s="20">
        <f>IF('Journal'!F1323="","",'Journal'!F1323)</f>
        <v/>
      </c>
      <c r="H2643" s="5">
        <f>IF('Journal'!I1323="","",'Journal'!I1323)</f>
        <v/>
      </c>
    </row>
    <row r="2644">
      <c r="A2644" s="18">
        <f>IF('Journal'!A1323="","",'Journal'!A1323)</f>
        <v/>
      </c>
      <c r="B2644" s="21">
        <f>IF('Journal'!B1323="","",'Journal'!B1323)</f>
        <v/>
      </c>
      <c r="C2644" s="5">
        <f>IF('Journal'!C1323="","",'Journal'!C1323)</f>
        <v/>
      </c>
      <c r="D2644" s="5">
        <f>IF('Journal'!E1323="","",IFERROR(LEFT('Journal'!E1323,FIND(" ",'Journal'!E1323)-1),'Journal'!E1323))</f>
        <v/>
      </c>
      <c r="E2644" s="5">
        <f>IF('Journal'!E1323="","",IFERROR(INDEX('Kontoplan'!$B$3:$B$302,MATCH('Journal'!E1323,'Kontoplan'!$H$3:$H$302,0)),""))</f>
        <v/>
      </c>
      <c r="F2644" s="20">
        <f>IF('Journal'!F1323="","",'Journal'!F1323)</f>
        <v/>
      </c>
      <c r="G2644" s="20">
        <f>IF('Journal'!G1323="","",'Journal'!G1323)</f>
        <v/>
      </c>
      <c r="H2644" s="5">
        <f>IF('Journal'!I1323="","",'Journal'!I1323)</f>
        <v/>
      </c>
    </row>
    <row r="2645">
      <c r="A2645" s="18">
        <f>IF('Journal'!A1324="","",'Journal'!A1324)</f>
        <v/>
      </c>
      <c r="B2645" s="21">
        <f>IF('Journal'!B1324="","",'Journal'!B1324)</f>
        <v/>
      </c>
      <c r="C2645" s="5">
        <f>IF('Journal'!C1324="","",'Journal'!C1324)</f>
        <v/>
      </c>
      <c r="D2645" s="5">
        <f>IF('Journal'!D1324="","",IFERROR(LEFT('Journal'!D1324,FIND(" ",'Journal'!D1324)-1),'Journal'!D1324))</f>
        <v/>
      </c>
      <c r="E2645" s="5">
        <f>IF('Journal'!D1324="","",IFERROR(INDEX('Kontoplan'!$B$3:$B$302,MATCH('Journal'!D1324,'Kontoplan'!$H$3:$H$302,0)),""))</f>
        <v/>
      </c>
      <c r="F2645" s="20">
        <f>IF('Journal'!G1324="","",'Journal'!G1324)</f>
        <v/>
      </c>
      <c r="G2645" s="20">
        <f>IF('Journal'!F1324="","",'Journal'!F1324)</f>
        <v/>
      </c>
      <c r="H2645" s="5">
        <f>IF('Journal'!I1324="","",'Journal'!I1324)</f>
        <v/>
      </c>
    </row>
    <row r="2646">
      <c r="A2646" s="18">
        <f>IF('Journal'!A1324="","",'Journal'!A1324)</f>
        <v/>
      </c>
      <c r="B2646" s="21">
        <f>IF('Journal'!B1324="","",'Journal'!B1324)</f>
        <v/>
      </c>
      <c r="C2646" s="5">
        <f>IF('Journal'!C1324="","",'Journal'!C1324)</f>
        <v/>
      </c>
      <c r="D2646" s="5">
        <f>IF('Journal'!E1324="","",IFERROR(LEFT('Journal'!E1324,FIND(" ",'Journal'!E1324)-1),'Journal'!E1324))</f>
        <v/>
      </c>
      <c r="E2646" s="5">
        <f>IF('Journal'!E1324="","",IFERROR(INDEX('Kontoplan'!$B$3:$B$302,MATCH('Journal'!E1324,'Kontoplan'!$H$3:$H$302,0)),""))</f>
        <v/>
      </c>
      <c r="F2646" s="20">
        <f>IF('Journal'!F1324="","",'Journal'!F1324)</f>
        <v/>
      </c>
      <c r="G2646" s="20">
        <f>IF('Journal'!G1324="","",'Journal'!G1324)</f>
        <v/>
      </c>
      <c r="H2646" s="5">
        <f>IF('Journal'!I1324="","",'Journal'!I1324)</f>
        <v/>
      </c>
    </row>
    <row r="2647">
      <c r="A2647" s="18">
        <f>IF('Journal'!A1325="","",'Journal'!A1325)</f>
        <v/>
      </c>
      <c r="B2647" s="21">
        <f>IF('Journal'!B1325="","",'Journal'!B1325)</f>
        <v/>
      </c>
      <c r="C2647" s="5">
        <f>IF('Journal'!C1325="","",'Journal'!C1325)</f>
        <v/>
      </c>
      <c r="D2647" s="5">
        <f>IF('Journal'!D1325="","",IFERROR(LEFT('Journal'!D1325,FIND(" ",'Journal'!D1325)-1),'Journal'!D1325))</f>
        <v/>
      </c>
      <c r="E2647" s="5">
        <f>IF('Journal'!D1325="","",IFERROR(INDEX('Kontoplan'!$B$3:$B$302,MATCH('Journal'!D1325,'Kontoplan'!$H$3:$H$302,0)),""))</f>
        <v/>
      </c>
      <c r="F2647" s="20">
        <f>IF('Journal'!G1325="","",'Journal'!G1325)</f>
        <v/>
      </c>
      <c r="G2647" s="20">
        <f>IF('Journal'!F1325="","",'Journal'!F1325)</f>
        <v/>
      </c>
      <c r="H2647" s="5">
        <f>IF('Journal'!I1325="","",'Journal'!I1325)</f>
        <v/>
      </c>
    </row>
    <row r="2648">
      <c r="A2648" s="18">
        <f>IF('Journal'!A1325="","",'Journal'!A1325)</f>
        <v/>
      </c>
      <c r="B2648" s="21">
        <f>IF('Journal'!B1325="","",'Journal'!B1325)</f>
        <v/>
      </c>
      <c r="C2648" s="5">
        <f>IF('Journal'!C1325="","",'Journal'!C1325)</f>
        <v/>
      </c>
      <c r="D2648" s="5">
        <f>IF('Journal'!E1325="","",IFERROR(LEFT('Journal'!E1325,FIND(" ",'Journal'!E1325)-1),'Journal'!E1325))</f>
        <v/>
      </c>
      <c r="E2648" s="5">
        <f>IF('Journal'!E1325="","",IFERROR(INDEX('Kontoplan'!$B$3:$B$302,MATCH('Journal'!E1325,'Kontoplan'!$H$3:$H$302,0)),""))</f>
        <v/>
      </c>
      <c r="F2648" s="20">
        <f>IF('Journal'!F1325="","",'Journal'!F1325)</f>
        <v/>
      </c>
      <c r="G2648" s="20">
        <f>IF('Journal'!G1325="","",'Journal'!G1325)</f>
        <v/>
      </c>
      <c r="H2648" s="5">
        <f>IF('Journal'!I1325="","",'Journal'!I1325)</f>
        <v/>
      </c>
    </row>
    <row r="2649">
      <c r="A2649" s="18">
        <f>IF('Journal'!A1326="","",'Journal'!A1326)</f>
        <v/>
      </c>
      <c r="B2649" s="21">
        <f>IF('Journal'!B1326="","",'Journal'!B1326)</f>
        <v/>
      </c>
      <c r="C2649" s="5">
        <f>IF('Journal'!C1326="","",'Journal'!C1326)</f>
        <v/>
      </c>
      <c r="D2649" s="5">
        <f>IF('Journal'!D1326="","",IFERROR(LEFT('Journal'!D1326,FIND(" ",'Journal'!D1326)-1),'Journal'!D1326))</f>
        <v/>
      </c>
      <c r="E2649" s="5">
        <f>IF('Journal'!D1326="","",IFERROR(INDEX('Kontoplan'!$B$3:$B$302,MATCH('Journal'!D1326,'Kontoplan'!$H$3:$H$302,0)),""))</f>
        <v/>
      </c>
      <c r="F2649" s="20">
        <f>IF('Journal'!G1326="","",'Journal'!G1326)</f>
        <v/>
      </c>
      <c r="G2649" s="20">
        <f>IF('Journal'!F1326="","",'Journal'!F1326)</f>
        <v/>
      </c>
      <c r="H2649" s="5">
        <f>IF('Journal'!I1326="","",'Journal'!I1326)</f>
        <v/>
      </c>
    </row>
    <row r="2650">
      <c r="A2650" s="18">
        <f>IF('Journal'!A1326="","",'Journal'!A1326)</f>
        <v/>
      </c>
      <c r="B2650" s="21">
        <f>IF('Journal'!B1326="","",'Journal'!B1326)</f>
        <v/>
      </c>
      <c r="C2650" s="5">
        <f>IF('Journal'!C1326="","",'Journal'!C1326)</f>
        <v/>
      </c>
      <c r="D2650" s="5">
        <f>IF('Journal'!E1326="","",IFERROR(LEFT('Journal'!E1326,FIND(" ",'Journal'!E1326)-1),'Journal'!E1326))</f>
        <v/>
      </c>
      <c r="E2650" s="5">
        <f>IF('Journal'!E1326="","",IFERROR(INDEX('Kontoplan'!$B$3:$B$302,MATCH('Journal'!E1326,'Kontoplan'!$H$3:$H$302,0)),""))</f>
        <v/>
      </c>
      <c r="F2650" s="20">
        <f>IF('Journal'!F1326="","",'Journal'!F1326)</f>
        <v/>
      </c>
      <c r="G2650" s="20">
        <f>IF('Journal'!G1326="","",'Journal'!G1326)</f>
        <v/>
      </c>
      <c r="H2650" s="5">
        <f>IF('Journal'!I1326="","",'Journal'!I1326)</f>
        <v/>
      </c>
    </row>
    <row r="2651">
      <c r="A2651" s="18">
        <f>IF('Journal'!A1327="","",'Journal'!A1327)</f>
        <v/>
      </c>
      <c r="B2651" s="21">
        <f>IF('Journal'!B1327="","",'Journal'!B1327)</f>
        <v/>
      </c>
      <c r="C2651" s="5">
        <f>IF('Journal'!C1327="","",'Journal'!C1327)</f>
        <v/>
      </c>
      <c r="D2651" s="5">
        <f>IF('Journal'!D1327="","",IFERROR(LEFT('Journal'!D1327,FIND(" ",'Journal'!D1327)-1),'Journal'!D1327))</f>
        <v/>
      </c>
      <c r="E2651" s="5">
        <f>IF('Journal'!D1327="","",IFERROR(INDEX('Kontoplan'!$B$3:$B$302,MATCH('Journal'!D1327,'Kontoplan'!$H$3:$H$302,0)),""))</f>
        <v/>
      </c>
      <c r="F2651" s="20">
        <f>IF('Journal'!G1327="","",'Journal'!G1327)</f>
        <v/>
      </c>
      <c r="G2651" s="20">
        <f>IF('Journal'!F1327="","",'Journal'!F1327)</f>
        <v/>
      </c>
      <c r="H2651" s="5">
        <f>IF('Journal'!I1327="","",'Journal'!I1327)</f>
        <v/>
      </c>
    </row>
    <row r="2652">
      <c r="A2652" s="18">
        <f>IF('Journal'!A1327="","",'Journal'!A1327)</f>
        <v/>
      </c>
      <c r="B2652" s="21">
        <f>IF('Journal'!B1327="","",'Journal'!B1327)</f>
        <v/>
      </c>
      <c r="C2652" s="5">
        <f>IF('Journal'!C1327="","",'Journal'!C1327)</f>
        <v/>
      </c>
      <c r="D2652" s="5">
        <f>IF('Journal'!E1327="","",IFERROR(LEFT('Journal'!E1327,FIND(" ",'Journal'!E1327)-1),'Journal'!E1327))</f>
        <v/>
      </c>
      <c r="E2652" s="5">
        <f>IF('Journal'!E1327="","",IFERROR(INDEX('Kontoplan'!$B$3:$B$302,MATCH('Journal'!E1327,'Kontoplan'!$H$3:$H$302,0)),""))</f>
        <v/>
      </c>
      <c r="F2652" s="20">
        <f>IF('Journal'!F1327="","",'Journal'!F1327)</f>
        <v/>
      </c>
      <c r="G2652" s="20">
        <f>IF('Journal'!G1327="","",'Journal'!G1327)</f>
        <v/>
      </c>
      <c r="H2652" s="5">
        <f>IF('Journal'!I1327="","",'Journal'!I1327)</f>
        <v/>
      </c>
    </row>
    <row r="2653">
      <c r="A2653" s="18">
        <f>IF('Journal'!A1328="","",'Journal'!A1328)</f>
        <v/>
      </c>
      <c r="B2653" s="21">
        <f>IF('Journal'!B1328="","",'Journal'!B1328)</f>
        <v/>
      </c>
      <c r="C2653" s="5">
        <f>IF('Journal'!C1328="","",'Journal'!C1328)</f>
        <v/>
      </c>
      <c r="D2653" s="5">
        <f>IF('Journal'!D1328="","",IFERROR(LEFT('Journal'!D1328,FIND(" ",'Journal'!D1328)-1),'Journal'!D1328))</f>
        <v/>
      </c>
      <c r="E2653" s="5">
        <f>IF('Journal'!D1328="","",IFERROR(INDEX('Kontoplan'!$B$3:$B$302,MATCH('Journal'!D1328,'Kontoplan'!$H$3:$H$302,0)),""))</f>
        <v/>
      </c>
      <c r="F2653" s="20">
        <f>IF('Journal'!G1328="","",'Journal'!G1328)</f>
        <v/>
      </c>
      <c r="G2653" s="20">
        <f>IF('Journal'!F1328="","",'Journal'!F1328)</f>
        <v/>
      </c>
      <c r="H2653" s="5">
        <f>IF('Journal'!I1328="","",'Journal'!I1328)</f>
        <v/>
      </c>
    </row>
    <row r="2654">
      <c r="A2654" s="18">
        <f>IF('Journal'!A1328="","",'Journal'!A1328)</f>
        <v/>
      </c>
      <c r="B2654" s="21">
        <f>IF('Journal'!B1328="","",'Journal'!B1328)</f>
        <v/>
      </c>
      <c r="C2654" s="5">
        <f>IF('Journal'!C1328="","",'Journal'!C1328)</f>
        <v/>
      </c>
      <c r="D2654" s="5">
        <f>IF('Journal'!E1328="","",IFERROR(LEFT('Journal'!E1328,FIND(" ",'Journal'!E1328)-1),'Journal'!E1328))</f>
        <v/>
      </c>
      <c r="E2654" s="5">
        <f>IF('Journal'!E1328="","",IFERROR(INDEX('Kontoplan'!$B$3:$B$302,MATCH('Journal'!E1328,'Kontoplan'!$H$3:$H$302,0)),""))</f>
        <v/>
      </c>
      <c r="F2654" s="20">
        <f>IF('Journal'!F1328="","",'Journal'!F1328)</f>
        <v/>
      </c>
      <c r="G2654" s="20">
        <f>IF('Journal'!G1328="","",'Journal'!G1328)</f>
        <v/>
      </c>
      <c r="H2654" s="5">
        <f>IF('Journal'!I1328="","",'Journal'!I1328)</f>
        <v/>
      </c>
    </row>
    <row r="2655">
      <c r="A2655" s="18">
        <f>IF('Journal'!A1329="","",'Journal'!A1329)</f>
        <v/>
      </c>
      <c r="B2655" s="21">
        <f>IF('Journal'!B1329="","",'Journal'!B1329)</f>
        <v/>
      </c>
      <c r="C2655" s="5">
        <f>IF('Journal'!C1329="","",'Journal'!C1329)</f>
        <v/>
      </c>
      <c r="D2655" s="5">
        <f>IF('Journal'!D1329="","",IFERROR(LEFT('Journal'!D1329,FIND(" ",'Journal'!D1329)-1),'Journal'!D1329))</f>
        <v/>
      </c>
      <c r="E2655" s="5">
        <f>IF('Journal'!D1329="","",IFERROR(INDEX('Kontoplan'!$B$3:$B$302,MATCH('Journal'!D1329,'Kontoplan'!$H$3:$H$302,0)),""))</f>
        <v/>
      </c>
      <c r="F2655" s="20">
        <f>IF('Journal'!G1329="","",'Journal'!G1329)</f>
        <v/>
      </c>
      <c r="G2655" s="20">
        <f>IF('Journal'!F1329="","",'Journal'!F1329)</f>
        <v/>
      </c>
      <c r="H2655" s="5">
        <f>IF('Journal'!I1329="","",'Journal'!I1329)</f>
        <v/>
      </c>
    </row>
    <row r="2656">
      <c r="A2656" s="18">
        <f>IF('Journal'!A1329="","",'Journal'!A1329)</f>
        <v/>
      </c>
      <c r="B2656" s="21">
        <f>IF('Journal'!B1329="","",'Journal'!B1329)</f>
        <v/>
      </c>
      <c r="C2656" s="5">
        <f>IF('Journal'!C1329="","",'Journal'!C1329)</f>
        <v/>
      </c>
      <c r="D2656" s="5">
        <f>IF('Journal'!E1329="","",IFERROR(LEFT('Journal'!E1329,FIND(" ",'Journal'!E1329)-1),'Journal'!E1329))</f>
        <v/>
      </c>
      <c r="E2656" s="5">
        <f>IF('Journal'!E1329="","",IFERROR(INDEX('Kontoplan'!$B$3:$B$302,MATCH('Journal'!E1329,'Kontoplan'!$H$3:$H$302,0)),""))</f>
        <v/>
      </c>
      <c r="F2656" s="20">
        <f>IF('Journal'!F1329="","",'Journal'!F1329)</f>
        <v/>
      </c>
      <c r="G2656" s="20">
        <f>IF('Journal'!G1329="","",'Journal'!G1329)</f>
        <v/>
      </c>
      <c r="H2656" s="5">
        <f>IF('Journal'!I1329="","",'Journal'!I1329)</f>
        <v/>
      </c>
    </row>
    <row r="2657">
      <c r="A2657" s="18">
        <f>IF('Journal'!A1330="","",'Journal'!A1330)</f>
        <v/>
      </c>
      <c r="B2657" s="21">
        <f>IF('Journal'!B1330="","",'Journal'!B1330)</f>
        <v/>
      </c>
      <c r="C2657" s="5">
        <f>IF('Journal'!C1330="","",'Journal'!C1330)</f>
        <v/>
      </c>
      <c r="D2657" s="5">
        <f>IF('Journal'!D1330="","",IFERROR(LEFT('Journal'!D1330,FIND(" ",'Journal'!D1330)-1),'Journal'!D1330))</f>
        <v/>
      </c>
      <c r="E2657" s="5">
        <f>IF('Journal'!D1330="","",IFERROR(INDEX('Kontoplan'!$B$3:$B$302,MATCH('Journal'!D1330,'Kontoplan'!$H$3:$H$302,0)),""))</f>
        <v/>
      </c>
      <c r="F2657" s="20">
        <f>IF('Journal'!G1330="","",'Journal'!G1330)</f>
        <v/>
      </c>
      <c r="G2657" s="20">
        <f>IF('Journal'!F1330="","",'Journal'!F1330)</f>
        <v/>
      </c>
      <c r="H2657" s="5">
        <f>IF('Journal'!I1330="","",'Journal'!I1330)</f>
        <v/>
      </c>
    </row>
    <row r="2658">
      <c r="A2658" s="18">
        <f>IF('Journal'!A1330="","",'Journal'!A1330)</f>
        <v/>
      </c>
      <c r="B2658" s="21">
        <f>IF('Journal'!B1330="","",'Journal'!B1330)</f>
        <v/>
      </c>
      <c r="C2658" s="5">
        <f>IF('Journal'!C1330="","",'Journal'!C1330)</f>
        <v/>
      </c>
      <c r="D2658" s="5">
        <f>IF('Journal'!E1330="","",IFERROR(LEFT('Journal'!E1330,FIND(" ",'Journal'!E1330)-1),'Journal'!E1330))</f>
        <v/>
      </c>
      <c r="E2658" s="5">
        <f>IF('Journal'!E1330="","",IFERROR(INDEX('Kontoplan'!$B$3:$B$302,MATCH('Journal'!E1330,'Kontoplan'!$H$3:$H$302,0)),""))</f>
        <v/>
      </c>
      <c r="F2658" s="20">
        <f>IF('Journal'!F1330="","",'Journal'!F1330)</f>
        <v/>
      </c>
      <c r="G2658" s="20">
        <f>IF('Journal'!G1330="","",'Journal'!G1330)</f>
        <v/>
      </c>
      <c r="H2658" s="5">
        <f>IF('Journal'!I1330="","",'Journal'!I1330)</f>
        <v/>
      </c>
    </row>
    <row r="2659">
      <c r="A2659" s="18">
        <f>IF('Journal'!A1331="","",'Journal'!A1331)</f>
        <v/>
      </c>
      <c r="B2659" s="21">
        <f>IF('Journal'!B1331="","",'Journal'!B1331)</f>
        <v/>
      </c>
      <c r="C2659" s="5">
        <f>IF('Journal'!C1331="","",'Journal'!C1331)</f>
        <v/>
      </c>
      <c r="D2659" s="5">
        <f>IF('Journal'!D1331="","",IFERROR(LEFT('Journal'!D1331,FIND(" ",'Journal'!D1331)-1),'Journal'!D1331))</f>
        <v/>
      </c>
      <c r="E2659" s="5">
        <f>IF('Journal'!D1331="","",IFERROR(INDEX('Kontoplan'!$B$3:$B$302,MATCH('Journal'!D1331,'Kontoplan'!$H$3:$H$302,0)),""))</f>
        <v/>
      </c>
      <c r="F2659" s="20">
        <f>IF('Journal'!G1331="","",'Journal'!G1331)</f>
        <v/>
      </c>
      <c r="G2659" s="20">
        <f>IF('Journal'!F1331="","",'Journal'!F1331)</f>
        <v/>
      </c>
      <c r="H2659" s="5">
        <f>IF('Journal'!I1331="","",'Journal'!I1331)</f>
        <v/>
      </c>
    </row>
    <row r="2660">
      <c r="A2660" s="18">
        <f>IF('Journal'!A1331="","",'Journal'!A1331)</f>
        <v/>
      </c>
      <c r="B2660" s="21">
        <f>IF('Journal'!B1331="","",'Journal'!B1331)</f>
        <v/>
      </c>
      <c r="C2660" s="5">
        <f>IF('Journal'!C1331="","",'Journal'!C1331)</f>
        <v/>
      </c>
      <c r="D2660" s="5">
        <f>IF('Journal'!E1331="","",IFERROR(LEFT('Journal'!E1331,FIND(" ",'Journal'!E1331)-1),'Journal'!E1331))</f>
        <v/>
      </c>
      <c r="E2660" s="5">
        <f>IF('Journal'!E1331="","",IFERROR(INDEX('Kontoplan'!$B$3:$B$302,MATCH('Journal'!E1331,'Kontoplan'!$H$3:$H$302,0)),""))</f>
        <v/>
      </c>
      <c r="F2660" s="20">
        <f>IF('Journal'!F1331="","",'Journal'!F1331)</f>
        <v/>
      </c>
      <c r="G2660" s="20">
        <f>IF('Journal'!G1331="","",'Journal'!G1331)</f>
        <v/>
      </c>
      <c r="H2660" s="5">
        <f>IF('Journal'!I1331="","",'Journal'!I1331)</f>
        <v/>
      </c>
    </row>
    <row r="2661">
      <c r="A2661" s="18">
        <f>IF('Journal'!A1332="","",'Journal'!A1332)</f>
        <v/>
      </c>
      <c r="B2661" s="21">
        <f>IF('Journal'!B1332="","",'Journal'!B1332)</f>
        <v/>
      </c>
      <c r="C2661" s="5">
        <f>IF('Journal'!C1332="","",'Journal'!C1332)</f>
        <v/>
      </c>
      <c r="D2661" s="5">
        <f>IF('Journal'!D1332="","",IFERROR(LEFT('Journal'!D1332,FIND(" ",'Journal'!D1332)-1),'Journal'!D1332))</f>
        <v/>
      </c>
      <c r="E2661" s="5">
        <f>IF('Journal'!D1332="","",IFERROR(INDEX('Kontoplan'!$B$3:$B$302,MATCH('Journal'!D1332,'Kontoplan'!$H$3:$H$302,0)),""))</f>
        <v/>
      </c>
      <c r="F2661" s="20">
        <f>IF('Journal'!G1332="","",'Journal'!G1332)</f>
        <v/>
      </c>
      <c r="G2661" s="20">
        <f>IF('Journal'!F1332="","",'Journal'!F1332)</f>
        <v/>
      </c>
      <c r="H2661" s="5">
        <f>IF('Journal'!I1332="","",'Journal'!I1332)</f>
        <v/>
      </c>
    </row>
    <row r="2662">
      <c r="A2662" s="18">
        <f>IF('Journal'!A1332="","",'Journal'!A1332)</f>
        <v/>
      </c>
      <c r="B2662" s="21">
        <f>IF('Journal'!B1332="","",'Journal'!B1332)</f>
        <v/>
      </c>
      <c r="C2662" s="5">
        <f>IF('Journal'!C1332="","",'Journal'!C1332)</f>
        <v/>
      </c>
      <c r="D2662" s="5">
        <f>IF('Journal'!E1332="","",IFERROR(LEFT('Journal'!E1332,FIND(" ",'Journal'!E1332)-1),'Journal'!E1332))</f>
        <v/>
      </c>
      <c r="E2662" s="5">
        <f>IF('Journal'!E1332="","",IFERROR(INDEX('Kontoplan'!$B$3:$B$302,MATCH('Journal'!E1332,'Kontoplan'!$H$3:$H$302,0)),""))</f>
        <v/>
      </c>
      <c r="F2662" s="20">
        <f>IF('Journal'!F1332="","",'Journal'!F1332)</f>
        <v/>
      </c>
      <c r="G2662" s="20">
        <f>IF('Journal'!G1332="","",'Journal'!G1332)</f>
        <v/>
      </c>
      <c r="H2662" s="5">
        <f>IF('Journal'!I1332="","",'Journal'!I1332)</f>
        <v/>
      </c>
    </row>
    <row r="2663">
      <c r="A2663" s="18">
        <f>IF('Journal'!A1333="","",'Journal'!A1333)</f>
        <v/>
      </c>
      <c r="B2663" s="21">
        <f>IF('Journal'!B1333="","",'Journal'!B1333)</f>
        <v/>
      </c>
      <c r="C2663" s="5">
        <f>IF('Journal'!C1333="","",'Journal'!C1333)</f>
        <v/>
      </c>
      <c r="D2663" s="5">
        <f>IF('Journal'!D1333="","",IFERROR(LEFT('Journal'!D1333,FIND(" ",'Journal'!D1333)-1),'Journal'!D1333))</f>
        <v/>
      </c>
      <c r="E2663" s="5">
        <f>IF('Journal'!D1333="","",IFERROR(INDEX('Kontoplan'!$B$3:$B$302,MATCH('Journal'!D1333,'Kontoplan'!$H$3:$H$302,0)),""))</f>
        <v/>
      </c>
      <c r="F2663" s="20">
        <f>IF('Journal'!G1333="","",'Journal'!G1333)</f>
        <v/>
      </c>
      <c r="G2663" s="20">
        <f>IF('Journal'!F1333="","",'Journal'!F1333)</f>
        <v/>
      </c>
      <c r="H2663" s="5">
        <f>IF('Journal'!I1333="","",'Journal'!I1333)</f>
        <v/>
      </c>
    </row>
    <row r="2664">
      <c r="A2664" s="18">
        <f>IF('Journal'!A1333="","",'Journal'!A1333)</f>
        <v/>
      </c>
      <c r="B2664" s="21">
        <f>IF('Journal'!B1333="","",'Journal'!B1333)</f>
        <v/>
      </c>
      <c r="C2664" s="5">
        <f>IF('Journal'!C1333="","",'Journal'!C1333)</f>
        <v/>
      </c>
      <c r="D2664" s="5">
        <f>IF('Journal'!E1333="","",IFERROR(LEFT('Journal'!E1333,FIND(" ",'Journal'!E1333)-1),'Journal'!E1333))</f>
        <v/>
      </c>
      <c r="E2664" s="5">
        <f>IF('Journal'!E1333="","",IFERROR(INDEX('Kontoplan'!$B$3:$B$302,MATCH('Journal'!E1333,'Kontoplan'!$H$3:$H$302,0)),""))</f>
        <v/>
      </c>
      <c r="F2664" s="20">
        <f>IF('Journal'!F1333="","",'Journal'!F1333)</f>
        <v/>
      </c>
      <c r="G2664" s="20">
        <f>IF('Journal'!G1333="","",'Journal'!G1333)</f>
        <v/>
      </c>
      <c r="H2664" s="5">
        <f>IF('Journal'!I1333="","",'Journal'!I1333)</f>
        <v/>
      </c>
    </row>
    <row r="2665">
      <c r="A2665" s="18">
        <f>IF('Journal'!A1334="","",'Journal'!A1334)</f>
        <v/>
      </c>
      <c r="B2665" s="21">
        <f>IF('Journal'!B1334="","",'Journal'!B1334)</f>
        <v/>
      </c>
      <c r="C2665" s="5">
        <f>IF('Journal'!C1334="","",'Journal'!C1334)</f>
        <v/>
      </c>
      <c r="D2665" s="5">
        <f>IF('Journal'!D1334="","",IFERROR(LEFT('Journal'!D1334,FIND(" ",'Journal'!D1334)-1),'Journal'!D1334))</f>
        <v/>
      </c>
      <c r="E2665" s="5">
        <f>IF('Journal'!D1334="","",IFERROR(INDEX('Kontoplan'!$B$3:$B$302,MATCH('Journal'!D1334,'Kontoplan'!$H$3:$H$302,0)),""))</f>
        <v/>
      </c>
      <c r="F2665" s="20">
        <f>IF('Journal'!G1334="","",'Journal'!G1334)</f>
        <v/>
      </c>
      <c r="G2665" s="20">
        <f>IF('Journal'!F1334="","",'Journal'!F1334)</f>
        <v/>
      </c>
      <c r="H2665" s="5">
        <f>IF('Journal'!I1334="","",'Journal'!I1334)</f>
        <v/>
      </c>
    </row>
    <row r="2666">
      <c r="A2666" s="18">
        <f>IF('Journal'!A1334="","",'Journal'!A1334)</f>
        <v/>
      </c>
      <c r="B2666" s="21">
        <f>IF('Journal'!B1334="","",'Journal'!B1334)</f>
        <v/>
      </c>
      <c r="C2666" s="5">
        <f>IF('Journal'!C1334="","",'Journal'!C1334)</f>
        <v/>
      </c>
      <c r="D2666" s="5">
        <f>IF('Journal'!E1334="","",IFERROR(LEFT('Journal'!E1334,FIND(" ",'Journal'!E1334)-1),'Journal'!E1334))</f>
        <v/>
      </c>
      <c r="E2666" s="5">
        <f>IF('Journal'!E1334="","",IFERROR(INDEX('Kontoplan'!$B$3:$B$302,MATCH('Journal'!E1334,'Kontoplan'!$H$3:$H$302,0)),""))</f>
        <v/>
      </c>
      <c r="F2666" s="20">
        <f>IF('Journal'!F1334="","",'Journal'!F1334)</f>
        <v/>
      </c>
      <c r="G2666" s="20">
        <f>IF('Journal'!G1334="","",'Journal'!G1334)</f>
        <v/>
      </c>
      <c r="H2666" s="5">
        <f>IF('Journal'!I1334="","",'Journal'!I1334)</f>
        <v/>
      </c>
    </row>
    <row r="2667">
      <c r="A2667" s="18">
        <f>IF('Journal'!A1335="","",'Journal'!A1335)</f>
        <v/>
      </c>
      <c r="B2667" s="21">
        <f>IF('Journal'!B1335="","",'Journal'!B1335)</f>
        <v/>
      </c>
      <c r="C2667" s="5">
        <f>IF('Journal'!C1335="","",'Journal'!C1335)</f>
        <v/>
      </c>
      <c r="D2667" s="5">
        <f>IF('Journal'!D1335="","",IFERROR(LEFT('Journal'!D1335,FIND(" ",'Journal'!D1335)-1),'Journal'!D1335))</f>
        <v/>
      </c>
      <c r="E2667" s="5">
        <f>IF('Journal'!D1335="","",IFERROR(INDEX('Kontoplan'!$B$3:$B$302,MATCH('Journal'!D1335,'Kontoplan'!$H$3:$H$302,0)),""))</f>
        <v/>
      </c>
      <c r="F2667" s="20">
        <f>IF('Journal'!G1335="","",'Journal'!G1335)</f>
        <v/>
      </c>
      <c r="G2667" s="20">
        <f>IF('Journal'!F1335="","",'Journal'!F1335)</f>
        <v/>
      </c>
      <c r="H2667" s="5">
        <f>IF('Journal'!I1335="","",'Journal'!I1335)</f>
        <v/>
      </c>
    </row>
    <row r="2668">
      <c r="A2668" s="18">
        <f>IF('Journal'!A1335="","",'Journal'!A1335)</f>
        <v/>
      </c>
      <c r="B2668" s="21">
        <f>IF('Journal'!B1335="","",'Journal'!B1335)</f>
        <v/>
      </c>
      <c r="C2668" s="5">
        <f>IF('Journal'!C1335="","",'Journal'!C1335)</f>
        <v/>
      </c>
      <c r="D2668" s="5">
        <f>IF('Journal'!E1335="","",IFERROR(LEFT('Journal'!E1335,FIND(" ",'Journal'!E1335)-1),'Journal'!E1335))</f>
        <v/>
      </c>
      <c r="E2668" s="5">
        <f>IF('Journal'!E1335="","",IFERROR(INDEX('Kontoplan'!$B$3:$B$302,MATCH('Journal'!E1335,'Kontoplan'!$H$3:$H$302,0)),""))</f>
        <v/>
      </c>
      <c r="F2668" s="20">
        <f>IF('Journal'!F1335="","",'Journal'!F1335)</f>
        <v/>
      </c>
      <c r="G2668" s="20">
        <f>IF('Journal'!G1335="","",'Journal'!G1335)</f>
        <v/>
      </c>
      <c r="H2668" s="5">
        <f>IF('Journal'!I1335="","",'Journal'!I1335)</f>
        <v/>
      </c>
    </row>
    <row r="2669">
      <c r="A2669" s="18">
        <f>IF('Journal'!A1336="","",'Journal'!A1336)</f>
        <v/>
      </c>
      <c r="B2669" s="21">
        <f>IF('Journal'!B1336="","",'Journal'!B1336)</f>
        <v/>
      </c>
      <c r="C2669" s="5">
        <f>IF('Journal'!C1336="","",'Journal'!C1336)</f>
        <v/>
      </c>
      <c r="D2669" s="5">
        <f>IF('Journal'!D1336="","",IFERROR(LEFT('Journal'!D1336,FIND(" ",'Journal'!D1336)-1),'Journal'!D1336))</f>
        <v/>
      </c>
      <c r="E2669" s="5">
        <f>IF('Journal'!D1336="","",IFERROR(INDEX('Kontoplan'!$B$3:$B$302,MATCH('Journal'!D1336,'Kontoplan'!$H$3:$H$302,0)),""))</f>
        <v/>
      </c>
      <c r="F2669" s="20">
        <f>IF('Journal'!G1336="","",'Journal'!G1336)</f>
        <v/>
      </c>
      <c r="G2669" s="20">
        <f>IF('Journal'!F1336="","",'Journal'!F1336)</f>
        <v/>
      </c>
      <c r="H2669" s="5">
        <f>IF('Journal'!I1336="","",'Journal'!I1336)</f>
        <v/>
      </c>
    </row>
    <row r="2670">
      <c r="A2670" s="18">
        <f>IF('Journal'!A1336="","",'Journal'!A1336)</f>
        <v/>
      </c>
      <c r="B2670" s="21">
        <f>IF('Journal'!B1336="","",'Journal'!B1336)</f>
        <v/>
      </c>
      <c r="C2670" s="5">
        <f>IF('Journal'!C1336="","",'Journal'!C1336)</f>
        <v/>
      </c>
      <c r="D2670" s="5">
        <f>IF('Journal'!E1336="","",IFERROR(LEFT('Journal'!E1336,FIND(" ",'Journal'!E1336)-1),'Journal'!E1336))</f>
        <v/>
      </c>
      <c r="E2670" s="5">
        <f>IF('Journal'!E1336="","",IFERROR(INDEX('Kontoplan'!$B$3:$B$302,MATCH('Journal'!E1336,'Kontoplan'!$H$3:$H$302,0)),""))</f>
        <v/>
      </c>
      <c r="F2670" s="20">
        <f>IF('Journal'!F1336="","",'Journal'!F1336)</f>
        <v/>
      </c>
      <c r="G2670" s="20">
        <f>IF('Journal'!G1336="","",'Journal'!G1336)</f>
        <v/>
      </c>
      <c r="H2670" s="5">
        <f>IF('Journal'!I1336="","",'Journal'!I1336)</f>
        <v/>
      </c>
    </row>
    <row r="2671">
      <c r="A2671" s="18">
        <f>IF('Journal'!A1337="","",'Journal'!A1337)</f>
        <v/>
      </c>
      <c r="B2671" s="21">
        <f>IF('Journal'!B1337="","",'Journal'!B1337)</f>
        <v/>
      </c>
      <c r="C2671" s="5">
        <f>IF('Journal'!C1337="","",'Journal'!C1337)</f>
        <v/>
      </c>
      <c r="D2671" s="5">
        <f>IF('Journal'!D1337="","",IFERROR(LEFT('Journal'!D1337,FIND(" ",'Journal'!D1337)-1),'Journal'!D1337))</f>
        <v/>
      </c>
      <c r="E2671" s="5">
        <f>IF('Journal'!D1337="","",IFERROR(INDEX('Kontoplan'!$B$3:$B$302,MATCH('Journal'!D1337,'Kontoplan'!$H$3:$H$302,0)),""))</f>
        <v/>
      </c>
      <c r="F2671" s="20">
        <f>IF('Journal'!G1337="","",'Journal'!G1337)</f>
        <v/>
      </c>
      <c r="G2671" s="20">
        <f>IF('Journal'!F1337="","",'Journal'!F1337)</f>
        <v/>
      </c>
      <c r="H2671" s="5">
        <f>IF('Journal'!I1337="","",'Journal'!I1337)</f>
        <v/>
      </c>
    </row>
    <row r="2672">
      <c r="A2672" s="18">
        <f>IF('Journal'!A1337="","",'Journal'!A1337)</f>
        <v/>
      </c>
      <c r="B2672" s="21">
        <f>IF('Journal'!B1337="","",'Journal'!B1337)</f>
        <v/>
      </c>
      <c r="C2672" s="5">
        <f>IF('Journal'!C1337="","",'Journal'!C1337)</f>
        <v/>
      </c>
      <c r="D2672" s="5">
        <f>IF('Journal'!E1337="","",IFERROR(LEFT('Journal'!E1337,FIND(" ",'Journal'!E1337)-1),'Journal'!E1337))</f>
        <v/>
      </c>
      <c r="E2672" s="5">
        <f>IF('Journal'!E1337="","",IFERROR(INDEX('Kontoplan'!$B$3:$B$302,MATCH('Journal'!E1337,'Kontoplan'!$H$3:$H$302,0)),""))</f>
        <v/>
      </c>
      <c r="F2672" s="20">
        <f>IF('Journal'!F1337="","",'Journal'!F1337)</f>
        <v/>
      </c>
      <c r="G2672" s="20">
        <f>IF('Journal'!G1337="","",'Journal'!G1337)</f>
        <v/>
      </c>
      <c r="H2672" s="5">
        <f>IF('Journal'!I1337="","",'Journal'!I1337)</f>
        <v/>
      </c>
    </row>
    <row r="2673">
      <c r="A2673" s="18">
        <f>IF('Journal'!A1338="","",'Journal'!A1338)</f>
        <v/>
      </c>
      <c r="B2673" s="21">
        <f>IF('Journal'!B1338="","",'Journal'!B1338)</f>
        <v/>
      </c>
      <c r="C2673" s="5">
        <f>IF('Journal'!C1338="","",'Journal'!C1338)</f>
        <v/>
      </c>
      <c r="D2673" s="5">
        <f>IF('Journal'!D1338="","",IFERROR(LEFT('Journal'!D1338,FIND(" ",'Journal'!D1338)-1),'Journal'!D1338))</f>
        <v/>
      </c>
      <c r="E2673" s="5">
        <f>IF('Journal'!D1338="","",IFERROR(INDEX('Kontoplan'!$B$3:$B$302,MATCH('Journal'!D1338,'Kontoplan'!$H$3:$H$302,0)),""))</f>
        <v/>
      </c>
      <c r="F2673" s="20">
        <f>IF('Journal'!G1338="","",'Journal'!G1338)</f>
        <v/>
      </c>
      <c r="G2673" s="20">
        <f>IF('Journal'!F1338="","",'Journal'!F1338)</f>
        <v/>
      </c>
      <c r="H2673" s="5">
        <f>IF('Journal'!I1338="","",'Journal'!I1338)</f>
        <v/>
      </c>
    </row>
    <row r="2674">
      <c r="A2674" s="18">
        <f>IF('Journal'!A1338="","",'Journal'!A1338)</f>
        <v/>
      </c>
      <c r="B2674" s="21">
        <f>IF('Journal'!B1338="","",'Journal'!B1338)</f>
        <v/>
      </c>
      <c r="C2674" s="5">
        <f>IF('Journal'!C1338="","",'Journal'!C1338)</f>
        <v/>
      </c>
      <c r="D2674" s="5">
        <f>IF('Journal'!E1338="","",IFERROR(LEFT('Journal'!E1338,FIND(" ",'Journal'!E1338)-1),'Journal'!E1338))</f>
        <v/>
      </c>
      <c r="E2674" s="5">
        <f>IF('Journal'!E1338="","",IFERROR(INDEX('Kontoplan'!$B$3:$B$302,MATCH('Journal'!E1338,'Kontoplan'!$H$3:$H$302,0)),""))</f>
        <v/>
      </c>
      <c r="F2674" s="20">
        <f>IF('Journal'!F1338="","",'Journal'!F1338)</f>
        <v/>
      </c>
      <c r="G2674" s="20">
        <f>IF('Journal'!G1338="","",'Journal'!G1338)</f>
        <v/>
      </c>
      <c r="H2674" s="5">
        <f>IF('Journal'!I1338="","",'Journal'!I1338)</f>
        <v/>
      </c>
    </row>
    <row r="2675">
      <c r="A2675" s="18">
        <f>IF('Journal'!A1339="","",'Journal'!A1339)</f>
        <v/>
      </c>
      <c r="B2675" s="21">
        <f>IF('Journal'!B1339="","",'Journal'!B1339)</f>
        <v/>
      </c>
      <c r="C2675" s="5">
        <f>IF('Journal'!C1339="","",'Journal'!C1339)</f>
        <v/>
      </c>
      <c r="D2675" s="5">
        <f>IF('Journal'!D1339="","",IFERROR(LEFT('Journal'!D1339,FIND(" ",'Journal'!D1339)-1),'Journal'!D1339))</f>
        <v/>
      </c>
      <c r="E2675" s="5">
        <f>IF('Journal'!D1339="","",IFERROR(INDEX('Kontoplan'!$B$3:$B$302,MATCH('Journal'!D1339,'Kontoplan'!$H$3:$H$302,0)),""))</f>
        <v/>
      </c>
      <c r="F2675" s="20">
        <f>IF('Journal'!G1339="","",'Journal'!G1339)</f>
        <v/>
      </c>
      <c r="G2675" s="20">
        <f>IF('Journal'!F1339="","",'Journal'!F1339)</f>
        <v/>
      </c>
      <c r="H2675" s="5">
        <f>IF('Journal'!I1339="","",'Journal'!I1339)</f>
        <v/>
      </c>
    </row>
    <row r="2676">
      <c r="A2676" s="18">
        <f>IF('Journal'!A1339="","",'Journal'!A1339)</f>
        <v/>
      </c>
      <c r="B2676" s="21">
        <f>IF('Journal'!B1339="","",'Journal'!B1339)</f>
        <v/>
      </c>
      <c r="C2676" s="5">
        <f>IF('Journal'!C1339="","",'Journal'!C1339)</f>
        <v/>
      </c>
      <c r="D2676" s="5">
        <f>IF('Journal'!E1339="","",IFERROR(LEFT('Journal'!E1339,FIND(" ",'Journal'!E1339)-1),'Journal'!E1339))</f>
        <v/>
      </c>
      <c r="E2676" s="5">
        <f>IF('Journal'!E1339="","",IFERROR(INDEX('Kontoplan'!$B$3:$B$302,MATCH('Journal'!E1339,'Kontoplan'!$H$3:$H$302,0)),""))</f>
        <v/>
      </c>
      <c r="F2676" s="20">
        <f>IF('Journal'!F1339="","",'Journal'!F1339)</f>
        <v/>
      </c>
      <c r="G2676" s="20">
        <f>IF('Journal'!G1339="","",'Journal'!G1339)</f>
        <v/>
      </c>
      <c r="H2676" s="5">
        <f>IF('Journal'!I1339="","",'Journal'!I1339)</f>
        <v/>
      </c>
    </row>
    <row r="2677">
      <c r="A2677" s="18">
        <f>IF('Journal'!A1340="","",'Journal'!A1340)</f>
        <v/>
      </c>
      <c r="B2677" s="21">
        <f>IF('Journal'!B1340="","",'Journal'!B1340)</f>
        <v/>
      </c>
      <c r="C2677" s="5">
        <f>IF('Journal'!C1340="","",'Journal'!C1340)</f>
        <v/>
      </c>
      <c r="D2677" s="5">
        <f>IF('Journal'!D1340="","",IFERROR(LEFT('Journal'!D1340,FIND(" ",'Journal'!D1340)-1),'Journal'!D1340))</f>
        <v/>
      </c>
      <c r="E2677" s="5">
        <f>IF('Journal'!D1340="","",IFERROR(INDEX('Kontoplan'!$B$3:$B$302,MATCH('Journal'!D1340,'Kontoplan'!$H$3:$H$302,0)),""))</f>
        <v/>
      </c>
      <c r="F2677" s="20">
        <f>IF('Journal'!G1340="","",'Journal'!G1340)</f>
        <v/>
      </c>
      <c r="G2677" s="20">
        <f>IF('Journal'!F1340="","",'Journal'!F1340)</f>
        <v/>
      </c>
      <c r="H2677" s="5">
        <f>IF('Journal'!I1340="","",'Journal'!I1340)</f>
        <v/>
      </c>
    </row>
    <row r="2678">
      <c r="A2678" s="18">
        <f>IF('Journal'!A1340="","",'Journal'!A1340)</f>
        <v/>
      </c>
      <c r="B2678" s="21">
        <f>IF('Journal'!B1340="","",'Journal'!B1340)</f>
        <v/>
      </c>
      <c r="C2678" s="5">
        <f>IF('Journal'!C1340="","",'Journal'!C1340)</f>
        <v/>
      </c>
      <c r="D2678" s="5">
        <f>IF('Journal'!E1340="","",IFERROR(LEFT('Journal'!E1340,FIND(" ",'Journal'!E1340)-1),'Journal'!E1340))</f>
        <v/>
      </c>
      <c r="E2678" s="5">
        <f>IF('Journal'!E1340="","",IFERROR(INDEX('Kontoplan'!$B$3:$B$302,MATCH('Journal'!E1340,'Kontoplan'!$H$3:$H$302,0)),""))</f>
        <v/>
      </c>
      <c r="F2678" s="20">
        <f>IF('Journal'!F1340="","",'Journal'!F1340)</f>
        <v/>
      </c>
      <c r="G2678" s="20">
        <f>IF('Journal'!G1340="","",'Journal'!G1340)</f>
        <v/>
      </c>
      <c r="H2678" s="5">
        <f>IF('Journal'!I1340="","",'Journal'!I1340)</f>
        <v/>
      </c>
    </row>
    <row r="2679">
      <c r="A2679" s="18">
        <f>IF('Journal'!A1341="","",'Journal'!A1341)</f>
        <v/>
      </c>
      <c r="B2679" s="21">
        <f>IF('Journal'!B1341="","",'Journal'!B1341)</f>
        <v/>
      </c>
      <c r="C2679" s="5">
        <f>IF('Journal'!C1341="","",'Journal'!C1341)</f>
        <v/>
      </c>
      <c r="D2679" s="5">
        <f>IF('Journal'!D1341="","",IFERROR(LEFT('Journal'!D1341,FIND(" ",'Journal'!D1341)-1),'Journal'!D1341))</f>
        <v/>
      </c>
      <c r="E2679" s="5">
        <f>IF('Journal'!D1341="","",IFERROR(INDEX('Kontoplan'!$B$3:$B$302,MATCH('Journal'!D1341,'Kontoplan'!$H$3:$H$302,0)),""))</f>
        <v/>
      </c>
      <c r="F2679" s="20">
        <f>IF('Journal'!G1341="","",'Journal'!G1341)</f>
        <v/>
      </c>
      <c r="G2679" s="20">
        <f>IF('Journal'!F1341="","",'Journal'!F1341)</f>
        <v/>
      </c>
      <c r="H2679" s="5">
        <f>IF('Journal'!I1341="","",'Journal'!I1341)</f>
        <v/>
      </c>
    </row>
    <row r="2680">
      <c r="A2680" s="18">
        <f>IF('Journal'!A1341="","",'Journal'!A1341)</f>
        <v/>
      </c>
      <c r="B2680" s="21">
        <f>IF('Journal'!B1341="","",'Journal'!B1341)</f>
        <v/>
      </c>
      <c r="C2680" s="5">
        <f>IF('Journal'!C1341="","",'Journal'!C1341)</f>
        <v/>
      </c>
      <c r="D2680" s="5">
        <f>IF('Journal'!E1341="","",IFERROR(LEFT('Journal'!E1341,FIND(" ",'Journal'!E1341)-1),'Journal'!E1341))</f>
        <v/>
      </c>
      <c r="E2680" s="5">
        <f>IF('Journal'!E1341="","",IFERROR(INDEX('Kontoplan'!$B$3:$B$302,MATCH('Journal'!E1341,'Kontoplan'!$H$3:$H$302,0)),""))</f>
        <v/>
      </c>
      <c r="F2680" s="20">
        <f>IF('Journal'!F1341="","",'Journal'!F1341)</f>
        <v/>
      </c>
      <c r="G2680" s="20">
        <f>IF('Journal'!G1341="","",'Journal'!G1341)</f>
        <v/>
      </c>
      <c r="H2680" s="5">
        <f>IF('Journal'!I1341="","",'Journal'!I1341)</f>
        <v/>
      </c>
    </row>
    <row r="2681">
      <c r="A2681" s="18">
        <f>IF('Journal'!A1342="","",'Journal'!A1342)</f>
        <v/>
      </c>
      <c r="B2681" s="21">
        <f>IF('Journal'!B1342="","",'Journal'!B1342)</f>
        <v/>
      </c>
      <c r="C2681" s="5">
        <f>IF('Journal'!C1342="","",'Journal'!C1342)</f>
        <v/>
      </c>
      <c r="D2681" s="5">
        <f>IF('Journal'!D1342="","",IFERROR(LEFT('Journal'!D1342,FIND(" ",'Journal'!D1342)-1),'Journal'!D1342))</f>
        <v/>
      </c>
      <c r="E2681" s="5">
        <f>IF('Journal'!D1342="","",IFERROR(INDEX('Kontoplan'!$B$3:$B$302,MATCH('Journal'!D1342,'Kontoplan'!$H$3:$H$302,0)),""))</f>
        <v/>
      </c>
      <c r="F2681" s="20">
        <f>IF('Journal'!G1342="","",'Journal'!G1342)</f>
        <v/>
      </c>
      <c r="G2681" s="20">
        <f>IF('Journal'!F1342="","",'Journal'!F1342)</f>
        <v/>
      </c>
      <c r="H2681" s="5">
        <f>IF('Journal'!I1342="","",'Journal'!I1342)</f>
        <v/>
      </c>
    </row>
    <row r="2682">
      <c r="A2682" s="18">
        <f>IF('Journal'!A1342="","",'Journal'!A1342)</f>
        <v/>
      </c>
      <c r="B2682" s="21">
        <f>IF('Journal'!B1342="","",'Journal'!B1342)</f>
        <v/>
      </c>
      <c r="C2682" s="5">
        <f>IF('Journal'!C1342="","",'Journal'!C1342)</f>
        <v/>
      </c>
      <c r="D2682" s="5">
        <f>IF('Journal'!E1342="","",IFERROR(LEFT('Journal'!E1342,FIND(" ",'Journal'!E1342)-1),'Journal'!E1342))</f>
        <v/>
      </c>
      <c r="E2682" s="5">
        <f>IF('Journal'!E1342="","",IFERROR(INDEX('Kontoplan'!$B$3:$B$302,MATCH('Journal'!E1342,'Kontoplan'!$H$3:$H$302,0)),""))</f>
        <v/>
      </c>
      <c r="F2682" s="20">
        <f>IF('Journal'!F1342="","",'Journal'!F1342)</f>
        <v/>
      </c>
      <c r="G2682" s="20">
        <f>IF('Journal'!G1342="","",'Journal'!G1342)</f>
        <v/>
      </c>
      <c r="H2682" s="5">
        <f>IF('Journal'!I1342="","",'Journal'!I1342)</f>
        <v/>
      </c>
    </row>
    <row r="2683">
      <c r="A2683" s="18">
        <f>IF('Journal'!A1343="","",'Journal'!A1343)</f>
        <v/>
      </c>
      <c r="B2683" s="21">
        <f>IF('Journal'!B1343="","",'Journal'!B1343)</f>
        <v/>
      </c>
      <c r="C2683" s="5">
        <f>IF('Journal'!C1343="","",'Journal'!C1343)</f>
        <v/>
      </c>
      <c r="D2683" s="5">
        <f>IF('Journal'!D1343="","",IFERROR(LEFT('Journal'!D1343,FIND(" ",'Journal'!D1343)-1),'Journal'!D1343))</f>
        <v/>
      </c>
      <c r="E2683" s="5">
        <f>IF('Journal'!D1343="","",IFERROR(INDEX('Kontoplan'!$B$3:$B$302,MATCH('Journal'!D1343,'Kontoplan'!$H$3:$H$302,0)),""))</f>
        <v/>
      </c>
      <c r="F2683" s="20">
        <f>IF('Journal'!G1343="","",'Journal'!G1343)</f>
        <v/>
      </c>
      <c r="G2683" s="20">
        <f>IF('Journal'!F1343="","",'Journal'!F1343)</f>
        <v/>
      </c>
      <c r="H2683" s="5">
        <f>IF('Journal'!I1343="","",'Journal'!I1343)</f>
        <v/>
      </c>
    </row>
    <row r="2684">
      <c r="A2684" s="18">
        <f>IF('Journal'!A1343="","",'Journal'!A1343)</f>
        <v/>
      </c>
      <c r="B2684" s="21">
        <f>IF('Journal'!B1343="","",'Journal'!B1343)</f>
        <v/>
      </c>
      <c r="C2684" s="5">
        <f>IF('Journal'!C1343="","",'Journal'!C1343)</f>
        <v/>
      </c>
      <c r="D2684" s="5">
        <f>IF('Journal'!E1343="","",IFERROR(LEFT('Journal'!E1343,FIND(" ",'Journal'!E1343)-1),'Journal'!E1343))</f>
        <v/>
      </c>
      <c r="E2684" s="5">
        <f>IF('Journal'!E1343="","",IFERROR(INDEX('Kontoplan'!$B$3:$B$302,MATCH('Journal'!E1343,'Kontoplan'!$H$3:$H$302,0)),""))</f>
        <v/>
      </c>
      <c r="F2684" s="20">
        <f>IF('Journal'!F1343="","",'Journal'!F1343)</f>
        <v/>
      </c>
      <c r="G2684" s="20">
        <f>IF('Journal'!G1343="","",'Journal'!G1343)</f>
        <v/>
      </c>
      <c r="H2684" s="5">
        <f>IF('Journal'!I1343="","",'Journal'!I1343)</f>
        <v/>
      </c>
    </row>
    <row r="2685">
      <c r="A2685" s="18">
        <f>IF('Journal'!A1344="","",'Journal'!A1344)</f>
        <v/>
      </c>
      <c r="B2685" s="21">
        <f>IF('Journal'!B1344="","",'Journal'!B1344)</f>
        <v/>
      </c>
      <c r="C2685" s="5">
        <f>IF('Journal'!C1344="","",'Journal'!C1344)</f>
        <v/>
      </c>
      <c r="D2685" s="5">
        <f>IF('Journal'!D1344="","",IFERROR(LEFT('Journal'!D1344,FIND(" ",'Journal'!D1344)-1),'Journal'!D1344))</f>
        <v/>
      </c>
      <c r="E2685" s="5">
        <f>IF('Journal'!D1344="","",IFERROR(INDEX('Kontoplan'!$B$3:$B$302,MATCH('Journal'!D1344,'Kontoplan'!$H$3:$H$302,0)),""))</f>
        <v/>
      </c>
      <c r="F2685" s="20">
        <f>IF('Journal'!G1344="","",'Journal'!G1344)</f>
        <v/>
      </c>
      <c r="G2685" s="20">
        <f>IF('Journal'!F1344="","",'Journal'!F1344)</f>
        <v/>
      </c>
      <c r="H2685" s="5">
        <f>IF('Journal'!I1344="","",'Journal'!I1344)</f>
        <v/>
      </c>
    </row>
    <row r="2686">
      <c r="A2686" s="18">
        <f>IF('Journal'!A1344="","",'Journal'!A1344)</f>
        <v/>
      </c>
      <c r="B2686" s="21">
        <f>IF('Journal'!B1344="","",'Journal'!B1344)</f>
        <v/>
      </c>
      <c r="C2686" s="5">
        <f>IF('Journal'!C1344="","",'Journal'!C1344)</f>
        <v/>
      </c>
      <c r="D2686" s="5">
        <f>IF('Journal'!E1344="","",IFERROR(LEFT('Journal'!E1344,FIND(" ",'Journal'!E1344)-1),'Journal'!E1344))</f>
        <v/>
      </c>
      <c r="E2686" s="5">
        <f>IF('Journal'!E1344="","",IFERROR(INDEX('Kontoplan'!$B$3:$B$302,MATCH('Journal'!E1344,'Kontoplan'!$H$3:$H$302,0)),""))</f>
        <v/>
      </c>
      <c r="F2686" s="20">
        <f>IF('Journal'!F1344="","",'Journal'!F1344)</f>
        <v/>
      </c>
      <c r="G2686" s="20">
        <f>IF('Journal'!G1344="","",'Journal'!G1344)</f>
        <v/>
      </c>
      <c r="H2686" s="5">
        <f>IF('Journal'!I1344="","",'Journal'!I1344)</f>
        <v/>
      </c>
    </row>
    <row r="2687">
      <c r="A2687" s="18">
        <f>IF('Journal'!A1345="","",'Journal'!A1345)</f>
        <v/>
      </c>
      <c r="B2687" s="21">
        <f>IF('Journal'!B1345="","",'Journal'!B1345)</f>
        <v/>
      </c>
      <c r="C2687" s="5">
        <f>IF('Journal'!C1345="","",'Journal'!C1345)</f>
        <v/>
      </c>
      <c r="D2687" s="5">
        <f>IF('Journal'!D1345="","",IFERROR(LEFT('Journal'!D1345,FIND(" ",'Journal'!D1345)-1),'Journal'!D1345))</f>
        <v/>
      </c>
      <c r="E2687" s="5">
        <f>IF('Journal'!D1345="","",IFERROR(INDEX('Kontoplan'!$B$3:$B$302,MATCH('Journal'!D1345,'Kontoplan'!$H$3:$H$302,0)),""))</f>
        <v/>
      </c>
      <c r="F2687" s="20">
        <f>IF('Journal'!G1345="","",'Journal'!G1345)</f>
        <v/>
      </c>
      <c r="G2687" s="20">
        <f>IF('Journal'!F1345="","",'Journal'!F1345)</f>
        <v/>
      </c>
      <c r="H2687" s="5">
        <f>IF('Journal'!I1345="","",'Journal'!I1345)</f>
        <v/>
      </c>
    </row>
    <row r="2688">
      <c r="A2688" s="18">
        <f>IF('Journal'!A1345="","",'Journal'!A1345)</f>
        <v/>
      </c>
      <c r="B2688" s="21">
        <f>IF('Journal'!B1345="","",'Journal'!B1345)</f>
        <v/>
      </c>
      <c r="C2688" s="5">
        <f>IF('Journal'!C1345="","",'Journal'!C1345)</f>
        <v/>
      </c>
      <c r="D2688" s="5">
        <f>IF('Journal'!E1345="","",IFERROR(LEFT('Journal'!E1345,FIND(" ",'Journal'!E1345)-1),'Journal'!E1345))</f>
        <v/>
      </c>
      <c r="E2688" s="5">
        <f>IF('Journal'!E1345="","",IFERROR(INDEX('Kontoplan'!$B$3:$B$302,MATCH('Journal'!E1345,'Kontoplan'!$H$3:$H$302,0)),""))</f>
        <v/>
      </c>
      <c r="F2688" s="20">
        <f>IF('Journal'!F1345="","",'Journal'!F1345)</f>
        <v/>
      </c>
      <c r="G2688" s="20">
        <f>IF('Journal'!G1345="","",'Journal'!G1345)</f>
        <v/>
      </c>
      <c r="H2688" s="5">
        <f>IF('Journal'!I1345="","",'Journal'!I1345)</f>
        <v/>
      </c>
    </row>
    <row r="2689">
      <c r="A2689" s="18">
        <f>IF('Journal'!A1346="","",'Journal'!A1346)</f>
        <v/>
      </c>
      <c r="B2689" s="21">
        <f>IF('Journal'!B1346="","",'Journal'!B1346)</f>
        <v/>
      </c>
      <c r="C2689" s="5">
        <f>IF('Journal'!C1346="","",'Journal'!C1346)</f>
        <v/>
      </c>
      <c r="D2689" s="5">
        <f>IF('Journal'!D1346="","",IFERROR(LEFT('Journal'!D1346,FIND(" ",'Journal'!D1346)-1),'Journal'!D1346))</f>
        <v/>
      </c>
      <c r="E2689" s="5">
        <f>IF('Journal'!D1346="","",IFERROR(INDEX('Kontoplan'!$B$3:$B$302,MATCH('Journal'!D1346,'Kontoplan'!$H$3:$H$302,0)),""))</f>
        <v/>
      </c>
      <c r="F2689" s="20">
        <f>IF('Journal'!G1346="","",'Journal'!G1346)</f>
        <v/>
      </c>
      <c r="G2689" s="20">
        <f>IF('Journal'!F1346="","",'Journal'!F1346)</f>
        <v/>
      </c>
      <c r="H2689" s="5">
        <f>IF('Journal'!I1346="","",'Journal'!I1346)</f>
        <v/>
      </c>
    </row>
    <row r="2690">
      <c r="A2690" s="18">
        <f>IF('Journal'!A1346="","",'Journal'!A1346)</f>
        <v/>
      </c>
      <c r="B2690" s="21">
        <f>IF('Journal'!B1346="","",'Journal'!B1346)</f>
        <v/>
      </c>
      <c r="C2690" s="5">
        <f>IF('Journal'!C1346="","",'Journal'!C1346)</f>
        <v/>
      </c>
      <c r="D2690" s="5">
        <f>IF('Journal'!E1346="","",IFERROR(LEFT('Journal'!E1346,FIND(" ",'Journal'!E1346)-1),'Journal'!E1346))</f>
        <v/>
      </c>
      <c r="E2690" s="5">
        <f>IF('Journal'!E1346="","",IFERROR(INDEX('Kontoplan'!$B$3:$B$302,MATCH('Journal'!E1346,'Kontoplan'!$H$3:$H$302,0)),""))</f>
        <v/>
      </c>
      <c r="F2690" s="20">
        <f>IF('Journal'!F1346="","",'Journal'!F1346)</f>
        <v/>
      </c>
      <c r="G2690" s="20">
        <f>IF('Journal'!G1346="","",'Journal'!G1346)</f>
        <v/>
      </c>
      <c r="H2690" s="5">
        <f>IF('Journal'!I1346="","",'Journal'!I1346)</f>
        <v/>
      </c>
    </row>
    <row r="2691">
      <c r="A2691" s="18">
        <f>IF('Journal'!A1347="","",'Journal'!A1347)</f>
        <v/>
      </c>
      <c r="B2691" s="21">
        <f>IF('Journal'!B1347="","",'Journal'!B1347)</f>
        <v/>
      </c>
      <c r="C2691" s="5">
        <f>IF('Journal'!C1347="","",'Journal'!C1347)</f>
        <v/>
      </c>
      <c r="D2691" s="5">
        <f>IF('Journal'!D1347="","",IFERROR(LEFT('Journal'!D1347,FIND(" ",'Journal'!D1347)-1),'Journal'!D1347))</f>
        <v/>
      </c>
      <c r="E2691" s="5">
        <f>IF('Journal'!D1347="","",IFERROR(INDEX('Kontoplan'!$B$3:$B$302,MATCH('Journal'!D1347,'Kontoplan'!$H$3:$H$302,0)),""))</f>
        <v/>
      </c>
      <c r="F2691" s="20">
        <f>IF('Journal'!G1347="","",'Journal'!G1347)</f>
        <v/>
      </c>
      <c r="G2691" s="20">
        <f>IF('Journal'!F1347="","",'Journal'!F1347)</f>
        <v/>
      </c>
      <c r="H2691" s="5">
        <f>IF('Journal'!I1347="","",'Journal'!I1347)</f>
        <v/>
      </c>
    </row>
    <row r="2692">
      <c r="A2692" s="18">
        <f>IF('Journal'!A1347="","",'Journal'!A1347)</f>
        <v/>
      </c>
      <c r="B2692" s="21">
        <f>IF('Journal'!B1347="","",'Journal'!B1347)</f>
        <v/>
      </c>
      <c r="C2692" s="5">
        <f>IF('Journal'!C1347="","",'Journal'!C1347)</f>
        <v/>
      </c>
      <c r="D2692" s="5">
        <f>IF('Journal'!E1347="","",IFERROR(LEFT('Journal'!E1347,FIND(" ",'Journal'!E1347)-1),'Journal'!E1347))</f>
        <v/>
      </c>
      <c r="E2692" s="5">
        <f>IF('Journal'!E1347="","",IFERROR(INDEX('Kontoplan'!$B$3:$B$302,MATCH('Journal'!E1347,'Kontoplan'!$H$3:$H$302,0)),""))</f>
        <v/>
      </c>
      <c r="F2692" s="20">
        <f>IF('Journal'!F1347="","",'Journal'!F1347)</f>
        <v/>
      </c>
      <c r="G2692" s="20">
        <f>IF('Journal'!G1347="","",'Journal'!G1347)</f>
        <v/>
      </c>
      <c r="H2692" s="5">
        <f>IF('Journal'!I1347="","",'Journal'!I1347)</f>
        <v/>
      </c>
    </row>
    <row r="2693">
      <c r="A2693" s="18">
        <f>IF('Journal'!A1348="","",'Journal'!A1348)</f>
        <v/>
      </c>
      <c r="B2693" s="21">
        <f>IF('Journal'!B1348="","",'Journal'!B1348)</f>
        <v/>
      </c>
      <c r="C2693" s="5">
        <f>IF('Journal'!C1348="","",'Journal'!C1348)</f>
        <v/>
      </c>
      <c r="D2693" s="5">
        <f>IF('Journal'!D1348="","",IFERROR(LEFT('Journal'!D1348,FIND(" ",'Journal'!D1348)-1),'Journal'!D1348))</f>
        <v/>
      </c>
      <c r="E2693" s="5">
        <f>IF('Journal'!D1348="","",IFERROR(INDEX('Kontoplan'!$B$3:$B$302,MATCH('Journal'!D1348,'Kontoplan'!$H$3:$H$302,0)),""))</f>
        <v/>
      </c>
      <c r="F2693" s="20">
        <f>IF('Journal'!G1348="","",'Journal'!G1348)</f>
        <v/>
      </c>
      <c r="G2693" s="20">
        <f>IF('Journal'!F1348="","",'Journal'!F1348)</f>
        <v/>
      </c>
      <c r="H2693" s="5">
        <f>IF('Journal'!I1348="","",'Journal'!I1348)</f>
        <v/>
      </c>
    </row>
    <row r="2694">
      <c r="A2694" s="18">
        <f>IF('Journal'!A1348="","",'Journal'!A1348)</f>
        <v/>
      </c>
      <c r="B2694" s="21">
        <f>IF('Journal'!B1348="","",'Journal'!B1348)</f>
        <v/>
      </c>
      <c r="C2694" s="5">
        <f>IF('Journal'!C1348="","",'Journal'!C1348)</f>
        <v/>
      </c>
      <c r="D2694" s="5">
        <f>IF('Journal'!E1348="","",IFERROR(LEFT('Journal'!E1348,FIND(" ",'Journal'!E1348)-1),'Journal'!E1348))</f>
        <v/>
      </c>
      <c r="E2694" s="5">
        <f>IF('Journal'!E1348="","",IFERROR(INDEX('Kontoplan'!$B$3:$B$302,MATCH('Journal'!E1348,'Kontoplan'!$H$3:$H$302,0)),""))</f>
        <v/>
      </c>
      <c r="F2694" s="20">
        <f>IF('Journal'!F1348="","",'Journal'!F1348)</f>
        <v/>
      </c>
      <c r="G2694" s="20">
        <f>IF('Journal'!G1348="","",'Journal'!G1348)</f>
        <v/>
      </c>
      <c r="H2694" s="5">
        <f>IF('Journal'!I1348="","",'Journal'!I1348)</f>
        <v/>
      </c>
    </row>
    <row r="2695">
      <c r="A2695" s="18">
        <f>IF('Journal'!A1349="","",'Journal'!A1349)</f>
        <v/>
      </c>
      <c r="B2695" s="21">
        <f>IF('Journal'!B1349="","",'Journal'!B1349)</f>
        <v/>
      </c>
      <c r="C2695" s="5">
        <f>IF('Journal'!C1349="","",'Journal'!C1349)</f>
        <v/>
      </c>
      <c r="D2695" s="5">
        <f>IF('Journal'!D1349="","",IFERROR(LEFT('Journal'!D1349,FIND(" ",'Journal'!D1349)-1),'Journal'!D1349))</f>
        <v/>
      </c>
      <c r="E2695" s="5">
        <f>IF('Journal'!D1349="","",IFERROR(INDEX('Kontoplan'!$B$3:$B$302,MATCH('Journal'!D1349,'Kontoplan'!$H$3:$H$302,0)),""))</f>
        <v/>
      </c>
      <c r="F2695" s="20">
        <f>IF('Journal'!G1349="","",'Journal'!G1349)</f>
        <v/>
      </c>
      <c r="G2695" s="20">
        <f>IF('Journal'!F1349="","",'Journal'!F1349)</f>
        <v/>
      </c>
      <c r="H2695" s="5">
        <f>IF('Journal'!I1349="","",'Journal'!I1349)</f>
        <v/>
      </c>
    </row>
    <row r="2696">
      <c r="A2696" s="18">
        <f>IF('Journal'!A1349="","",'Journal'!A1349)</f>
        <v/>
      </c>
      <c r="B2696" s="21">
        <f>IF('Journal'!B1349="","",'Journal'!B1349)</f>
        <v/>
      </c>
      <c r="C2696" s="5">
        <f>IF('Journal'!C1349="","",'Journal'!C1349)</f>
        <v/>
      </c>
      <c r="D2696" s="5">
        <f>IF('Journal'!E1349="","",IFERROR(LEFT('Journal'!E1349,FIND(" ",'Journal'!E1349)-1),'Journal'!E1349))</f>
        <v/>
      </c>
      <c r="E2696" s="5">
        <f>IF('Journal'!E1349="","",IFERROR(INDEX('Kontoplan'!$B$3:$B$302,MATCH('Journal'!E1349,'Kontoplan'!$H$3:$H$302,0)),""))</f>
        <v/>
      </c>
      <c r="F2696" s="20">
        <f>IF('Journal'!F1349="","",'Journal'!F1349)</f>
        <v/>
      </c>
      <c r="G2696" s="20">
        <f>IF('Journal'!G1349="","",'Journal'!G1349)</f>
        <v/>
      </c>
      <c r="H2696" s="5">
        <f>IF('Journal'!I1349="","",'Journal'!I1349)</f>
        <v/>
      </c>
    </row>
    <row r="2697">
      <c r="A2697" s="18">
        <f>IF('Journal'!A1350="","",'Journal'!A1350)</f>
        <v/>
      </c>
      <c r="B2697" s="21">
        <f>IF('Journal'!B1350="","",'Journal'!B1350)</f>
        <v/>
      </c>
      <c r="C2697" s="5">
        <f>IF('Journal'!C1350="","",'Journal'!C1350)</f>
        <v/>
      </c>
      <c r="D2697" s="5">
        <f>IF('Journal'!D1350="","",IFERROR(LEFT('Journal'!D1350,FIND(" ",'Journal'!D1350)-1),'Journal'!D1350))</f>
        <v/>
      </c>
      <c r="E2697" s="5">
        <f>IF('Journal'!D1350="","",IFERROR(INDEX('Kontoplan'!$B$3:$B$302,MATCH('Journal'!D1350,'Kontoplan'!$H$3:$H$302,0)),""))</f>
        <v/>
      </c>
      <c r="F2697" s="20">
        <f>IF('Journal'!G1350="","",'Journal'!G1350)</f>
        <v/>
      </c>
      <c r="G2697" s="20">
        <f>IF('Journal'!F1350="","",'Journal'!F1350)</f>
        <v/>
      </c>
      <c r="H2697" s="5">
        <f>IF('Journal'!I1350="","",'Journal'!I1350)</f>
        <v/>
      </c>
    </row>
    <row r="2698">
      <c r="A2698" s="18">
        <f>IF('Journal'!A1350="","",'Journal'!A1350)</f>
        <v/>
      </c>
      <c r="B2698" s="21">
        <f>IF('Journal'!B1350="","",'Journal'!B1350)</f>
        <v/>
      </c>
      <c r="C2698" s="5">
        <f>IF('Journal'!C1350="","",'Journal'!C1350)</f>
        <v/>
      </c>
      <c r="D2698" s="5">
        <f>IF('Journal'!E1350="","",IFERROR(LEFT('Journal'!E1350,FIND(" ",'Journal'!E1350)-1),'Journal'!E1350))</f>
        <v/>
      </c>
      <c r="E2698" s="5">
        <f>IF('Journal'!E1350="","",IFERROR(INDEX('Kontoplan'!$B$3:$B$302,MATCH('Journal'!E1350,'Kontoplan'!$H$3:$H$302,0)),""))</f>
        <v/>
      </c>
      <c r="F2698" s="20">
        <f>IF('Journal'!F1350="","",'Journal'!F1350)</f>
        <v/>
      </c>
      <c r="G2698" s="20">
        <f>IF('Journal'!G1350="","",'Journal'!G1350)</f>
        <v/>
      </c>
      <c r="H2698" s="5">
        <f>IF('Journal'!I1350="","",'Journal'!I1350)</f>
        <v/>
      </c>
    </row>
    <row r="2699">
      <c r="A2699" s="18">
        <f>IF('Journal'!A1351="","",'Journal'!A1351)</f>
        <v/>
      </c>
      <c r="B2699" s="21">
        <f>IF('Journal'!B1351="","",'Journal'!B1351)</f>
        <v/>
      </c>
      <c r="C2699" s="5">
        <f>IF('Journal'!C1351="","",'Journal'!C1351)</f>
        <v/>
      </c>
      <c r="D2699" s="5">
        <f>IF('Journal'!D1351="","",IFERROR(LEFT('Journal'!D1351,FIND(" ",'Journal'!D1351)-1),'Journal'!D1351))</f>
        <v/>
      </c>
      <c r="E2699" s="5">
        <f>IF('Journal'!D1351="","",IFERROR(INDEX('Kontoplan'!$B$3:$B$302,MATCH('Journal'!D1351,'Kontoplan'!$H$3:$H$302,0)),""))</f>
        <v/>
      </c>
      <c r="F2699" s="20">
        <f>IF('Journal'!G1351="","",'Journal'!G1351)</f>
        <v/>
      </c>
      <c r="G2699" s="20">
        <f>IF('Journal'!F1351="","",'Journal'!F1351)</f>
        <v/>
      </c>
      <c r="H2699" s="5">
        <f>IF('Journal'!I1351="","",'Journal'!I1351)</f>
        <v/>
      </c>
    </row>
    <row r="2700">
      <c r="A2700" s="18">
        <f>IF('Journal'!A1351="","",'Journal'!A1351)</f>
        <v/>
      </c>
      <c r="B2700" s="21">
        <f>IF('Journal'!B1351="","",'Journal'!B1351)</f>
        <v/>
      </c>
      <c r="C2700" s="5">
        <f>IF('Journal'!C1351="","",'Journal'!C1351)</f>
        <v/>
      </c>
      <c r="D2700" s="5">
        <f>IF('Journal'!E1351="","",IFERROR(LEFT('Journal'!E1351,FIND(" ",'Journal'!E1351)-1),'Journal'!E1351))</f>
        <v/>
      </c>
      <c r="E2700" s="5">
        <f>IF('Journal'!E1351="","",IFERROR(INDEX('Kontoplan'!$B$3:$B$302,MATCH('Journal'!E1351,'Kontoplan'!$H$3:$H$302,0)),""))</f>
        <v/>
      </c>
      <c r="F2700" s="20">
        <f>IF('Journal'!F1351="","",'Journal'!F1351)</f>
        <v/>
      </c>
      <c r="G2700" s="20">
        <f>IF('Journal'!G1351="","",'Journal'!G1351)</f>
        <v/>
      </c>
      <c r="H2700" s="5">
        <f>IF('Journal'!I1351="","",'Journal'!I1351)</f>
        <v/>
      </c>
    </row>
    <row r="2701">
      <c r="A2701" s="18">
        <f>IF('Journal'!A1352="","",'Journal'!A1352)</f>
        <v/>
      </c>
      <c r="B2701" s="21">
        <f>IF('Journal'!B1352="","",'Journal'!B1352)</f>
        <v/>
      </c>
      <c r="C2701" s="5">
        <f>IF('Journal'!C1352="","",'Journal'!C1352)</f>
        <v/>
      </c>
      <c r="D2701" s="5">
        <f>IF('Journal'!D1352="","",IFERROR(LEFT('Journal'!D1352,FIND(" ",'Journal'!D1352)-1),'Journal'!D1352))</f>
        <v/>
      </c>
      <c r="E2701" s="5">
        <f>IF('Journal'!D1352="","",IFERROR(INDEX('Kontoplan'!$B$3:$B$302,MATCH('Journal'!D1352,'Kontoplan'!$H$3:$H$302,0)),""))</f>
        <v/>
      </c>
      <c r="F2701" s="20">
        <f>IF('Journal'!G1352="","",'Journal'!G1352)</f>
        <v/>
      </c>
      <c r="G2701" s="20">
        <f>IF('Journal'!F1352="","",'Journal'!F1352)</f>
        <v/>
      </c>
      <c r="H2701" s="5">
        <f>IF('Journal'!I1352="","",'Journal'!I1352)</f>
        <v/>
      </c>
    </row>
    <row r="2702">
      <c r="A2702" s="18">
        <f>IF('Journal'!A1352="","",'Journal'!A1352)</f>
        <v/>
      </c>
      <c r="B2702" s="21">
        <f>IF('Journal'!B1352="","",'Journal'!B1352)</f>
        <v/>
      </c>
      <c r="C2702" s="5">
        <f>IF('Journal'!C1352="","",'Journal'!C1352)</f>
        <v/>
      </c>
      <c r="D2702" s="5">
        <f>IF('Journal'!E1352="","",IFERROR(LEFT('Journal'!E1352,FIND(" ",'Journal'!E1352)-1),'Journal'!E1352))</f>
        <v/>
      </c>
      <c r="E2702" s="5">
        <f>IF('Journal'!E1352="","",IFERROR(INDEX('Kontoplan'!$B$3:$B$302,MATCH('Journal'!E1352,'Kontoplan'!$H$3:$H$302,0)),""))</f>
        <v/>
      </c>
      <c r="F2702" s="20">
        <f>IF('Journal'!F1352="","",'Journal'!F1352)</f>
        <v/>
      </c>
      <c r="G2702" s="20">
        <f>IF('Journal'!G1352="","",'Journal'!G1352)</f>
        <v/>
      </c>
      <c r="H2702" s="5">
        <f>IF('Journal'!I1352="","",'Journal'!I1352)</f>
        <v/>
      </c>
    </row>
    <row r="2703">
      <c r="A2703" s="18">
        <f>IF('Journal'!A1353="","",'Journal'!A1353)</f>
        <v/>
      </c>
      <c r="B2703" s="21">
        <f>IF('Journal'!B1353="","",'Journal'!B1353)</f>
        <v/>
      </c>
      <c r="C2703" s="5">
        <f>IF('Journal'!C1353="","",'Journal'!C1353)</f>
        <v/>
      </c>
      <c r="D2703" s="5">
        <f>IF('Journal'!D1353="","",IFERROR(LEFT('Journal'!D1353,FIND(" ",'Journal'!D1353)-1),'Journal'!D1353))</f>
        <v/>
      </c>
      <c r="E2703" s="5">
        <f>IF('Journal'!D1353="","",IFERROR(INDEX('Kontoplan'!$B$3:$B$302,MATCH('Journal'!D1353,'Kontoplan'!$H$3:$H$302,0)),""))</f>
        <v/>
      </c>
      <c r="F2703" s="20">
        <f>IF('Journal'!G1353="","",'Journal'!G1353)</f>
        <v/>
      </c>
      <c r="G2703" s="20">
        <f>IF('Journal'!F1353="","",'Journal'!F1353)</f>
        <v/>
      </c>
      <c r="H2703" s="5">
        <f>IF('Journal'!I1353="","",'Journal'!I1353)</f>
        <v/>
      </c>
    </row>
    <row r="2704">
      <c r="A2704" s="18">
        <f>IF('Journal'!A1353="","",'Journal'!A1353)</f>
        <v/>
      </c>
      <c r="B2704" s="21">
        <f>IF('Journal'!B1353="","",'Journal'!B1353)</f>
        <v/>
      </c>
      <c r="C2704" s="5">
        <f>IF('Journal'!C1353="","",'Journal'!C1353)</f>
        <v/>
      </c>
      <c r="D2704" s="5">
        <f>IF('Journal'!E1353="","",IFERROR(LEFT('Journal'!E1353,FIND(" ",'Journal'!E1353)-1),'Journal'!E1353))</f>
        <v/>
      </c>
      <c r="E2704" s="5">
        <f>IF('Journal'!E1353="","",IFERROR(INDEX('Kontoplan'!$B$3:$B$302,MATCH('Journal'!E1353,'Kontoplan'!$H$3:$H$302,0)),""))</f>
        <v/>
      </c>
      <c r="F2704" s="20">
        <f>IF('Journal'!F1353="","",'Journal'!F1353)</f>
        <v/>
      </c>
      <c r="G2704" s="20">
        <f>IF('Journal'!G1353="","",'Journal'!G1353)</f>
        <v/>
      </c>
      <c r="H2704" s="5">
        <f>IF('Journal'!I1353="","",'Journal'!I1353)</f>
        <v/>
      </c>
    </row>
    <row r="2705">
      <c r="A2705" s="18">
        <f>IF('Journal'!A1354="","",'Journal'!A1354)</f>
        <v/>
      </c>
      <c r="B2705" s="21">
        <f>IF('Journal'!B1354="","",'Journal'!B1354)</f>
        <v/>
      </c>
      <c r="C2705" s="5">
        <f>IF('Journal'!C1354="","",'Journal'!C1354)</f>
        <v/>
      </c>
      <c r="D2705" s="5">
        <f>IF('Journal'!D1354="","",IFERROR(LEFT('Journal'!D1354,FIND(" ",'Journal'!D1354)-1),'Journal'!D1354))</f>
        <v/>
      </c>
      <c r="E2705" s="5">
        <f>IF('Journal'!D1354="","",IFERROR(INDEX('Kontoplan'!$B$3:$B$302,MATCH('Journal'!D1354,'Kontoplan'!$H$3:$H$302,0)),""))</f>
        <v/>
      </c>
      <c r="F2705" s="20">
        <f>IF('Journal'!G1354="","",'Journal'!G1354)</f>
        <v/>
      </c>
      <c r="G2705" s="20">
        <f>IF('Journal'!F1354="","",'Journal'!F1354)</f>
        <v/>
      </c>
      <c r="H2705" s="5">
        <f>IF('Journal'!I1354="","",'Journal'!I1354)</f>
        <v/>
      </c>
    </row>
    <row r="2706">
      <c r="A2706" s="18">
        <f>IF('Journal'!A1354="","",'Journal'!A1354)</f>
        <v/>
      </c>
      <c r="B2706" s="21">
        <f>IF('Journal'!B1354="","",'Journal'!B1354)</f>
        <v/>
      </c>
      <c r="C2706" s="5">
        <f>IF('Journal'!C1354="","",'Journal'!C1354)</f>
        <v/>
      </c>
      <c r="D2706" s="5">
        <f>IF('Journal'!E1354="","",IFERROR(LEFT('Journal'!E1354,FIND(" ",'Journal'!E1354)-1),'Journal'!E1354))</f>
        <v/>
      </c>
      <c r="E2706" s="5">
        <f>IF('Journal'!E1354="","",IFERROR(INDEX('Kontoplan'!$B$3:$B$302,MATCH('Journal'!E1354,'Kontoplan'!$H$3:$H$302,0)),""))</f>
        <v/>
      </c>
      <c r="F2706" s="20">
        <f>IF('Journal'!F1354="","",'Journal'!F1354)</f>
        <v/>
      </c>
      <c r="G2706" s="20">
        <f>IF('Journal'!G1354="","",'Journal'!G1354)</f>
        <v/>
      </c>
      <c r="H2706" s="5">
        <f>IF('Journal'!I1354="","",'Journal'!I1354)</f>
        <v/>
      </c>
    </row>
    <row r="2707">
      <c r="A2707" s="18">
        <f>IF('Journal'!A1355="","",'Journal'!A1355)</f>
        <v/>
      </c>
      <c r="B2707" s="21">
        <f>IF('Journal'!B1355="","",'Journal'!B1355)</f>
        <v/>
      </c>
      <c r="C2707" s="5">
        <f>IF('Journal'!C1355="","",'Journal'!C1355)</f>
        <v/>
      </c>
      <c r="D2707" s="5">
        <f>IF('Journal'!D1355="","",IFERROR(LEFT('Journal'!D1355,FIND(" ",'Journal'!D1355)-1),'Journal'!D1355))</f>
        <v/>
      </c>
      <c r="E2707" s="5">
        <f>IF('Journal'!D1355="","",IFERROR(INDEX('Kontoplan'!$B$3:$B$302,MATCH('Journal'!D1355,'Kontoplan'!$H$3:$H$302,0)),""))</f>
        <v/>
      </c>
      <c r="F2707" s="20">
        <f>IF('Journal'!G1355="","",'Journal'!G1355)</f>
        <v/>
      </c>
      <c r="G2707" s="20">
        <f>IF('Journal'!F1355="","",'Journal'!F1355)</f>
        <v/>
      </c>
      <c r="H2707" s="5">
        <f>IF('Journal'!I1355="","",'Journal'!I1355)</f>
        <v/>
      </c>
    </row>
    <row r="2708">
      <c r="A2708" s="18">
        <f>IF('Journal'!A1355="","",'Journal'!A1355)</f>
        <v/>
      </c>
      <c r="B2708" s="21">
        <f>IF('Journal'!B1355="","",'Journal'!B1355)</f>
        <v/>
      </c>
      <c r="C2708" s="5">
        <f>IF('Journal'!C1355="","",'Journal'!C1355)</f>
        <v/>
      </c>
      <c r="D2708" s="5">
        <f>IF('Journal'!E1355="","",IFERROR(LEFT('Journal'!E1355,FIND(" ",'Journal'!E1355)-1),'Journal'!E1355))</f>
        <v/>
      </c>
      <c r="E2708" s="5">
        <f>IF('Journal'!E1355="","",IFERROR(INDEX('Kontoplan'!$B$3:$B$302,MATCH('Journal'!E1355,'Kontoplan'!$H$3:$H$302,0)),""))</f>
        <v/>
      </c>
      <c r="F2708" s="20">
        <f>IF('Journal'!F1355="","",'Journal'!F1355)</f>
        <v/>
      </c>
      <c r="G2708" s="20">
        <f>IF('Journal'!G1355="","",'Journal'!G1355)</f>
        <v/>
      </c>
      <c r="H2708" s="5">
        <f>IF('Journal'!I1355="","",'Journal'!I1355)</f>
        <v/>
      </c>
    </row>
    <row r="2709">
      <c r="A2709" s="18">
        <f>IF('Journal'!A1356="","",'Journal'!A1356)</f>
        <v/>
      </c>
      <c r="B2709" s="21">
        <f>IF('Journal'!B1356="","",'Journal'!B1356)</f>
        <v/>
      </c>
      <c r="C2709" s="5">
        <f>IF('Journal'!C1356="","",'Journal'!C1356)</f>
        <v/>
      </c>
      <c r="D2709" s="5">
        <f>IF('Journal'!D1356="","",IFERROR(LEFT('Journal'!D1356,FIND(" ",'Journal'!D1356)-1),'Journal'!D1356))</f>
        <v/>
      </c>
      <c r="E2709" s="5">
        <f>IF('Journal'!D1356="","",IFERROR(INDEX('Kontoplan'!$B$3:$B$302,MATCH('Journal'!D1356,'Kontoplan'!$H$3:$H$302,0)),""))</f>
        <v/>
      </c>
      <c r="F2709" s="20">
        <f>IF('Journal'!G1356="","",'Journal'!G1356)</f>
        <v/>
      </c>
      <c r="G2709" s="20">
        <f>IF('Journal'!F1356="","",'Journal'!F1356)</f>
        <v/>
      </c>
      <c r="H2709" s="5">
        <f>IF('Journal'!I1356="","",'Journal'!I1356)</f>
        <v/>
      </c>
    </row>
    <row r="2710">
      <c r="A2710" s="18">
        <f>IF('Journal'!A1356="","",'Journal'!A1356)</f>
        <v/>
      </c>
      <c r="B2710" s="21">
        <f>IF('Journal'!B1356="","",'Journal'!B1356)</f>
        <v/>
      </c>
      <c r="C2710" s="5">
        <f>IF('Journal'!C1356="","",'Journal'!C1356)</f>
        <v/>
      </c>
      <c r="D2710" s="5">
        <f>IF('Journal'!E1356="","",IFERROR(LEFT('Journal'!E1356,FIND(" ",'Journal'!E1356)-1),'Journal'!E1356))</f>
        <v/>
      </c>
      <c r="E2710" s="5">
        <f>IF('Journal'!E1356="","",IFERROR(INDEX('Kontoplan'!$B$3:$B$302,MATCH('Journal'!E1356,'Kontoplan'!$H$3:$H$302,0)),""))</f>
        <v/>
      </c>
      <c r="F2710" s="20">
        <f>IF('Journal'!F1356="","",'Journal'!F1356)</f>
        <v/>
      </c>
      <c r="G2710" s="20">
        <f>IF('Journal'!G1356="","",'Journal'!G1356)</f>
        <v/>
      </c>
      <c r="H2710" s="5">
        <f>IF('Journal'!I1356="","",'Journal'!I1356)</f>
        <v/>
      </c>
    </row>
    <row r="2711">
      <c r="A2711" s="18">
        <f>IF('Journal'!A1357="","",'Journal'!A1357)</f>
        <v/>
      </c>
      <c r="B2711" s="21">
        <f>IF('Journal'!B1357="","",'Journal'!B1357)</f>
        <v/>
      </c>
      <c r="C2711" s="5">
        <f>IF('Journal'!C1357="","",'Journal'!C1357)</f>
        <v/>
      </c>
      <c r="D2711" s="5">
        <f>IF('Journal'!D1357="","",IFERROR(LEFT('Journal'!D1357,FIND(" ",'Journal'!D1357)-1),'Journal'!D1357))</f>
        <v/>
      </c>
      <c r="E2711" s="5">
        <f>IF('Journal'!D1357="","",IFERROR(INDEX('Kontoplan'!$B$3:$B$302,MATCH('Journal'!D1357,'Kontoplan'!$H$3:$H$302,0)),""))</f>
        <v/>
      </c>
      <c r="F2711" s="20">
        <f>IF('Journal'!G1357="","",'Journal'!G1357)</f>
        <v/>
      </c>
      <c r="G2711" s="20">
        <f>IF('Journal'!F1357="","",'Journal'!F1357)</f>
        <v/>
      </c>
      <c r="H2711" s="5">
        <f>IF('Journal'!I1357="","",'Journal'!I1357)</f>
        <v/>
      </c>
    </row>
    <row r="2712">
      <c r="A2712" s="18">
        <f>IF('Journal'!A1357="","",'Journal'!A1357)</f>
        <v/>
      </c>
      <c r="B2712" s="21">
        <f>IF('Journal'!B1357="","",'Journal'!B1357)</f>
        <v/>
      </c>
      <c r="C2712" s="5">
        <f>IF('Journal'!C1357="","",'Journal'!C1357)</f>
        <v/>
      </c>
      <c r="D2712" s="5">
        <f>IF('Journal'!E1357="","",IFERROR(LEFT('Journal'!E1357,FIND(" ",'Journal'!E1357)-1),'Journal'!E1357))</f>
        <v/>
      </c>
      <c r="E2712" s="5">
        <f>IF('Journal'!E1357="","",IFERROR(INDEX('Kontoplan'!$B$3:$B$302,MATCH('Journal'!E1357,'Kontoplan'!$H$3:$H$302,0)),""))</f>
        <v/>
      </c>
      <c r="F2712" s="20">
        <f>IF('Journal'!F1357="","",'Journal'!F1357)</f>
        <v/>
      </c>
      <c r="G2712" s="20">
        <f>IF('Journal'!G1357="","",'Journal'!G1357)</f>
        <v/>
      </c>
      <c r="H2712" s="5">
        <f>IF('Journal'!I1357="","",'Journal'!I1357)</f>
        <v/>
      </c>
    </row>
    <row r="2713">
      <c r="A2713" s="18">
        <f>IF('Journal'!A1358="","",'Journal'!A1358)</f>
        <v/>
      </c>
      <c r="B2713" s="21">
        <f>IF('Journal'!B1358="","",'Journal'!B1358)</f>
        <v/>
      </c>
      <c r="C2713" s="5">
        <f>IF('Journal'!C1358="","",'Journal'!C1358)</f>
        <v/>
      </c>
      <c r="D2713" s="5">
        <f>IF('Journal'!D1358="","",IFERROR(LEFT('Journal'!D1358,FIND(" ",'Journal'!D1358)-1),'Journal'!D1358))</f>
        <v/>
      </c>
      <c r="E2713" s="5">
        <f>IF('Journal'!D1358="","",IFERROR(INDEX('Kontoplan'!$B$3:$B$302,MATCH('Journal'!D1358,'Kontoplan'!$H$3:$H$302,0)),""))</f>
        <v/>
      </c>
      <c r="F2713" s="20">
        <f>IF('Journal'!G1358="","",'Journal'!G1358)</f>
        <v/>
      </c>
      <c r="G2713" s="20">
        <f>IF('Journal'!F1358="","",'Journal'!F1358)</f>
        <v/>
      </c>
      <c r="H2713" s="5">
        <f>IF('Journal'!I1358="","",'Journal'!I1358)</f>
        <v/>
      </c>
    </row>
    <row r="2714">
      <c r="A2714" s="18">
        <f>IF('Journal'!A1358="","",'Journal'!A1358)</f>
        <v/>
      </c>
      <c r="B2714" s="21">
        <f>IF('Journal'!B1358="","",'Journal'!B1358)</f>
        <v/>
      </c>
      <c r="C2714" s="5">
        <f>IF('Journal'!C1358="","",'Journal'!C1358)</f>
        <v/>
      </c>
      <c r="D2714" s="5">
        <f>IF('Journal'!E1358="","",IFERROR(LEFT('Journal'!E1358,FIND(" ",'Journal'!E1358)-1),'Journal'!E1358))</f>
        <v/>
      </c>
      <c r="E2714" s="5">
        <f>IF('Journal'!E1358="","",IFERROR(INDEX('Kontoplan'!$B$3:$B$302,MATCH('Journal'!E1358,'Kontoplan'!$H$3:$H$302,0)),""))</f>
        <v/>
      </c>
      <c r="F2714" s="20">
        <f>IF('Journal'!F1358="","",'Journal'!F1358)</f>
        <v/>
      </c>
      <c r="G2714" s="20">
        <f>IF('Journal'!G1358="","",'Journal'!G1358)</f>
        <v/>
      </c>
      <c r="H2714" s="5">
        <f>IF('Journal'!I1358="","",'Journal'!I1358)</f>
        <v/>
      </c>
    </row>
    <row r="2715">
      <c r="A2715" s="18">
        <f>IF('Journal'!A1359="","",'Journal'!A1359)</f>
        <v/>
      </c>
      <c r="B2715" s="21">
        <f>IF('Journal'!B1359="","",'Journal'!B1359)</f>
        <v/>
      </c>
      <c r="C2715" s="5">
        <f>IF('Journal'!C1359="","",'Journal'!C1359)</f>
        <v/>
      </c>
      <c r="D2715" s="5">
        <f>IF('Journal'!D1359="","",IFERROR(LEFT('Journal'!D1359,FIND(" ",'Journal'!D1359)-1),'Journal'!D1359))</f>
        <v/>
      </c>
      <c r="E2715" s="5">
        <f>IF('Journal'!D1359="","",IFERROR(INDEX('Kontoplan'!$B$3:$B$302,MATCH('Journal'!D1359,'Kontoplan'!$H$3:$H$302,0)),""))</f>
        <v/>
      </c>
      <c r="F2715" s="20">
        <f>IF('Journal'!G1359="","",'Journal'!G1359)</f>
        <v/>
      </c>
      <c r="G2715" s="20">
        <f>IF('Journal'!F1359="","",'Journal'!F1359)</f>
        <v/>
      </c>
      <c r="H2715" s="5">
        <f>IF('Journal'!I1359="","",'Journal'!I1359)</f>
        <v/>
      </c>
    </row>
    <row r="2716">
      <c r="A2716" s="18">
        <f>IF('Journal'!A1359="","",'Journal'!A1359)</f>
        <v/>
      </c>
      <c r="B2716" s="21">
        <f>IF('Journal'!B1359="","",'Journal'!B1359)</f>
        <v/>
      </c>
      <c r="C2716" s="5">
        <f>IF('Journal'!C1359="","",'Journal'!C1359)</f>
        <v/>
      </c>
      <c r="D2716" s="5">
        <f>IF('Journal'!E1359="","",IFERROR(LEFT('Journal'!E1359,FIND(" ",'Journal'!E1359)-1),'Journal'!E1359))</f>
        <v/>
      </c>
      <c r="E2716" s="5">
        <f>IF('Journal'!E1359="","",IFERROR(INDEX('Kontoplan'!$B$3:$B$302,MATCH('Journal'!E1359,'Kontoplan'!$H$3:$H$302,0)),""))</f>
        <v/>
      </c>
      <c r="F2716" s="20">
        <f>IF('Journal'!F1359="","",'Journal'!F1359)</f>
        <v/>
      </c>
      <c r="G2716" s="20">
        <f>IF('Journal'!G1359="","",'Journal'!G1359)</f>
        <v/>
      </c>
      <c r="H2716" s="5">
        <f>IF('Journal'!I1359="","",'Journal'!I1359)</f>
        <v/>
      </c>
    </row>
    <row r="2717">
      <c r="A2717" s="18">
        <f>IF('Journal'!A1360="","",'Journal'!A1360)</f>
        <v/>
      </c>
      <c r="B2717" s="21">
        <f>IF('Journal'!B1360="","",'Journal'!B1360)</f>
        <v/>
      </c>
      <c r="C2717" s="5">
        <f>IF('Journal'!C1360="","",'Journal'!C1360)</f>
        <v/>
      </c>
      <c r="D2717" s="5">
        <f>IF('Journal'!D1360="","",IFERROR(LEFT('Journal'!D1360,FIND(" ",'Journal'!D1360)-1),'Journal'!D1360))</f>
        <v/>
      </c>
      <c r="E2717" s="5">
        <f>IF('Journal'!D1360="","",IFERROR(INDEX('Kontoplan'!$B$3:$B$302,MATCH('Journal'!D1360,'Kontoplan'!$H$3:$H$302,0)),""))</f>
        <v/>
      </c>
      <c r="F2717" s="20">
        <f>IF('Journal'!G1360="","",'Journal'!G1360)</f>
        <v/>
      </c>
      <c r="G2717" s="20">
        <f>IF('Journal'!F1360="","",'Journal'!F1360)</f>
        <v/>
      </c>
      <c r="H2717" s="5">
        <f>IF('Journal'!I1360="","",'Journal'!I1360)</f>
        <v/>
      </c>
    </row>
    <row r="2718">
      <c r="A2718" s="18">
        <f>IF('Journal'!A1360="","",'Journal'!A1360)</f>
        <v/>
      </c>
      <c r="B2718" s="21">
        <f>IF('Journal'!B1360="","",'Journal'!B1360)</f>
        <v/>
      </c>
      <c r="C2718" s="5">
        <f>IF('Journal'!C1360="","",'Journal'!C1360)</f>
        <v/>
      </c>
      <c r="D2718" s="5">
        <f>IF('Journal'!E1360="","",IFERROR(LEFT('Journal'!E1360,FIND(" ",'Journal'!E1360)-1),'Journal'!E1360))</f>
        <v/>
      </c>
      <c r="E2718" s="5">
        <f>IF('Journal'!E1360="","",IFERROR(INDEX('Kontoplan'!$B$3:$B$302,MATCH('Journal'!E1360,'Kontoplan'!$H$3:$H$302,0)),""))</f>
        <v/>
      </c>
      <c r="F2718" s="20">
        <f>IF('Journal'!F1360="","",'Journal'!F1360)</f>
        <v/>
      </c>
      <c r="G2718" s="20">
        <f>IF('Journal'!G1360="","",'Journal'!G1360)</f>
        <v/>
      </c>
      <c r="H2718" s="5">
        <f>IF('Journal'!I1360="","",'Journal'!I1360)</f>
        <v/>
      </c>
    </row>
    <row r="2719">
      <c r="A2719" s="18">
        <f>IF('Journal'!A1361="","",'Journal'!A1361)</f>
        <v/>
      </c>
      <c r="B2719" s="21">
        <f>IF('Journal'!B1361="","",'Journal'!B1361)</f>
        <v/>
      </c>
      <c r="C2719" s="5">
        <f>IF('Journal'!C1361="","",'Journal'!C1361)</f>
        <v/>
      </c>
      <c r="D2719" s="5">
        <f>IF('Journal'!D1361="","",IFERROR(LEFT('Journal'!D1361,FIND(" ",'Journal'!D1361)-1),'Journal'!D1361))</f>
        <v/>
      </c>
      <c r="E2719" s="5">
        <f>IF('Journal'!D1361="","",IFERROR(INDEX('Kontoplan'!$B$3:$B$302,MATCH('Journal'!D1361,'Kontoplan'!$H$3:$H$302,0)),""))</f>
        <v/>
      </c>
      <c r="F2719" s="20">
        <f>IF('Journal'!G1361="","",'Journal'!G1361)</f>
        <v/>
      </c>
      <c r="G2719" s="20">
        <f>IF('Journal'!F1361="","",'Journal'!F1361)</f>
        <v/>
      </c>
      <c r="H2719" s="5">
        <f>IF('Journal'!I1361="","",'Journal'!I1361)</f>
        <v/>
      </c>
    </row>
    <row r="2720">
      <c r="A2720" s="18">
        <f>IF('Journal'!A1361="","",'Journal'!A1361)</f>
        <v/>
      </c>
      <c r="B2720" s="21">
        <f>IF('Journal'!B1361="","",'Journal'!B1361)</f>
        <v/>
      </c>
      <c r="C2720" s="5">
        <f>IF('Journal'!C1361="","",'Journal'!C1361)</f>
        <v/>
      </c>
      <c r="D2720" s="5">
        <f>IF('Journal'!E1361="","",IFERROR(LEFT('Journal'!E1361,FIND(" ",'Journal'!E1361)-1),'Journal'!E1361))</f>
        <v/>
      </c>
      <c r="E2720" s="5">
        <f>IF('Journal'!E1361="","",IFERROR(INDEX('Kontoplan'!$B$3:$B$302,MATCH('Journal'!E1361,'Kontoplan'!$H$3:$H$302,0)),""))</f>
        <v/>
      </c>
      <c r="F2720" s="20">
        <f>IF('Journal'!F1361="","",'Journal'!F1361)</f>
        <v/>
      </c>
      <c r="G2720" s="20">
        <f>IF('Journal'!G1361="","",'Journal'!G1361)</f>
        <v/>
      </c>
      <c r="H2720" s="5">
        <f>IF('Journal'!I1361="","",'Journal'!I1361)</f>
        <v/>
      </c>
    </row>
    <row r="2721">
      <c r="A2721" s="18">
        <f>IF('Journal'!A1362="","",'Journal'!A1362)</f>
        <v/>
      </c>
      <c r="B2721" s="21">
        <f>IF('Journal'!B1362="","",'Journal'!B1362)</f>
        <v/>
      </c>
      <c r="C2721" s="5">
        <f>IF('Journal'!C1362="","",'Journal'!C1362)</f>
        <v/>
      </c>
      <c r="D2721" s="5">
        <f>IF('Journal'!D1362="","",IFERROR(LEFT('Journal'!D1362,FIND(" ",'Journal'!D1362)-1),'Journal'!D1362))</f>
        <v/>
      </c>
      <c r="E2721" s="5">
        <f>IF('Journal'!D1362="","",IFERROR(INDEX('Kontoplan'!$B$3:$B$302,MATCH('Journal'!D1362,'Kontoplan'!$H$3:$H$302,0)),""))</f>
        <v/>
      </c>
      <c r="F2721" s="20">
        <f>IF('Journal'!G1362="","",'Journal'!G1362)</f>
        <v/>
      </c>
      <c r="G2721" s="20">
        <f>IF('Journal'!F1362="","",'Journal'!F1362)</f>
        <v/>
      </c>
      <c r="H2721" s="5">
        <f>IF('Journal'!I1362="","",'Journal'!I1362)</f>
        <v/>
      </c>
    </row>
    <row r="2722">
      <c r="A2722" s="18">
        <f>IF('Journal'!A1362="","",'Journal'!A1362)</f>
        <v/>
      </c>
      <c r="B2722" s="21">
        <f>IF('Journal'!B1362="","",'Journal'!B1362)</f>
        <v/>
      </c>
      <c r="C2722" s="5">
        <f>IF('Journal'!C1362="","",'Journal'!C1362)</f>
        <v/>
      </c>
      <c r="D2722" s="5">
        <f>IF('Journal'!E1362="","",IFERROR(LEFT('Journal'!E1362,FIND(" ",'Journal'!E1362)-1),'Journal'!E1362))</f>
        <v/>
      </c>
      <c r="E2722" s="5">
        <f>IF('Journal'!E1362="","",IFERROR(INDEX('Kontoplan'!$B$3:$B$302,MATCH('Journal'!E1362,'Kontoplan'!$H$3:$H$302,0)),""))</f>
        <v/>
      </c>
      <c r="F2722" s="20">
        <f>IF('Journal'!F1362="","",'Journal'!F1362)</f>
        <v/>
      </c>
      <c r="G2722" s="20">
        <f>IF('Journal'!G1362="","",'Journal'!G1362)</f>
        <v/>
      </c>
      <c r="H2722" s="5">
        <f>IF('Journal'!I1362="","",'Journal'!I1362)</f>
        <v/>
      </c>
    </row>
    <row r="2723">
      <c r="A2723" s="18">
        <f>IF('Journal'!A1363="","",'Journal'!A1363)</f>
        <v/>
      </c>
      <c r="B2723" s="21">
        <f>IF('Journal'!B1363="","",'Journal'!B1363)</f>
        <v/>
      </c>
      <c r="C2723" s="5">
        <f>IF('Journal'!C1363="","",'Journal'!C1363)</f>
        <v/>
      </c>
      <c r="D2723" s="5">
        <f>IF('Journal'!D1363="","",IFERROR(LEFT('Journal'!D1363,FIND(" ",'Journal'!D1363)-1),'Journal'!D1363))</f>
        <v/>
      </c>
      <c r="E2723" s="5">
        <f>IF('Journal'!D1363="","",IFERROR(INDEX('Kontoplan'!$B$3:$B$302,MATCH('Journal'!D1363,'Kontoplan'!$H$3:$H$302,0)),""))</f>
        <v/>
      </c>
      <c r="F2723" s="20">
        <f>IF('Journal'!G1363="","",'Journal'!G1363)</f>
        <v/>
      </c>
      <c r="G2723" s="20">
        <f>IF('Journal'!F1363="","",'Journal'!F1363)</f>
        <v/>
      </c>
      <c r="H2723" s="5">
        <f>IF('Journal'!I1363="","",'Journal'!I1363)</f>
        <v/>
      </c>
    </row>
    <row r="2724">
      <c r="A2724" s="18">
        <f>IF('Journal'!A1363="","",'Journal'!A1363)</f>
        <v/>
      </c>
      <c r="B2724" s="21">
        <f>IF('Journal'!B1363="","",'Journal'!B1363)</f>
        <v/>
      </c>
      <c r="C2724" s="5">
        <f>IF('Journal'!C1363="","",'Journal'!C1363)</f>
        <v/>
      </c>
      <c r="D2724" s="5">
        <f>IF('Journal'!E1363="","",IFERROR(LEFT('Journal'!E1363,FIND(" ",'Journal'!E1363)-1),'Journal'!E1363))</f>
        <v/>
      </c>
      <c r="E2724" s="5">
        <f>IF('Journal'!E1363="","",IFERROR(INDEX('Kontoplan'!$B$3:$B$302,MATCH('Journal'!E1363,'Kontoplan'!$H$3:$H$302,0)),""))</f>
        <v/>
      </c>
      <c r="F2724" s="20">
        <f>IF('Journal'!F1363="","",'Journal'!F1363)</f>
        <v/>
      </c>
      <c r="G2724" s="20">
        <f>IF('Journal'!G1363="","",'Journal'!G1363)</f>
        <v/>
      </c>
      <c r="H2724" s="5">
        <f>IF('Journal'!I1363="","",'Journal'!I1363)</f>
        <v/>
      </c>
    </row>
    <row r="2725">
      <c r="A2725" s="18">
        <f>IF('Journal'!A1364="","",'Journal'!A1364)</f>
        <v/>
      </c>
      <c r="B2725" s="21">
        <f>IF('Journal'!B1364="","",'Journal'!B1364)</f>
        <v/>
      </c>
      <c r="C2725" s="5">
        <f>IF('Journal'!C1364="","",'Journal'!C1364)</f>
        <v/>
      </c>
      <c r="D2725" s="5">
        <f>IF('Journal'!D1364="","",IFERROR(LEFT('Journal'!D1364,FIND(" ",'Journal'!D1364)-1),'Journal'!D1364))</f>
        <v/>
      </c>
      <c r="E2725" s="5">
        <f>IF('Journal'!D1364="","",IFERROR(INDEX('Kontoplan'!$B$3:$B$302,MATCH('Journal'!D1364,'Kontoplan'!$H$3:$H$302,0)),""))</f>
        <v/>
      </c>
      <c r="F2725" s="20">
        <f>IF('Journal'!G1364="","",'Journal'!G1364)</f>
        <v/>
      </c>
      <c r="G2725" s="20">
        <f>IF('Journal'!F1364="","",'Journal'!F1364)</f>
        <v/>
      </c>
      <c r="H2725" s="5">
        <f>IF('Journal'!I1364="","",'Journal'!I1364)</f>
        <v/>
      </c>
    </row>
    <row r="2726">
      <c r="A2726" s="18">
        <f>IF('Journal'!A1364="","",'Journal'!A1364)</f>
        <v/>
      </c>
      <c r="B2726" s="21">
        <f>IF('Journal'!B1364="","",'Journal'!B1364)</f>
        <v/>
      </c>
      <c r="C2726" s="5">
        <f>IF('Journal'!C1364="","",'Journal'!C1364)</f>
        <v/>
      </c>
      <c r="D2726" s="5">
        <f>IF('Journal'!E1364="","",IFERROR(LEFT('Journal'!E1364,FIND(" ",'Journal'!E1364)-1),'Journal'!E1364))</f>
        <v/>
      </c>
      <c r="E2726" s="5">
        <f>IF('Journal'!E1364="","",IFERROR(INDEX('Kontoplan'!$B$3:$B$302,MATCH('Journal'!E1364,'Kontoplan'!$H$3:$H$302,0)),""))</f>
        <v/>
      </c>
      <c r="F2726" s="20">
        <f>IF('Journal'!F1364="","",'Journal'!F1364)</f>
        <v/>
      </c>
      <c r="G2726" s="20">
        <f>IF('Journal'!G1364="","",'Journal'!G1364)</f>
        <v/>
      </c>
      <c r="H2726" s="5">
        <f>IF('Journal'!I1364="","",'Journal'!I1364)</f>
        <v/>
      </c>
    </row>
    <row r="2727">
      <c r="A2727" s="18">
        <f>IF('Journal'!A1365="","",'Journal'!A1365)</f>
        <v/>
      </c>
      <c r="B2727" s="21">
        <f>IF('Journal'!B1365="","",'Journal'!B1365)</f>
        <v/>
      </c>
      <c r="C2727" s="5">
        <f>IF('Journal'!C1365="","",'Journal'!C1365)</f>
        <v/>
      </c>
      <c r="D2727" s="5">
        <f>IF('Journal'!D1365="","",IFERROR(LEFT('Journal'!D1365,FIND(" ",'Journal'!D1365)-1),'Journal'!D1365))</f>
        <v/>
      </c>
      <c r="E2727" s="5">
        <f>IF('Journal'!D1365="","",IFERROR(INDEX('Kontoplan'!$B$3:$B$302,MATCH('Journal'!D1365,'Kontoplan'!$H$3:$H$302,0)),""))</f>
        <v/>
      </c>
      <c r="F2727" s="20">
        <f>IF('Journal'!G1365="","",'Journal'!G1365)</f>
        <v/>
      </c>
      <c r="G2727" s="20">
        <f>IF('Journal'!F1365="","",'Journal'!F1365)</f>
        <v/>
      </c>
      <c r="H2727" s="5">
        <f>IF('Journal'!I1365="","",'Journal'!I1365)</f>
        <v/>
      </c>
    </row>
    <row r="2728">
      <c r="A2728" s="18">
        <f>IF('Journal'!A1365="","",'Journal'!A1365)</f>
        <v/>
      </c>
      <c r="B2728" s="21">
        <f>IF('Journal'!B1365="","",'Journal'!B1365)</f>
        <v/>
      </c>
      <c r="C2728" s="5">
        <f>IF('Journal'!C1365="","",'Journal'!C1365)</f>
        <v/>
      </c>
      <c r="D2728" s="5">
        <f>IF('Journal'!E1365="","",IFERROR(LEFT('Journal'!E1365,FIND(" ",'Journal'!E1365)-1),'Journal'!E1365))</f>
        <v/>
      </c>
      <c r="E2728" s="5">
        <f>IF('Journal'!E1365="","",IFERROR(INDEX('Kontoplan'!$B$3:$B$302,MATCH('Journal'!E1365,'Kontoplan'!$H$3:$H$302,0)),""))</f>
        <v/>
      </c>
      <c r="F2728" s="20">
        <f>IF('Journal'!F1365="","",'Journal'!F1365)</f>
        <v/>
      </c>
      <c r="G2728" s="20">
        <f>IF('Journal'!G1365="","",'Journal'!G1365)</f>
        <v/>
      </c>
      <c r="H2728" s="5">
        <f>IF('Journal'!I1365="","",'Journal'!I1365)</f>
        <v/>
      </c>
    </row>
    <row r="2729">
      <c r="A2729" s="18">
        <f>IF('Journal'!A1366="","",'Journal'!A1366)</f>
        <v/>
      </c>
      <c r="B2729" s="21">
        <f>IF('Journal'!B1366="","",'Journal'!B1366)</f>
        <v/>
      </c>
      <c r="C2729" s="5">
        <f>IF('Journal'!C1366="","",'Journal'!C1366)</f>
        <v/>
      </c>
      <c r="D2729" s="5">
        <f>IF('Journal'!D1366="","",IFERROR(LEFT('Journal'!D1366,FIND(" ",'Journal'!D1366)-1),'Journal'!D1366))</f>
        <v/>
      </c>
      <c r="E2729" s="5">
        <f>IF('Journal'!D1366="","",IFERROR(INDEX('Kontoplan'!$B$3:$B$302,MATCH('Journal'!D1366,'Kontoplan'!$H$3:$H$302,0)),""))</f>
        <v/>
      </c>
      <c r="F2729" s="20">
        <f>IF('Journal'!G1366="","",'Journal'!G1366)</f>
        <v/>
      </c>
      <c r="G2729" s="20">
        <f>IF('Journal'!F1366="","",'Journal'!F1366)</f>
        <v/>
      </c>
      <c r="H2729" s="5">
        <f>IF('Journal'!I1366="","",'Journal'!I1366)</f>
        <v/>
      </c>
    </row>
    <row r="2730">
      <c r="A2730" s="18">
        <f>IF('Journal'!A1366="","",'Journal'!A1366)</f>
        <v/>
      </c>
      <c r="B2730" s="21">
        <f>IF('Journal'!B1366="","",'Journal'!B1366)</f>
        <v/>
      </c>
      <c r="C2730" s="5">
        <f>IF('Journal'!C1366="","",'Journal'!C1366)</f>
        <v/>
      </c>
      <c r="D2730" s="5">
        <f>IF('Journal'!E1366="","",IFERROR(LEFT('Journal'!E1366,FIND(" ",'Journal'!E1366)-1),'Journal'!E1366))</f>
        <v/>
      </c>
      <c r="E2730" s="5">
        <f>IF('Journal'!E1366="","",IFERROR(INDEX('Kontoplan'!$B$3:$B$302,MATCH('Journal'!E1366,'Kontoplan'!$H$3:$H$302,0)),""))</f>
        <v/>
      </c>
      <c r="F2730" s="20">
        <f>IF('Journal'!F1366="","",'Journal'!F1366)</f>
        <v/>
      </c>
      <c r="G2730" s="20">
        <f>IF('Journal'!G1366="","",'Journal'!G1366)</f>
        <v/>
      </c>
      <c r="H2730" s="5">
        <f>IF('Journal'!I1366="","",'Journal'!I1366)</f>
        <v/>
      </c>
    </row>
    <row r="2731">
      <c r="A2731" s="18">
        <f>IF('Journal'!A1367="","",'Journal'!A1367)</f>
        <v/>
      </c>
      <c r="B2731" s="21">
        <f>IF('Journal'!B1367="","",'Journal'!B1367)</f>
        <v/>
      </c>
      <c r="C2731" s="5">
        <f>IF('Journal'!C1367="","",'Journal'!C1367)</f>
        <v/>
      </c>
      <c r="D2731" s="5">
        <f>IF('Journal'!D1367="","",IFERROR(LEFT('Journal'!D1367,FIND(" ",'Journal'!D1367)-1),'Journal'!D1367))</f>
        <v/>
      </c>
      <c r="E2731" s="5">
        <f>IF('Journal'!D1367="","",IFERROR(INDEX('Kontoplan'!$B$3:$B$302,MATCH('Journal'!D1367,'Kontoplan'!$H$3:$H$302,0)),""))</f>
        <v/>
      </c>
      <c r="F2731" s="20">
        <f>IF('Journal'!G1367="","",'Journal'!G1367)</f>
        <v/>
      </c>
      <c r="G2731" s="20">
        <f>IF('Journal'!F1367="","",'Journal'!F1367)</f>
        <v/>
      </c>
      <c r="H2731" s="5">
        <f>IF('Journal'!I1367="","",'Journal'!I1367)</f>
        <v/>
      </c>
    </row>
    <row r="2732">
      <c r="A2732" s="18">
        <f>IF('Journal'!A1367="","",'Journal'!A1367)</f>
        <v/>
      </c>
      <c r="B2732" s="21">
        <f>IF('Journal'!B1367="","",'Journal'!B1367)</f>
        <v/>
      </c>
      <c r="C2732" s="5">
        <f>IF('Journal'!C1367="","",'Journal'!C1367)</f>
        <v/>
      </c>
      <c r="D2732" s="5">
        <f>IF('Journal'!E1367="","",IFERROR(LEFT('Journal'!E1367,FIND(" ",'Journal'!E1367)-1),'Journal'!E1367))</f>
        <v/>
      </c>
      <c r="E2732" s="5">
        <f>IF('Journal'!E1367="","",IFERROR(INDEX('Kontoplan'!$B$3:$B$302,MATCH('Journal'!E1367,'Kontoplan'!$H$3:$H$302,0)),""))</f>
        <v/>
      </c>
      <c r="F2732" s="20">
        <f>IF('Journal'!F1367="","",'Journal'!F1367)</f>
        <v/>
      </c>
      <c r="G2732" s="20">
        <f>IF('Journal'!G1367="","",'Journal'!G1367)</f>
        <v/>
      </c>
      <c r="H2732" s="5">
        <f>IF('Journal'!I1367="","",'Journal'!I1367)</f>
        <v/>
      </c>
    </row>
    <row r="2733">
      <c r="A2733" s="18">
        <f>IF('Journal'!A1368="","",'Journal'!A1368)</f>
        <v/>
      </c>
      <c r="B2733" s="21">
        <f>IF('Journal'!B1368="","",'Journal'!B1368)</f>
        <v/>
      </c>
      <c r="C2733" s="5">
        <f>IF('Journal'!C1368="","",'Journal'!C1368)</f>
        <v/>
      </c>
      <c r="D2733" s="5">
        <f>IF('Journal'!D1368="","",IFERROR(LEFT('Journal'!D1368,FIND(" ",'Journal'!D1368)-1),'Journal'!D1368))</f>
        <v/>
      </c>
      <c r="E2733" s="5">
        <f>IF('Journal'!D1368="","",IFERROR(INDEX('Kontoplan'!$B$3:$B$302,MATCH('Journal'!D1368,'Kontoplan'!$H$3:$H$302,0)),""))</f>
        <v/>
      </c>
      <c r="F2733" s="20">
        <f>IF('Journal'!G1368="","",'Journal'!G1368)</f>
        <v/>
      </c>
      <c r="G2733" s="20">
        <f>IF('Journal'!F1368="","",'Journal'!F1368)</f>
        <v/>
      </c>
      <c r="H2733" s="5">
        <f>IF('Journal'!I1368="","",'Journal'!I1368)</f>
        <v/>
      </c>
    </row>
    <row r="2734">
      <c r="A2734" s="18">
        <f>IF('Journal'!A1368="","",'Journal'!A1368)</f>
        <v/>
      </c>
      <c r="B2734" s="21">
        <f>IF('Journal'!B1368="","",'Journal'!B1368)</f>
        <v/>
      </c>
      <c r="C2734" s="5">
        <f>IF('Journal'!C1368="","",'Journal'!C1368)</f>
        <v/>
      </c>
      <c r="D2734" s="5">
        <f>IF('Journal'!E1368="","",IFERROR(LEFT('Journal'!E1368,FIND(" ",'Journal'!E1368)-1),'Journal'!E1368))</f>
        <v/>
      </c>
      <c r="E2734" s="5">
        <f>IF('Journal'!E1368="","",IFERROR(INDEX('Kontoplan'!$B$3:$B$302,MATCH('Journal'!E1368,'Kontoplan'!$H$3:$H$302,0)),""))</f>
        <v/>
      </c>
      <c r="F2734" s="20">
        <f>IF('Journal'!F1368="","",'Journal'!F1368)</f>
        <v/>
      </c>
      <c r="G2734" s="20">
        <f>IF('Journal'!G1368="","",'Journal'!G1368)</f>
        <v/>
      </c>
      <c r="H2734" s="5">
        <f>IF('Journal'!I1368="","",'Journal'!I1368)</f>
        <v/>
      </c>
    </row>
    <row r="2735">
      <c r="A2735" s="18">
        <f>IF('Journal'!A1369="","",'Journal'!A1369)</f>
        <v/>
      </c>
      <c r="B2735" s="21">
        <f>IF('Journal'!B1369="","",'Journal'!B1369)</f>
        <v/>
      </c>
      <c r="C2735" s="5">
        <f>IF('Journal'!C1369="","",'Journal'!C1369)</f>
        <v/>
      </c>
      <c r="D2735" s="5">
        <f>IF('Journal'!D1369="","",IFERROR(LEFT('Journal'!D1369,FIND(" ",'Journal'!D1369)-1),'Journal'!D1369))</f>
        <v/>
      </c>
      <c r="E2735" s="5">
        <f>IF('Journal'!D1369="","",IFERROR(INDEX('Kontoplan'!$B$3:$B$302,MATCH('Journal'!D1369,'Kontoplan'!$H$3:$H$302,0)),""))</f>
        <v/>
      </c>
      <c r="F2735" s="20">
        <f>IF('Journal'!G1369="","",'Journal'!G1369)</f>
        <v/>
      </c>
      <c r="G2735" s="20">
        <f>IF('Journal'!F1369="","",'Journal'!F1369)</f>
        <v/>
      </c>
      <c r="H2735" s="5">
        <f>IF('Journal'!I1369="","",'Journal'!I1369)</f>
        <v/>
      </c>
    </row>
    <row r="2736">
      <c r="A2736" s="18">
        <f>IF('Journal'!A1369="","",'Journal'!A1369)</f>
        <v/>
      </c>
      <c r="B2736" s="21">
        <f>IF('Journal'!B1369="","",'Journal'!B1369)</f>
        <v/>
      </c>
      <c r="C2736" s="5">
        <f>IF('Journal'!C1369="","",'Journal'!C1369)</f>
        <v/>
      </c>
      <c r="D2736" s="5">
        <f>IF('Journal'!E1369="","",IFERROR(LEFT('Journal'!E1369,FIND(" ",'Journal'!E1369)-1),'Journal'!E1369))</f>
        <v/>
      </c>
      <c r="E2736" s="5">
        <f>IF('Journal'!E1369="","",IFERROR(INDEX('Kontoplan'!$B$3:$B$302,MATCH('Journal'!E1369,'Kontoplan'!$H$3:$H$302,0)),""))</f>
        <v/>
      </c>
      <c r="F2736" s="20">
        <f>IF('Journal'!F1369="","",'Journal'!F1369)</f>
        <v/>
      </c>
      <c r="G2736" s="20">
        <f>IF('Journal'!G1369="","",'Journal'!G1369)</f>
        <v/>
      </c>
      <c r="H2736" s="5">
        <f>IF('Journal'!I1369="","",'Journal'!I1369)</f>
        <v/>
      </c>
    </row>
    <row r="2737">
      <c r="A2737" s="18">
        <f>IF('Journal'!A1370="","",'Journal'!A1370)</f>
        <v/>
      </c>
      <c r="B2737" s="21">
        <f>IF('Journal'!B1370="","",'Journal'!B1370)</f>
        <v/>
      </c>
      <c r="C2737" s="5">
        <f>IF('Journal'!C1370="","",'Journal'!C1370)</f>
        <v/>
      </c>
      <c r="D2737" s="5">
        <f>IF('Journal'!D1370="","",IFERROR(LEFT('Journal'!D1370,FIND(" ",'Journal'!D1370)-1),'Journal'!D1370))</f>
        <v/>
      </c>
      <c r="E2737" s="5">
        <f>IF('Journal'!D1370="","",IFERROR(INDEX('Kontoplan'!$B$3:$B$302,MATCH('Journal'!D1370,'Kontoplan'!$H$3:$H$302,0)),""))</f>
        <v/>
      </c>
      <c r="F2737" s="20">
        <f>IF('Journal'!G1370="","",'Journal'!G1370)</f>
        <v/>
      </c>
      <c r="G2737" s="20">
        <f>IF('Journal'!F1370="","",'Journal'!F1370)</f>
        <v/>
      </c>
      <c r="H2737" s="5">
        <f>IF('Journal'!I1370="","",'Journal'!I1370)</f>
        <v/>
      </c>
    </row>
    <row r="2738">
      <c r="A2738" s="18">
        <f>IF('Journal'!A1370="","",'Journal'!A1370)</f>
        <v/>
      </c>
      <c r="B2738" s="21">
        <f>IF('Journal'!B1370="","",'Journal'!B1370)</f>
        <v/>
      </c>
      <c r="C2738" s="5">
        <f>IF('Journal'!C1370="","",'Journal'!C1370)</f>
        <v/>
      </c>
      <c r="D2738" s="5">
        <f>IF('Journal'!E1370="","",IFERROR(LEFT('Journal'!E1370,FIND(" ",'Journal'!E1370)-1),'Journal'!E1370))</f>
        <v/>
      </c>
      <c r="E2738" s="5">
        <f>IF('Journal'!E1370="","",IFERROR(INDEX('Kontoplan'!$B$3:$B$302,MATCH('Journal'!E1370,'Kontoplan'!$H$3:$H$302,0)),""))</f>
        <v/>
      </c>
      <c r="F2738" s="20">
        <f>IF('Journal'!F1370="","",'Journal'!F1370)</f>
        <v/>
      </c>
      <c r="G2738" s="20">
        <f>IF('Journal'!G1370="","",'Journal'!G1370)</f>
        <v/>
      </c>
      <c r="H2738" s="5">
        <f>IF('Journal'!I1370="","",'Journal'!I1370)</f>
        <v/>
      </c>
    </row>
    <row r="2739">
      <c r="A2739" s="18">
        <f>IF('Journal'!A1371="","",'Journal'!A1371)</f>
        <v/>
      </c>
      <c r="B2739" s="21">
        <f>IF('Journal'!B1371="","",'Journal'!B1371)</f>
        <v/>
      </c>
      <c r="C2739" s="5">
        <f>IF('Journal'!C1371="","",'Journal'!C1371)</f>
        <v/>
      </c>
      <c r="D2739" s="5">
        <f>IF('Journal'!D1371="","",IFERROR(LEFT('Journal'!D1371,FIND(" ",'Journal'!D1371)-1),'Journal'!D1371))</f>
        <v/>
      </c>
      <c r="E2739" s="5">
        <f>IF('Journal'!D1371="","",IFERROR(INDEX('Kontoplan'!$B$3:$B$302,MATCH('Journal'!D1371,'Kontoplan'!$H$3:$H$302,0)),""))</f>
        <v/>
      </c>
      <c r="F2739" s="20">
        <f>IF('Journal'!G1371="","",'Journal'!G1371)</f>
        <v/>
      </c>
      <c r="G2739" s="20">
        <f>IF('Journal'!F1371="","",'Journal'!F1371)</f>
        <v/>
      </c>
      <c r="H2739" s="5">
        <f>IF('Journal'!I1371="","",'Journal'!I1371)</f>
        <v/>
      </c>
    </row>
    <row r="2740">
      <c r="A2740" s="18">
        <f>IF('Journal'!A1371="","",'Journal'!A1371)</f>
        <v/>
      </c>
      <c r="B2740" s="21">
        <f>IF('Journal'!B1371="","",'Journal'!B1371)</f>
        <v/>
      </c>
      <c r="C2740" s="5">
        <f>IF('Journal'!C1371="","",'Journal'!C1371)</f>
        <v/>
      </c>
      <c r="D2740" s="5">
        <f>IF('Journal'!E1371="","",IFERROR(LEFT('Journal'!E1371,FIND(" ",'Journal'!E1371)-1),'Journal'!E1371))</f>
        <v/>
      </c>
      <c r="E2740" s="5">
        <f>IF('Journal'!E1371="","",IFERROR(INDEX('Kontoplan'!$B$3:$B$302,MATCH('Journal'!E1371,'Kontoplan'!$H$3:$H$302,0)),""))</f>
        <v/>
      </c>
      <c r="F2740" s="20">
        <f>IF('Journal'!F1371="","",'Journal'!F1371)</f>
        <v/>
      </c>
      <c r="G2740" s="20">
        <f>IF('Journal'!G1371="","",'Journal'!G1371)</f>
        <v/>
      </c>
      <c r="H2740" s="5">
        <f>IF('Journal'!I1371="","",'Journal'!I1371)</f>
        <v/>
      </c>
    </row>
    <row r="2741">
      <c r="A2741" s="18">
        <f>IF('Journal'!A1372="","",'Journal'!A1372)</f>
        <v/>
      </c>
      <c r="B2741" s="21">
        <f>IF('Journal'!B1372="","",'Journal'!B1372)</f>
        <v/>
      </c>
      <c r="C2741" s="5">
        <f>IF('Journal'!C1372="","",'Journal'!C1372)</f>
        <v/>
      </c>
      <c r="D2741" s="5">
        <f>IF('Journal'!D1372="","",IFERROR(LEFT('Journal'!D1372,FIND(" ",'Journal'!D1372)-1),'Journal'!D1372))</f>
        <v/>
      </c>
      <c r="E2741" s="5">
        <f>IF('Journal'!D1372="","",IFERROR(INDEX('Kontoplan'!$B$3:$B$302,MATCH('Journal'!D1372,'Kontoplan'!$H$3:$H$302,0)),""))</f>
        <v/>
      </c>
      <c r="F2741" s="20">
        <f>IF('Journal'!G1372="","",'Journal'!G1372)</f>
        <v/>
      </c>
      <c r="G2741" s="20">
        <f>IF('Journal'!F1372="","",'Journal'!F1372)</f>
        <v/>
      </c>
      <c r="H2741" s="5">
        <f>IF('Journal'!I1372="","",'Journal'!I1372)</f>
        <v/>
      </c>
    </row>
    <row r="2742">
      <c r="A2742" s="18">
        <f>IF('Journal'!A1372="","",'Journal'!A1372)</f>
        <v/>
      </c>
      <c r="B2742" s="21">
        <f>IF('Journal'!B1372="","",'Journal'!B1372)</f>
        <v/>
      </c>
      <c r="C2742" s="5">
        <f>IF('Journal'!C1372="","",'Journal'!C1372)</f>
        <v/>
      </c>
      <c r="D2742" s="5">
        <f>IF('Journal'!E1372="","",IFERROR(LEFT('Journal'!E1372,FIND(" ",'Journal'!E1372)-1),'Journal'!E1372))</f>
        <v/>
      </c>
      <c r="E2742" s="5">
        <f>IF('Journal'!E1372="","",IFERROR(INDEX('Kontoplan'!$B$3:$B$302,MATCH('Journal'!E1372,'Kontoplan'!$H$3:$H$302,0)),""))</f>
        <v/>
      </c>
      <c r="F2742" s="20">
        <f>IF('Journal'!F1372="","",'Journal'!F1372)</f>
        <v/>
      </c>
      <c r="G2742" s="20">
        <f>IF('Journal'!G1372="","",'Journal'!G1372)</f>
        <v/>
      </c>
      <c r="H2742" s="5">
        <f>IF('Journal'!I1372="","",'Journal'!I1372)</f>
        <v/>
      </c>
    </row>
    <row r="2743">
      <c r="A2743" s="18">
        <f>IF('Journal'!A1373="","",'Journal'!A1373)</f>
        <v/>
      </c>
      <c r="B2743" s="21">
        <f>IF('Journal'!B1373="","",'Journal'!B1373)</f>
        <v/>
      </c>
      <c r="C2743" s="5">
        <f>IF('Journal'!C1373="","",'Journal'!C1373)</f>
        <v/>
      </c>
      <c r="D2743" s="5">
        <f>IF('Journal'!D1373="","",IFERROR(LEFT('Journal'!D1373,FIND(" ",'Journal'!D1373)-1),'Journal'!D1373))</f>
        <v/>
      </c>
      <c r="E2743" s="5">
        <f>IF('Journal'!D1373="","",IFERROR(INDEX('Kontoplan'!$B$3:$B$302,MATCH('Journal'!D1373,'Kontoplan'!$H$3:$H$302,0)),""))</f>
        <v/>
      </c>
      <c r="F2743" s="20">
        <f>IF('Journal'!G1373="","",'Journal'!G1373)</f>
        <v/>
      </c>
      <c r="G2743" s="20">
        <f>IF('Journal'!F1373="","",'Journal'!F1373)</f>
        <v/>
      </c>
      <c r="H2743" s="5">
        <f>IF('Journal'!I1373="","",'Journal'!I1373)</f>
        <v/>
      </c>
    </row>
    <row r="2744">
      <c r="A2744" s="18">
        <f>IF('Journal'!A1373="","",'Journal'!A1373)</f>
        <v/>
      </c>
      <c r="B2744" s="21">
        <f>IF('Journal'!B1373="","",'Journal'!B1373)</f>
        <v/>
      </c>
      <c r="C2744" s="5">
        <f>IF('Journal'!C1373="","",'Journal'!C1373)</f>
        <v/>
      </c>
      <c r="D2744" s="5">
        <f>IF('Journal'!E1373="","",IFERROR(LEFT('Journal'!E1373,FIND(" ",'Journal'!E1373)-1),'Journal'!E1373))</f>
        <v/>
      </c>
      <c r="E2744" s="5">
        <f>IF('Journal'!E1373="","",IFERROR(INDEX('Kontoplan'!$B$3:$B$302,MATCH('Journal'!E1373,'Kontoplan'!$H$3:$H$302,0)),""))</f>
        <v/>
      </c>
      <c r="F2744" s="20">
        <f>IF('Journal'!F1373="","",'Journal'!F1373)</f>
        <v/>
      </c>
      <c r="G2744" s="20">
        <f>IF('Journal'!G1373="","",'Journal'!G1373)</f>
        <v/>
      </c>
      <c r="H2744" s="5">
        <f>IF('Journal'!I1373="","",'Journal'!I1373)</f>
        <v/>
      </c>
    </row>
    <row r="2745">
      <c r="A2745" s="18">
        <f>IF('Journal'!A1374="","",'Journal'!A1374)</f>
        <v/>
      </c>
      <c r="B2745" s="21">
        <f>IF('Journal'!B1374="","",'Journal'!B1374)</f>
        <v/>
      </c>
      <c r="C2745" s="5">
        <f>IF('Journal'!C1374="","",'Journal'!C1374)</f>
        <v/>
      </c>
      <c r="D2745" s="5">
        <f>IF('Journal'!D1374="","",IFERROR(LEFT('Journal'!D1374,FIND(" ",'Journal'!D1374)-1),'Journal'!D1374))</f>
        <v/>
      </c>
      <c r="E2745" s="5">
        <f>IF('Journal'!D1374="","",IFERROR(INDEX('Kontoplan'!$B$3:$B$302,MATCH('Journal'!D1374,'Kontoplan'!$H$3:$H$302,0)),""))</f>
        <v/>
      </c>
      <c r="F2745" s="20">
        <f>IF('Journal'!G1374="","",'Journal'!G1374)</f>
        <v/>
      </c>
      <c r="G2745" s="20">
        <f>IF('Journal'!F1374="","",'Journal'!F1374)</f>
        <v/>
      </c>
      <c r="H2745" s="5">
        <f>IF('Journal'!I1374="","",'Journal'!I1374)</f>
        <v/>
      </c>
    </row>
    <row r="2746">
      <c r="A2746" s="18">
        <f>IF('Journal'!A1374="","",'Journal'!A1374)</f>
        <v/>
      </c>
      <c r="B2746" s="21">
        <f>IF('Journal'!B1374="","",'Journal'!B1374)</f>
        <v/>
      </c>
      <c r="C2746" s="5">
        <f>IF('Journal'!C1374="","",'Journal'!C1374)</f>
        <v/>
      </c>
      <c r="D2746" s="5">
        <f>IF('Journal'!E1374="","",IFERROR(LEFT('Journal'!E1374,FIND(" ",'Journal'!E1374)-1),'Journal'!E1374))</f>
        <v/>
      </c>
      <c r="E2746" s="5">
        <f>IF('Journal'!E1374="","",IFERROR(INDEX('Kontoplan'!$B$3:$B$302,MATCH('Journal'!E1374,'Kontoplan'!$H$3:$H$302,0)),""))</f>
        <v/>
      </c>
      <c r="F2746" s="20">
        <f>IF('Journal'!F1374="","",'Journal'!F1374)</f>
        <v/>
      </c>
      <c r="G2746" s="20">
        <f>IF('Journal'!G1374="","",'Journal'!G1374)</f>
        <v/>
      </c>
      <c r="H2746" s="5">
        <f>IF('Journal'!I1374="","",'Journal'!I1374)</f>
        <v/>
      </c>
    </row>
    <row r="2747">
      <c r="A2747" s="18">
        <f>IF('Journal'!A1375="","",'Journal'!A1375)</f>
        <v/>
      </c>
      <c r="B2747" s="21">
        <f>IF('Journal'!B1375="","",'Journal'!B1375)</f>
        <v/>
      </c>
      <c r="C2747" s="5">
        <f>IF('Journal'!C1375="","",'Journal'!C1375)</f>
        <v/>
      </c>
      <c r="D2747" s="5">
        <f>IF('Journal'!D1375="","",IFERROR(LEFT('Journal'!D1375,FIND(" ",'Journal'!D1375)-1),'Journal'!D1375))</f>
        <v/>
      </c>
      <c r="E2747" s="5">
        <f>IF('Journal'!D1375="","",IFERROR(INDEX('Kontoplan'!$B$3:$B$302,MATCH('Journal'!D1375,'Kontoplan'!$H$3:$H$302,0)),""))</f>
        <v/>
      </c>
      <c r="F2747" s="20">
        <f>IF('Journal'!G1375="","",'Journal'!G1375)</f>
        <v/>
      </c>
      <c r="G2747" s="20">
        <f>IF('Journal'!F1375="","",'Journal'!F1375)</f>
        <v/>
      </c>
      <c r="H2747" s="5">
        <f>IF('Journal'!I1375="","",'Journal'!I1375)</f>
        <v/>
      </c>
    </row>
    <row r="2748">
      <c r="A2748" s="18">
        <f>IF('Journal'!A1375="","",'Journal'!A1375)</f>
        <v/>
      </c>
      <c r="B2748" s="21">
        <f>IF('Journal'!B1375="","",'Journal'!B1375)</f>
        <v/>
      </c>
      <c r="C2748" s="5">
        <f>IF('Journal'!C1375="","",'Journal'!C1375)</f>
        <v/>
      </c>
      <c r="D2748" s="5">
        <f>IF('Journal'!E1375="","",IFERROR(LEFT('Journal'!E1375,FIND(" ",'Journal'!E1375)-1),'Journal'!E1375))</f>
        <v/>
      </c>
      <c r="E2748" s="5">
        <f>IF('Journal'!E1375="","",IFERROR(INDEX('Kontoplan'!$B$3:$B$302,MATCH('Journal'!E1375,'Kontoplan'!$H$3:$H$302,0)),""))</f>
        <v/>
      </c>
      <c r="F2748" s="20">
        <f>IF('Journal'!F1375="","",'Journal'!F1375)</f>
        <v/>
      </c>
      <c r="G2748" s="20">
        <f>IF('Journal'!G1375="","",'Journal'!G1375)</f>
        <v/>
      </c>
      <c r="H2748" s="5">
        <f>IF('Journal'!I1375="","",'Journal'!I1375)</f>
        <v/>
      </c>
    </row>
    <row r="2749">
      <c r="A2749" s="18">
        <f>IF('Journal'!A1376="","",'Journal'!A1376)</f>
        <v/>
      </c>
      <c r="B2749" s="21">
        <f>IF('Journal'!B1376="","",'Journal'!B1376)</f>
        <v/>
      </c>
      <c r="C2749" s="5">
        <f>IF('Journal'!C1376="","",'Journal'!C1376)</f>
        <v/>
      </c>
      <c r="D2749" s="5">
        <f>IF('Journal'!D1376="","",IFERROR(LEFT('Journal'!D1376,FIND(" ",'Journal'!D1376)-1),'Journal'!D1376))</f>
        <v/>
      </c>
      <c r="E2749" s="5">
        <f>IF('Journal'!D1376="","",IFERROR(INDEX('Kontoplan'!$B$3:$B$302,MATCH('Journal'!D1376,'Kontoplan'!$H$3:$H$302,0)),""))</f>
        <v/>
      </c>
      <c r="F2749" s="20">
        <f>IF('Journal'!G1376="","",'Journal'!G1376)</f>
        <v/>
      </c>
      <c r="G2749" s="20">
        <f>IF('Journal'!F1376="","",'Journal'!F1376)</f>
        <v/>
      </c>
      <c r="H2749" s="5">
        <f>IF('Journal'!I1376="","",'Journal'!I1376)</f>
        <v/>
      </c>
    </row>
    <row r="2750">
      <c r="A2750" s="18">
        <f>IF('Journal'!A1376="","",'Journal'!A1376)</f>
        <v/>
      </c>
      <c r="B2750" s="21">
        <f>IF('Journal'!B1376="","",'Journal'!B1376)</f>
        <v/>
      </c>
      <c r="C2750" s="5">
        <f>IF('Journal'!C1376="","",'Journal'!C1376)</f>
        <v/>
      </c>
      <c r="D2750" s="5">
        <f>IF('Journal'!E1376="","",IFERROR(LEFT('Journal'!E1376,FIND(" ",'Journal'!E1376)-1),'Journal'!E1376))</f>
        <v/>
      </c>
      <c r="E2750" s="5">
        <f>IF('Journal'!E1376="","",IFERROR(INDEX('Kontoplan'!$B$3:$B$302,MATCH('Journal'!E1376,'Kontoplan'!$H$3:$H$302,0)),""))</f>
        <v/>
      </c>
      <c r="F2750" s="20">
        <f>IF('Journal'!F1376="","",'Journal'!F1376)</f>
        <v/>
      </c>
      <c r="G2750" s="20">
        <f>IF('Journal'!G1376="","",'Journal'!G1376)</f>
        <v/>
      </c>
      <c r="H2750" s="5">
        <f>IF('Journal'!I1376="","",'Journal'!I1376)</f>
        <v/>
      </c>
    </row>
    <row r="2751">
      <c r="A2751" s="18">
        <f>IF('Journal'!A1377="","",'Journal'!A1377)</f>
        <v/>
      </c>
      <c r="B2751" s="21">
        <f>IF('Journal'!B1377="","",'Journal'!B1377)</f>
        <v/>
      </c>
      <c r="C2751" s="5">
        <f>IF('Journal'!C1377="","",'Journal'!C1377)</f>
        <v/>
      </c>
      <c r="D2751" s="5">
        <f>IF('Journal'!D1377="","",IFERROR(LEFT('Journal'!D1377,FIND(" ",'Journal'!D1377)-1),'Journal'!D1377))</f>
        <v/>
      </c>
      <c r="E2751" s="5">
        <f>IF('Journal'!D1377="","",IFERROR(INDEX('Kontoplan'!$B$3:$B$302,MATCH('Journal'!D1377,'Kontoplan'!$H$3:$H$302,0)),""))</f>
        <v/>
      </c>
      <c r="F2751" s="20">
        <f>IF('Journal'!G1377="","",'Journal'!G1377)</f>
        <v/>
      </c>
      <c r="G2751" s="20">
        <f>IF('Journal'!F1377="","",'Journal'!F1377)</f>
        <v/>
      </c>
      <c r="H2751" s="5">
        <f>IF('Journal'!I1377="","",'Journal'!I1377)</f>
        <v/>
      </c>
    </row>
    <row r="2752">
      <c r="A2752" s="18">
        <f>IF('Journal'!A1377="","",'Journal'!A1377)</f>
        <v/>
      </c>
      <c r="B2752" s="21">
        <f>IF('Journal'!B1377="","",'Journal'!B1377)</f>
        <v/>
      </c>
      <c r="C2752" s="5">
        <f>IF('Journal'!C1377="","",'Journal'!C1377)</f>
        <v/>
      </c>
      <c r="D2752" s="5">
        <f>IF('Journal'!E1377="","",IFERROR(LEFT('Journal'!E1377,FIND(" ",'Journal'!E1377)-1),'Journal'!E1377))</f>
        <v/>
      </c>
      <c r="E2752" s="5">
        <f>IF('Journal'!E1377="","",IFERROR(INDEX('Kontoplan'!$B$3:$B$302,MATCH('Journal'!E1377,'Kontoplan'!$H$3:$H$302,0)),""))</f>
        <v/>
      </c>
      <c r="F2752" s="20">
        <f>IF('Journal'!F1377="","",'Journal'!F1377)</f>
        <v/>
      </c>
      <c r="G2752" s="20">
        <f>IF('Journal'!G1377="","",'Journal'!G1377)</f>
        <v/>
      </c>
      <c r="H2752" s="5">
        <f>IF('Journal'!I1377="","",'Journal'!I1377)</f>
        <v/>
      </c>
    </row>
    <row r="2753">
      <c r="A2753" s="18">
        <f>IF('Journal'!A1378="","",'Journal'!A1378)</f>
        <v/>
      </c>
      <c r="B2753" s="21">
        <f>IF('Journal'!B1378="","",'Journal'!B1378)</f>
        <v/>
      </c>
      <c r="C2753" s="5">
        <f>IF('Journal'!C1378="","",'Journal'!C1378)</f>
        <v/>
      </c>
      <c r="D2753" s="5">
        <f>IF('Journal'!D1378="","",IFERROR(LEFT('Journal'!D1378,FIND(" ",'Journal'!D1378)-1),'Journal'!D1378))</f>
        <v/>
      </c>
      <c r="E2753" s="5">
        <f>IF('Journal'!D1378="","",IFERROR(INDEX('Kontoplan'!$B$3:$B$302,MATCH('Journal'!D1378,'Kontoplan'!$H$3:$H$302,0)),""))</f>
        <v/>
      </c>
      <c r="F2753" s="20">
        <f>IF('Journal'!G1378="","",'Journal'!G1378)</f>
        <v/>
      </c>
      <c r="G2753" s="20">
        <f>IF('Journal'!F1378="","",'Journal'!F1378)</f>
        <v/>
      </c>
      <c r="H2753" s="5">
        <f>IF('Journal'!I1378="","",'Journal'!I1378)</f>
        <v/>
      </c>
    </row>
    <row r="2754">
      <c r="A2754" s="18">
        <f>IF('Journal'!A1378="","",'Journal'!A1378)</f>
        <v/>
      </c>
      <c r="B2754" s="21">
        <f>IF('Journal'!B1378="","",'Journal'!B1378)</f>
        <v/>
      </c>
      <c r="C2754" s="5">
        <f>IF('Journal'!C1378="","",'Journal'!C1378)</f>
        <v/>
      </c>
      <c r="D2754" s="5">
        <f>IF('Journal'!E1378="","",IFERROR(LEFT('Journal'!E1378,FIND(" ",'Journal'!E1378)-1),'Journal'!E1378))</f>
        <v/>
      </c>
      <c r="E2754" s="5">
        <f>IF('Journal'!E1378="","",IFERROR(INDEX('Kontoplan'!$B$3:$B$302,MATCH('Journal'!E1378,'Kontoplan'!$H$3:$H$302,0)),""))</f>
        <v/>
      </c>
      <c r="F2754" s="20">
        <f>IF('Journal'!F1378="","",'Journal'!F1378)</f>
        <v/>
      </c>
      <c r="G2754" s="20">
        <f>IF('Journal'!G1378="","",'Journal'!G1378)</f>
        <v/>
      </c>
      <c r="H2754" s="5">
        <f>IF('Journal'!I1378="","",'Journal'!I1378)</f>
        <v/>
      </c>
    </row>
    <row r="2755">
      <c r="A2755" s="18">
        <f>IF('Journal'!A1379="","",'Journal'!A1379)</f>
        <v/>
      </c>
      <c r="B2755" s="21">
        <f>IF('Journal'!B1379="","",'Journal'!B1379)</f>
        <v/>
      </c>
      <c r="C2755" s="5">
        <f>IF('Journal'!C1379="","",'Journal'!C1379)</f>
        <v/>
      </c>
      <c r="D2755" s="5">
        <f>IF('Journal'!D1379="","",IFERROR(LEFT('Journal'!D1379,FIND(" ",'Journal'!D1379)-1),'Journal'!D1379))</f>
        <v/>
      </c>
      <c r="E2755" s="5">
        <f>IF('Journal'!D1379="","",IFERROR(INDEX('Kontoplan'!$B$3:$B$302,MATCH('Journal'!D1379,'Kontoplan'!$H$3:$H$302,0)),""))</f>
        <v/>
      </c>
      <c r="F2755" s="20">
        <f>IF('Journal'!G1379="","",'Journal'!G1379)</f>
        <v/>
      </c>
      <c r="G2755" s="20">
        <f>IF('Journal'!F1379="","",'Journal'!F1379)</f>
        <v/>
      </c>
      <c r="H2755" s="5">
        <f>IF('Journal'!I1379="","",'Journal'!I1379)</f>
        <v/>
      </c>
    </row>
    <row r="2756">
      <c r="A2756" s="18">
        <f>IF('Journal'!A1379="","",'Journal'!A1379)</f>
        <v/>
      </c>
      <c r="B2756" s="21">
        <f>IF('Journal'!B1379="","",'Journal'!B1379)</f>
        <v/>
      </c>
      <c r="C2756" s="5">
        <f>IF('Journal'!C1379="","",'Journal'!C1379)</f>
        <v/>
      </c>
      <c r="D2756" s="5">
        <f>IF('Journal'!E1379="","",IFERROR(LEFT('Journal'!E1379,FIND(" ",'Journal'!E1379)-1),'Journal'!E1379))</f>
        <v/>
      </c>
      <c r="E2756" s="5">
        <f>IF('Journal'!E1379="","",IFERROR(INDEX('Kontoplan'!$B$3:$B$302,MATCH('Journal'!E1379,'Kontoplan'!$H$3:$H$302,0)),""))</f>
        <v/>
      </c>
      <c r="F2756" s="20">
        <f>IF('Journal'!F1379="","",'Journal'!F1379)</f>
        <v/>
      </c>
      <c r="G2756" s="20">
        <f>IF('Journal'!G1379="","",'Journal'!G1379)</f>
        <v/>
      </c>
      <c r="H2756" s="5">
        <f>IF('Journal'!I1379="","",'Journal'!I1379)</f>
        <v/>
      </c>
    </row>
    <row r="2757">
      <c r="A2757" s="18">
        <f>IF('Journal'!A1380="","",'Journal'!A1380)</f>
        <v/>
      </c>
      <c r="B2757" s="21">
        <f>IF('Journal'!B1380="","",'Journal'!B1380)</f>
        <v/>
      </c>
      <c r="C2757" s="5">
        <f>IF('Journal'!C1380="","",'Journal'!C1380)</f>
        <v/>
      </c>
      <c r="D2757" s="5">
        <f>IF('Journal'!D1380="","",IFERROR(LEFT('Journal'!D1380,FIND(" ",'Journal'!D1380)-1),'Journal'!D1380))</f>
        <v/>
      </c>
      <c r="E2757" s="5">
        <f>IF('Journal'!D1380="","",IFERROR(INDEX('Kontoplan'!$B$3:$B$302,MATCH('Journal'!D1380,'Kontoplan'!$H$3:$H$302,0)),""))</f>
        <v/>
      </c>
      <c r="F2757" s="20">
        <f>IF('Journal'!G1380="","",'Journal'!G1380)</f>
        <v/>
      </c>
      <c r="G2757" s="20">
        <f>IF('Journal'!F1380="","",'Journal'!F1380)</f>
        <v/>
      </c>
      <c r="H2757" s="5">
        <f>IF('Journal'!I1380="","",'Journal'!I1380)</f>
        <v/>
      </c>
    </row>
    <row r="2758">
      <c r="A2758" s="18">
        <f>IF('Journal'!A1380="","",'Journal'!A1380)</f>
        <v/>
      </c>
      <c r="B2758" s="21">
        <f>IF('Journal'!B1380="","",'Journal'!B1380)</f>
        <v/>
      </c>
      <c r="C2758" s="5">
        <f>IF('Journal'!C1380="","",'Journal'!C1380)</f>
        <v/>
      </c>
      <c r="D2758" s="5">
        <f>IF('Journal'!E1380="","",IFERROR(LEFT('Journal'!E1380,FIND(" ",'Journal'!E1380)-1),'Journal'!E1380))</f>
        <v/>
      </c>
      <c r="E2758" s="5">
        <f>IF('Journal'!E1380="","",IFERROR(INDEX('Kontoplan'!$B$3:$B$302,MATCH('Journal'!E1380,'Kontoplan'!$H$3:$H$302,0)),""))</f>
        <v/>
      </c>
      <c r="F2758" s="20">
        <f>IF('Journal'!F1380="","",'Journal'!F1380)</f>
        <v/>
      </c>
      <c r="G2758" s="20">
        <f>IF('Journal'!G1380="","",'Journal'!G1380)</f>
        <v/>
      </c>
      <c r="H2758" s="5">
        <f>IF('Journal'!I1380="","",'Journal'!I1380)</f>
        <v/>
      </c>
    </row>
    <row r="2759">
      <c r="A2759" s="18">
        <f>IF('Journal'!A1381="","",'Journal'!A1381)</f>
        <v/>
      </c>
      <c r="B2759" s="21">
        <f>IF('Journal'!B1381="","",'Journal'!B1381)</f>
        <v/>
      </c>
      <c r="C2759" s="5">
        <f>IF('Journal'!C1381="","",'Journal'!C1381)</f>
        <v/>
      </c>
      <c r="D2759" s="5">
        <f>IF('Journal'!D1381="","",IFERROR(LEFT('Journal'!D1381,FIND(" ",'Journal'!D1381)-1),'Journal'!D1381))</f>
        <v/>
      </c>
      <c r="E2759" s="5">
        <f>IF('Journal'!D1381="","",IFERROR(INDEX('Kontoplan'!$B$3:$B$302,MATCH('Journal'!D1381,'Kontoplan'!$H$3:$H$302,0)),""))</f>
        <v/>
      </c>
      <c r="F2759" s="20">
        <f>IF('Journal'!G1381="","",'Journal'!G1381)</f>
        <v/>
      </c>
      <c r="G2759" s="20">
        <f>IF('Journal'!F1381="","",'Journal'!F1381)</f>
        <v/>
      </c>
      <c r="H2759" s="5">
        <f>IF('Journal'!I1381="","",'Journal'!I1381)</f>
        <v/>
      </c>
    </row>
    <row r="2760">
      <c r="A2760" s="18">
        <f>IF('Journal'!A1381="","",'Journal'!A1381)</f>
        <v/>
      </c>
      <c r="B2760" s="21">
        <f>IF('Journal'!B1381="","",'Journal'!B1381)</f>
        <v/>
      </c>
      <c r="C2760" s="5">
        <f>IF('Journal'!C1381="","",'Journal'!C1381)</f>
        <v/>
      </c>
      <c r="D2760" s="5">
        <f>IF('Journal'!E1381="","",IFERROR(LEFT('Journal'!E1381,FIND(" ",'Journal'!E1381)-1),'Journal'!E1381))</f>
        <v/>
      </c>
      <c r="E2760" s="5">
        <f>IF('Journal'!E1381="","",IFERROR(INDEX('Kontoplan'!$B$3:$B$302,MATCH('Journal'!E1381,'Kontoplan'!$H$3:$H$302,0)),""))</f>
        <v/>
      </c>
      <c r="F2760" s="20">
        <f>IF('Journal'!F1381="","",'Journal'!F1381)</f>
        <v/>
      </c>
      <c r="G2760" s="20">
        <f>IF('Journal'!G1381="","",'Journal'!G1381)</f>
        <v/>
      </c>
      <c r="H2760" s="5">
        <f>IF('Journal'!I1381="","",'Journal'!I1381)</f>
        <v/>
      </c>
    </row>
    <row r="2761">
      <c r="A2761" s="18">
        <f>IF('Journal'!A1382="","",'Journal'!A1382)</f>
        <v/>
      </c>
      <c r="B2761" s="21">
        <f>IF('Journal'!B1382="","",'Journal'!B1382)</f>
        <v/>
      </c>
      <c r="C2761" s="5">
        <f>IF('Journal'!C1382="","",'Journal'!C1382)</f>
        <v/>
      </c>
      <c r="D2761" s="5">
        <f>IF('Journal'!D1382="","",IFERROR(LEFT('Journal'!D1382,FIND(" ",'Journal'!D1382)-1),'Journal'!D1382))</f>
        <v/>
      </c>
      <c r="E2761" s="5">
        <f>IF('Journal'!D1382="","",IFERROR(INDEX('Kontoplan'!$B$3:$B$302,MATCH('Journal'!D1382,'Kontoplan'!$H$3:$H$302,0)),""))</f>
        <v/>
      </c>
      <c r="F2761" s="20">
        <f>IF('Journal'!G1382="","",'Journal'!G1382)</f>
        <v/>
      </c>
      <c r="G2761" s="20">
        <f>IF('Journal'!F1382="","",'Journal'!F1382)</f>
        <v/>
      </c>
      <c r="H2761" s="5">
        <f>IF('Journal'!I1382="","",'Journal'!I1382)</f>
        <v/>
      </c>
    </row>
    <row r="2762">
      <c r="A2762" s="18">
        <f>IF('Journal'!A1382="","",'Journal'!A1382)</f>
        <v/>
      </c>
      <c r="B2762" s="21">
        <f>IF('Journal'!B1382="","",'Journal'!B1382)</f>
        <v/>
      </c>
      <c r="C2762" s="5">
        <f>IF('Journal'!C1382="","",'Journal'!C1382)</f>
        <v/>
      </c>
      <c r="D2762" s="5">
        <f>IF('Journal'!E1382="","",IFERROR(LEFT('Journal'!E1382,FIND(" ",'Journal'!E1382)-1),'Journal'!E1382))</f>
        <v/>
      </c>
      <c r="E2762" s="5">
        <f>IF('Journal'!E1382="","",IFERROR(INDEX('Kontoplan'!$B$3:$B$302,MATCH('Journal'!E1382,'Kontoplan'!$H$3:$H$302,0)),""))</f>
        <v/>
      </c>
      <c r="F2762" s="20">
        <f>IF('Journal'!F1382="","",'Journal'!F1382)</f>
        <v/>
      </c>
      <c r="G2762" s="20">
        <f>IF('Journal'!G1382="","",'Journal'!G1382)</f>
        <v/>
      </c>
      <c r="H2762" s="5">
        <f>IF('Journal'!I1382="","",'Journal'!I1382)</f>
        <v/>
      </c>
    </row>
    <row r="2763">
      <c r="A2763" s="18">
        <f>IF('Journal'!A1383="","",'Journal'!A1383)</f>
        <v/>
      </c>
      <c r="B2763" s="21">
        <f>IF('Journal'!B1383="","",'Journal'!B1383)</f>
        <v/>
      </c>
      <c r="C2763" s="5">
        <f>IF('Journal'!C1383="","",'Journal'!C1383)</f>
        <v/>
      </c>
      <c r="D2763" s="5">
        <f>IF('Journal'!D1383="","",IFERROR(LEFT('Journal'!D1383,FIND(" ",'Journal'!D1383)-1),'Journal'!D1383))</f>
        <v/>
      </c>
      <c r="E2763" s="5">
        <f>IF('Journal'!D1383="","",IFERROR(INDEX('Kontoplan'!$B$3:$B$302,MATCH('Journal'!D1383,'Kontoplan'!$H$3:$H$302,0)),""))</f>
        <v/>
      </c>
      <c r="F2763" s="20">
        <f>IF('Journal'!G1383="","",'Journal'!G1383)</f>
        <v/>
      </c>
      <c r="G2763" s="20">
        <f>IF('Journal'!F1383="","",'Journal'!F1383)</f>
        <v/>
      </c>
      <c r="H2763" s="5">
        <f>IF('Journal'!I1383="","",'Journal'!I1383)</f>
        <v/>
      </c>
    </row>
    <row r="2764">
      <c r="A2764" s="18">
        <f>IF('Journal'!A1383="","",'Journal'!A1383)</f>
        <v/>
      </c>
      <c r="B2764" s="21">
        <f>IF('Journal'!B1383="","",'Journal'!B1383)</f>
        <v/>
      </c>
      <c r="C2764" s="5">
        <f>IF('Journal'!C1383="","",'Journal'!C1383)</f>
        <v/>
      </c>
      <c r="D2764" s="5">
        <f>IF('Journal'!E1383="","",IFERROR(LEFT('Journal'!E1383,FIND(" ",'Journal'!E1383)-1),'Journal'!E1383))</f>
        <v/>
      </c>
      <c r="E2764" s="5">
        <f>IF('Journal'!E1383="","",IFERROR(INDEX('Kontoplan'!$B$3:$B$302,MATCH('Journal'!E1383,'Kontoplan'!$H$3:$H$302,0)),""))</f>
        <v/>
      </c>
      <c r="F2764" s="20">
        <f>IF('Journal'!F1383="","",'Journal'!F1383)</f>
        <v/>
      </c>
      <c r="G2764" s="20">
        <f>IF('Journal'!G1383="","",'Journal'!G1383)</f>
        <v/>
      </c>
      <c r="H2764" s="5">
        <f>IF('Journal'!I1383="","",'Journal'!I1383)</f>
        <v/>
      </c>
    </row>
    <row r="2765">
      <c r="A2765" s="18">
        <f>IF('Journal'!A1384="","",'Journal'!A1384)</f>
        <v/>
      </c>
      <c r="B2765" s="21">
        <f>IF('Journal'!B1384="","",'Journal'!B1384)</f>
        <v/>
      </c>
      <c r="C2765" s="5">
        <f>IF('Journal'!C1384="","",'Journal'!C1384)</f>
        <v/>
      </c>
      <c r="D2765" s="5">
        <f>IF('Journal'!D1384="","",IFERROR(LEFT('Journal'!D1384,FIND(" ",'Journal'!D1384)-1),'Journal'!D1384))</f>
        <v/>
      </c>
      <c r="E2765" s="5">
        <f>IF('Journal'!D1384="","",IFERROR(INDEX('Kontoplan'!$B$3:$B$302,MATCH('Journal'!D1384,'Kontoplan'!$H$3:$H$302,0)),""))</f>
        <v/>
      </c>
      <c r="F2765" s="20">
        <f>IF('Journal'!G1384="","",'Journal'!G1384)</f>
        <v/>
      </c>
      <c r="G2765" s="20">
        <f>IF('Journal'!F1384="","",'Journal'!F1384)</f>
        <v/>
      </c>
      <c r="H2765" s="5">
        <f>IF('Journal'!I1384="","",'Journal'!I1384)</f>
        <v/>
      </c>
    </row>
    <row r="2766">
      <c r="A2766" s="18">
        <f>IF('Journal'!A1384="","",'Journal'!A1384)</f>
        <v/>
      </c>
      <c r="B2766" s="21">
        <f>IF('Journal'!B1384="","",'Journal'!B1384)</f>
        <v/>
      </c>
      <c r="C2766" s="5">
        <f>IF('Journal'!C1384="","",'Journal'!C1384)</f>
        <v/>
      </c>
      <c r="D2766" s="5">
        <f>IF('Journal'!E1384="","",IFERROR(LEFT('Journal'!E1384,FIND(" ",'Journal'!E1384)-1),'Journal'!E1384))</f>
        <v/>
      </c>
      <c r="E2766" s="5">
        <f>IF('Journal'!E1384="","",IFERROR(INDEX('Kontoplan'!$B$3:$B$302,MATCH('Journal'!E1384,'Kontoplan'!$H$3:$H$302,0)),""))</f>
        <v/>
      </c>
      <c r="F2766" s="20">
        <f>IF('Journal'!F1384="","",'Journal'!F1384)</f>
        <v/>
      </c>
      <c r="G2766" s="20">
        <f>IF('Journal'!G1384="","",'Journal'!G1384)</f>
        <v/>
      </c>
      <c r="H2766" s="5">
        <f>IF('Journal'!I1384="","",'Journal'!I1384)</f>
        <v/>
      </c>
    </row>
    <row r="2767">
      <c r="A2767" s="18">
        <f>IF('Journal'!A1385="","",'Journal'!A1385)</f>
        <v/>
      </c>
      <c r="B2767" s="21">
        <f>IF('Journal'!B1385="","",'Journal'!B1385)</f>
        <v/>
      </c>
      <c r="C2767" s="5">
        <f>IF('Journal'!C1385="","",'Journal'!C1385)</f>
        <v/>
      </c>
      <c r="D2767" s="5">
        <f>IF('Journal'!D1385="","",IFERROR(LEFT('Journal'!D1385,FIND(" ",'Journal'!D1385)-1),'Journal'!D1385))</f>
        <v/>
      </c>
      <c r="E2767" s="5">
        <f>IF('Journal'!D1385="","",IFERROR(INDEX('Kontoplan'!$B$3:$B$302,MATCH('Journal'!D1385,'Kontoplan'!$H$3:$H$302,0)),""))</f>
        <v/>
      </c>
      <c r="F2767" s="20">
        <f>IF('Journal'!G1385="","",'Journal'!G1385)</f>
        <v/>
      </c>
      <c r="G2767" s="20">
        <f>IF('Journal'!F1385="","",'Journal'!F1385)</f>
        <v/>
      </c>
      <c r="H2767" s="5">
        <f>IF('Journal'!I1385="","",'Journal'!I1385)</f>
        <v/>
      </c>
    </row>
    <row r="2768">
      <c r="A2768" s="18">
        <f>IF('Journal'!A1385="","",'Journal'!A1385)</f>
        <v/>
      </c>
      <c r="B2768" s="21">
        <f>IF('Journal'!B1385="","",'Journal'!B1385)</f>
        <v/>
      </c>
      <c r="C2768" s="5">
        <f>IF('Journal'!C1385="","",'Journal'!C1385)</f>
        <v/>
      </c>
      <c r="D2768" s="5">
        <f>IF('Journal'!E1385="","",IFERROR(LEFT('Journal'!E1385,FIND(" ",'Journal'!E1385)-1),'Journal'!E1385))</f>
        <v/>
      </c>
      <c r="E2768" s="5">
        <f>IF('Journal'!E1385="","",IFERROR(INDEX('Kontoplan'!$B$3:$B$302,MATCH('Journal'!E1385,'Kontoplan'!$H$3:$H$302,0)),""))</f>
        <v/>
      </c>
      <c r="F2768" s="20">
        <f>IF('Journal'!F1385="","",'Journal'!F1385)</f>
        <v/>
      </c>
      <c r="G2768" s="20">
        <f>IF('Journal'!G1385="","",'Journal'!G1385)</f>
        <v/>
      </c>
      <c r="H2768" s="5">
        <f>IF('Journal'!I1385="","",'Journal'!I1385)</f>
        <v/>
      </c>
    </row>
    <row r="2769">
      <c r="A2769" s="18">
        <f>IF('Journal'!A1386="","",'Journal'!A1386)</f>
        <v/>
      </c>
      <c r="B2769" s="21">
        <f>IF('Journal'!B1386="","",'Journal'!B1386)</f>
        <v/>
      </c>
      <c r="C2769" s="5">
        <f>IF('Journal'!C1386="","",'Journal'!C1386)</f>
        <v/>
      </c>
      <c r="D2769" s="5">
        <f>IF('Journal'!D1386="","",IFERROR(LEFT('Journal'!D1386,FIND(" ",'Journal'!D1386)-1),'Journal'!D1386))</f>
        <v/>
      </c>
      <c r="E2769" s="5">
        <f>IF('Journal'!D1386="","",IFERROR(INDEX('Kontoplan'!$B$3:$B$302,MATCH('Journal'!D1386,'Kontoplan'!$H$3:$H$302,0)),""))</f>
        <v/>
      </c>
      <c r="F2769" s="20">
        <f>IF('Journal'!G1386="","",'Journal'!G1386)</f>
        <v/>
      </c>
      <c r="G2769" s="20">
        <f>IF('Journal'!F1386="","",'Journal'!F1386)</f>
        <v/>
      </c>
      <c r="H2769" s="5">
        <f>IF('Journal'!I1386="","",'Journal'!I1386)</f>
        <v/>
      </c>
    </row>
    <row r="2770">
      <c r="A2770" s="18">
        <f>IF('Journal'!A1386="","",'Journal'!A1386)</f>
        <v/>
      </c>
      <c r="B2770" s="21">
        <f>IF('Journal'!B1386="","",'Journal'!B1386)</f>
        <v/>
      </c>
      <c r="C2770" s="5">
        <f>IF('Journal'!C1386="","",'Journal'!C1386)</f>
        <v/>
      </c>
      <c r="D2770" s="5">
        <f>IF('Journal'!E1386="","",IFERROR(LEFT('Journal'!E1386,FIND(" ",'Journal'!E1386)-1),'Journal'!E1386))</f>
        <v/>
      </c>
      <c r="E2770" s="5">
        <f>IF('Journal'!E1386="","",IFERROR(INDEX('Kontoplan'!$B$3:$B$302,MATCH('Journal'!E1386,'Kontoplan'!$H$3:$H$302,0)),""))</f>
        <v/>
      </c>
      <c r="F2770" s="20">
        <f>IF('Journal'!F1386="","",'Journal'!F1386)</f>
        <v/>
      </c>
      <c r="G2770" s="20">
        <f>IF('Journal'!G1386="","",'Journal'!G1386)</f>
        <v/>
      </c>
      <c r="H2770" s="5">
        <f>IF('Journal'!I1386="","",'Journal'!I1386)</f>
        <v/>
      </c>
    </row>
    <row r="2771">
      <c r="A2771" s="18">
        <f>IF('Journal'!A1387="","",'Journal'!A1387)</f>
        <v/>
      </c>
      <c r="B2771" s="21">
        <f>IF('Journal'!B1387="","",'Journal'!B1387)</f>
        <v/>
      </c>
      <c r="C2771" s="5">
        <f>IF('Journal'!C1387="","",'Journal'!C1387)</f>
        <v/>
      </c>
      <c r="D2771" s="5">
        <f>IF('Journal'!D1387="","",IFERROR(LEFT('Journal'!D1387,FIND(" ",'Journal'!D1387)-1),'Journal'!D1387))</f>
        <v/>
      </c>
      <c r="E2771" s="5">
        <f>IF('Journal'!D1387="","",IFERROR(INDEX('Kontoplan'!$B$3:$B$302,MATCH('Journal'!D1387,'Kontoplan'!$H$3:$H$302,0)),""))</f>
        <v/>
      </c>
      <c r="F2771" s="20">
        <f>IF('Journal'!G1387="","",'Journal'!G1387)</f>
        <v/>
      </c>
      <c r="G2771" s="20">
        <f>IF('Journal'!F1387="","",'Journal'!F1387)</f>
        <v/>
      </c>
      <c r="H2771" s="5">
        <f>IF('Journal'!I1387="","",'Journal'!I1387)</f>
        <v/>
      </c>
    </row>
    <row r="2772">
      <c r="A2772" s="18">
        <f>IF('Journal'!A1387="","",'Journal'!A1387)</f>
        <v/>
      </c>
      <c r="B2772" s="21">
        <f>IF('Journal'!B1387="","",'Journal'!B1387)</f>
        <v/>
      </c>
      <c r="C2772" s="5">
        <f>IF('Journal'!C1387="","",'Journal'!C1387)</f>
        <v/>
      </c>
      <c r="D2772" s="5">
        <f>IF('Journal'!E1387="","",IFERROR(LEFT('Journal'!E1387,FIND(" ",'Journal'!E1387)-1),'Journal'!E1387))</f>
        <v/>
      </c>
      <c r="E2772" s="5">
        <f>IF('Journal'!E1387="","",IFERROR(INDEX('Kontoplan'!$B$3:$B$302,MATCH('Journal'!E1387,'Kontoplan'!$H$3:$H$302,0)),""))</f>
        <v/>
      </c>
      <c r="F2772" s="20">
        <f>IF('Journal'!F1387="","",'Journal'!F1387)</f>
        <v/>
      </c>
      <c r="G2772" s="20">
        <f>IF('Journal'!G1387="","",'Journal'!G1387)</f>
        <v/>
      </c>
      <c r="H2772" s="5">
        <f>IF('Journal'!I1387="","",'Journal'!I1387)</f>
        <v/>
      </c>
    </row>
    <row r="2773">
      <c r="A2773" s="18">
        <f>IF('Journal'!A1388="","",'Journal'!A1388)</f>
        <v/>
      </c>
      <c r="B2773" s="21">
        <f>IF('Journal'!B1388="","",'Journal'!B1388)</f>
        <v/>
      </c>
      <c r="C2773" s="5">
        <f>IF('Journal'!C1388="","",'Journal'!C1388)</f>
        <v/>
      </c>
      <c r="D2773" s="5">
        <f>IF('Journal'!D1388="","",IFERROR(LEFT('Journal'!D1388,FIND(" ",'Journal'!D1388)-1),'Journal'!D1388))</f>
        <v/>
      </c>
      <c r="E2773" s="5">
        <f>IF('Journal'!D1388="","",IFERROR(INDEX('Kontoplan'!$B$3:$B$302,MATCH('Journal'!D1388,'Kontoplan'!$H$3:$H$302,0)),""))</f>
        <v/>
      </c>
      <c r="F2773" s="20">
        <f>IF('Journal'!G1388="","",'Journal'!G1388)</f>
        <v/>
      </c>
      <c r="G2773" s="20">
        <f>IF('Journal'!F1388="","",'Journal'!F1388)</f>
        <v/>
      </c>
      <c r="H2773" s="5">
        <f>IF('Journal'!I1388="","",'Journal'!I1388)</f>
        <v/>
      </c>
    </row>
    <row r="2774">
      <c r="A2774" s="18">
        <f>IF('Journal'!A1388="","",'Journal'!A1388)</f>
        <v/>
      </c>
      <c r="B2774" s="21">
        <f>IF('Journal'!B1388="","",'Journal'!B1388)</f>
        <v/>
      </c>
      <c r="C2774" s="5">
        <f>IF('Journal'!C1388="","",'Journal'!C1388)</f>
        <v/>
      </c>
      <c r="D2774" s="5">
        <f>IF('Journal'!E1388="","",IFERROR(LEFT('Journal'!E1388,FIND(" ",'Journal'!E1388)-1),'Journal'!E1388))</f>
        <v/>
      </c>
      <c r="E2774" s="5">
        <f>IF('Journal'!E1388="","",IFERROR(INDEX('Kontoplan'!$B$3:$B$302,MATCH('Journal'!E1388,'Kontoplan'!$H$3:$H$302,0)),""))</f>
        <v/>
      </c>
      <c r="F2774" s="20">
        <f>IF('Journal'!F1388="","",'Journal'!F1388)</f>
        <v/>
      </c>
      <c r="G2774" s="20">
        <f>IF('Journal'!G1388="","",'Journal'!G1388)</f>
        <v/>
      </c>
      <c r="H2774" s="5">
        <f>IF('Journal'!I1388="","",'Journal'!I1388)</f>
        <v/>
      </c>
    </row>
    <row r="2775">
      <c r="A2775" s="18">
        <f>IF('Journal'!A1389="","",'Journal'!A1389)</f>
        <v/>
      </c>
      <c r="B2775" s="21">
        <f>IF('Journal'!B1389="","",'Journal'!B1389)</f>
        <v/>
      </c>
      <c r="C2775" s="5">
        <f>IF('Journal'!C1389="","",'Journal'!C1389)</f>
        <v/>
      </c>
      <c r="D2775" s="5">
        <f>IF('Journal'!D1389="","",IFERROR(LEFT('Journal'!D1389,FIND(" ",'Journal'!D1389)-1),'Journal'!D1389))</f>
        <v/>
      </c>
      <c r="E2775" s="5">
        <f>IF('Journal'!D1389="","",IFERROR(INDEX('Kontoplan'!$B$3:$B$302,MATCH('Journal'!D1389,'Kontoplan'!$H$3:$H$302,0)),""))</f>
        <v/>
      </c>
      <c r="F2775" s="20">
        <f>IF('Journal'!G1389="","",'Journal'!G1389)</f>
        <v/>
      </c>
      <c r="G2775" s="20">
        <f>IF('Journal'!F1389="","",'Journal'!F1389)</f>
        <v/>
      </c>
      <c r="H2775" s="5">
        <f>IF('Journal'!I1389="","",'Journal'!I1389)</f>
        <v/>
      </c>
    </row>
    <row r="2776">
      <c r="A2776" s="18">
        <f>IF('Journal'!A1389="","",'Journal'!A1389)</f>
        <v/>
      </c>
      <c r="B2776" s="21">
        <f>IF('Journal'!B1389="","",'Journal'!B1389)</f>
        <v/>
      </c>
      <c r="C2776" s="5">
        <f>IF('Journal'!C1389="","",'Journal'!C1389)</f>
        <v/>
      </c>
      <c r="D2776" s="5">
        <f>IF('Journal'!E1389="","",IFERROR(LEFT('Journal'!E1389,FIND(" ",'Journal'!E1389)-1),'Journal'!E1389))</f>
        <v/>
      </c>
      <c r="E2776" s="5">
        <f>IF('Journal'!E1389="","",IFERROR(INDEX('Kontoplan'!$B$3:$B$302,MATCH('Journal'!E1389,'Kontoplan'!$H$3:$H$302,0)),""))</f>
        <v/>
      </c>
      <c r="F2776" s="20">
        <f>IF('Journal'!F1389="","",'Journal'!F1389)</f>
        <v/>
      </c>
      <c r="G2776" s="20">
        <f>IF('Journal'!G1389="","",'Journal'!G1389)</f>
        <v/>
      </c>
      <c r="H2776" s="5">
        <f>IF('Journal'!I1389="","",'Journal'!I1389)</f>
        <v/>
      </c>
    </row>
    <row r="2777">
      <c r="A2777" s="18">
        <f>IF('Journal'!A1390="","",'Journal'!A1390)</f>
        <v/>
      </c>
      <c r="B2777" s="21">
        <f>IF('Journal'!B1390="","",'Journal'!B1390)</f>
        <v/>
      </c>
      <c r="C2777" s="5">
        <f>IF('Journal'!C1390="","",'Journal'!C1390)</f>
        <v/>
      </c>
      <c r="D2777" s="5">
        <f>IF('Journal'!D1390="","",IFERROR(LEFT('Journal'!D1390,FIND(" ",'Journal'!D1390)-1),'Journal'!D1390))</f>
        <v/>
      </c>
      <c r="E2777" s="5">
        <f>IF('Journal'!D1390="","",IFERROR(INDEX('Kontoplan'!$B$3:$B$302,MATCH('Journal'!D1390,'Kontoplan'!$H$3:$H$302,0)),""))</f>
        <v/>
      </c>
      <c r="F2777" s="20">
        <f>IF('Journal'!G1390="","",'Journal'!G1390)</f>
        <v/>
      </c>
      <c r="G2777" s="20">
        <f>IF('Journal'!F1390="","",'Journal'!F1390)</f>
        <v/>
      </c>
      <c r="H2777" s="5">
        <f>IF('Journal'!I1390="","",'Journal'!I1390)</f>
        <v/>
      </c>
    </row>
    <row r="2778">
      <c r="A2778" s="18">
        <f>IF('Journal'!A1390="","",'Journal'!A1390)</f>
        <v/>
      </c>
      <c r="B2778" s="21">
        <f>IF('Journal'!B1390="","",'Journal'!B1390)</f>
        <v/>
      </c>
      <c r="C2778" s="5">
        <f>IF('Journal'!C1390="","",'Journal'!C1390)</f>
        <v/>
      </c>
      <c r="D2778" s="5">
        <f>IF('Journal'!E1390="","",IFERROR(LEFT('Journal'!E1390,FIND(" ",'Journal'!E1390)-1),'Journal'!E1390))</f>
        <v/>
      </c>
      <c r="E2778" s="5">
        <f>IF('Journal'!E1390="","",IFERROR(INDEX('Kontoplan'!$B$3:$B$302,MATCH('Journal'!E1390,'Kontoplan'!$H$3:$H$302,0)),""))</f>
        <v/>
      </c>
      <c r="F2778" s="20">
        <f>IF('Journal'!F1390="","",'Journal'!F1390)</f>
        <v/>
      </c>
      <c r="G2778" s="20">
        <f>IF('Journal'!G1390="","",'Journal'!G1390)</f>
        <v/>
      </c>
      <c r="H2778" s="5">
        <f>IF('Journal'!I1390="","",'Journal'!I1390)</f>
        <v/>
      </c>
    </row>
    <row r="2779">
      <c r="A2779" s="18">
        <f>IF('Journal'!A1391="","",'Journal'!A1391)</f>
        <v/>
      </c>
      <c r="B2779" s="21">
        <f>IF('Journal'!B1391="","",'Journal'!B1391)</f>
        <v/>
      </c>
      <c r="C2779" s="5">
        <f>IF('Journal'!C1391="","",'Journal'!C1391)</f>
        <v/>
      </c>
      <c r="D2779" s="5">
        <f>IF('Journal'!D1391="","",IFERROR(LEFT('Journal'!D1391,FIND(" ",'Journal'!D1391)-1),'Journal'!D1391))</f>
        <v/>
      </c>
      <c r="E2779" s="5">
        <f>IF('Journal'!D1391="","",IFERROR(INDEX('Kontoplan'!$B$3:$B$302,MATCH('Journal'!D1391,'Kontoplan'!$H$3:$H$302,0)),""))</f>
        <v/>
      </c>
      <c r="F2779" s="20">
        <f>IF('Journal'!G1391="","",'Journal'!G1391)</f>
        <v/>
      </c>
      <c r="G2779" s="20">
        <f>IF('Journal'!F1391="","",'Journal'!F1391)</f>
        <v/>
      </c>
      <c r="H2779" s="5">
        <f>IF('Journal'!I1391="","",'Journal'!I1391)</f>
        <v/>
      </c>
    </row>
    <row r="2780">
      <c r="A2780" s="18">
        <f>IF('Journal'!A1391="","",'Journal'!A1391)</f>
        <v/>
      </c>
      <c r="B2780" s="21">
        <f>IF('Journal'!B1391="","",'Journal'!B1391)</f>
        <v/>
      </c>
      <c r="C2780" s="5">
        <f>IF('Journal'!C1391="","",'Journal'!C1391)</f>
        <v/>
      </c>
      <c r="D2780" s="5">
        <f>IF('Journal'!E1391="","",IFERROR(LEFT('Journal'!E1391,FIND(" ",'Journal'!E1391)-1),'Journal'!E1391))</f>
        <v/>
      </c>
      <c r="E2780" s="5">
        <f>IF('Journal'!E1391="","",IFERROR(INDEX('Kontoplan'!$B$3:$B$302,MATCH('Journal'!E1391,'Kontoplan'!$H$3:$H$302,0)),""))</f>
        <v/>
      </c>
      <c r="F2780" s="20">
        <f>IF('Journal'!F1391="","",'Journal'!F1391)</f>
        <v/>
      </c>
      <c r="G2780" s="20">
        <f>IF('Journal'!G1391="","",'Journal'!G1391)</f>
        <v/>
      </c>
      <c r="H2780" s="5">
        <f>IF('Journal'!I1391="","",'Journal'!I1391)</f>
        <v/>
      </c>
    </row>
    <row r="2781">
      <c r="A2781" s="18">
        <f>IF('Journal'!A1392="","",'Journal'!A1392)</f>
        <v/>
      </c>
      <c r="B2781" s="21">
        <f>IF('Journal'!B1392="","",'Journal'!B1392)</f>
        <v/>
      </c>
      <c r="C2781" s="5">
        <f>IF('Journal'!C1392="","",'Journal'!C1392)</f>
        <v/>
      </c>
      <c r="D2781" s="5">
        <f>IF('Journal'!D1392="","",IFERROR(LEFT('Journal'!D1392,FIND(" ",'Journal'!D1392)-1),'Journal'!D1392))</f>
        <v/>
      </c>
      <c r="E2781" s="5">
        <f>IF('Journal'!D1392="","",IFERROR(INDEX('Kontoplan'!$B$3:$B$302,MATCH('Journal'!D1392,'Kontoplan'!$H$3:$H$302,0)),""))</f>
        <v/>
      </c>
      <c r="F2781" s="20">
        <f>IF('Journal'!G1392="","",'Journal'!G1392)</f>
        <v/>
      </c>
      <c r="G2781" s="20">
        <f>IF('Journal'!F1392="","",'Journal'!F1392)</f>
        <v/>
      </c>
      <c r="H2781" s="5">
        <f>IF('Journal'!I1392="","",'Journal'!I1392)</f>
        <v/>
      </c>
    </row>
    <row r="2782">
      <c r="A2782" s="18">
        <f>IF('Journal'!A1392="","",'Journal'!A1392)</f>
        <v/>
      </c>
      <c r="B2782" s="21">
        <f>IF('Journal'!B1392="","",'Journal'!B1392)</f>
        <v/>
      </c>
      <c r="C2782" s="5">
        <f>IF('Journal'!C1392="","",'Journal'!C1392)</f>
        <v/>
      </c>
      <c r="D2782" s="5">
        <f>IF('Journal'!E1392="","",IFERROR(LEFT('Journal'!E1392,FIND(" ",'Journal'!E1392)-1),'Journal'!E1392))</f>
        <v/>
      </c>
      <c r="E2782" s="5">
        <f>IF('Journal'!E1392="","",IFERROR(INDEX('Kontoplan'!$B$3:$B$302,MATCH('Journal'!E1392,'Kontoplan'!$H$3:$H$302,0)),""))</f>
        <v/>
      </c>
      <c r="F2782" s="20">
        <f>IF('Journal'!F1392="","",'Journal'!F1392)</f>
        <v/>
      </c>
      <c r="G2782" s="20">
        <f>IF('Journal'!G1392="","",'Journal'!G1392)</f>
        <v/>
      </c>
      <c r="H2782" s="5">
        <f>IF('Journal'!I1392="","",'Journal'!I1392)</f>
        <v/>
      </c>
    </row>
    <row r="2783">
      <c r="A2783" s="18">
        <f>IF('Journal'!A1393="","",'Journal'!A1393)</f>
        <v/>
      </c>
      <c r="B2783" s="21">
        <f>IF('Journal'!B1393="","",'Journal'!B1393)</f>
        <v/>
      </c>
      <c r="C2783" s="5">
        <f>IF('Journal'!C1393="","",'Journal'!C1393)</f>
        <v/>
      </c>
      <c r="D2783" s="5">
        <f>IF('Journal'!D1393="","",IFERROR(LEFT('Journal'!D1393,FIND(" ",'Journal'!D1393)-1),'Journal'!D1393))</f>
        <v/>
      </c>
      <c r="E2783" s="5">
        <f>IF('Journal'!D1393="","",IFERROR(INDEX('Kontoplan'!$B$3:$B$302,MATCH('Journal'!D1393,'Kontoplan'!$H$3:$H$302,0)),""))</f>
        <v/>
      </c>
      <c r="F2783" s="20">
        <f>IF('Journal'!G1393="","",'Journal'!G1393)</f>
        <v/>
      </c>
      <c r="G2783" s="20">
        <f>IF('Journal'!F1393="","",'Journal'!F1393)</f>
        <v/>
      </c>
      <c r="H2783" s="5">
        <f>IF('Journal'!I1393="","",'Journal'!I1393)</f>
        <v/>
      </c>
    </row>
    <row r="2784">
      <c r="A2784" s="18">
        <f>IF('Journal'!A1393="","",'Journal'!A1393)</f>
        <v/>
      </c>
      <c r="B2784" s="21">
        <f>IF('Journal'!B1393="","",'Journal'!B1393)</f>
        <v/>
      </c>
      <c r="C2784" s="5">
        <f>IF('Journal'!C1393="","",'Journal'!C1393)</f>
        <v/>
      </c>
      <c r="D2784" s="5">
        <f>IF('Journal'!E1393="","",IFERROR(LEFT('Journal'!E1393,FIND(" ",'Journal'!E1393)-1),'Journal'!E1393))</f>
        <v/>
      </c>
      <c r="E2784" s="5">
        <f>IF('Journal'!E1393="","",IFERROR(INDEX('Kontoplan'!$B$3:$B$302,MATCH('Journal'!E1393,'Kontoplan'!$H$3:$H$302,0)),""))</f>
        <v/>
      </c>
      <c r="F2784" s="20">
        <f>IF('Journal'!F1393="","",'Journal'!F1393)</f>
        <v/>
      </c>
      <c r="G2784" s="20">
        <f>IF('Journal'!G1393="","",'Journal'!G1393)</f>
        <v/>
      </c>
      <c r="H2784" s="5">
        <f>IF('Journal'!I1393="","",'Journal'!I1393)</f>
        <v/>
      </c>
    </row>
    <row r="2785">
      <c r="A2785" s="18">
        <f>IF('Journal'!A1394="","",'Journal'!A1394)</f>
        <v/>
      </c>
      <c r="B2785" s="21">
        <f>IF('Journal'!B1394="","",'Journal'!B1394)</f>
        <v/>
      </c>
      <c r="C2785" s="5">
        <f>IF('Journal'!C1394="","",'Journal'!C1394)</f>
        <v/>
      </c>
      <c r="D2785" s="5">
        <f>IF('Journal'!D1394="","",IFERROR(LEFT('Journal'!D1394,FIND(" ",'Journal'!D1394)-1),'Journal'!D1394))</f>
        <v/>
      </c>
      <c r="E2785" s="5">
        <f>IF('Journal'!D1394="","",IFERROR(INDEX('Kontoplan'!$B$3:$B$302,MATCH('Journal'!D1394,'Kontoplan'!$H$3:$H$302,0)),""))</f>
        <v/>
      </c>
      <c r="F2785" s="20">
        <f>IF('Journal'!G1394="","",'Journal'!G1394)</f>
        <v/>
      </c>
      <c r="G2785" s="20">
        <f>IF('Journal'!F1394="","",'Journal'!F1394)</f>
        <v/>
      </c>
      <c r="H2785" s="5">
        <f>IF('Journal'!I1394="","",'Journal'!I1394)</f>
        <v/>
      </c>
    </row>
    <row r="2786">
      <c r="A2786" s="18">
        <f>IF('Journal'!A1394="","",'Journal'!A1394)</f>
        <v/>
      </c>
      <c r="B2786" s="21">
        <f>IF('Journal'!B1394="","",'Journal'!B1394)</f>
        <v/>
      </c>
      <c r="C2786" s="5">
        <f>IF('Journal'!C1394="","",'Journal'!C1394)</f>
        <v/>
      </c>
      <c r="D2786" s="5">
        <f>IF('Journal'!E1394="","",IFERROR(LEFT('Journal'!E1394,FIND(" ",'Journal'!E1394)-1),'Journal'!E1394))</f>
        <v/>
      </c>
      <c r="E2786" s="5">
        <f>IF('Journal'!E1394="","",IFERROR(INDEX('Kontoplan'!$B$3:$B$302,MATCH('Journal'!E1394,'Kontoplan'!$H$3:$H$302,0)),""))</f>
        <v/>
      </c>
      <c r="F2786" s="20">
        <f>IF('Journal'!F1394="","",'Journal'!F1394)</f>
        <v/>
      </c>
      <c r="G2786" s="20">
        <f>IF('Journal'!G1394="","",'Journal'!G1394)</f>
        <v/>
      </c>
      <c r="H2786" s="5">
        <f>IF('Journal'!I1394="","",'Journal'!I1394)</f>
        <v/>
      </c>
    </row>
    <row r="2787">
      <c r="A2787" s="18">
        <f>IF('Journal'!A1395="","",'Journal'!A1395)</f>
        <v/>
      </c>
      <c r="B2787" s="21">
        <f>IF('Journal'!B1395="","",'Journal'!B1395)</f>
        <v/>
      </c>
      <c r="C2787" s="5">
        <f>IF('Journal'!C1395="","",'Journal'!C1395)</f>
        <v/>
      </c>
      <c r="D2787" s="5">
        <f>IF('Journal'!D1395="","",IFERROR(LEFT('Journal'!D1395,FIND(" ",'Journal'!D1395)-1),'Journal'!D1395))</f>
        <v/>
      </c>
      <c r="E2787" s="5">
        <f>IF('Journal'!D1395="","",IFERROR(INDEX('Kontoplan'!$B$3:$B$302,MATCH('Journal'!D1395,'Kontoplan'!$H$3:$H$302,0)),""))</f>
        <v/>
      </c>
      <c r="F2787" s="20">
        <f>IF('Journal'!G1395="","",'Journal'!G1395)</f>
        <v/>
      </c>
      <c r="G2787" s="20">
        <f>IF('Journal'!F1395="","",'Journal'!F1395)</f>
        <v/>
      </c>
      <c r="H2787" s="5">
        <f>IF('Journal'!I1395="","",'Journal'!I1395)</f>
        <v/>
      </c>
    </row>
    <row r="2788">
      <c r="A2788" s="18">
        <f>IF('Journal'!A1395="","",'Journal'!A1395)</f>
        <v/>
      </c>
      <c r="B2788" s="21">
        <f>IF('Journal'!B1395="","",'Journal'!B1395)</f>
        <v/>
      </c>
      <c r="C2788" s="5">
        <f>IF('Journal'!C1395="","",'Journal'!C1395)</f>
        <v/>
      </c>
      <c r="D2788" s="5">
        <f>IF('Journal'!E1395="","",IFERROR(LEFT('Journal'!E1395,FIND(" ",'Journal'!E1395)-1),'Journal'!E1395))</f>
        <v/>
      </c>
      <c r="E2788" s="5">
        <f>IF('Journal'!E1395="","",IFERROR(INDEX('Kontoplan'!$B$3:$B$302,MATCH('Journal'!E1395,'Kontoplan'!$H$3:$H$302,0)),""))</f>
        <v/>
      </c>
      <c r="F2788" s="20">
        <f>IF('Journal'!F1395="","",'Journal'!F1395)</f>
        <v/>
      </c>
      <c r="G2788" s="20">
        <f>IF('Journal'!G1395="","",'Journal'!G1395)</f>
        <v/>
      </c>
      <c r="H2788" s="5">
        <f>IF('Journal'!I1395="","",'Journal'!I1395)</f>
        <v/>
      </c>
    </row>
    <row r="2789">
      <c r="A2789" s="18">
        <f>IF('Journal'!A1396="","",'Journal'!A1396)</f>
        <v/>
      </c>
      <c r="B2789" s="21">
        <f>IF('Journal'!B1396="","",'Journal'!B1396)</f>
        <v/>
      </c>
      <c r="C2789" s="5">
        <f>IF('Journal'!C1396="","",'Journal'!C1396)</f>
        <v/>
      </c>
      <c r="D2789" s="5">
        <f>IF('Journal'!D1396="","",IFERROR(LEFT('Journal'!D1396,FIND(" ",'Journal'!D1396)-1),'Journal'!D1396))</f>
        <v/>
      </c>
      <c r="E2789" s="5">
        <f>IF('Journal'!D1396="","",IFERROR(INDEX('Kontoplan'!$B$3:$B$302,MATCH('Journal'!D1396,'Kontoplan'!$H$3:$H$302,0)),""))</f>
        <v/>
      </c>
      <c r="F2789" s="20">
        <f>IF('Journal'!G1396="","",'Journal'!G1396)</f>
        <v/>
      </c>
      <c r="G2789" s="20">
        <f>IF('Journal'!F1396="","",'Journal'!F1396)</f>
        <v/>
      </c>
      <c r="H2789" s="5">
        <f>IF('Journal'!I1396="","",'Journal'!I1396)</f>
        <v/>
      </c>
    </row>
    <row r="2790">
      <c r="A2790" s="18">
        <f>IF('Journal'!A1396="","",'Journal'!A1396)</f>
        <v/>
      </c>
      <c r="B2790" s="21">
        <f>IF('Journal'!B1396="","",'Journal'!B1396)</f>
        <v/>
      </c>
      <c r="C2790" s="5">
        <f>IF('Journal'!C1396="","",'Journal'!C1396)</f>
        <v/>
      </c>
      <c r="D2790" s="5">
        <f>IF('Journal'!E1396="","",IFERROR(LEFT('Journal'!E1396,FIND(" ",'Journal'!E1396)-1),'Journal'!E1396))</f>
        <v/>
      </c>
      <c r="E2790" s="5">
        <f>IF('Journal'!E1396="","",IFERROR(INDEX('Kontoplan'!$B$3:$B$302,MATCH('Journal'!E1396,'Kontoplan'!$H$3:$H$302,0)),""))</f>
        <v/>
      </c>
      <c r="F2790" s="20">
        <f>IF('Journal'!F1396="","",'Journal'!F1396)</f>
        <v/>
      </c>
      <c r="G2790" s="20">
        <f>IF('Journal'!G1396="","",'Journal'!G1396)</f>
        <v/>
      </c>
      <c r="H2790" s="5">
        <f>IF('Journal'!I1396="","",'Journal'!I1396)</f>
        <v/>
      </c>
    </row>
    <row r="2791">
      <c r="A2791" s="18">
        <f>IF('Journal'!A1397="","",'Journal'!A1397)</f>
        <v/>
      </c>
      <c r="B2791" s="21">
        <f>IF('Journal'!B1397="","",'Journal'!B1397)</f>
        <v/>
      </c>
      <c r="C2791" s="5">
        <f>IF('Journal'!C1397="","",'Journal'!C1397)</f>
        <v/>
      </c>
      <c r="D2791" s="5">
        <f>IF('Journal'!D1397="","",IFERROR(LEFT('Journal'!D1397,FIND(" ",'Journal'!D1397)-1),'Journal'!D1397))</f>
        <v/>
      </c>
      <c r="E2791" s="5">
        <f>IF('Journal'!D1397="","",IFERROR(INDEX('Kontoplan'!$B$3:$B$302,MATCH('Journal'!D1397,'Kontoplan'!$H$3:$H$302,0)),""))</f>
        <v/>
      </c>
      <c r="F2791" s="20">
        <f>IF('Journal'!G1397="","",'Journal'!G1397)</f>
        <v/>
      </c>
      <c r="G2791" s="20">
        <f>IF('Journal'!F1397="","",'Journal'!F1397)</f>
        <v/>
      </c>
      <c r="H2791" s="5">
        <f>IF('Journal'!I1397="","",'Journal'!I1397)</f>
        <v/>
      </c>
    </row>
    <row r="2792">
      <c r="A2792" s="18">
        <f>IF('Journal'!A1397="","",'Journal'!A1397)</f>
        <v/>
      </c>
      <c r="B2792" s="21">
        <f>IF('Journal'!B1397="","",'Journal'!B1397)</f>
        <v/>
      </c>
      <c r="C2792" s="5">
        <f>IF('Journal'!C1397="","",'Journal'!C1397)</f>
        <v/>
      </c>
      <c r="D2792" s="5">
        <f>IF('Journal'!E1397="","",IFERROR(LEFT('Journal'!E1397,FIND(" ",'Journal'!E1397)-1),'Journal'!E1397))</f>
        <v/>
      </c>
      <c r="E2792" s="5">
        <f>IF('Journal'!E1397="","",IFERROR(INDEX('Kontoplan'!$B$3:$B$302,MATCH('Journal'!E1397,'Kontoplan'!$H$3:$H$302,0)),""))</f>
        <v/>
      </c>
      <c r="F2792" s="20">
        <f>IF('Journal'!F1397="","",'Journal'!F1397)</f>
        <v/>
      </c>
      <c r="G2792" s="20">
        <f>IF('Journal'!G1397="","",'Journal'!G1397)</f>
        <v/>
      </c>
      <c r="H2792" s="5">
        <f>IF('Journal'!I1397="","",'Journal'!I1397)</f>
        <v/>
      </c>
    </row>
    <row r="2793">
      <c r="A2793" s="18">
        <f>IF('Journal'!A1398="","",'Journal'!A1398)</f>
        <v/>
      </c>
      <c r="B2793" s="21">
        <f>IF('Journal'!B1398="","",'Journal'!B1398)</f>
        <v/>
      </c>
      <c r="C2793" s="5">
        <f>IF('Journal'!C1398="","",'Journal'!C1398)</f>
        <v/>
      </c>
      <c r="D2793" s="5">
        <f>IF('Journal'!D1398="","",IFERROR(LEFT('Journal'!D1398,FIND(" ",'Journal'!D1398)-1),'Journal'!D1398))</f>
        <v/>
      </c>
      <c r="E2793" s="5">
        <f>IF('Journal'!D1398="","",IFERROR(INDEX('Kontoplan'!$B$3:$B$302,MATCH('Journal'!D1398,'Kontoplan'!$H$3:$H$302,0)),""))</f>
        <v/>
      </c>
      <c r="F2793" s="20">
        <f>IF('Journal'!G1398="","",'Journal'!G1398)</f>
        <v/>
      </c>
      <c r="G2793" s="20">
        <f>IF('Journal'!F1398="","",'Journal'!F1398)</f>
        <v/>
      </c>
      <c r="H2793" s="5">
        <f>IF('Journal'!I1398="","",'Journal'!I1398)</f>
        <v/>
      </c>
    </row>
    <row r="2794">
      <c r="A2794" s="18">
        <f>IF('Journal'!A1398="","",'Journal'!A1398)</f>
        <v/>
      </c>
      <c r="B2794" s="21">
        <f>IF('Journal'!B1398="","",'Journal'!B1398)</f>
        <v/>
      </c>
      <c r="C2794" s="5">
        <f>IF('Journal'!C1398="","",'Journal'!C1398)</f>
        <v/>
      </c>
      <c r="D2794" s="5">
        <f>IF('Journal'!E1398="","",IFERROR(LEFT('Journal'!E1398,FIND(" ",'Journal'!E1398)-1),'Journal'!E1398))</f>
        <v/>
      </c>
      <c r="E2794" s="5">
        <f>IF('Journal'!E1398="","",IFERROR(INDEX('Kontoplan'!$B$3:$B$302,MATCH('Journal'!E1398,'Kontoplan'!$H$3:$H$302,0)),""))</f>
        <v/>
      </c>
      <c r="F2794" s="20">
        <f>IF('Journal'!F1398="","",'Journal'!F1398)</f>
        <v/>
      </c>
      <c r="G2794" s="20">
        <f>IF('Journal'!G1398="","",'Journal'!G1398)</f>
        <v/>
      </c>
      <c r="H2794" s="5">
        <f>IF('Journal'!I1398="","",'Journal'!I1398)</f>
        <v/>
      </c>
    </row>
    <row r="2795">
      <c r="A2795" s="18">
        <f>IF('Journal'!A1399="","",'Journal'!A1399)</f>
        <v/>
      </c>
      <c r="B2795" s="21">
        <f>IF('Journal'!B1399="","",'Journal'!B1399)</f>
        <v/>
      </c>
      <c r="C2795" s="5">
        <f>IF('Journal'!C1399="","",'Journal'!C1399)</f>
        <v/>
      </c>
      <c r="D2795" s="5">
        <f>IF('Journal'!D1399="","",IFERROR(LEFT('Journal'!D1399,FIND(" ",'Journal'!D1399)-1),'Journal'!D1399))</f>
        <v/>
      </c>
      <c r="E2795" s="5">
        <f>IF('Journal'!D1399="","",IFERROR(INDEX('Kontoplan'!$B$3:$B$302,MATCH('Journal'!D1399,'Kontoplan'!$H$3:$H$302,0)),""))</f>
        <v/>
      </c>
      <c r="F2795" s="20">
        <f>IF('Journal'!G1399="","",'Journal'!G1399)</f>
        <v/>
      </c>
      <c r="G2795" s="20">
        <f>IF('Journal'!F1399="","",'Journal'!F1399)</f>
        <v/>
      </c>
      <c r="H2795" s="5">
        <f>IF('Journal'!I1399="","",'Journal'!I1399)</f>
        <v/>
      </c>
    </row>
    <row r="2796">
      <c r="A2796" s="18">
        <f>IF('Journal'!A1399="","",'Journal'!A1399)</f>
        <v/>
      </c>
      <c r="B2796" s="21">
        <f>IF('Journal'!B1399="","",'Journal'!B1399)</f>
        <v/>
      </c>
      <c r="C2796" s="5">
        <f>IF('Journal'!C1399="","",'Journal'!C1399)</f>
        <v/>
      </c>
      <c r="D2796" s="5">
        <f>IF('Journal'!E1399="","",IFERROR(LEFT('Journal'!E1399,FIND(" ",'Journal'!E1399)-1),'Journal'!E1399))</f>
        <v/>
      </c>
      <c r="E2796" s="5">
        <f>IF('Journal'!E1399="","",IFERROR(INDEX('Kontoplan'!$B$3:$B$302,MATCH('Journal'!E1399,'Kontoplan'!$H$3:$H$302,0)),""))</f>
        <v/>
      </c>
      <c r="F2796" s="20">
        <f>IF('Journal'!F1399="","",'Journal'!F1399)</f>
        <v/>
      </c>
      <c r="G2796" s="20">
        <f>IF('Journal'!G1399="","",'Journal'!G1399)</f>
        <v/>
      </c>
      <c r="H2796" s="5">
        <f>IF('Journal'!I1399="","",'Journal'!I1399)</f>
        <v/>
      </c>
    </row>
    <row r="2797">
      <c r="A2797" s="18">
        <f>IF('Journal'!A1400="","",'Journal'!A1400)</f>
        <v/>
      </c>
      <c r="B2797" s="21">
        <f>IF('Journal'!B1400="","",'Journal'!B1400)</f>
        <v/>
      </c>
      <c r="C2797" s="5">
        <f>IF('Journal'!C1400="","",'Journal'!C1400)</f>
        <v/>
      </c>
      <c r="D2797" s="5">
        <f>IF('Journal'!D1400="","",IFERROR(LEFT('Journal'!D1400,FIND(" ",'Journal'!D1400)-1),'Journal'!D1400))</f>
        <v/>
      </c>
      <c r="E2797" s="5">
        <f>IF('Journal'!D1400="","",IFERROR(INDEX('Kontoplan'!$B$3:$B$302,MATCH('Journal'!D1400,'Kontoplan'!$H$3:$H$302,0)),""))</f>
        <v/>
      </c>
      <c r="F2797" s="20">
        <f>IF('Journal'!G1400="","",'Journal'!G1400)</f>
        <v/>
      </c>
      <c r="G2797" s="20">
        <f>IF('Journal'!F1400="","",'Journal'!F1400)</f>
        <v/>
      </c>
      <c r="H2797" s="5">
        <f>IF('Journal'!I1400="","",'Journal'!I1400)</f>
        <v/>
      </c>
    </row>
    <row r="2798">
      <c r="A2798" s="18">
        <f>IF('Journal'!A1400="","",'Journal'!A1400)</f>
        <v/>
      </c>
      <c r="B2798" s="21">
        <f>IF('Journal'!B1400="","",'Journal'!B1400)</f>
        <v/>
      </c>
      <c r="C2798" s="5">
        <f>IF('Journal'!C1400="","",'Journal'!C1400)</f>
        <v/>
      </c>
      <c r="D2798" s="5">
        <f>IF('Journal'!E1400="","",IFERROR(LEFT('Journal'!E1400,FIND(" ",'Journal'!E1400)-1),'Journal'!E1400))</f>
        <v/>
      </c>
      <c r="E2798" s="5">
        <f>IF('Journal'!E1400="","",IFERROR(INDEX('Kontoplan'!$B$3:$B$302,MATCH('Journal'!E1400,'Kontoplan'!$H$3:$H$302,0)),""))</f>
        <v/>
      </c>
      <c r="F2798" s="20">
        <f>IF('Journal'!F1400="","",'Journal'!F1400)</f>
        <v/>
      </c>
      <c r="G2798" s="20">
        <f>IF('Journal'!G1400="","",'Journal'!G1400)</f>
        <v/>
      </c>
      <c r="H2798" s="5">
        <f>IF('Journal'!I1400="","",'Journal'!I1400)</f>
        <v/>
      </c>
    </row>
    <row r="2799">
      <c r="A2799" s="18">
        <f>IF('Journal'!A1401="","",'Journal'!A1401)</f>
        <v/>
      </c>
      <c r="B2799" s="21">
        <f>IF('Journal'!B1401="","",'Journal'!B1401)</f>
        <v/>
      </c>
      <c r="C2799" s="5">
        <f>IF('Journal'!C1401="","",'Journal'!C1401)</f>
        <v/>
      </c>
      <c r="D2799" s="5">
        <f>IF('Journal'!D1401="","",IFERROR(LEFT('Journal'!D1401,FIND(" ",'Journal'!D1401)-1),'Journal'!D1401))</f>
        <v/>
      </c>
      <c r="E2799" s="5">
        <f>IF('Journal'!D1401="","",IFERROR(INDEX('Kontoplan'!$B$3:$B$302,MATCH('Journal'!D1401,'Kontoplan'!$H$3:$H$302,0)),""))</f>
        <v/>
      </c>
      <c r="F2799" s="20">
        <f>IF('Journal'!G1401="","",'Journal'!G1401)</f>
        <v/>
      </c>
      <c r="G2799" s="20">
        <f>IF('Journal'!F1401="","",'Journal'!F1401)</f>
        <v/>
      </c>
      <c r="H2799" s="5">
        <f>IF('Journal'!I1401="","",'Journal'!I1401)</f>
        <v/>
      </c>
    </row>
    <row r="2800">
      <c r="A2800" s="18">
        <f>IF('Journal'!A1401="","",'Journal'!A1401)</f>
        <v/>
      </c>
      <c r="B2800" s="21">
        <f>IF('Journal'!B1401="","",'Journal'!B1401)</f>
        <v/>
      </c>
      <c r="C2800" s="5">
        <f>IF('Journal'!C1401="","",'Journal'!C1401)</f>
        <v/>
      </c>
      <c r="D2800" s="5">
        <f>IF('Journal'!E1401="","",IFERROR(LEFT('Journal'!E1401,FIND(" ",'Journal'!E1401)-1),'Journal'!E1401))</f>
        <v/>
      </c>
      <c r="E2800" s="5">
        <f>IF('Journal'!E1401="","",IFERROR(INDEX('Kontoplan'!$B$3:$B$302,MATCH('Journal'!E1401,'Kontoplan'!$H$3:$H$302,0)),""))</f>
        <v/>
      </c>
      <c r="F2800" s="20">
        <f>IF('Journal'!F1401="","",'Journal'!F1401)</f>
        <v/>
      </c>
      <c r="G2800" s="20">
        <f>IF('Journal'!G1401="","",'Journal'!G1401)</f>
        <v/>
      </c>
      <c r="H2800" s="5">
        <f>IF('Journal'!I1401="","",'Journal'!I1401)</f>
        <v/>
      </c>
    </row>
    <row r="2801">
      <c r="A2801" s="18">
        <f>IF('Journal'!A1402="","",'Journal'!A1402)</f>
        <v/>
      </c>
      <c r="B2801" s="21">
        <f>IF('Journal'!B1402="","",'Journal'!B1402)</f>
        <v/>
      </c>
      <c r="C2801" s="5">
        <f>IF('Journal'!C1402="","",'Journal'!C1402)</f>
        <v/>
      </c>
      <c r="D2801" s="5">
        <f>IF('Journal'!D1402="","",IFERROR(LEFT('Journal'!D1402,FIND(" ",'Journal'!D1402)-1),'Journal'!D1402))</f>
        <v/>
      </c>
      <c r="E2801" s="5">
        <f>IF('Journal'!D1402="","",IFERROR(INDEX('Kontoplan'!$B$3:$B$302,MATCH('Journal'!D1402,'Kontoplan'!$H$3:$H$302,0)),""))</f>
        <v/>
      </c>
      <c r="F2801" s="20">
        <f>IF('Journal'!G1402="","",'Journal'!G1402)</f>
        <v/>
      </c>
      <c r="G2801" s="20">
        <f>IF('Journal'!F1402="","",'Journal'!F1402)</f>
        <v/>
      </c>
      <c r="H2801" s="5">
        <f>IF('Journal'!I1402="","",'Journal'!I1402)</f>
        <v/>
      </c>
    </row>
    <row r="2802">
      <c r="A2802" s="18">
        <f>IF('Journal'!A1402="","",'Journal'!A1402)</f>
        <v/>
      </c>
      <c r="B2802" s="21">
        <f>IF('Journal'!B1402="","",'Journal'!B1402)</f>
        <v/>
      </c>
      <c r="C2802" s="5">
        <f>IF('Journal'!C1402="","",'Journal'!C1402)</f>
        <v/>
      </c>
      <c r="D2802" s="5">
        <f>IF('Journal'!E1402="","",IFERROR(LEFT('Journal'!E1402,FIND(" ",'Journal'!E1402)-1),'Journal'!E1402))</f>
        <v/>
      </c>
      <c r="E2802" s="5">
        <f>IF('Journal'!E1402="","",IFERROR(INDEX('Kontoplan'!$B$3:$B$302,MATCH('Journal'!E1402,'Kontoplan'!$H$3:$H$302,0)),""))</f>
        <v/>
      </c>
      <c r="F2802" s="20">
        <f>IF('Journal'!F1402="","",'Journal'!F1402)</f>
        <v/>
      </c>
      <c r="G2802" s="20">
        <f>IF('Journal'!G1402="","",'Journal'!G1402)</f>
        <v/>
      </c>
      <c r="H2802" s="5">
        <f>IF('Journal'!I1402="","",'Journal'!I1402)</f>
        <v/>
      </c>
    </row>
    <row r="2803">
      <c r="A2803" s="18">
        <f>IF('Journal'!A1403="","",'Journal'!A1403)</f>
        <v/>
      </c>
      <c r="B2803" s="21">
        <f>IF('Journal'!B1403="","",'Journal'!B1403)</f>
        <v/>
      </c>
      <c r="C2803" s="5">
        <f>IF('Journal'!C1403="","",'Journal'!C1403)</f>
        <v/>
      </c>
      <c r="D2803" s="5">
        <f>IF('Journal'!D1403="","",IFERROR(LEFT('Journal'!D1403,FIND(" ",'Journal'!D1403)-1),'Journal'!D1403))</f>
        <v/>
      </c>
      <c r="E2803" s="5">
        <f>IF('Journal'!D1403="","",IFERROR(INDEX('Kontoplan'!$B$3:$B$302,MATCH('Journal'!D1403,'Kontoplan'!$H$3:$H$302,0)),""))</f>
        <v/>
      </c>
      <c r="F2803" s="20">
        <f>IF('Journal'!G1403="","",'Journal'!G1403)</f>
        <v/>
      </c>
      <c r="G2803" s="20">
        <f>IF('Journal'!F1403="","",'Journal'!F1403)</f>
        <v/>
      </c>
      <c r="H2803" s="5">
        <f>IF('Journal'!I1403="","",'Journal'!I1403)</f>
        <v/>
      </c>
    </row>
    <row r="2804">
      <c r="A2804" s="18">
        <f>IF('Journal'!A1403="","",'Journal'!A1403)</f>
        <v/>
      </c>
      <c r="B2804" s="21">
        <f>IF('Journal'!B1403="","",'Journal'!B1403)</f>
        <v/>
      </c>
      <c r="C2804" s="5">
        <f>IF('Journal'!C1403="","",'Journal'!C1403)</f>
        <v/>
      </c>
      <c r="D2804" s="5">
        <f>IF('Journal'!E1403="","",IFERROR(LEFT('Journal'!E1403,FIND(" ",'Journal'!E1403)-1),'Journal'!E1403))</f>
        <v/>
      </c>
      <c r="E2804" s="5">
        <f>IF('Journal'!E1403="","",IFERROR(INDEX('Kontoplan'!$B$3:$B$302,MATCH('Journal'!E1403,'Kontoplan'!$H$3:$H$302,0)),""))</f>
        <v/>
      </c>
      <c r="F2804" s="20">
        <f>IF('Journal'!F1403="","",'Journal'!F1403)</f>
        <v/>
      </c>
      <c r="G2804" s="20">
        <f>IF('Journal'!G1403="","",'Journal'!G1403)</f>
        <v/>
      </c>
      <c r="H2804" s="5">
        <f>IF('Journal'!I1403="","",'Journal'!I1403)</f>
        <v/>
      </c>
    </row>
    <row r="2805">
      <c r="A2805" s="18">
        <f>IF('Journal'!A1404="","",'Journal'!A1404)</f>
        <v/>
      </c>
      <c r="B2805" s="21">
        <f>IF('Journal'!B1404="","",'Journal'!B1404)</f>
        <v/>
      </c>
      <c r="C2805" s="5">
        <f>IF('Journal'!C1404="","",'Journal'!C1404)</f>
        <v/>
      </c>
      <c r="D2805" s="5">
        <f>IF('Journal'!D1404="","",IFERROR(LEFT('Journal'!D1404,FIND(" ",'Journal'!D1404)-1),'Journal'!D1404))</f>
        <v/>
      </c>
      <c r="E2805" s="5">
        <f>IF('Journal'!D1404="","",IFERROR(INDEX('Kontoplan'!$B$3:$B$302,MATCH('Journal'!D1404,'Kontoplan'!$H$3:$H$302,0)),""))</f>
        <v/>
      </c>
      <c r="F2805" s="20">
        <f>IF('Journal'!G1404="","",'Journal'!G1404)</f>
        <v/>
      </c>
      <c r="G2805" s="20">
        <f>IF('Journal'!F1404="","",'Journal'!F1404)</f>
        <v/>
      </c>
      <c r="H2805" s="5">
        <f>IF('Journal'!I1404="","",'Journal'!I1404)</f>
        <v/>
      </c>
    </row>
    <row r="2806">
      <c r="A2806" s="18">
        <f>IF('Journal'!A1404="","",'Journal'!A1404)</f>
        <v/>
      </c>
      <c r="B2806" s="21">
        <f>IF('Journal'!B1404="","",'Journal'!B1404)</f>
        <v/>
      </c>
      <c r="C2806" s="5">
        <f>IF('Journal'!C1404="","",'Journal'!C1404)</f>
        <v/>
      </c>
      <c r="D2806" s="5">
        <f>IF('Journal'!E1404="","",IFERROR(LEFT('Journal'!E1404,FIND(" ",'Journal'!E1404)-1),'Journal'!E1404))</f>
        <v/>
      </c>
      <c r="E2806" s="5">
        <f>IF('Journal'!E1404="","",IFERROR(INDEX('Kontoplan'!$B$3:$B$302,MATCH('Journal'!E1404,'Kontoplan'!$H$3:$H$302,0)),""))</f>
        <v/>
      </c>
      <c r="F2806" s="20">
        <f>IF('Journal'!F1404="","",'Journal'!F1404)</f>
        <v/>
      </c>
      <c r="G2806" s="20">
        <f>IF('Journal'!G1404="","",'Journal'!G1404)</f>
        <v/>
      </c>
      <c r="H2806" s="5">
        <f>IF('Journal'!I1404="","",'Journal'!I1404)</f>
        <v/>
      </c>
    </row>
    <row r="2807">
      <c r="A2807" s="18">
        <f>IF('Journal'!A1405="","",'Journal'!A1405)</f>
        <v/>
      </c>
      <c r="B2807" s="21">
        <f>IF('Journal'!B1405="","",'Journal'!B1405)</f>
        <v/>
      </c>
      <c r="C2807" s="5">
        <f>IF('Journal'!C1405="","",'Journal'!C1405)</f>
        <v/>
      </c>
      <c r="D2807" s="5">
        <f>IF('Journal'!D1405="","",IFERROR(LEFT('Journal'!D1405,FIND(" ",'Journal'!D1405)-1),'Journal'!D1405))</f>
        <v/>
      </c>
      <c r="E2807" s="5">
        <f>IF('Journal'!D1405="","",IFERROR(INDEX('Kontoplan'!$B$3:$B$302,MATCH('Journal'!D1405,'Kontoplan'!$H$3:$H$302,0)),""))</f>
        <v/>
      </c>
      <c r="F2807" s="20">
        <f>IF('Journal'!G1405="","",'Journal'!G1405)</f>
        <v/>
      </c>
      <c r="G2807" s="20">
        <f>IF('Journal'!F1405="","",'Journal'!F1405)</f>
        <v/>
      </c>
      <c r="H2807" s="5">
        <f>IF('Journal'!I1405="","",'Journal'!I1405)</f>
        <v/>
      </c>
    </row>
    <row r="2808">
      <c r="A2808" s="18">
        <f>IF('Journal'!A1405="","",'Journal'!A1405)</f>
        <v/>
      </c>
      <c r="B2808" s="21">
        <f>IF('Journal'!B1405="","",'Journal'!B1405)</f>
        <v/>
      </c>
      <c r="C2808" s="5">
        <f>IF('Journal'!C1405="","",'Journal'!C1405)</f>
        <v/>
      </c>
      <c r="D2808" s="5">
        <f>IF('Journal'!E1405="","",IFERROR(LEFT('Journal'!E1405,FIND(" ",'Journal'!E1405)-1),'Journal'!E1405))</f>
        <v/>
      </c>
      <c r="E2808" s="5">
        <f>IF('Journal'!E1405="","",IFERROR(INDEX('Kontoplan'!$B$3:$B$302,MATCH('Journal'!E1405,'Kontoplan'!$H$3:$H$302,0)),""))</f>
        <v/>
      </c>
      <c r="F2808" s="20">
        <f>IF('Journal'!F1405="","",'Journal'!F1405)</f>
        <v/>
      </c>
      <c r="G2808" s="20">
        <f>IF('Journal'!G1405="","",'Journal'!G1405)</f>
        <v/>
      </c>
      <c r="H2808" s="5">
        <f>IF('Journal'!I1405="","",'Journal'!I1405)</f>
        <v/>
      </c>
    </row>
    <row r="2809">
      <c r="A2809" s="18">
        <f>IF('Journal'!A1406="","",'Journal'!A1406)</f>
        <v/>
      </c>
      <c r="B2809" s="21">
        <f>IF('Journal'!B1406="","",'Journal'!B1406)</f>
        <v/>
      </c>
      <c r="C2809" s="5">
        <f>IF('Journal'!C1406="","",'Journal'!C1406)</f>
        <v/>
      </c>
      <c r="D2809" s="5">
        <f>IF('Journal'!D1406="","",IFERROR(LEFT('Journal'!D1406,FIND(" ",'Journal'!D1406)-1),'Journal'!D1406))</f>
        <v/>
      </c>
      <c r="E2809" s="5">
        <f>IF('Journal'!D1406="","",IFERROR(INDEX('Kontoplan'!$B$3:$B$302,MATCH('Journal'!D1406,'Kontoplan'!$H$3:$H$302,0)),""))</f>
        <v/>
      </c>
      <c r="F2809" s="20">
        <f>IF('Journal'!G1406="","",'Journal'!G1406)</f>
        <v/>
      </c>
      <c r="G2809" s="20">
        <f>IF('Journal'!F1406="","",'Journal'!F1406)</f>
        <v/>
      </c>
      <c r="H2809" s="5">
        <f>IF('Journal'!I1406="","",'Journal'!I1406)</f>
        <v/>
      </c>
    </row>
    <row r="2810">
      <c r="A2810" s="18">
        <f>IF('Journal'!A1406="","",'Journal'!A1406)</f>
        <v/>
      </c>
      <c r="B2810" s="21">
        <f>IF('Journal'!B1406="","",'Journal'!B1406)</f>
        <v/>
      </c>
      <c r="C2810" s="5">
        <f>IF('Journal'!C1406="","",'Journal'!C1406)</f>
        <v/>
      </c>
      <c r="D2810" s="5">
        <f>IF('Journal'!E1406="","",IFERROR(LEFT('Journal'!E1406,FIND(" ",'Journal'!E1406)-1),'Journal'!E1406))</f>
        <v/>
      </c>
      <c r="E2810" s="5">
        <f>IF('Journal'!E1406="","",IFERROR(INDEX('Kontoplan'!$B$3:$B$302,MATCH('Journal'!E1406,'Kontoplan'!$H$3:$H$302,0)),""))</f>
        <v/>
      </c>
      <c r="F2810" s="20">
        <f>IF('Journal'!F1406="","",'Journal'!F1406)</f>
        <v/>
      </c>
      <c r="G2810" s="20">
        <f>IF('Journal'!G1406="","",'Journal'!G1406)</f>
        <v/>
      </c>
      <c r="H2810" s="5">
        <f>IF('Journal'!I1406="","",'Journal'!I1406)</f>
        <v/>
      </c>
    </row>
    <row r="2811">
      <c r="A2811" s="18">
        <f>IF('Journal'!A1407="","",'Journal'!A1407)</f>
        <v/>
      </c>
      <c r="B2811" s="21">
        <f>IF('Journal'!B1407="","",'Journal'!B1407)</f>
        <v/>
      </c>
      <c r="C2811" s="5">
        <f>IF('Journal'!C1407="","",'Journal'!C1407)</f>
        <v/>
      </c>
      <c r="D2811" s="5">
        <f>IF('Journal'!D1407="","",IFERROR(LEFT('Journal'!D1407,FIND(" ",'Journal'!D1407)-1),'Journal'!D1407))</f>
        <v/>
      </c>
      <c r="E2811" s="5">
        <f>IF('Journal'!D1407="","",IFERROR(INDEX('Kontoplan'!$B$3:$B$302,MATCH('Journal'!D1407,'Kontoplan'!$H$3:$H$302,0)),""))</f>
        <v/>
      </c>
      <c r="F2811" s="20">
        <f>IF('Journal'!G1407="","",'Journal'!G1407)</f>
        <v/>
      </c>
      <c r="G2811" s="20">
        <f>IF('Journal'!F1407="","",'Journal'!F1407)</f>
        <v/>
      </c>
      <c r="H2811" s="5">
        <f>IF('Journal'!I1407="","",'Journal'!I1407)</f>
        <v/>
      </c>
    </row>
    <row r="2812">
      <c r="A2812" s="18">
        <f>IF('Journal'!A1407="","",'Journal'!A1407)</f>
        <v/>
      </c>
      <c r="B2812" s="21">
        <f>IF('Journal'!B1407="","",'Journal'!B1407)</f>
        <v/>
      </c>
      <c r="C2812" s="5">
        <f>IF('Journal'!C1407="","",'Journal'!C1407)</f>
        <v/>
      </c>
      <c r="D2812" s="5">
        <f>IF('Journal'!E1407="","",IFERROR(LEFT('Journal'!E1407,FIND(" ",'Journal'!E1407)-1),'Journal'!E1407))</f>
        <v/>
      </c>
      <c r="E2812" s="5">
        <f>IF('Journal'!E1407="","",IFERROR(INDEX('Kontoplan'!$B$3:$B$302,MATCH('Journal'!E1407,'Kontoplan'!$H$3:$H$302,0)),""))</f>
        <v/>
      </c>
      <c r="F2812" s="20">
        <f>IF('Journal'!F1407="","",'Journal'!F1407)</f>
        <v/>
      </c>
      <c r="G2812" s="20">
        <f>IF('Journal'!G1407="","",'Journal'!G1407)</f>
        <v/>
      </c>
      <c r="H2812" s="5">
        <f>IF('Journal'!I1407="","",'Journal'!I1407)</f>
        <v/>
      </c>
    </row>
    <row r="2813">
      <c r="A2813" s="18">
        <f>IF('Journal'!A1408="","",'Journal'!A1408)</f>
        <v/>
      </c>
      <c r="B2813" s="21">
        <f>IF('Journal'!B1408="","",'Journal'!B1408)</f>
        <v/>
      </c>
      <c r="C2813" s="5">
        <f>IF('Journal'!C1408="","",'Journal'!C1408)</f>
        <v/>
      </c>
      <c r="D2813" s="5">
        <f>IF('Journal'!D1408="","",IFERROR(LEFT('Journal'!D1408,FIND(" ",'Journal'!D1408)-1),'Journal'!D1408))</f>
        <v/>
      </c>
      <c r="E2813" s="5">
        <f>IF('Journal'!D1408="","",IFERROR(INDEX('Kontoplan'!$B$3:$B$302,MATCH('Journal'!D1408,'Kontoplan'!$H$3:$H$302,0)),""))</f>
        <v/>
      </c>
      <c r="F2813" s="20">
        <f>IF('Journal'!G1408="","",'Journal'!G1408)</f>
        <v/>
      </c>
      <c r="G2813" s="20">
        <f>IF('Journal'!F1408="","",'Journal'!F1408)</f>
        <v/>
      </c>
      <c r="H2813" s="5">
        <f>IF('Journal'!I1408="","",'Journal'!I1408)</f>
        <v/>
      </c>
    </row>
    <row r="2814">
      <c r="A2814" s="18">
        <f>IF('Journal'!A1408="","",'Journal'!A1408)</f>
        <v/>
      </c>
      <c r="B2814" s="21">
        <f>IF('Journal'!B1408="","",'Journal'!B1408)</f>
        <v/>
      </c>
      <c r="C2814" s="5">
        <f>IF('Journal'!C1408="","",'Journal'!C1408)</f>
        <v/>
      </c>
      <c r="D2814" s="5">
        <f>IF('Journal'!E1408="","",IFERROR(LEFT('Journal'!E1408,FIND(" ",'Journal'!E1408)-1),'Journal'!E1408))</f>
        <v/>
      </c>
      <c r="E2814" s="5">
        <f>IF('Journal'!E1408="","",IFERROR(INDEX('Kontoplan'!$B$3:$B$302,MATCH('Journal'!E1408,'Kontoplan'!$H$3:$H$302,0)),""))</f>
        <v/>
      </c>
      <c r="F2814" s="20">
        <f>IF('Journal'!F1408="","",'Journal'!F1408)</f>
        <v/>
      </c>
      <c r="G2814" s="20">
        <f>IF('Journal'!G1408="","",'Journal'!G1408)</f>
        <v/>
      </c>
      <c r="H2814" s="5">
        <f>IF('Journal'!I1408="","",'Journal'!I1408)</f>
        <v/>
      </c>
    </row>
    <row r="2815">
      <c r="A2815" s="18">
        <f>IF('Journal'!A1409="","",'Journal'!A1409)</f>
        <v/>
      </c>
      <c r="B2815" s="21">
        <f>IF('Journal'!B1409="","",'Journal'!B1409)</f>
        <v/>
      </c>
      <c r="C2815" s="5">
        <f>IF('Journal'!C1409="","",'Journal'!C1409)</f>
        <v/>
      </c>
      <c r="D2815" s="5">
        <f>IF('Journal'!D1409="","",IFERROR(LEFT('Journal'!D1409,FIND(" ",'Journal'!D1409)-1),'Journal'!D1409))</f>
        <v/>
      </c>
      <c r="E2815" s="5">
        <f>IF('Journal'!D1409="","",IFERROR(INDEX('Kontoplan'!$B$3:$B$302,MATCH('Journal'!D1409,'Kontoplan'!$H$3:$H$302,0)),""))</f>
        <v/>
      </c>
      <c r="F2815" s="20">
        <f>IF('Journal'!G1409="","",'Journal'!G1409)</f>
        <v/>
      </c>
      <c r="G2815" s="20">
        <f>IF('Journal'!F1409="","",'Journal'!F1409)</f>
        <v/>
      </c>
      <c r="H2815" s="5">
        <f>IF('Journal'!I1409="","",'Journal'!I1409)</f>
        <v/>
      </c>
    </row>
    <row r="2816">
      <c r="A2816" s="18">
        <f>IF('Journal'!A1409="","",'Journal'!A1409)</f>
        <v/>
      </c>
      <c r="B2816" s="21">
        <f>IF('Journal'!B1409="","",'Journal'!B1409)</f>
        <v/>
      </c>
      <c r="C2816" s="5">
        <f>IF('Journal'!C1409="","",'Journal'!C1409)</f>
        <v/>
      </c>
      <c r="D2816" s="5">
        <f>IF('Journal'!E1409="","",IFERROR(LEFT('Journal'!E1409,FIND(" ",'Journal'!E1409)-1),'Journal'!E1409))</f>
        <v/>
      </c>
      <c r="E2816" s="5">
        <f>IF('Journal'!E1409="","",IFERROR(INDEX('Kontoplan'!$B$3:$B$302,MATCH('Journal'!E1409,'Kontoplan'!$H$3:$H$302,0)),""))</f>
        <v/>
      </c>
      <c r="F2816" s="20">
        <f>IF('Journal'!F1409="","",'Journal'!F1409)</f>
        <v/>
      </c>
      <c r="G2816" s="20">
        <f>IF('Journal'!G1409="","",'Journal'!G1409)</f>
        <v/>
      </c>
      <c r="H2816" s="5">
        <f>IF('Journal'!I1409="","",'Journal'!I1409)</f>
        <v/>
      </c>
    </row>
    <row r="2817">
      <c r="A2817" s="18">
        <f>IF('Journal'!A1410="","",'Journal'!A1410)</f>
        <v/>
      </c>
      <c r="B2817" s="21">
        <f>IF('Journal'!B1410="","",'Journal'!B1410)</f>
        <v/>
      </c>
      <c r="C2817" s="5">
        <f>IF('Journal'!C1410="","",'Journal'!C1410)</f>
        <v/>
      </c>
      <c r="D2817" s="5">
        <f>IF('Journal'!D1410="","",IFERROR(LEFT('Journal'!D1410,FIND(" ",'Journal'!D1410)-1),'Journal'!D1410))</f>
        <v/>
      </c>
      <c r="E2817" s="5">
        <f>IF('Journal'!D1410="","",IFERROR(INDEX('Kontoplan'!$B$3:$B$302,MATCH('Journal'!D1410,'Kontoplan'!$H$3:$H$302,0)),""))</f>
        <v/>
      </c>
      <c r="F2817" s="20">
        <f>IF('Journal'!G1410="","",'Journal'!G1410)</f>
        <v/>
      </c>
      <c r="G2817" s="20">
        <f>IF('Journal'!F1410="","",'Journal'!F1410)</f>
        <v/>
      </c>
      <c r="H2817" s="5">
        <f>IF('Journal'!I1410="","",'Journal'!I1410)</f>
        <v/>
      </c>
    </row>
    <row r="2818">
      <c r="A2818" s="18">
        <f>IF('Journal'!A1410="","",'Journal'!A1410)</f>
        <v/>
      </c>
      <c r="B2818" s="21">
        <f>IF('Journal'!B1410="","",'Journal'!B1410)</f>
        <v/>
      </c>
      <c r="C2818" s="5">
        <f>IF('Journal'!C1410="","",'Journal'!C1410)</f>
        <v/>
      </c>
      <c r="D2818" s="5">
        <f>IF('Journal'!E1410="","",IFERROR(LEFT('Journal'!E1410,FIND(" ",'Journal'!E1410)-1),'Journal'!E1410))</f>
        <v/>
      </c>
      <c r="E2818" s="5">
        <f>IF('Journal'!E1410="","",IFERROR(INDEX('Kontoplan'!$B$3:$B$302,MATCH('Journal'!E1410,'Kontoplan'!$H$3:$H$302,0)),""))</f>
        <v/>
      </c>
      <c r="F2818" s="20">
        <f>IF('Journal'!F1410="","",'Journal'!F1410)</f>
        <v/>
      </c>
      <c r="G2818" s="20">
        <f>IF('Journal'!G1410="","",'Journal'!G1410)</f>
        <v/>
      </c>
      <c r="H2818" s="5">
        <f>IF('Journal'!I1410="","",'Journal'!I1410)</f>
        <v/>
      </c>
    </row>
    <row r="2819">
      <c r="A2819" s="18">
        <f>IF('Journal'!A1411="","",'Journal'!A1411)</f>
        <v/>
      </c>
      <c r="B2819" s="21">
        <f>IF('Journal'!B1411="","",'Journal'!B1411)</f>
        <v/>
      </c>
      <c r="C2819" s="5">
        <f>IF('Journal'!C1411="","",'Journal'!C1411)</f>
        <v/>
      </c>
      <c r="D2819" s="5">
        <f>IF('Journal'!D1411="","",IFERROR(LEFT('Journal'!D1411,FIND(" ",'Journal'!D1411)-1),'Journal'!D1411))</f>
        <v/>
      </c>
      <c r="E2819" s="5">
        <f>IF('Journal'!D1411="","",IFERROR(INDEX('Kontoplan'!$B$3:$B$302,MATCH('Journal'!D1411,'Kontoplan'!$H$3:$H$302,0)),""))</f>
        <v/>
      </c>
      <c r="F2819" s="20">
        <f>IF('Journal'!G1411="","",'Journal'!G1411)</f>
        <v/>
      </c>
      <c r="G2819" s="20">
        <f>IF('Journal'!F1411="","",'Journal'!F1411)</f>
        <v/>
      </c>
      <c r="H2819" s="5">
        <f>IF('Journal'!I1411="","",'Journal'!I1411)</f>
        <v/>
      </c>
    </row>
    <row r="2820">
      <c r="A2820" s="18">
        <f>IF('Journal'!A1411="","",'Journal'!A1411)</f>
        <v/>
      </c>
      <c r="B2820" s="21">
        <f>IF('Journal'!B1411="","",'Journal'!B1411)</f>
        <v/>
      </c>
      <c r="C2820" s="5">
        <f>IF('Journal'!C1411="","",'Journal'!C1411)</f>
        <v/>
      </c>
      <c r="D2820" s="5">
        <f>IF('Journal'!E1411="","",IFERROR(LEFT('Journal'!E1411,FIND(" ",'Journal'!E1411)-1),'Journal'!E1411))</f>
        <v/>
      </c>
      <c r="E2820" s="5">
        <f>IF('Journal'!E1411="","",IFERROR(INDEX('Kontoplan'!$B$3:$B$302,MATCH('Journal'!E1411,'Kontoplan'!$H$3:$H$302,0)),""))</f>
        <v/>
      </c>
      <c r="F2820" s="20">
        <f>IF('Journal'!F1411="","",'Journal'!F1411)</f>
        <v/>
      </c>
      <c r="G2820" s="20">
        <f>IF('Journal'!G1411="","",'Journal'!G1411)</f>
        <v/>
      </c>
      <c r="H2820" s="5">
        <f>IF('Journal'!I1411="","",'Journal'!I1411)</f>
        <v/>
      </c>
    </row>
    <row r="2821">
      <c r="A2821" s="18">
        <f>IF('Journal'!A1412="","",'Journal'!A1412)</f>
        <v/>
      </c>
      <c r="B2821" s="21">
        <f>IF('Journal'!B1412="","",'Journal'!B1412)</f>
        <v/>
      </c>
      <c r="C2821" s="5">
        <f>IF('Journal'!C1412="","",'Journal'!C1412)</f>
        <v/>
      </c>
      <c r="D2821" s="5">
        <f>IF('Journal'!D1412="","",IFERROR(LEFT('Journal'!D1412,FIND(" ",'Journal'!D1412)-1),'Journal'!D1412))</f>
        <v/>
      </c>
      <c r="E2821" s="5">
        <f>IF('Journal'!D1412="","",IFERROR(INDEX('Kontoplan'!$B$3:$B$302,MATCH('Journal'!D1412,'Kontoplan'!$H$3:$H$302,0)),""))</f>
        <v/>
      </c>
      <c r="F2821" s="20">
        <f>IF('Journal'!G1412="","",'Journal'!G1412)</f>
        <v/>
      </c>
      <c r="G2821" s="20">
        <f>IF('Journal'!F1412="","",'Journal'!F1412)</f>
        <v/>
      </c>
      <c r="H2821" s="5">
        <f>IF('Journal'!I1412="","",'Journal'!I1412)</f>
        <v/>
      </c>
    </row>
    <row r="2822">
      <c r="A2822" s="18">
        <f>IF('Journal'!A1412="","",'Journal'!A1412)</f>
        <v/>
      </c>
      <c r="B2822" s="21">
        <f>IF('Journal'!B1412="","",'Journal'!B1412)</f>
        <v/>
      </c>
      <c r="C2822" s="5">
        <f>IF('Journal'!C1412="","",'Journal'!C1412)</f>
        <v/>
      </c>
      <c r="D2822" s="5">
        <f>IF('Journal'!E1412="","",IFERROR(LEFT('Journal'!E1412,FIND(" ",'Journal'!E1412)-1),'Journal'!E1412))</f>
        <v/>
      </c>
      <c r="E2822" s="5">
        <f>IF('Journal'!E1412="","",IFERROR(INDEX('Kontoplan'!$B$3:$B$302,MATCH('Journal'!E1412,'Kontoplan'!$H$3:$H$302,0)),""))</f>
        <v/>
      </c>
      <c r="F2822" s="20">
        <f>IF('Journal'!F1412="","",'Journal'!F1412)</f>
        <v/>
      </c>
      <c r="G2822" s="20">
        <f>IF('Journal'!G1412="","",'Journal'!G1412)</f>
        <v/>
      </c>
      <c r="H2822" s="5">
        <f>IF('Journal'!I1412="","",'Journal'!I1412)</f>
        <v/>
      </c>
    </row>
    <row r="2823">
      <c r="A2823" s="18">
        <f>IF('Journal'!A1413="","",'Journal'!A1413)</f>
        <v/>
      </c>
      <c r="B2823" s="21">
        <f>IF('Journal'!B1413="","",'Journal'!B1413)</f>
        <v/>
      </c>
      <c r="C2823" s="5">
        <f>IF('Journal'!C1413="","",'Journal'!C1413)</f>
        <v/>
      </c>
      <c r="D2823" s="5">
        <f>IF('Journal'!D1413="","",IFERROR(LEFT('Journal'!D1413,FIND(" ",'Journal'!D1413)-1),'Journal'!D1413))</f>
        <v/>
      </c>
      <c r="E2823" s="5">
        <f>IF('Journal'!D1413="","",IFERROR(INDEX('Kontoplan'!$B$3:$B$302,MATCH('Journal'!D1413,'Kontoplan'!$H$3:$H$302,0)),""))</f>
        <v/>
      </c>
      <c r="F2823" s="20">
        <f>IF('Journal'!G1413="","",'Journal'!G1413)</f>
        <v/>
      </c>
      <c r="G2823" s="20">
        <f>IF('Journal'!F1413="","",'Journal'!F1413)</f>
        <v/>
      </c>
      <c r="H2823" s="5">
        <f>IF('Journal'!I1413="","",'Journal'!I1413)</f>
        <v/>
      </c>
    </row>
    <row r="2824">
      <c r="A2824" s="18">
        <f>IF('Journal'!A1413="","",'Journal'!A1413)</f>
        <v/>
      </c>
      <c r="B2824" s="21">
        <f>IF('Journal'!B1413="","",'Journal'!B1413)</f>
        <v/>
      </c>
      <c r="C2824" s="5">
        <f>IF('Journal'!C1413="","",'Journal'!C1413)</f>
        <v/>
      </c>
      <c r="D2824" s="5">
        <f>IF('Journal'!E1413="","",IFERROR(LEFT('Journal'!E1413,FIND(" ",'Journal'!E1413)-1),'Journal'!E1413))</f>
        <v/>
      </c>
      <c r="E2824" s="5">
        <f>IF('Journal'!E1413="","",IFERROR(INDEX('Kontoplan'!$B$3:$B$302,MATCH('Journal'!E1413,'Kontoplan'!$H$3:$H$302,0)),""))</f>
        <v/>
      </c>
      <c r="F2824" s="20">
        <f>IF('Journal'!F1413="","",'Journal'!F1413)</f>
        <v/>
      </c>
      <c r="G2824" s="20">
        <f>IF('Journal'!G1413="","",'Journal'!G1413)</f>
        <v/>
      </c>
      <c r="H2824" s="5">
        <f>IF('Journal'!I1413="","",'Journal'!I1413)</f>
        <v/>
      </c>
    </row>
    <row r="2825">
      <c r="A2825" s="18">
        <f>IF('Journal'!A1414="","",'Journal'!A1414)</f>
        <v/>
      </c>
      <c r="B2825" s="21">
        <f>IF('Journal'!B1414="","",'Journal'!B1414)</f>
        <v/>
      </c>
      <c r="C2825" s="5">
        <f>IF('Journal'!C1414="","",'Journal'!C1414)</f>
        <v/>
      </c>
      <c r="D2825" s="5">
        <f>IF('Journal'!D1414="","",IFERROR(LEFT('Journal'!D1414,FIND(" ",'Journal'!D1414)-1),'Journal'!D1414))</f>
        <v/>
      </c>
      <c r="E2825" s="5">
        <f>IF('Journal'!D1414="","",IFERROR(INDEX('Kontoplan'!$B$3:$B$302,MATCH('Journal'!D1414,'Kontoplan'!$H$3:$H$302,0)),""))</f>
        <v/>
      </c>
      <c r="F2825" s="20">
        <f>IF('Journal'!G1414="","",'Journal'!G1414)</f>
        <v/>
      </c>
      <c r="G2825" s="20">
        <f>IF('Journal'!F1414="","",'Journal'!F1414)</f>
        <v/>
      </c>
      <c r="H2825" s="5">
        <f>IF('Journal'!I1414="","",'Journal'!I1414)</f>
        <v/>
      </c>
    </row>
    <row r="2826">
      <c r="A2826" s="18">
        <f>IF('Journal'!A1414="","",'Journal'!A1414)</f>
        <v/>
      </c>
      <c r="B2826" s="21">
        <f>IF('Journal'!B1414="","",'Journal'!B1414)</f>
        <v/>
      </c>
      <c r="C2826" s="5">
        <f>IF('Journal'!C1414="","",'Journal'!C1414)</f>
        <v/>
      </c>
      <c r="D2826" s="5">
        <f>IF('Journal'!E1414="","",IFERROR(LEFT('Journal'!E1414,FIND(" ",'Journal'!E1414)-1),'Journal'!E1414))</f>
        <v/>
      </c>
      <c r="E2826" s="5">
        <f>IF('Journal'!E1414="","",IFERROR(INDEX('Kontoplan'!$B$3:$B$302,MATCH('Journal'!E1414,'Kontoplan'!$H$3:$H$302,0)),""))</f>
        <v/>
      </c>
      <c r="F2826" s="20">
        <f>IF('Journal'!F1414="","",'Journal'!F1414)</f>
        <v/>
      </c>
      <c r="G2826" s="20">
        <f>IF('Journal'!G1414="","",'Journal'!G1414)</f>
        <v/>
      </c>
      <c r="H2826" s="5">
        <f>IF('Journal'!I1414="","",'Journal'!I1414)</f>
        <v/>
      </c>
    </row>
    <row r="2827">
      <c r="A2827" s="18">
        <f>IF('Journal'!A1415="","",'Journal'!A1415)</f>
        <v/>
      </c>
      <c r="B2827" s="21">
        <f>IF('Journal'!B1415="","",'Journal'!B1415)</f>
        <v/>
      </c>
      <c r="C2827" s="5">
        <f>IF('Journal'!C1415="","",'Journal'!C1415)</f>
        <v/>
      </c>
      <c r="D2827" s="5">
        <f>IF('Journal'!D1415="","",IFERROR(LEFT('Journal'!D1415,FIND(" ",'Journal'!D1415)-1),'Journal'!D1415))</f>
        <v/>
      </c>
      <c r="E2827" s="5">
        <f>IF('Journal'!D1415="","",IFERROR(INDEX('Kontoplan'!$B$3:$B$302,MATCH('Journal'!D1415,'Kontoplan'!$H$3:$H$302,0)),""))</f>
        <v/>
      </c>
      <c r="F2827" s="20">
        <f>IF('Journal'!G1415="","",'Journal'!G1415)</f>
        <v/>
      </c>
      <c r="G2827" s="20">
        <f>IF('Journal'!F1415="","",'Journal'!F1415)</f>
        <v/>
      </c>
      <c r="H2827" s="5">
        <f>IF('Journal'!I1415="","",'Journal'!I1415)</f>
        <v/>
      </c>
    </row>
    <row r="2828">
      <c r="A2828" s="18">
        <f>IF('Journal'!A1415="","",'Journal'!A1415)</f>
        <v/>
      </c>
      <c r="B2828" s="21">
        <f>IF('Journal'!B1415="","",'Journal'!B1415)</f>
        <v/>
      </c>
      <c r="C2828" s="5">
        <f>IF('Journal'!C1415="","",'Journal'!C1415)</f>
        <v/>
      </c>
      <c r="D2828" s="5">
        <f>IF('Journal'!E1415="","",IFERROR(LEFT('Journal'!E1415,FIND(" ",'Journal'!E1415)-1),'Journal'!E1415))</f>
        <v/>
      </c>
      <c r="E2828" s="5">
        <f>IF('Journal'!E1415="","",IFERROR(INDEX('Kontoplan'!$B$3:$B$302,MATCH('Journal'!E1415,'Kontoplan'!$H$3:$H$302,0)),""))</f>
        <v/>
      </c>
      <c r="F2828" s="20">
        <f>IF('Journal'!F1415="","",'Journal'!F1415)</f>
        <v/>
      </c>
      <c r="G2828" s="20">
        <f>IF('Journal'!G1415="","",'Journal'!G1415)</f>
        <v/>
      </c>
      <c r="H2828" s="5">
        <f>IF('Journal'!I1415="","",'Journal'!I1415)</f>
        <v/>
      </c>
    </row>
    <row r="2829">
      <c r="A2829" s="18">
        <f>IF('Journal'!A1416="","",'Journal'!A1416)</f>
        <v/>
      </c>
      <c r="B2829" s="21">
        <f>IF('Journal'!B1416="","",'Journal'!B1416)</f>
        <v/>
      </c>
      <c r="C2829" s="5">
        <f>IF('Journal'!C1416="","",'Journal'!C1416)</f>
        <v/>
      </c>
      <c r="D2829" s="5">
        <f>IF('Journal'!D1416="","",IFERROR(LEFT('Journal'!D1416,FIND(" ",'Journal'!D1416)-1),'Journal'!D1416))</f>
        <v/>
      </c>
      <c r="E2829" s="5">
        <f>IF('Journal'!D1416="","",IFERROR(INDEX('Kontoplan'!$B$3:$B$302,MATCH('Journal'!D1416,'Kontoplan'!$H$3:$H$302,0)),""))</f>
        <v/>
      </c>
      <c r="F2829" s="20">
        <f>IF('Journal'!G1416="","",'Journal'!G1416)</f>
        <v/>
      </c>
      <c r="G2829" s="20">
        <f>IF('Journal'!F1416="","",'Journal'!F1416)</f>
        <v/>
      </c>
      <c r="H2829" s="5">
        <f>IF('Journal'!I1416="","",'Journal'!I1416)</f>
        <v/>
      </c>
    </row>
    <row r="2830">
      <c r="A2830" s="18">
        <f>IF('Journal'!A1416="","",'Journal'!A1416)</f>
        <v/>
      </c>
      <c r="B2830" s="21">
        <f>IF('Journal'!B1416="","",'Journal'!B1416)</f>
        <v/>
      </c>
      <c r="C2830" s="5">
        <f>IF('Journal'!C1416="","",'Journal'!C1416)</f>
        <v/>
      </c>
      <c r="D2830" s="5">
        <f>IF('Journal'!E1416="","",IFERROR(LEFT('Journal'!E1416,FIND(" ",'Journal'!E1416)-1),'Journal'!E1416))</f>
        <v/>
      </c>
      <c r="E2830" s="5">
        <f>IF('Journal'!E1416="","",IFERROR(INDEX('Kontoplan'!$B$3:$B$302,MATCH('Journal'!E1416,'Kontoplan'!$H$3:$H$302,0)),""))</f>
        <v/>
      </c>
      <c r="F2830" s="20">
        <f>IF('Journal'!F1416="","",'Journal'!F1416)</f>
        <v/>
      </c>
      <c r="G2830" s="20">
        <f>IF('Journal'!G1416="","",'Journal'!G1416)</f>
        <v/>
      </c>
      <c r="H2830" s="5">
        <f>IF('Journal'!I1416="","",'Journal'!I1416)</f>
        <v/>
      </c>
    </row>
    <row r="2831">
      <c r="A2831" s="18">
        <f>IF('Journal'!A1417="","",'Journal'!A1417)</f>
        <v/>
      </c>
      <c r="B2831" s="21">
        <f>IF('Journal'!B1417="","",'Journal'!B1417)</f>
        <v/>
      </c>
      <c r="C2831" s="5">
        <f>IF('Journal'!C1417="","",'Journal'!C1417)</f>
        <v/>
      </c>
      <c r="D2831" s="5">
        <f>IF('Journal'!D1417="","",IFERROR(LEFT('Journal'!D1417,FIND(" ",'Journal'!D1417)-1),'Journal'!D1417))</f>
        <v/>
      </c>
      <c r="E2831" s="5">
        <f>IF('Journal'!D1417="","",IFERROR(INDEX('Kontoplan'!$B$3:$B$302,MATCH('Journal'!D1417,'Kontoplan'!$H$3:$H$302,0)),""))</f>
        <v/>
      </c>
      <c r="F2831" s="20">
        <f>IF('Journal'!G1417="","",'Journal'!G1417)</f>
        <v/>
      </c>
      <c r="G2831" s="20">
        <f>IF('Journal'!F1417="","",'Journal'!F1417)</f>
        <v/>
      </c>
      <c r="H2831" s="5">
        <f>IF('Journal'!I1417="","",'Journal'!I1417)</f>
        <v/>
      </c>
    </row>
    <row r="2832">
      <c r="A2832" s="18">
        <f>IF('Journal'!A1417="","",'Journal'!A1417)</f>
        <v/>
      </c>
      <c r="B2832" s="21">
        <f>IF('Journal'!B1417="","",'Journal'!B1417)</f>
        <v/>
      </c>
      <c r="C2832" s="5">
        <f>IF('Journal'!C1417="","",'Journal'!C1417)</f>
        <v/>
      </c>
      <c r="D2832" s="5">
        <f>IF('Journal'!E1417="","",IFERROR(LEFT('Journal'!E1417,FIND(" ",'Journal'!E1417)-1),'Journal'!E1417))</f>
        <v/>
      </c>
      <c r="E2832" s="5">
        <f>IF('Journal'!E1417="","",IFERROR(INDEX('Kontoplan'!$B$3:$B$302,MATCH('Journal'!E1417,'Kontoplan'!$H$3:$H$302,0)),""))</f>
        <v/>
      </c>
      <c r="F2832" s="20">
        <f>IF('Journal'!F1417="","",'Journal'!F1417)</f>
        <v/>
      </c>
      <c r="G2832" s="20">
        <f>IF('Journal'!G1417="","",'Journal'!G1417)</f>
        <v/>
      </c>
      <c r="H2832" s="5">
        <f>IF('Journal'!I1417="","",'Journal'!I1417)</f>
        <v/>
      </c>
    </row>
    <row r="2833">
      <c r="A2833" s="18">
        <f>IF('Journal'!A1418="","",'Journal'!A1418)</f>
        <v/>
      </c>
      <c r="B2833" s="21">
        <f>IF('Journal'!B1418="","",'Journal'!B1418)</f>
        <v/>
      </c>
      <c r="C2833" s="5">
        <f>IF('Journal'!C1418="","",'Journal'!C1418)</f>
        <v/>
      </c>
      <c r="D2833" s="5">
        <f>IF('Journal'!D1418="","",IFERROR(LEFT('Journal'!D1418,FIND(" ",'Journal'!D1418)-1),'Journal'!D1418))</f>
        <v/>
      </c>
      <c r="E2833" s="5">
        <f>IF('Journal'!D1418="","",IFERROR(INDEX('Kontoplan'!$B$3:$B$302,MATCH('Journal'!D1418,'Kontoplan'!$H$3:$H$302,0)),""))</f>
        <v/>
      </c>
      <c r="F2833" s="20">
        <f>IF('Journal'!G1418="","",'Journal'!G1418)</f>
        <v/>
      </c>
      <c r="G2833" s="20">
        <f>IF('Journal'!F1418="","",'Journal'!F1418)</f>
        <v/>
      </c>
      <c r="H2833" s="5">
        <f>IF('Journal'!I1418="","",'Journal'!I1418)</f>
        <v/>
      </c>
    </row>
    <row r="2834">
      <c r="A2834" s="18">
        <f>IF('Journal'!A1418="","",'Journal'!A1418)</f>
        <v/>
      </c>
      <c r="B2834" s="21">
        <f>IF('Journal'!B1418="","",'Journal'!B1418)</f>
        <v/>
      </c>
      <c r="C2834" s="5">
        <f>IF('Journal'!C1418="","",'Journal'!C1418)</f>
        <v/>
      </c>
      <c r="D2834" s="5">
        <f>IF('Journal'!E1418="","",IFERROR(LEFT('Journal'!E1418,FIND(" ",'Journal'!E1418)-1),'Journal'!E1418))</f>
        <v/>
      </c>
      <c r="E2834" s="5">
        <f>IF('Journal'!E1418="","",IFERROR(INDEX('Kontoplan'!$B$3:$B$302,MATCH('Journal'!E1418,'Kontoplan'!$H$3:$H$302,0)),""))</f>
        <v/>
      </c>
      <c r="F2834" s="20">
        <f>IF('Journal'!F1418="","",'Journal'!F1418)</f>
        <v/>
      </c>
      <c r="G2834" s="20">
        <f>IF('Journal'!G1418="","",'Journal'!G1418)</f>
        <v/>
      </c>
      <c r="H2834" s="5">
        <f>IF('Journal'!I1418="","",'Journal'!I1418)</f>
        <v/>
      </c>
    </row>
    <row r="2835">
      <c r="A2835" s="18">
        <f>IF('Journal'!A1419="","",'Journal'!A1419)</f>
        <v/>
      </c>
      <c r="B2835" s="21">
        <f>IF('Journal'!B1419="","",'Journal'!B1419)</f>
        <v/>
      </c>
      <c r="C2835" s="5">
        <f>IF('Journal'!C1419="","",'Journal'!C1419)</f>
        <v/>
      </c>
      <c r="D2835" s="5">
        <f>IF('Journal'!D1419="","",IFERROR(LEFT('Journal'!D1419,FIND(" ",'Journal'!D1419)-1),'Journal'!D1419))</f>
        <v/>
      </c>
      <c r="E2835" s="5">
        <f>IF('Journal'!D1419="","",IFERROR(INDEX('Kontoplan'!$B$3:$B$302,MATCH('Journal'!D1419,'Kontoplan'!$H$3:$H$302,0)),""))</f>
        <v/>
      </c>
      <c r="F2835" s="20">
        <f>IF('Journal'!G1419="","",'Journal'!G1419)</f>
        <v/>
      </c>
      <c r="G2835" s="20">
        <f>IF('Journal'!F1419="","",'Journal'!F1419)</f>
        <v/>
      </c>
      <c r="H2835" s="5">
        <f>IF('Journal'!I1419="","",'Journal'!I1419)</f>
        <v/>
      </c>
    </row>
    <row r="2836">
      <c r="A2836" s="18">
        <f>IF('Journal'!A1419="","",'Journal'!A1419)</f>
        <v/>
      </c>
      <c r="B2836" s="21">
        <f>IF('Journal'!B1419="","",'Journal'!B1419)</f>
        <v/>
      </c>
      <c r="C2836" s="5">
        <f>IF('Journal'!C1419="","",'Journal'!C1419)</f>
        <v/>
      </c>
      <c r="D2836" s="5">
        <f>IF('Journal'!E1419="","",IFERROR(LEFT('Journal'!E1419,FIND(" ",'Journal'!E1419)-1),'Journal'!E1419))</f>
        <v/>
      </c>
      <c r="E2836" s="5">
        <f>IF('Journal'!E1419="","",IFERROR(INDEX('Kontoplan'!$B$3:$B$302,MATCH('Journal'!E1419,'Kontoplan'!$H$3:$H$302,0)),""))</f>
        <v/>
      </c>
      <c r="F2836" s="20">
        <f>IF('Journal'!F1419="","",'Journal'!F1419)</f>
        <v/>
      </c>
      <c r="G2836" s="20">
        <f>IF('Journal'!G1419="","",'Journal'!G1419)</f>
        <v/>
      </c>
      <c r="H2836" s="5">
        <f>IF('Journal'!I1419="","",'Journal'!I1419)</f>
        <v/>
      </c>
    </row>
    <row r="2837">
      <c r="A2837" s="18">
        <f>IF('Journal'!A1420="","",'Journal'!A1420)</f>
        <v/>
      </c>
      <c r="B2837" s="21">
        <f>IF('Journal'!B1420="","",'Journal'!B1420)</f>
        <v/>
      </c>
      <c r="C2837" s="5">
        <f>IF('Journal'!C1420="","",'Journal'!C1420)</f>
        <v/>
      </c>
      <c r="D2837" s="5">
        <f>IF('Journal'!D1420="","",IFERROR(LEFT('Journal'!D1420,FIND(" ",'Journal'!D1420)-1),'Journal'!D1420))</f>
        <v/>
      </c>
      <c r="E2837" s="5">
        <f>IF('Journal'!D1420="","",IFERROR(INDEX('Kontoplan'!$B$3:$B$302,MATCH('Journal'!D1420,'Kontoplan'!$H$3:$H$302,0)),""))</f>
        <v/>
      </c>
      <c r="F2837" s="20">
        <f>IF('Journal'!G1420="","",'Journal'!G1420)</f>
        <v/>
      </c>
      <c r="G2837" s="20">
        <f>IF('Journal'!F1420="","",'Journal'!F1420)</f>
        <v/>
      </c>
      <c r="H2837" s="5">
        <f>IF('Journal'!I1420="","",'Journal'!I1420)</f>
        <v/>
      </c>
    </row>
    <row r="2838">
      <c r="A2838" s="18">
        <f>IF('Journal'!A1420="","",'Journal'!A1420)</f>
        <v/>
      </c>
      <c r="B2838" s="21">
        <f>IF('Journal'!B1420="","",'Journal'!B1420)</f>
        <v/>
      </c>
      <c r="C2838" s="5">
        <f>IF('Journal'!C1420="","",'Journal'!C1420)</f>
        <v/>
      </c>
      <c r="D2838" s="5">
        <f>IF('Journal'!E1420="","",IFERROR(LEFT('Journal'!E1420,FIND(" ",'Journal'!E1420)-1),'Journal'!E1420))</f>
        <v/>
      </c>
      <c r="E2838" s="5">
        <f>IF('Journal'!E1420="","",IFERROR(INDEX('Kontoplan'!$B$3:$B$302,MATCH('Journal'!E1420,'Kontoplan'!$H$3:$H$302,0)),""))</f>
        <v/>
      </c>
      <c r="F2838" s="20">
        <f>IF('Journal'!F1420="","",'Journal'!F1420)</f>
        <v/>
      </c>
      <c r="G2838" s="20">
        <f>IF('Journal'!G1420="","",'Journal'!G1420)</f>
        <v/>
      </c>
      <c r="H2838" s="5">
        <f>IF('Journal'!I1420="","",'Journal'!I1420)</f>
        <v/>
      </c>
    </row>
    <row r="2839">
      <c r="A2839" s="18">
        <f>IF('Journal'!A1421="","",'Journal'!A1421)</f>
        <v/>
      </c>
      <c r="B2839" s="21">
        <f>IF('Journal'!B1421="","",'Journal'!B1421)</f>
        <v/>
      </c>
      <c r="C2839" s="5">
        <f>IF('Journal'!C1421="","",'Journal'!C1421)</f>
        <v/>
      </c>
      <c r="D2839" s="5">
        <f>IF('Journal'!D1421="","",IFERROR(LEFT('Journal'!D1421,FIND(" ",'Journal'!D1421)-1),'Journal'!D1421))</f>
        <v/>
      </c>
      <c r="E2839" s="5">
        <f>IF('Journal'!D1421="","",IFERROR(INDEX('Kontoplan'!$B$3:$B$302,MATCH('Journal'!D1421,'Kontoplan'!$H$3:$H$302,0)),""))</f>
        <v/>
      </c>
      <c r="F2839" s="20">
        <f>IF('Journal'!G1421="","",'Journal'!G1421)</f>
        <v/>
      </c>
      <c r="G2839" s="20">
        <f>IF('Journal'!F1421="","",'Journal'!F1421)</f>
        <v/>
      </c>
      <c r="H2839" s="5">
        <f>IF('Journal'!I1421="","",'Journal'!I1421)</f>
        <v/>
      </c>
    </row>
    <row r="2840">
      <c r="A2840" s="18">
        <f>IF('Journal'!A1421="","",'Journal'!A1421)</f>
        <v/>
      </c>
      <c r="B2840" s="21">
        <f>IF('Journal'!B1421="","",'Journal'!B1421)</f>
        <v/>
      </c>
      <c r="C2840" s="5">
        <f>IF('Journal'!C1421="","",'Journal'!C1421)</f>
        <v/>
      </c>
      <c r="D2840" s="5">
        <f>IF('Journal'!E1421="","",IFERROR(LEFT('Journal'!E1421,FIND(" ",'Journal'!E1421)-1),'Journal'!E1421))</f>
        <v/>
      </c>
      <c r="E2840" s="5">
        <f>IF('Journal'!E1421="","",IFERROR(INDEX('Kontoplan'!$B$3:$B$302,MATCH('Journal'!E1421,'Kontoplan'!$H$3:$H$302,0)),""))</f>
        <v/>
      </c>
      <c r="F2840" s="20">
        <f>IF('Journal'!F1421="","",'Journal'!F1421)</f>
        <v/>
      </c>
      <c r="G2840" s="20">
        <f>IF('Journal'!G1421="","",'Journal'!G1421)</f>
        <v/>
      </c>
      <c r="H2840" s="5">
        <f>IF('Journal'!I1421="","",'Journal'!I1421)</f>
        <v/>
      </c>
    </row>
    <row r="2841">
      <c r="A2841" s="18">
        <f>IF('Journal'!A1422="","",'Journal'!A1422)</f>
        <v/>
      </c>
      <c r="B2841" s="21">
        <f>IF('Journal'!B1422="","",'Journal'!B1422)</f>
        <v/>
      </c>
      <c r="C2841" s="5">
        <f>IF('Journal'!C1422="","",'Journal'!C1422)</f>
        <v/>
      </c>
      <c r="D2841" s="5">
        <f>IF('Journal'!D1422="","",IFERROR(LEFT('Journal'!D1422,FIND(" ",'Journal'!D1422)-1),'Journal'!D1422))</f>
        <v/>
      </c>
      <c r="E2841" s="5">
        <f>IF('Journal'!D1422="","",IFERROR(INDEX('Kontoplan'!$B$3:$B$302,MATCH('Journal'!D1422,'Kontoplan'!$H$3:$H$302,0)),""))</f>
        <v/>
      </c>
      <c r="F2841" s="20">
        <f>IF('Journal'!G1422="","",'Journal'!G1422)</f>
        <v/>
      </c>
      <c r="G2841" s="20">
        <f>IF('Journal'!F1422="","",'Journal'!F1422)</f>
        <v/>
      </c>
      <c r="H2841" s="5">
        <f>IF('Journal'!I1422="","",'Journal'!I1422)</f>
        <v/>
      </c>
    </row>
    <row r="2842">
      <c r="A2842" s="18">
        <f>IF('Journal'!A1422="","",'Journal'!A1422)</f>
        <v/>
      </c>
      <c r="B2842" s="21">
        <f>IF('Journal'!B1422="","",'Journal'!B1422)</f>
        <v/>
      </c>
      <c r="C2842" s="5">
        <f>IF('Journal'!C1422="","",'Journal'!C1422)</f>
        <v/>
      </c>
      <c r="D2842" s="5">
        <f>IF('Journal'!E1422="","",IFERROR(LEFT('Journal'!E1422,FIND(" ",'Journal'!E1422)-1),'Journal'!E1422))</f>
        <v/>
      </c>
      <c r="E2842" s="5">
        <f>IF('Journal'!E1422="","",IFERROR(INDEX('Kontoplan'!$B$3:$B$302,MATCH('Journal'!E1422,'Kontoplan'!$H$3:$H$302,0)),""))</f>
        <v/>
      </c>
      <c r="F2842" s="20">
        <f>IF('Journal'!F1422="","",'Journal'!F1422)</f>
        <v/>
      </c>
      <c r="G2842" s="20">
        <f>IF('Journal'!G1422="","",'Journal'!G1422)</f>
        <v/>
      </c>
      <c r="H2842" s="5">
        <f>IF('Journal'!I1422="","",'Journal'!I1422)</f>
        <v/>
      </c>
    </row>
    <row r="2843">
      <c r="A2843" s="18">
        <f>IF('Journal'!A1423="","",'Journal'!A1423)</f>
        <v/>
      </c>
      <c r="B2843" s="21">
        <f>IF('Journal'!B1423="","",'Journal'!B1423)</f>
        <v/>
      </c>
      <c r="C2843" s="5">
        <f>IF('Journal'!C1423="","",'Journal'!C1423)</f>
        <v/>
      </c>
      <c r="D2843" s="5">
        <f>IF('Journal'!D1423="","",IFERROR(LEFT('Journal'!D1423,FIND(" ",'Journal'!D1423)-1),'Journal'!D1423))</f>
        <v/>
      </c>
      <c r="E2843" s="5">
        <f>IF('Journal'!D1423="","",IFERROR(INDEX('Kontoplan'!$B$3:$B$302,MATCH('Journal'!D1423,'Kontoplan'!$H$3:$H$302,0)),""))</f>
        <v/>
      </c>
      <c r="F2843" s="20">
        <f>IF('Journal'!G1423="","",'Journal'!G1423)</f>
        <v/>
      </c>
      <c r="G2843" s="20">
        <f>IF('Journal'!F1423="","",'Journal'!F1423)</f>
        <v/>
      </c>
      <c r="H2843" s="5">
        <f>IF('Journal'!I1423="","",'Journal'!I1423)</f>
        <v/>
      </c>
    </row>
    <row r="2844">
      <c r="A2844" s="18">
        <f>IF('Journal'!A1423="","",'Journal'!A1423)</f>
        <v/>
      </c>
      <c r="B2844" s="21">
        <f>IF('Journal'!B1423="","",'Journal'!B1423)</f>
        <v/>
      </c>
      <c r="C2844" s="5">
        <f>IF('Journal'!C1423="","",'Journal'!C1423)</f>
        <v/>
      </c>
      <c r="D2844" s="5">
        <f>IF('Journal'!E1423="","",IFERROR(LEFT('Journal'!E1423,FIND(" ",'Journal'!E1423)-1),'Journal'!E1423))</f>
        <v/>
      </c>
      <c r="E2844" s="5">
        <f>IF('Journal'!E1423="","",IFERROR(INDEX('Kontoplan'!$B$3:$B$302,MATCH('Journal'!E1423,'Kontoplan'!$H$3:$H$302,0)),""))</f>
        <v/>
      </c>
      <c r="F2844" s="20">
        <f>IF('Journal'!F1423="","",'Journal'!F1423)</f>
        <v/>
      </c>
      <c r="G2844" s="20">
        <f>IF('Journal'!G1423="","",'Journal'!G1423)</f>
        <v/>
      </c>
      <c r="H2844" s="5">
        <f>IF('Journal'!I1423="","",'Journal'!I1423)</f>
        <v/>
      </c>
    </row>
    <row r="2845">
      <c r="A2845" s="18">
        <f>IF('Journal'!A1424="","",'Journal'!A1424)</f>
        <v/>
      </c>
      <c r="B2845" s="21">
        <f>IF('Journal'!B1424="","",'Journal'!B1424)</f>
        <v/>
      </c>
      <c r="C2845" s="5">
        <f>IF('Journal'!C1424="","",'Journal'!C1424)</f>
        <v/>
      </c>
      <c r="D2845" s="5">
        <f>IF('Journal'!D1424="","",IFERROR(LEFT('Journal'!D1424,FIND(" ",'Journal'!D1424)-1),'Journal'!D1424))</f>
        <v/>
      </c>
      <c r="E2845" s="5">
        <f>IF('Journal'!D1424="","",IFERROR(INDEX('Kontoplan'!$B$3:$B$302,MATCH('Journal'!D1424,'Kontoplan'!$H$3:$H$302,0)),""))</f>
        <v/>
      </c>
      <c r="F2845" s="20">
        <f>IF('Journal'!G1424="","",'Journal'!G1424)</f>
        <v/>
      </c>
      <c r="G2845" s="20">
        <f>IF('Journal'!F1424="","",'Journal'!F1424)</f>
        <v/>
      </c>
      <c r="H2845" s="5">
        <f>IF('Journal'!I1424="","",'Journal'!I1424)</f>
        <v/>
      </c>
    </row>
    <row r="2846">
      <c r="A2846" s="18">
        <f>IF('Journal'!A1424="","",'Journal'!A1424)</f>
        <v/>
      </c>
      <c r="B2846" s="21">
        <f>IF('Journal'!B1424="","",'Journal'!B1424)</f>
        <v/>
      </c>
      <c r="C2846" s="5">
        <f>IF('Journal'!C1424="","",'Journal'!C1424)</f>
        <v/>
      </c>
      <c r="D2846" s="5">
        <f>IF('Journal'!E1424="","",IFERROR(LEFT('Journal'!E1424,FIND(" ",'Journal'!E1424)-1),'Journal'!E1424))</f>
        <v/>
      </c>
      <c r="E2846" s="5">
        <f>IF('Journal'!E1424="","",IFERROR(INDEX('Kontoplan'!$B$3:$B$302,MATCH('Journal'!E1424,'Kontoplan'!$H$3:$H$302,0)),""))</f>
        <v/>
      </c>
      <c r="F2846" s="20">
        <f>IF('Journal'!F1424="","",'Journal'!F1424)</f>
        <v/>
      </c>
      <c r="G2846" s="20">
        <f>IF('Journal'!G1424="","",'Journal'!G1424)</f>
        <v/>
      </c>
      <c r="H2846" s="5">
        <f>IF('Journal'!I1424="","",'Journal'!I1424)</f>
        <v/>
      </c>
    </row>
    <row r="2847">
      <c r="A2847" s="18">
        <f>IF('Journal'!A1425="","",'Journal'!A1425)</f>
        <v/>
      </c>
      <c r="B2847" s="21">
        <f>IF('Journal'!B1425="","",'Journal'!B1425)</f>
        <v/>
      </c>
      <c r="C2847" s="5">
        <f>IF('Journal'!C1425="","",'Journal'!C1425)</f>
        <v/>
      </c>
      <c r="D2847" s="5">
        <f>IF('Journal'!D1425="","",IFERROR(LEFT('Journal'!D1425,FIND(" ",'Journal'!D1425)-1),'Journal'!D1425))</f>
        <v/>
      </c>
      <c r="E2847" s="5">
        <f>IF('Journal'!D1425="","",IFERROR(INDEX('Kontoplan'!$B$3:$B$302,MATCH('Journal'!D1425,'Kontoplan'!$H$3:$H$302,0)),""))</f>
        <v/>
      </c>
      <c r="F2847" s="20">
        <f>IF('Journal'!G1425="","",'Journal'!G1425)</f>
        <v/>
      </c>
      <c r="G2847" s="20">
        <f>IF('Journal'!F1425="","",'Journal'!F1425)</f>
        <v/>
      </c>
      <c r="H2847" s="5">
        <f>IF('Journal'!I1425="","",'Journal'!I1425)</f>
        <v/>
      </c>
    </row>
    <row r="2848">
      <c r="A2848" s="18">
        <f>IF('Journal'!A1425="","",'Journal'!A1425)</f>
        <v/>
      </c>
      <c r="B2848" s="21">
        <f>IF('Journal'!B1425="","",'Journal'!B1425)</f>
        <v/>
      </c>
      <c r="C2848" s="5">
        <f>IF('Journal'!C1425="","",'Journal'!C1425)</f>
        <v/>
      </c>
      <c r="D2848" s="5">
        <f>IF('Journal'!E1425="","",IFERROR(LEFT('Journal'!E1425,FIND(" ",'Journal'!E1425)-1),'Journal'!E1425))</f>
        <v/>
      </c>
      <c r="E2848" s="5">
        <f>IF('Journal'!E1425="","",IFERROR(INDEX('Kontoplan'!$B$3:$B$302,MATCH('Journal'!E1425,'Kontoplan'!$H$3:$H$302,0)),""))</f>
        <v/>
      </c>
      <c r="F2848" s="20">
        <f>IF('Journal'!F1425="","",'Journal'!F1425)</f>
        <v/>
      </c>
      <c r="G2848" s="20">
        <f>IF('Journal'!G1425="","",'Journal'!G1425)</f>
        <v/>
      </c>
      <c r="H2848" s="5">
        <f>IF('Journal'!I1425="","",'Journal'!I1425)</f>
        <v/>
      </c>
    </row>
    <row r="2849">
      <c r="A2849" s="18">
        <f>IF('Journal'!A1426="","",'Journal'!A1426)</f>
        <v/>
      </c>
      <c r="B2849" s="21">
        <f>IF('Journal'!B1426="","",'Journal'!B1426)</f>
        <v/>
      </c>
      <c r="C2849" s="5">
        <f>IF('Journal'!C1426="","",'Journal'!C1426)</f>
        <v/>
      </c>
      <c r="D2849" s="5">
        <f>IF('Journal'!D1426="","",IFERROR(LEFT('Journal'!D1426,FIND(" ",'Journal'!D1426)-1),'Journal'!D1426))</f>
        <v/>
      </c>
      <c r="E2849" s="5">
        <f>IF('Journal'!D1426="","",IFERROR(INDEX('Kontoplan'!$B$3:$B$302,MATCH('Journal'!D1426,'Kontoplan'!$H$3:$H$302,0)),""))</f>
        <v/>
      </c>
      <c r="F2849" s="20">
        <f>IF('Journal'!G1426="","",'Journal'!G1426)</f>
        <v/>
      </c>
      <c r="G2849" s="20">
        <f>IF('Journal'!F1426="","",'Journal'!F1426)</f>
        <v/>
      </c>
      <c r="H2849" s="5">
        <f>IF('Journal'!I1426="","",'Journal'!I1426)</f>
        <v/>
      </c>
    </row>
    <row r="2850">
      <c r="A2850" s="18">
        <f>IF('Journal'!A1426="","",'Journal'!A1426)</f>
        <v/>
      </c>
      <c r="B2850" s="21">
        <f>IF('Journal'!B1426="","",'Journal'!B1426)</f>
        <v/>
      </c>
      <c r="C2850" s="5">
        <f>IF('Journal'!C1426="","",'Journal'!C1426)</f>
        <v/>
      </c>
      <c r="D2850" s="5">
        <f>IF('Journal'!E1426="","",IFERROR(LEFT('Journal'!E1426,FIND(" ",'Journal'!E1426)-1),'Journal'!E1426))</f>
        <v/>
      </c>
      <c r="E2850" s="5">
        <f>IF('Journal'!E1426="","",IFERROR(INDEX('Kontoplan'!$B$3:$B$302,MATCH('Journal'!E1426,'Kontoplan'!$H$3:$H$302,0)),""))</f>
        <v/>
      </c>
      <c r="F2850" s="20">
        <f>IF('Journal'!F1426="","",'Journal'!F1426)</f>
        <v/>
      </c>
      <c r="G2850" s="20">
        <f>IF('Journal'!G1426="","",'Journal'!G1426)</f>
        <v/>
      </c>
      <c r="H2850" s="5">
        <f>IF('Journal'!I1426="","",'Journal'!I1426)</f>
        <v/>
      </c>
    </row>
    <row r="2851">
      <c r="A2851" s="18">
        <f>IF('Journal'!A1427="","",'Journal'!A1427)</f>
        <v/>
      </c>
      <c r="B2851" s="21">
        <f>IF('Journal'!B1427="","",'Journal'!B1427)</f>
        <v/>
      </c>
      <c r="C2851" s="5">
        <f>IF('Journal'!C1427="","",'Journal'!C1427)</f>
        <v/>
      </c>
      <c r="D2851" s="5">
        <f>IF('Journal'!D1427="","",IFERROR(LEFT('Journal'!D1427,FIND(" ",'Journal'!D1427)-1),'Journal'!D1427))</f>
        <v/>
      </c>
      <c r="E2851" s="5">
        <f>IF('Journal'!D1427="","",IFERROR(INDEX('Kontoplan'!$B$3:$B$302,MATCH('Journal'!D1427,'Kontoplan'!$H$3:$H$302,0)),""))</f>
        <v/>
      </c>
      <c r="F2851" s="20">
        <f>IF('Journal'!G1427="","",'Journal'!G1427)</f>
        <v/>
      </c>
      <c r="G2851" s="20">
        <f>IF('Journal'!F1427="","",'Journal'!F1427)</f>
        <v/>
      </c>
      <c r="H2851" s="5">
        <f>IF('Journal'!I1427="","",'Journal'!I1427)</f>
        <v/>
      </c>
    </row>
    <row r="2852">
      <c r="A2852" s="18">
        <f>IF('Journal'!A1427="","",'Journal'!A1427)</f>
        <v/>
      </c>
      <c r="B2852" s="21">
        <f>IF('Journal'!B1427="","",'Journal'!B1427)</f>
        <v/>
      </c>
      <c r="C2852" s="5">
        <f>IF('Journal'!C1427="","",'Journal'!C1427)</f>
        <v/>
      </c>
      <c r="D2852" s="5">
        <f>IF('Journal'!E1427="","",IFERROR(LEFT('Journal'!E1427,FIND(" ",'Journal'!E1427)-1),'Journal'!E1427))</f>
        <v/>
      </c>
      <c r="E2852" s="5">
        <f>IF('Journal'!E1427="","",IFERROR(INDEX('Kontoplan'!$B$3:$B$302,MATCH('Journal'!E1427,'Kontoplan'!$H$3:$H$302,0)),""))</f>
        <v/>
      </c>
      <c r="F2852" s="20">
        <f>IF('Journal'!F1427="","",'Journal'!F1427)</f>
        <v/>
      </c>
      <c r="G2852" s="20">
        <f>IF('Journal'!G1427="","",'Journal'!G1427)</f>
        <v/>
      </c>
      <c r="H2852" s="5">
        <f>IF('Journal'!I1427="","",'Journal'!I1427)</f>
        <v/>
      </c>
    </row>
    <row r="2853">
      <c r="A2853" s="18">
        <f>IF('Journal'!A1428="","",'Journal'!A1428)</f>
        <v/>
      </c>
      <c r="B2853" s="21">
        <f>IF('Journal'!B1428="","",'Journal'!B1428)</f>
        <v/>
      </c>
      <c r="C2853" s="5">
        <f>IF('Journal'!C1428="","",'Journal'!C1428)</f>
        <v/>
      </c>
      <c r="D2853" s="5">
        <f>IF('Journal'!D1428="","",IFERROR(LEFT('Journal'!D1428,FIND(" ",'Journal'!D1428)-1),'Journal'!D1428))</f>
        <v/>
      </c>
      <c r="E2853" s="5">
        <f>IF('Journal'!D1428="","",IFERROR(INDEX('Kontoplan'!$B$3:$B$302,MATCH('Journal'!D1428,'Kontoplan'!$H$3:$H$302,0)),""))</f>
        <v/>
      </c>
      <c r="F2853" s="20">
        <f>IF('Journal'!G1428="","",'Journal'!G1428)</f>
        <v/>
      </c>
      <c r="G2853" s="20">
        <f>IF('Journal'!F1428="","",'Journal'!F1428)</f>
        <v/>
      </c>
      <c r="H2853" s="5">
        <f>IF('Journal'!I1428="","",'Journal'!I1428)</f>
        <v/>
      </c>
    </row>
    <row r="2854">
      <c r="A2854" s="18">
        <f>IF('Journal'!A1428="","",'Journal'!A1428)</f>
        <v/>
      </c>
      <c r="B2854" s="21">
        <f>IF('Journal'!B1428="","",'Journal'!B1428)</f>
        <v/>
      </c>
      <c r="C2854" s="5">
        <f>IF('Journal'!C1428="","",'Journal'!C1428)</f>
        <v/>
      </c>
      <c r="D2854" s="5">
        <f>IF('Journal'!E1428="","",IFERROR(LEFT('Journal'!E1428,FIND(" ",'Journal'!E1428)-1),'Journal'!E1428))</f>
        <v/>
      </c>
      <c r="E2854" s="5">
        <f>IF('Journal'!E1428="","",IFERROR(INDEX('Kontoplan'!$B$3:$B$302,MATCH('Journal'!E1428,'Kontoplan'!$H$3:$H$302,0)),""))</f>
        <v/>
      </c>
      <c r="F2854" s="20">
        <f>IF('Journal'!F1428="","",'Journal'!F1428)</f>
        <v/>
      </c>
      <c r="G2854" s="20">
        <f>IF('Journal'!G1428="","",'Journal'!G1428)</f>
        <v/>
      </c>
      <c r="H2854" s="5">
        <f>IF('Journal'!I1428="","",'Journal'!I1428)</f>
        <v/>
      </c>
    </row>
    <row r="2855">
      <c r="A2855" s="18">
        <f>IF('Journal'!A1429="","",'Journal'!A1429)</f>
        <v/>
      </c>
      <c r="B2855" s="21">
        <f>IF('Journal'!B1429="","",'Journal'!B1429)</f>
        <v/>
      </c>
      <c r="C2855" s="5">
        <f>IF('Journal'!C1429="","",'Journal'!C1429)</f>
        <v/>
      </c>
      <c r="D2855" s="5">
        <f>IF('Journal'!D1429="","",IFERROR(LEFT('Journal'!D1429,FIND(" ",'Journal'!D1429)-1),'Journal'!D1429))</f>
        <v/>
      </c>
      <c r="E2855" s="5">
        <f>IF('Journal'!D1429="","",IFERROR(INDEX('Kontoplan'!$B$3:$B$302,MATCH('Journal'!D1429,'Kontoplan'!$H$3:$H$302,0)),""))</f>
        <v/>
      </c>
      <c r="F2855" s="20">
        <f>IF('Journal'!G1429="","",'Journal'!G1429)</f>
        <v/>
      </c>
      <c r="G2855" s="20">
        <f>IF('Journal'!F1429="","",'Journal'!F1429)</f>
        <v/>
      </c>
      <c r="H2855" s="5">
        <f>IF('Journal'!I1429="","",'Journal'!I1429)</f>
        <v/>
      </c>
    </row>
    <row r="2856">
      <c r="A2856" s="18">
        <f>IF('Journal'!A1429="","",'Journal'!A1429)</f>
        <v/>
      </c>
      <c r="B2856" s="21">
        <f>IF('Journal'!B1429="","",'Journal'!B1429)</f>
        <v/>
      </c>
      <c r="C2856" s="5">
        <f>IF('Journal'!C1429="","",'Journal'!C1429)</f>
        <v/>
      </c>
      <c r="D2856" s="5">
        <f>IF('Journal'!E1429="","",IFERROR(LEFT('Journal'!E1429,FIND(" ",'Journal'!E1429)-1),'Journal'!E1429))</f>
        <v/>
      </c>
      <c r="E2856" s="5">
        <f>IF('Journal'!E1429="","",IFERROR(INDEX('Kontoplan'!$B$3:$B$302,MATCH('Journal'!E1429,'Kontoplan'!$H$3:$H$302,0)),""))</f>
        <v/>
      </c>
      <c r="F2856" s="20">
        <f>IF('Journal'!F1429="","",'Journal'!F1429)</f>
        <v/>
      </c>
      <c r="G2856" s="20">
        <f>IF('Journal'!G1429="","",'Journal'!G1429)</f>
        <v/>
      </c>
      <c r="H2856" s="5">
        <f>IF('Journal'!I1429="","",'Journal'!I1429)</f>
        <v/>
      </c>
    </row>
    <row r="2857">
      <c r="A2857" s="18">
        <f>IF('Journal'!A1430="","",'Journal'!A1430)</f>
        <v/>
      </c>
      <c r="B2857" s="21">
        <f>IF('Journal'!B1430="","",'Journal'!B1430)</f>
        <v/>
      </c>
      <c r="C2857" s="5">
        <f>IF('Journal'!C1430="","",'Journal'!C1430)</f>
        <v/>
      </c>
      <c r="D2857" s="5">
        <f>IF('Journal'!D1430="","",IFERROR(LEFT('Journal'!D1430,FIND(" ",'Journal'!D1430)-1),'Journal'!D1430))</f>
        <v/>
      </c>
      <c r="E2857" s="5">
        <f>IF('Journal'!D1430="","",IFERROR(INDEX('Kontoplan'!$B$3:$B$302,MATCH('Journal'!D1430,'Kontoplan'!$H$3:$H$302,0)),""))</f>
        <v/>
      </c>
      <c r="F2857" s="20">
        <f>IF('Journal'!G1430="","",'Journal'!G1430)</f>
        <v/>
      </c>
      <c r="G2857" s="20">
        <f>IF('Journal'!F1430="","",'Journal'!F1430)</f>
        <v/>
      </c>
      <c r="H2857" s="5">
        <f>IF('Journal'!I1430="","",'Journal'!I1430)</f>
        <v/>
      </c>
    </row>
    <row r="2858">
      <c r="A2858" s="18">
        <f>IF('Journal'!A1430="","",'Journal'!A1430)</f>
        <v/>
      </c>
      <c r="B2858" s="21">
        <f>IF('Journal'!B1430="","",'Journal'!B1430)</f>
        <v/>
      </c>
      <c r="C2858" s="5">
        <f>IF('Journal'!C1430="","",'Journal'!C1430)</f>
        <v/>
      </c>
      <c r="D2858" s="5">
        <f>IF('Journal'!E1430="","",IFERROR(LEFT('Journal'!E1430,FIND(" ",'Journal'!E1430)-1),'Journal'!E1430))</f>
        <v/>
      </c>
      <c r="E2858" s="5">
        <f>IF('Journal'!E1430="","",IFERROR(INDEX('Kontoplan'!$B$3:$B$302,MATCH('Journal'!E1430,'Kontoplan'!$H$3:$H$302,0)),""))</f>
        <v/>
      </c>
      <c r="F2858" s="20">
        <f>IF('Journal'!F1430="","",'Journal'!F1430)</f>
        <v/>
      </c>
      <c r="G2858" s="20">
        <f>IF('Journal'!G1430="","",'Journal'!G1430)</f>
        <v/>
      </c>
      <c r="H2858" s="5">
        <f>IF('Journal'!I1430="","",'Journal'!I1430)</f>
        <v/>
      </c>
    </row>
    <row r="2859">
      <c r="A2859" s="18">
        <f>IF('Journal'!A1431="","",'Journal'!A1431)</f>
        <v/>
      </c>
      <c r="B2859" s="21">
        <f>IF('Journal'!B1431="","",'Journal'!B1431)</f>
        <v/>
      </c>
      <c r="C2859" s="5">
        <f>IF('Journal'!C1431="","",'Journal'!C1431)</f>
        <v/>
      </c>
      <c r="D2859" s="5">
        <f>IF('Journal'!D1431="","",IFERROR(LEFT('Journal'!D1431,FIND(" ",'Journal'!D1431)-1),'Journal'!D1431))</f>
        <v/>
      </c>
      <c r="E2859" s="5">
        <f>IF('Journal'!D1431="","",IFERROR(INDEX('Kontoplan'!$B$3:$B$302,MATCH('Journal'!D1431,'Kontoplan'!$H$3:$H$302,0)),""))</f>
        <v/>
      </c>
      <c r="F2859" s="20">
        <f>IF('Journal'!G1431="","",'Journal'!G1431)</f>
        <v/>
      </c>
      <c r="G2859" s="20">
        <f>IF('Journal'!F1431="","",'Journal'!F1431)</f>
        <v/>
      </c>
      <c r="H2859" s="5">
        <f>IF('Journal'!I1431="","",'Journal'!I1431)</f>
        <v/>
      </c>
    </row>
    <row r="2860">
      <c r="A2860" s="18">
        <f>IF('Journal'!A1431="","",'Journal'!A1431)</f>
        <v/>
      </c>
      <c r="B2860" s="21">
        <f>IF('Journal'!B1431="","",'Journal'!B1431)</f>
        <v/>
      </c>
      <c r="C2860" s="5">
        <f>IF('Journal'!C1431="","",'Journal'!C1431)</f>
        <v/>
      </c>
      <c r="D2860" s="5">
        <f>IF('Journal'!E1431="","",IFERROR(LEFT('Journal'!E1431,FIND(" ",'Journal'!E1431)-1),'Journal'!E1431))</f>
        <v/>
      </c>
      <c r="E2860" s="5">
        <f>IF('Journal'!E1431="","",IFERROR(INDEX('Kontoplan'!$B$3:$B$302,MATCH('Journal'!E1431,'Kontoplan'!$H$3:$H$302,0)),""))</f>
        <v/>
      </c>
      <c r="F2860" s="20">
        <f>IF('Journal'!F1431="","",'Journal'!F1431)</f>
        <v/>
      </c>
      <c r="G2860" s="20">
        <f>IF('Journal'!G1431="","",'Journal'!G1431)</f>
        <v/>
      </c>
      <c r="H2860" s="5">
        <f>IF('Journal'!I1431="","",'Journal'!I1431)</f>
        <v/>
      </c>
    </row>
    <row r="2861">
      <c r="A2861" s="18">
        <f>IF('Journal'!A1432="","",'Journal'!A1432)</f>
        <v/>
      </c>
      <c r="B2861" s="21">
        <f>IF('Journal'!B1432="","",'Journal'!B1432)</f>
        <v/>
      </c>
      <c r="C2861" s="5">
        <f>IF('Journal'!C1432="","",'Journal'!C1432)</f>
        <v/>
      </c>
      <c r="D2861" s="5">
        <f>IF('Journal'!D1432="","",IFERROR(LEFT('Journal'!D1432,FIND(" ",'Journal'!D1432)-1),'Journal'!D1432))</f>
        <v/>
      </c>
      <c r="E2861" s="5">
        <f>IF('Journal'!D1432="","",IFERROR(INDEX('Kontoplan'!$B$3:$B$302,MATCH('Journal'!D1432,'Kontoplan'!$H$3:$H$302,0)),""))</f>
        <v/>
      </c>
      <c r="F2861" s="20">
        <f>IF('Journal'!G1432="","",'Journal'!G1432)</f>
        <v/>
      </c>
      <c r="G2861" s="20">
        <f>IF('Journal'!F1432="","",'Journal'!F1432)</f>
        <v/>
      </c>
      <c r="H2861" s="5">
        <f>IF('Journal'!I1432="","",'Journal'!I1432)</f>
        <v/>
      </c>
    </row>
    <row r="2862">
      <c r="A2862" s="18">
        <f>IF('Journal'!A1432="","",'Journal'!A1432)</f>
        <v/>
      </c>
      <c r="B2862" s="21">
        <f>IF('Journal'!B1432="","",'Journal'!B1432)</f>
        <v/>
      </c>
      <c r="C2862" s="5">
        <f>IF('Journal'!C1432="","",'Journal'!C1432)</f>
        <v/>
      </c>
      <c r="D2862" s="5">
        <f>IF('Journal'!E1432="","",IFERROR(LEFT('Journal'!E1432,FIND(" ",'Journal'!E1432)-1),'Journal'!E1432))</f>
        <v/>
      </c>
      <c r="E2862" s="5">
        <f>IF('Journal'!E1432="","",IFERROR(INDEX('Kontoplan'!$B$3:$B$302,MATCH('Journal'!E1432,'Kontoplan'!$H$3:$H$302,0)),""))</f>
        <v/>
      </c>
      <c r="F2862" s="20">
        <f>IF('Journal'!F1432="","",'Journal'!F1432)</f>
        <v/>
      </c>
      <c r="G2862" s="20">
        <f>IF('Journal'!G1432="","",'Journal'!G1432)</f>
        <v/>
      </c>
      <c r="H2862" s="5">
        <f>IF('Journal'!I1432="","",'Journal'!I1432)</f>
        <v/>
      </c>
    </row>
    <row r="2863">
      <c r="A2863" s="18">
        <f>IF('Journal'!A1433="","",'Journal'!A1433)</f>
        <v/>
      </c>
      <c r="B2863" s="21">
        <f>IF('Journal'!B1433="","",'Journal'!B1433)</f>
        <v/>
      </c>
      <c r="C2863" s="5">
        <f>IF('Journal'!C1433="","",'Journal'!C1433)</f>
        <v/>
      </c>
      <c r="D2863" s="5">
        <f>IF('Journal'!D1433="","",IFERROR(LEFT('Journal'!D1433,FIND(" ",'Journal'!D1433)-1),'Journal'!D1433))</f>
        <v/>
      </c>
      <c r="E2863" s="5">
        <f>IF('Journal'!D1433="","",IFERROR(INDEX('Kontoplan'!$B$3:$B$302,MATCH('Journal'!D1433,'Kontoplan'!$H$3:$H$302,0)),""))</f>
        <v/>
      </c>
      <c r="F2863" s="20">
        <f>IF('Journal'!G1433="","",'Journal'!G1433)</f>
        <v/>
      </c>
      <c r="G2863" s="20">
        <f>IF('Journal'!F1433="","",'Journal'!F1433)</f>
        <v/>
      </c>
      <c r="H2863" s="5">
        <f>IF('Journal'!I1433="","",'Journal'!I1433)</f>
        <v/>
      </c>
    </row>
    <row r="2864">
      <c r="A2864" s="18">
        <f>IF('Journal'!A1433="","",'Journal'!A1433)</f>
        <v/>
      </c>
      <c r="B2864" s="21">
        <f>IF('Journal'!B1433="","",'Journal'!B1433)</f>
        <v/>
      </c>
      <c r="C2864" s="5">
        <f>IF('Journal'!C1433="","",'Journal'!C1433)</f>
        <v/>
      </c>
      <c r="D2864" s="5">
        <f>IF('Journal'!E1433="","",IFERROR(LEFT('Journal'!E1433,FIND(" ",'Journal'!E1433)-1),'Journal'!E1433))</f>
        <v/>
      </c>
      <c r="E2864" s="5">
        <f>IF('Journal'!E1433="","",IFERROR(INDEX('Kontoplan'!$B$3:$B$302,MATCH('Journal'!E1433,'Kontoplan'!$H$3:$H$302,0)),""))</f>
        <v/>
      </c>
      <c r="F2864" s="20">
        <f>IF('Journal'!F1433="","",'Journal'!F1433)</f>
        <v/>
      </c>
      <c r="G2864" s="20">
        <f>IF('Journal'!G1433="","",'Journal'!G1433)</f>
        <v/>
      </c>
      <c r="H2864" s="5">
        <f>IF('Journal'!I1433="","",'Journal'!I1433)</f>
        <v/>
      </c>
    </row>
    <row r="2865">
      <c r="A2865" s="18">
        <f>IF('Journal'!A1434="","",'Journal'!A1434)</f>
        <v/>
      </c>
      <c r="B2865" s="21">
        <f>IF('Journal'!B1434="","",'Journal'!B1434)</f>
        <v/>
      </c>
      <c r="C2865" s="5">
        <f>IF('Journal'!C1434="","",'Journal'!C1434)</f>
        <v/>
      </c>
      <c r="D2865" s="5">
        <f>IF('Journal'!D1434="","",IFERROR(LEFT('Journal'!D1434,FIND(" ",'Journal'!D1434)-1),'Journal'!D1434))</f>
        <v/>
      </c>
      <c r="E2865" s="5">
        <f>IF('Journal'!D1434="","",IFERROR(INDEX('Kontoplan'!$B$3:$B$302,MATCH('Journal'!D1434,'Kontoplan'!$H$3:$H$302,0)),""))</f>
        <v/>
      </c>
      <c r="F2865" s="20">
        <f>IF('Journal'!G1434="","",'Journal'!G1434)</f>
        <v/>
      </c>
      <c r="G2865" s="20">
        <f>IF('Journal'!F1434="","",'Journal'!F1434)</f>
        <v/>
      </c>
      <c r="H2865" s="5">
        <f>IF('Journal'!I1434="","",'Journal'!I1434)</f>
        <v/>
      </c>
    </row>
    <row r="2866">
      <c r="A2866" s="18">
        <f>IF('Journal'!A1434="","",'Journal'!A1434)</f>
        <v/>
      </c>
      <c r="B2866" s="21">
        <f>IF('Journal'!B1434="","",'Journal'!B1434)</f>
        <v/>
      </c>
      <c r="C2866" s="5">
        <f>IF('Journal'!C1434="","",'Journal'!C1434)</f>
        <v/>
      </c>
      <c r="D2866" s="5">
        <f>IF('Journal'!E1434="","",IFERROR(LEFT('Journal'!E1434,FIND(" ",'Journal'!E1434)-1),'Journal'!E1434))</f>
        <v/>
      </c>
      <c r="E2866" s="5">
        <f>IF('Journal'!E1434="","",IFERROR(INDEX('Kontoplan'!$B$3:$B$302,MATCH('Journal'!E1434,'Kontoplan'!$H$3:$H$302,0)),""))</f>
        <v/>
      </c>
      <c r="F2866" s="20">
        <f>IF('Journal'!F1434="","",'Journal'!F1434)</f>
        <v/>
      </c>
      <c r="G2866" s="20">
        <f>IF('Journal'!G1434="","",'Journal'!G1434)</f>
        <v/>
      </c>
      <c r="H2866" s="5">
        <f>IF('Journal'!I1434="","",'Journal'!I1434)</f>
        <v/>
      </c>
    </row>
    <row r="2867">
      <c r="A2867" s="18">
        <f>IF('Journal'!A1435="","",'Journal'!A1435)</f>
        <v/>
      </c>
      <c r="B2867" s="21">
        <f>IF('Journal'!B1435="","",'Journal'!B1435)</f>
        <v/>
      </c>
      <c r="C2867" s="5">
        <f>IF('Journal'!C1435="","",'Journal'!C1435)</f>
        <v/>
      </c>
      <c r="D2867" s="5">
        <f>IF('Journal'!D1435="","",IFERROR(LEFT('Journal'!D1435,FIND(" ",'Journal'!D1435)-1),'Journal'!D1435))</f>
        <v/>
      </c>
      <c r="E2867" s="5">
        <f>IF('Journal'!D1435="","",IFERROR(INDEX('Kontoplan'!$B$3:$B$302,MATCH('Journal'!D1435,'Kontoplan'!$H$3:$H$302,0)),""))</f>
        <v/>
      </c>
      <c r="F2867" s="20">
        <f>IF('Journal'!G1435="","",'Journal'!G1435)</f>
        <v/>
      </c>
      <c r="G2867" s="20">
        <f>IF('Journal'!F1435="","",'Journal'!F1435)</f>
        <v/>
      </c>
      <c r="H2867" s="5">
        <f>IF('Journal'!I1435="","",'Journal'!I1435)</f>
        <v/>
      </c>
    </row>
    <row r="2868">
      <c r="A2868" s="18">
        <f>IF('Journal'!A1435="","",'Journal'!A1435)</f>
        <v/>
      </c>
      <c r="B2868" s="21">
        <f>IF('Journal'!B1435="","",'Journal'!B1435)</f>
        <v/>
      </c>
      <c r="C2868" s="5">
        <f>IF('Journal'!C1435="","",'Journal'!C1435)</f>
        <v/>
      </c>
      <c r="D2868" s="5">
        <f>IF('Journal'!E1435="","",IFERROR(LEFT('Journal'!E1435,FIND(" ",'Journal'!E1435)-1),'Journal'!E1435))</f>
        <v/>
      </c>
      <c r="E2868" s="5">
        <f>IF('Journal'!E1435="","",IFERROR(INDEX('Kontoplan'!$B$3:$B$302,MATCH('Journal'!E1435,'Kontoplan'!$H$3:$H$302,0)),""))</f>
        <v/>
      </c>
      <c r="F2868" s="20">
        <f>IF('Journal'!F1435="","",'Journal'!F1435)</f>
        <v/>
      </c>
      <c r="G2868" s="20">
        <f>IF('Journal'!G1435="","",'Journal'!G1435)</f>
        <v/>
      </c>
      <c r="H2868" s="5">
        <f>IF('Journal'!I1435="","",'Journal'!I1435)</f>
        <v/>
      </c>
    </row>
    <row r="2869">
      <c r="A2869" s="18">
        <f>IF('Journal'!A1436="","",'Journal'!A1436)</f>
        <v/>
      </c>
      <c r="B2869" s="21">
        <f>IF('Journal'!B1436="","",'Journal'!B1436)</f>
        <v/>
      </c>
      <c r="C2869" s="5">
        <f>IF('Journal'!C1436="","",'Journal'!C1436)</f>
        <v/>
      </c>
      <c r="D2869" s="5">
        <f>IF('Journal'!D1436="","",IFERROR(LEFT('Journal'!D1436,FIND(" ",'Journal'!D1436)-1),'Journal'!D1436))</f>
        <v/>
      </c>
      <c r="E2869" s="5">
        <f>IF('Journal'!D1436="","",IFERROR(INDEX('Kontoplan'!$B$3:$B$302,MATCH('Journal'!D1436,'Kontoplan'!$H$3:$H$302,0)),""))</f>
        <v/>
      </c>
      <c r="F2869" s="20">
        <f>IF('Journal'!G1436="","",'Journal'!G1436)</f>
        <v/>
      </c>
      <c r="G2869" s="20">
        <f>IF('Journal'!F1436="","",'Journal'!F1436)</f>
        <v/>
      </c>
      <c r="H2869" s="5">
        <f>IF('Journal'!I1436="","",'Journal'!I1436)</f>
        <v/>
      </c>
    </row>
    <row r="2870">
      <c r="A2870" s="18">
        <f>IF('Journal'!A1436="","",'Journal'!A1436)</f>
        <v/>
      </c>
      <c r="B2870" s="21">
        <f>IF('Journal'!B1436="","",'Journal'!B1436)</f>
        <v/>
      </c>
      <c r="C2870" s="5">
        <f>IF('Journal'!C1436="","",'Journal'!C1436)</f>
        <v/>
      </c>
      <c r="D2870" s="5">
        <f>IF('Journal'!E1436="","",IFERROR(LEFT('Journal'!E1436,FIND(" ",'Journal'!E1436)-1),'Journal'!E1436))</f>
        <v/>
      </c>
      <c r="E2870" s="5">
        <f>IF('Journal'!E1436="","",IFERROR(INDEX('Kontoplan'!$B$3:$B$302,MATCH('Journal'!E1436,'Kontoplan'!$H$3:$H$302,0)),""))</f>
        <v/>
      </c>
      <c r="F2870" s="20">
        <f>IF('Journal'!F1436="","",'Journal'!F1436)</f>
        <v/>
      </c>
      <c r="G2870" s="20">
        <f>IF('Journal'!G1436="","",'Journal'!G1436)</f>
        <v/>
      </c>
      <c r="H2870" s="5">
        <f>IF('Journal'!I1436="","",'Journal'!I1436)</f>
        <v/>
      </c>
    </row>
    <row r="2871">
      <c r="A2871" s="18">
        <f>IF('Journal'!A1437="","",'Journal'!A1437)</f>
        <v/>
      </c>
      <c r="B2871" s="21">
        <f>IF('Journal'!B1437="","",'Journal'!B1437)</f>
        <v/>
      </c>
      <c r="C2871" s="5">
        <f>IF('Journal'!C1437="","",'Journal'!C1437)</f>
        <v/>
      </c>
      <c r="D2871" s="5">
        <f>IF('Journal'!D1437="","",IFERROR(LEFT('Journal'!D1437,FIND(" ",'Journal'!D1437)-1),'Journal'!D1437))</f>
        <v/>
      </c>
      <c r="E2871" s="5">
        <f>IF('Journal'!D1437="","",IFERROR(INDEX('Kontoplan'!$B$3:$B$302,MATCH('Journal'!D1437,'Kontoplan'!$H$3:$H$302,0)),""))</f>
        <v/>
      </c>
      <c r="F2871" s="20">
        <f>IF('Journal'!G1437="","",'Journal'!G1437)</f>
        <v/>
      </c>
      <c r="G2871" s="20">
        <f>IF('Journal'!F1437="","",'Journal'!F1437)</f>
        <v/>
      </c>
      <c r="H2871" s="5">
        <f>IF('Journal'!I1437="","",'Journal'!I1437)</f>
        <v/>
      </c>
    </row>
    <row r="2872">
      <c r="A2872" s="18">
        <f>IF('Journal'!A1437="","",'Journal'!A1437)</f>
        <v/>
      </c>
      <c r="B2872" s="21">
        <f>IF('Journal'!B1437="","",'Journal'!B1437)</f>
        <v/>
      </c>
      <c r="C2872" s="5">
        <f>IF('Journal'!C1437="","",'Journal'!C1437)</f>
        <v/>
      </c>
      <c r="D2872" s="5">
        <f>IF('Journal'!E1437="","",IFERROR(LEFT('Journal'!E1437,FIND(" ",'Journal'!E1437)-1),'Journal'!E1437))</f>
        <v/>
      </c>
      <c r="E2872" s="5">
        <f>IF('Journal'!E1437="","",IFERROR(INDEX('Kontoplan'!$B$3:$B$302,MATCH('Journal'!E1437,'Kontoplan'!$H$3:$H$302,0)),""))</f>
        <v/>
      </c>
      <c r="F2872" s="20">
        <f>IF('Journal'!F1437="","",'Journal'!F1437)</f>
        <v/>
      </c>
      <c r="G2872" s="20">
        <f>IF('Journal'!G1437="","",'Journal'!G1437)</f>
        <v/>
      </c>
      <c r="H2872" s="5">
        <f>IF('Journal'!I1437="","",'Journal'!I1437)</f>
        <v/>
      </c>
    </row>
    <row r="2873">
      <c r="A2873" s="18">
        <f>IF('Journal'!A1438="","",'Journal'!A1438)</f>
        <v/>
      </c>
      <c r="B2873" s="21">
        <f>IF('Journal'!B1438="","",'Journal'!B1438)</f>
        <v/>
      </c>
      <c r="C2873" s="5">
        <f>IF('Journal'!C1438="","",'Journal'!C1438)</f>
        <v/>
      </c>
      <c r="D2873" s="5">
        <f>IF('Journal'!D1438="","",IFERROR(LEFT('Journal'!D1438,FIND(" ",'Journal'!D1438)-1),'Journal'!D1438))</f>
        <v/>
      </c>
      <c r="E2873" s="5">
        <f>IF('Journal'!D1438="","",IFERROR(INDEX('Kontoplan'!$B$3:$B$302,MATCH('Journal'!D1438,'Kontoplan'!$H$3:$H$302,0)),""))</f>
        <v/>
      </c>
      <c r="F2873" s="20">
        <f>IF('Journal'!G1438="","",'Journal'!G1438)</f>
        <v/>
      </c>
      <c r="G2873" s="20">
        <f>IF('Journal'!F1438="","",'Journal'!F1438)</f>
        <v/>
      </c>
      <c r="H2873" s="5">
        <f>IF('Journal'!I1438="","",'Journal'!I1438)</f>
        <v/>
      </c>
    </row>
    <row r="2874">
      <c r="A2874" s="18">
        <f>IF('Journal'!A1438="","",'Journal'!A1438)</f>
        <v/>
      </c>
      <c r="B2874" s="21">
        <f>IF('Journal'!B1438="","",'Journal'!B1438)</f>
        <v/>
      </c>
      <c r="C2874" s="5">
        <f>IF('Journal'!C1438="","",'Journal'!C1438)</f>
        <v/>
      </c>
      <c r="D2874" s="5">
        <f>IF('Journal'!E1438="","",IFERROR(LEFT('Journal'!E1438,FIND(" ",'Journal'!E1438)-1),'Journal'!E1438))</f>
        <v/>
      </c>
      <c r="E2874" s="5">
        <f>IF('Journal'!E1438="","",IFERROR(INDEX('Kontoplan'!$B$3:$B$302,MATCH('Journal'!E1438,'Kontoplan'!$H$3:$H$302,0)),""))</f>
        <v/>
      </c>
      <c r="F2874" s="20">
        <f>IF('Journal'!F1438="","",'Journal'!F1438)</f>
        <v/>
      </c>
      <c r="G2874" s="20">
        <f>IF('Journal'!G1438="","",'Journal'!G1438)</f>
        <v/>
      </c>
      <c r="H2874" s="5">
        <f>IF('Journal'!I1438="","",'Journal'!I1438)</f>
        <v/>
      </c>
    </row>
    <row r="2875">
      <c r="A2875" s="18">
        <f>IF('Journal'!A1439="","",'Journal'!A1439)</f>
        <v/>
      </c>
      <c r="B2875" s="21">
        <f>IF('Journal'!B1439="","",'Journal'!B1439)</f>
        <v/>
      </c>
      <c r="C2875" s="5">
        <f>IF('Journal'!C1439="","",'Journal'!C1439)</f>
        <v/>
      </c>
      <c r="D2875" s="5">
        <f>IF('Journal'!D1439="","",IFERROR(LEFT('Journal'!D1439,FIND(" ",'Journal'!D1439)-1),'Journal'!D1439))</f>
        <v/>
      </c>
      <c r="E2875" s="5">
        <f>IF('Journal'!D1439="","",IFERROR(INDEX('Kontoplan'!$B$3:$B$302,MATCH('Journal'!D1439,'Kontoplan'!$H$3:$H$302,0)),""))</f>
        <v/>
      </c>
      <c r="F2875" s="20">
        <f>IF('Journal'!G1439="","",'Journal'!G1439)</f>
        <v/>
      </c>
      <c r="G2875" s="20">
        <f>IF('Journal'!F1439="","",'Journal'!F1439)</f>
        <v/>
      </c>
      <c r="H2875" s="5">
        <f>IF('Journal'!I1439="","",'Journal'!I1439)</f>
        <v/>
      </c>
    </row>
    <row r="2876">
      <c r="A2876" s="18">
        <f>IF('Journal'!A1439="","",'Journal'!A1439)</f>
        <v/>
      </c>
      <c r="B2876" s="21">
        <f>IF('Journal'!B1439="","",'Journal'!B1439)</f>
        <v/>
      </c>
      <c r="C2876" s="5">
        <f>IF('Journal'!C1439="","",'Journal'!C1439)</f>
        <v/>
      </c>
      <c r="D2876" s="5">
        <f>IF('Journal'!E1439="","",IFERROR(LEFT('Journal'!E1439,FIND(" ",'Journal'!E1439)-1),'Journal'!E1439))</f>
        <v/>
      </c>
      <c r="E2876" s="5">
        <f>IF('Journal'!E1439="","",IFERROR(INDEX('Kontoplan'!$B$3:$B$302,MATCH('Journal'!E1439,'Kontoplan'!$H$3:$H$302,0)),""))</f>
        <v/>
      </c>
      <c r="F2876" s="20">
        <f>IF('Journal'!F1439="","",'Journal'!F1439)</f>
        <v/>
      </c>
      <c r="G2876" s="20">
        <f>IF('Journal'!G1439="","",'Journal'!G1439)</f>
        <v/>
      </c>
      <c r="H2876" s="5">
        <f>IF('Journal'!I1439="","",'Journal'!I1439)</f>
        <v/>
      </c>
    </row>
    <row r="2877">
      <c r="A2877" s="18">
        <f>IF('Journal'!A1440="","",'Journal'!A1440)</f>
        <v/>
      </c>
      <c r="B2877" s="21">
        <f>IF('Journal'!B1440="","",'Journal'!B1440)</f>
        <v/>
      </c>
      <c r="C2877" s="5">
        <f>IF('Journal'!C1440="","",'Journal'!C1440)</f>
        <v/>
      </c>
      <c r="D2877" s="5">
        <f>IF('Journal'!D1440="","",IFERROR(LEFT('Journal'!D1440,FIND(" ",'Journal'!D1440)-1),'Journal'!D1440))</f>
        <v/>
      </c>
      <c r="E2877" s="5">
        <f>IF('Journal'!D1440="","",IFERROR(INDEX('Kontoplan'!$B$3:$B$302,MATCH('Journal'!D1440,'Kontoplan'!$H$3:$H$302,0)),""))</f>
        <v/>
      </c>
      <c r="F2877" s="20">
        <f>IF('Journal'!G1440="","",'Journal'!G1440)</f>
        <v/>
      </c>
      <c r="G2877" s="20">
        <f>IF('Journal'!F1440="","",'Journal'!F1440)</f>
        <v/>
      </c>
      <c r="H2877" s="5">
        <f>IF('Journal'!I1440="","",'Journal'!I1440)</f>
        <v/>
      </c>
    </row>
    <row r="2878">
      <c r="A2878" s="18">
        <f>IF('Journal'!A1440="","",'Journal'!A1440)</f>
        <v/>
      </c>
      <c r="B2878" s="21">
        <f>IF('Journal'!B1440="","",'Journal'!B1440)</f>
        <v/>
      </c>
      <c r="C2878" s="5">
        <f>IF('Journal'!C1440="","",'Journal'!C1440)</f>
        <v/>
      </c>
      <c r="D2878" s="5">
        <f>IF('Journal'!E1440="","",IFERROR(LEFT('Journal'!E1440,FIND(" ",'Journal'!E1440)-1),'Journal'!E1440))</f>
        <v/>
      </c>
      <c r="E2878" s="5">
        <f>IF('Journal'!E1440="","",IFERROR(INDEX('Kontoplan'!$B$3:$B$302,MATCH('Journal'!E1440,'Kontoplan'!$H$3:$H$302,0)),""))</f>
        <v/>
      </c>
      <c r="F2878" s="20">
        <f>IF('Journal'!F1440="","",'Journal'!F1440)</f>
        <v/>
      </c>
      <c r="G2878" s="20">
        <f>IF('Journal'!G1440="","",'Journal'!G1440)</f>
        <v/>
      </c>
      <c r="H2878" s="5">
        <f>IF('Journal'!I1440="","",'Journal'!I1440)</f>
        <v/>
      </c>
    </row>
    <row r="2879">
      <c r="A2879" s="18">
        <f>IF('Journal'!A1441="","",'Journal'!A1441)</f>
        <v/>
      </c>
      <c r="B2879" s="21">
        <f>IF('Journal'!B1441="","",'Journal'!B1441)</f>
        <v/>
      </c>
      <c r="C2879" s="5">
        <f>IF('Journal'!C1441="","",'Journal'!C1441)</f>
        <v/>
      </c>
      <c r="D2879" s="5">
        <f>IF('Journal'!D1441="","",IFERROR(LEFT('Journal'!D1441,FIND(" ",'Journal'!D1441)-1),'Journal'!D1441))</f>
        <v/>
      </c>
      <c r="E2879" s="5">
        <f>IF('Journal'!D1441="","",IFERROR(INDEX('Kontoplan'!$B$3:$B$302,MATCH('Journal'!D1441,'Kontoplan'!$H$3:$H$302,0)),""))</f>
        <v/>
      </c>
      <c r="F2879" s="20">
        <f>IF('Journal'!G1441="","",'Journal'!G1441)</f>
        <v/>
      </c>
      <c r="G2879" s="20">
        <f>IF('Journal'!F1441="","",'Journal'!F1441)</f>
        <v/>
      </c>
      <c r="H2879" s="5">
        <f>IF('Journal'!I1441="","",'Journal'!I1441)</f>
        <v/>
      </c>
    </row>
    <row r="2880">
      <c r="A2880" s="18">
        <f>IF('Journal'!A1441="","",'Journal'!A1441)</f>
        <v/>
      </c>
      <c r="B2880" s="21">
        <f>IF('Journal'!B1441="","",'Journal'!B1441)</f>
        <v/>
      </c>
      <c r="C2880" s="5">
        <f>IF('Journal'!C1441="","",'Journal'!C1441)</f>
        <v/>
      </c>
      <c r="D2880" s="5">
        <f>IF('Journal'!E1441="","",IFERROR(LEFT('Journal'!E1441,FIND(" ",'Journal'!E1441)-1),'Journal'!E1441))</f>
        <v/>
      </c>
      <c r="E2880" s="5">
        <f>IF('Journal'!E1441="","",IFERROR(INDEX('Kontoplan'!$B$3:$B$302,MATCH('Journal'!E1441,'Kontoplan'!$H$3:$H$302,0)),""))</f>
        <v/>
      </c>
      <c r="F2880" s="20">
        <f>IF('Journal'!F1441="","",'Journal'!F1441)</f>
        <v/>
      </c>
      <c r="G2880" s="20">
        <f>IF('Journal'!G1441="","",'Journal'!G1441)</f>
        <v/>
      </c>
      <c r="H2880" s="5">
        <f>IF('Journal'!I1441="","",'Journal'!I1441)</f>
        <v/>
      </c>
    </row>
    <row r="2881">
      <c r="A2881" s="18">
        <f>IF('Journal'!A1442="","",'Journal'!A1442)</f>
        <v/>
      </c>
      <c r="B2881" s="21">
        <f>IF('Journal'!B1442="","",'Journal'!B1442)</f>
        <v/>
      </c>
      <c r="C2881" s="5">
        <f>IF('Journal'!C1442="","",'Journal'!C1442)</f>
        <v/>
      </c>
      <c r="D2881" s="5">
        <f>IF('Journal'!D1442="","",IFERROR(LEFT('Journal'!D1442,FIND(" ",'Journal'!D1442)-1),'Journal'!D1442))</f>
        <v/>
      </c>
      <c r="E2881" s="5">
        <f>IF('Journal'!D1442="","",IFERROR(INDEX('Kontoplan'!$B$3:$B$302,MATCH('Journal'!D1442,'Kontoplan'!$H$3:$H$302,0)),""))</f>
        <v/>
      </c>
      <c r="F2881" s="20">
        <f>IF('Journal'!G1442="","",'Journal'!G1442)</f>
        <v/>
      </c>
      <c r="G2881" s="20">
        <f>IF('Journal'!F1442="","",'Journal'!F1442)</f>
        <v/>
      </c>
      <c r="H2881" s="5">
        <f>IF('Journal'!I1442="","",'Journal'!I1442)</f>
        <v/>
      </c>
    </row>
    <row r="2882">
      <c r="A2882" s="18">
        <f>IF('Journal'!A1442="","",'Journal'!A1442)</f>
        <v/>
      </c>
      <c r="B2882" s="21">
        <f>IF('Journal'!B1442="","",'Journal'!B1442)</f>
        <v/>
      </c>
      <c r="C2882" s="5">
        <f>IF('Journal'!C1442="","",'Journal'!C1442)</f>
        <v/>
      </c>
      <c r="D2882" s="5">
        <f>IF('Journal'!E1442="","",IFERROR(LEFT('Journal'!E1442,FIND(" ",'Journal'!E1442)-1),'Journal'!E1442))</f>
        <v/>
      </c>
      <c r="E2882" s="5">
        <f>IF('Journal'!E1442="","",IFERROR(INDEX('Kontoplan'!$B$3:$B$302,MATCH('Journal'!E1442,'Kontoplan'!$H$3:$H$302,0)),""))</f>
        <v/>
      </c>
      <c r="F2882" s="20">
        <f>IF('Journal'!F1442="","",'Journal'!F1442)</f>
        <v/>
      </c>
      <c r="G2882" s="20">
        <f>IF('Journal'!G1442="","",'Journal'!G1442)</f>
        <v/>
      </c>
      <c r="H2882" s="5">
        <f>IF('Journal'!I1442="","",'Journal'!I1442)</f>
        <v/>
      </c>
    </row>
    <row r="2883">
      <c r="A2883" s="18">
        <f>IF('Journal'!A1443="","",'Journal'!A1443)</f>
        <v/>
      </c>
      <c r="B2883" s="21">
        <f>IF('Journal'!B1443="","",'Journal'!B1443)</f>
        <v/>
      </c>
      <c r="C2883" s="5">
        <f>IF('Journal'!C1443="","",'Journal'!C1443)</f>
        <v/>
      </c>
      <c r="D2883" s="5">
        <f>IF('Journal'!D1443="","",IFERROR(LEFT('Journal'!D1443,FIND(" ",'Journal'!D1443)-1),'Journal'!D1443))</f>
        <v/>
      </c>
      <c r="E2883" s="5">
        <f>IF('Journal'!D1443="","",IFERROR(INDEX('Kontoplan'!$B$3:$B$302,MATCH('Journal'!D1443,'Kontoplan'!$H$3:$H$302,0)),""))</f>
        <v/>
      </c>
      <c r="F2883" s="20">
        <f>IF('Journal'!G1443="","",'Journal'!G1443)</f>
        <v/>
      </c>
      <c r="G2883" s="20">
        <f>IF('Journal'!F1443="","",'Journal'!F1443)</f>
        <v/>
      </c>
      <c r="H2883" s="5">
        <f>IF('Journal'!I1443="","",'Journal'!I1443)</f>
        <v/>
      </c>
    </row>
    <row r="2884">
      <c r="A2884" s="18">
        <f>IF('Journal'!A1443="","",'Journal'!A1443)</f>
        <v/>
      </c>
      <c r="B2884" s="21">
        <f>IF('Journal'!B1443="","",'Journal'!B1443)</f>
        <v/>
      </c>
      <c r="C2884" s="5">
        <f>IF('Journal'!C1443="","",'Journal'!C1443)</f>
        <v/>
      </c>
      <c r="D2884" s="5">
        <f>IF('Journal'!E1443="","",IFERROR(LEFT('Journal'!E1443,FIND(" ",'Journal'!E1443)-1),'Journal'!E1443))</f>
        <v/>
      </c>
      <c r="E2884" s="5">
        <f>IF('Journal'!E1443="","",IFERROR(INDEX('Kontoplan'!$B$3:$B$302,MATCH('Journal'!E1443,'Kontoplan'!$H$3:$H$302,0)),""))</f>
        <v/>
      </c>
      <c r="F2884" s="20">
        <f>IF('Journal'!F1443="","",'Journal'!F1443)</f>
        <v/>
      </c>
      <c r="G2884" s="20">
        <f>IF('Journal'!G1443="","",'Journal'!G1443)</f>
        <v/>
      </c>
      <c r="H2884" s="5">
        <f>IF('Journal'!I1443="","",'Journal'!I1443)</f>
        <v/>
      </c>
    </row>
    <row r="2885">
      <c r="A2885" s="18">
        <f>IF('Journal'!A1444="","",'Journal'!A1444)</f>
        <v/>
      </c>
      <c r="B2885" s="21">
        <f>IF('Journal'!B1444="","",'Journal'!B1444)</f>
        <v/>
      </c>
      <c r="C2885" s="5">
        <f>IF('Journal'!C1444="","",'Journal'!C1444)</f>
        <v/>
      </c>
      <c r="D2885" s="5">
        <f>IF('Journal'!D1444="","",IFERROR(LEFT('Journal'!D1444,FIND(" ",'Journal'!D1444)-1),'Journal'!D1444))</f>
        <v/>
      </c>
      <c r="E2885" s="5">
        <f>IF('Journal'!D1444="","",IFERROR(INDEX('Kontoplan'!$B$3:$B$302,MATCH('Journal'!D1444,'Kontoplan'!$H$3:$H$302,0)),""))</f>
        <v/>
      </c>
      <c r="F2885" s="20">
        <f>IF('Journal'!G1444="","",'Journal'!G1444)</f>
        <v/>
      </c>
      <c r="G2885" s="20">
        <f>IF('Journal'!F1444="","",'Journal'!F1444)</f>
        <v/>
      </c>
      <c r="H2885" s="5">
        <f>IF('Journal'!I1444="","",'Journal'!I1444)</f>
        <v/>
      </c>
    </row>
    <row r="2886">
      <c r="A2886" s="18">
        <f>IF('Journal'!A1444="","",'Journal'!A1444)</f>
        <v/>
      </c>
      <c r="B2886" s="21">
        <f>IF('Journal'!B1444="","",'Journal'!B1444)</f>
        <v/>
      </c>
      <c r="C2886" s="5">
        <f>IF('Journal'!C1444="","",'Journal'!C1444)</f>
        <v/>
      </c>
      <c r="D2886" s="5">
        <f>IF('Journal'!E1444="","",IFERROR(LEFT('Journal'!E1444,FIND(" ",'Journal'!E1444)-1),'Journal'!E1444))</f>
        <v/>
      </c>
      <c r="E2886" s="5">
        <f>IF('Journal'!E1444="","",IFERROR(INDEX('Kontoplan'!$B$3:$B$302,MATCH('Journal'!E1444,'Kontoplan'!$H$3:$H$302,0)),""))</f>
        <v/>
      </c>
      <c r="F2886" s="20">
        <f>IF('Journal'!F1444="","",'Journal'!F1444)</f>
        <v/>
      </c>
      <c r="G2886" s="20">
        <f>IF('Journal'!G1444="","",'Journal'!G1444)</f>
        <v/>
      </c>
      <c r="H2886" s="5">
        <f>IF('Journal'!I1444="","",'Journal'!I1444)</f>
        <v/>
      </c>
    </row>
    <row r="2887">
      <c r="A2887" s="18">
        <f>IF('Journal'!A1445="","",'Journal'!A1445)</f>
        <v/>
      </c>
      <c r="B2887" s="21">
        <f>IF('Journal'!B1445="","",'Journal'!B1445)</f>
        <v/>
      </c>
      <c r="C2887" s="5">
        <f>IF('Journal'!C1445="","",'Journal'!C1445)</f>
        <v/>
      </c>
      <c r="D2887" s="5">
        <f>IF('Journal'!D1445="","",IFERROR(LEFT('Journal'!D1445,FIND(" ",'Journal'!D1445)-1),'Journal'!D1445))</f>
        <v/>
      </c>
      <c r="E2887" s="5">
        <f>IF('Journal'!D1445="","",IFERROR(INDEX('Kontoplan'!$B$3:$B$302,MATCH('Journal'!D1445,'Kontoplan'!$H$3:$H$302,0)),""))</f>
        <v/>
      </c>
      <c r="F2887" s="20">
        <f>IF('Journal'!G1445="","",'Journal'!G1445)</f>
        <v/>
      </c>
      <c r="G2887" s="20">
        <f>IF('Journal'!F1445="","",'Journal'!F1445)</f>
        <v/>
      </c>
      <c r="H2887" s="5">
        <f>IF('Journal'!I1445="","",'Journal'!I1445)</f>
        <v/>
      </c>
    </row>
    <row r="2888">
      <c r="A2888" s="18">
        <f>IF('Journal'!A1445="","",'Journal'!A1445)</f>
        <v/>
      </c>
      <c r="B2888" s="21">
        <f>IF('Journal'!B1445="","",'Journal'!B1445)</f>
        <v/>
      </c>
      <c r="C2888" s="5">
        <f>IF('Journal'!C1445="","",'Journal'!C1445)</f>
        <v/>
      </c>
      <c r="D2888" s="5">
        <f>IF('Journal'!E1445="","",IFERROR(LEFT('Journal'!E1445,FIND(" ",'Journal'!E1445)-1),'Journal'!E1445))</f>
        <v/>
      </c>
      <c r="E2888" s="5">
        <f>IF('Journal'!E1445="","",IFERROR(INDEX('Kontoplan'!$B$3:$B$302,MATCH('Journal'!E1445,'Kontoplan'!$H$3:$H$302,0)),""))</f>
        <v/>
      </c>
      <c r="F2888" s="20">
        <f>IF('Journal'!F1445="","",'Journal'!F1445)</f>
        <v/>
      </c>
      <c r="G2888" s="20">
        <f>IF('Journal'!G1445="","",'Journal'!G1445)</f>
        <v/>
      </c>
      <c r="H2888" s="5">
        <f>IF('Journal'!I1445="","",'Journal'!I1445)</f>
        <v/>
      </c>
    </row>
    <row r="2889">
      <c r="A2889" s="18">
        <f>IF('Journal'!A1446="","",'Journal'!A1446)</f>
        <v/>
      </c>
      <c r="B2889" s="21">
        <f>IF('Journal'!B1446="","",'Journal'!B1446)</f>
        <v/>
      </c>
      <c r="C2889" s="5">
        <f>IF('Journal'!C1446="","",'Journal'!C1446)</f>
        <v/>
      </c>
      <c r="D2889" s="5">
        <f>IF('Journal'!D1446="","",IFERROR(LEFT('Journal'!D1446,FIND(" ",'Journal'!D1446)-1),'Journal'!D1446))</f>
        <v/>
      </c>
      <c r="E2889" s="5">
        <f>IF('Journal'!D1446="","",IFERROR(INDEX('Kontoplan'!$B$3:$B$302,MATCH('Journal'!D1446,'Kontoplan'!$H$3:$H$302,0)),""))</f>
        <v/>
      </c>
      <c r="F2889" s="20">
        <f>IF('Journal'!G1446="","",'Journal'!G1446)</f>
        <v/>
      </c>
      <c r="G2889" s="20">
        <f>IF('Journal'!F1446="","",'Journal'!F1446)</f>
        <v/>
      </c>
      <c r="H2889" s="5">
        <f>IF('Journal'!I1446="","",'Journal'!I1446)</f>
        <v/>
      </c>
    </row>
    <row r="2890">
      <c r="A2890" s="18">
        <f>IF('Journal'!A1446="","",'Journal'!A1446)</f>
        <v/>
      </c>
      <c r="B2890" s="21">
        <f>IF('Journal'!B1446="","",'Journal'!B1446)</f>
        <v/>
      </c>
      <c r="C2890" s="5">
        <f>IF('Journal'!C1446="","",'Journal'!C1446)</f>
        <v/>
      </c>
      <c r="D2890" s="5">
        <f>IF('Journal'!E1446="","",IFERROR(LEFT('Journal'!E1446,FIND(" ",'Journal'!E1446)-1),'Journal'!E1446))</f>
        <v/>
      </c>
      <c r="E2890" s="5">
        <f>IF('Journal'!E1446="","",IFERROR(INDEX('Kontoplan'!$B$3:$B$302,MATCH('Journal'!E1446,'Kontoplan'!$H$3:$H$302,0)),""))</f>
        <v/>
      </c>
      <c r="F2890" s="20">
        <f>IF('Journal'!F1446="","",'Journal'!F1446)</f>
        <v/>
      </c>
      <c r="G2890" s="20">
        <f>IF('Journal'!G1446="","",'Journal'!G1446)</f>
        <v/>
      </c>
      <c r="H2890" s="5">
        <f>IF('Journal'!I1446="","",'Journal'!I1446)</f>
        <v/>
      </c>
    </row>
    <row r="2891">
      <c r="A2891" s="18">
        <f>IF('Journal'!A1447="","",'Journal'!A1447)</f>
        <v/>
      </c>
      <c r="B2891" s="21">
        <f>IF('Journal'!B1447="","",'Journal'!B1447)</f>
        <v/>
      </c>
      <c r="C2891" s="5">
        <f>IF('Journal'!C1447="","",'Journal'!C1447)</f>
        <v/>
      </c>
      <c r="D2891" s="5">
        <f>IF('Journal'!D1447="","",IFERROR(LEFT('Journal'!D1447,FIND(" ",'Journal'!D1447)-1),'Journal'!D1447))</f>
        <v/>
      </c>
      <c r="E2891" s="5">
        <f>IF('Journal'!D1447="","",IFERROR(INDEX('Kontoplan'!$B$3:$B$302,MATCH('Journal'!D1447,'Kontoplan'!$H$3:$H$302,0)),""))</f>
        <v/>
      </c>
      <c r="F2891" s="20">
        <f>IF('Journal'!G1447="","",'Journal'!G1447)</f>
        <v/>
      </c>
      <c r="G2891" s="20">
        <f>IF('Journal'!F1447="","",'Journal'!F1447)</f>
        <v/>
      </c>
      <c r="H2891" s="5">
        <f>IF('Journal'!I1447="","",'Journal'!I1447)</f>
        <v/>
      </c>
    </row>
    <row r="2892">
      <c r="A2892" s="18">
        <f>IF('Journal'!A1447="","",'Journal'!A1447)</f>
        <v/>
      </c>
      <c r="B2892" s="21">
        <f>IF('Journal'!B1447="","",'Journal'!B1447)</f>
        <v/>
      </c>
      <c r="C2892" s="5">
        <f>IF('Journal'!C1447="","",'Journal'!C1447)</f>
        <v/>
      </c>
      <c r="D2892" s="5">
        <f>IF('Journal'!E1447="","",IFERROR(LEFT('Journal'!E1447,FIND(" ",'Journal'!E1447)-1),'Journal'!E1447))</f>
        <v/>
      </c>
      <c r="E2892" s="5">
        <f>IF('Journal'!E1447="","",IFERROR(INDEX('Kontoplan'!$B$3:$B$302,MATCH('Journal'!E1447,'Kontoplan'!$H$3:$H$302,0)),""))</f>
        <v/>
      </c>
      <c r="F2892" s="20">
        <f>IF('Journal'!F1447="","",'Journal'!F1447)</f>
        <v/>
      </c>
      <c r="G2892" s="20">
        <f>IF('Journal'!G1447="","",'Journal'!G1447)</f>
        <v/>
      </c>
      <c r="H2892" s="5">
        <f>IF('Journal'!I1447="","",'Journal'!I1447)</f>
        <v/>
      </c>
    </row>
    <row r="2893">
      <c r="A2893" s="18">
        <f>IF('Journal'!A1448="","",'Journal'!A1448)</f>
        <v/>
      </c>
      <c r="B2893" s="21">
        <f>IF('Journal'!B1448="","",'Journal'!B1448)</f>
        <v/>
      </c>
      <c r="C2893" s="5">
        <f>IF('Journal'!C1448="","",'Journal'!C1448)</f>
        <v/>
      </c>
      <c r="D2893" s="5">
        <f>IF('Journal'!D1448="","",IFERROR(LEFT('Journal'!D1448,FIND(" ",'Journal'!D1448)-1),'Journal'!D1448))</f>
        <v/>
      </c>
      <c r="E2893" s="5">
        <f>IF('Journal'!D1448="","",IFERROR(INDEX('Kontoplan'!$B$3:$B$302,MATCH('Journal'!D1448,'Kontoplan'!$H$3:$H$302,0)),""))</f>
        <v/>
      </c>
      <c r="F2893" s="20">
        <f>IF('Journal'!G1448="","",'Journal'!G1448)</f>
        <v/>
      </c>
      <c r="G2893" s="20">
        <f>IF('Journal'!F1448="","",'Journal'!F1448)</f>
        <v/>
      </c>
      <c r="H2893" s="5">
        <f>IF('Journal'!I1448="","",'Journal'!I1448)</f>
        <v/>
      </c>
    </row>
    <row r="2894">
      <c r="A2894" s="18">
        <f>IF('Journal'!A1448="","",'Journal'!A1448)</f>
        <v/>
      </c>
      <c r="B2894" s="21">
        <f>IF('Journal'!B1448="","",'Journal'!B1448)</f>
        <v/>
      </c>
      <c r="C2894" s="5">
        <f>IF('Journal'!C1448="","",'Journal'!C1448)</f>
        <v/>
      </c>
      <c r="D2894" s="5">
        <f>IF('Journal'!E1448="","",IFERROR(LEFT('Journal'!E1448,FIND(" ",'Journal'!E1448)-1),'Journal'!E1448))</f>
        <v/>
      </c>
      <c r="E2894" s="5">
        <f>IF('Journal'!E1448="","",IFERROR(INDEX('Kontoplan'!$B$3:$B$302,MATCH('Journal'!E1448,'Kontoplan'!$H$3:$H$302,0)),""))</f>
        <v/>
      </c>
      <c r="F2894" s="20">
        <f>IF('Journal'!F1448="","",'Journal'!F1448)</f>
        <v/>
      </c>
      <c r="G2894" s="20">
        <f>IF('Journal'!G1448="","",'Journal'!G1448)</f>
        <v/>
      </c>
      <c r="H2894" s="5">
        <f>IF('Journal'!I1448="","",'Journal'!I1448)</f>
        <v/>
      </c>
    </row>
    <row r="2895">
      <c r="A2895" s="18">
        <f>IF('Journal'!A1449="","",'Journal'!A1449)</f>
        <v/>
      </c>
      <c r="B2895" s="21">
        <f>IF('Journal'!B1449="","",'Journal'!B1449)</f>
        <v/>
      </c>
      <c r="C2895" s="5">
        <f>IF('Journal'!C1449="","",'Journal'!C1449)</f>
        <v/>
      </c>
      <c r="D2895" s="5">
        <f>IF('Journal'!D1449="","",IFERROR(LEFT('Journal'!D1449,FIND(" ",'Journal'!D1449)-1),'Journal'!D1449))</f>
        <v/>
      </c>
      <c r="E2895" s="5">
        <f>IF('Journal'!D1449="","",IFERROR(INDEX('Kontoplan'!$B$3:$B$302,MATCH('Journal'!D1449,'Kontoplan'!$H$3:$H$302,0)),""))</f>
        <v/>
      </c>
      <c r="F2895" s="20">
        <f>IF('Journal'!G1449="","",'Journal'!G1449)</f>
        <v/>
      </c>
      <c r="G2895" s="20">
        <f>IF('Journal'!F1449="","",'Journal'!F1449)</f>
        <v/>
      </c>
      <c r="H2895" s="5">
        <f>IF('Journal'!I1449="","",'Journal'!I1449)</f>
        <v/>
      </c>
    </row>
    <row r="2896">
      <c r="A2896" s="18">
        <f>IF('Journal'!A1449="","",'Journal'!A1449)</f>
        <v/>
      </c>
      <c r="B2896" s="21">
        <f>IF('Journal'!B1449="","",'Journal'!B1449)</f>
        <v/>
      </c>
      <c r="C2896" s="5">
        <f>IF('Journal'!C1449="","",'Journal'!C1449)</f>
        <v/>
      </c>
      <c r="D2896" s="5">
        <f>IF('Journal'!E1449="","",IFERROR(LEFT('Journal'!E1449,FIND(" ",'Journal'!E1449)-1),'Journal'!E1449))</f>
        <v/>
      </c>
      <c r="E2896" s="5">
        <f>IF('Journal'!E1449="","",IFERROR(INDEX('Kontoplan'!$B$3:$B$302,MATCH('Journal'!E1449,'Kontoplan'!$H$3:$H$302,0)),""))</f>
        <v/>
      </c>
      <c r="F2896" s="20">
        <f>IF('Journal'!F1449="","",'Journal'!F1449)</f>
        <v/>
      </c>
      <c r="G2896" s="20">
        <f>IF('Journal'!G1449="","",'Journal'!G1449)</f>
        <v/>
      </c>
      <c r="H2896" s="5">
        <f>IF('Journal'!I1449="","",'Journal'!I1449)</f>
        <v/>
      </c>
    </row>
    <row r="2897">
      <c r="A2897" s="18">
        <f>IF('Journal'!A1450="","",'Journal'!A1450)</f>
        <v/>
      </c>
      <c r="B2897" s="21">
        <f>IF('Journal'!B1450="","",'Journal'!B1450)</f>
        <v/>
      </c>
      <c r="C2897" s="5">
        <f>IF('Journal'!C1450="","",'Journal'!C1450)</f>
        <v/>
      </c>
      <c r="D2897" s="5">
        <f>IF('Journal'!D1450="","",IFERROR(LEFT('Journal'!D1450,FIND(" ",'Journal'!D1450)-1),'Journal'!D1450))</f>
        <v/>
      </c>
      <c r="E2897" s="5">
        <f>IF('Journal'!D1450="","",IFERROR(INDEX('Kontoplan'!$B$3:$B$302,MATCH('Journal'!D1450,'Kontoplan'!$H$3:$H$302,0)),""))</f>
        <v/>
      </c>
      <c r="F2897" s="20">
        <f>IF('Journal'!G1450="","",'Journal'!G1450)</f>
        <v/>
      </c>
      <c r="G2897" s="20">
        <f>IF('Journal'!F1450="","",'Journal'!F1450)</f>
        <v/>
      </c>
      <c r="H2897" s="5">
        <f>IF('Journal'!I1450="","",'Journal'!I1450)</f>
        <v/>
      </c>
    </row>
    <row r="2898">
      <c r="A2898" s="18">
        <f>IF('Journal'!A1450="","",'Journal'!A1450)</f>
        <v/>
      </c>
      <c r="B2898" s="21">
        <f>IF('Journal'!B1450="","",'Journal'!B1450)</f>
        <v/>
      </c>
      <c r="C2898" s="5">
        <f>IF('Journal'!C1450="","",'Journal'!C1450)</f>
        <v/>
      </c>
      <c r="D2898" s="5">
        <f>IF('Journal'!E1450="","",IFERROR(LEFT('Journal'!E1450,FIND(" ",'Journal'!E1450)-1),'Journal'!E1450))</f>
        <v/>
      </c>
      <c r="E2898" s="5">
        <f>IF('Journal'!E1450="","",IFERROR(INDEX('Kontoplan'!$B$3:$B$302,MATCH('Journal'!E1450,'Kontoplan'!$H$3:$H$302,0)),""))</f>
        <v/>
      </c>
      <c r="F2898" s="20">
        <f>IF('Journal'!F1450="","",'Journal'!F1450)</f>
        <v/>
      </c>
      <c r="G2898" s="20">
        <f>IF('Journal'!G1450="","",'Journal'!G1450)</f>
        <v/>
      </c>
      <c r="H2898" s="5">
        <f>IF('Journal'!I1450="","",'Journal'!I1450)</f>
        <v/>
      </c>
    </row>
    <row r="2899">
      <c r="A2899" s="18">
        <f>IF('Journal'!A1451="","",'Journal'!A1451)</f>
        <v/>
      </c>
      <c r="B2899" s="21">
        <f>IF('Journal'!B1451="","",'Journal'!B1451)</f>
        <v/>
      </c>
      <c r="C2899" s="5">
        <f>IF('Journal'!C1451="","",'Journal'!C1451)</f>
        <v/>
      </c>
      <c r="D2899" s="5">
        <f>IF('Journal'!D1451="","",IFERROR(LEFT('Journal'!D1451,FIND(" ",'Journal'!D1451)-1),'Journal'!D1451))</f>
        <v/>
      </c>
      <c r="E2899" s="5">
        <f>IF('Journal'!D1451="","",IFERROR(INDEX('Kontoplan'!$B$3:$B$302,MATCH('Journal'!D1451,'Kontoplan'!$H$3:$H$302,0)),""))</f>
        <v/>
      </c>
      <c r="F2899" s="20">
        <f>IF('Journal'!G1451="","",'Journal'!G1451)</f>
        <v/>
      </c>
      <c r="G2899" s="20">
        <f>IF('Journal'!F1451="","",'Journal'!F1451)</f>
        <v/>
      </c>
      <c r="H2899" s="5">
        <f>IF('Journal'!I1451="","",'Journal'!I1451)</f>
        <v/>
      </c>
    </row>
    <row r="2900">
      <c r="A2900" s="18">
        <f>IF('Journal'!A1451="","",'Journal'!A1451)</f>
        <v/>
      </c>
      <c r="B2900" s="21">
        <f>IF('Journal'!B1451="","",'Journal'!B1451)</f>
        <v/>
      </c>
      <c r="C2900" s="5">
        <f>IF('Journal'!C1451="","",'Journal'!C1451)</f>
        <v/>
      </c>
      <c r="D2900" s="5">
        <f>IF('Journal'!E1451="","",IFERROR(LEFT('Journal'!E1451,FIND(" ",'Journal'!E1451)-1),'Journal'!E1451))</f>
        <v/>
      </c>
      <c r="E2900" s="5">
        <f>IF('Journal'!E1451="","",IFERROR(INDEX('Kontoplan'!$B$3:$B$302,MATCH('Journal'!E1451,'Kontoplan'!$H$3:$H$302,0)),""))</f>
        <v/>
      </c>
      <c r="F2900" s="20">
        <f>IF('Journal'!F1451="","",'Journal'!F1451)</f>
        <v/>
      </c>
      <c r="G2900" s="20">
        <f>IF('Journal'!G1451="","",'Journal'!G1451)</f>
        <v/>
      </c>
      <c r="H2900" s="5">
        <f>IF('Journal'!I1451="","",'Journal'!I1451)</f>
        <v/>
      </c>
    </row>
    <row r="2901">
      <c r="A2901" s="18">
        <f>IF('Journal'!A1452="","",'Journal'!A1452)</f>
        <v/>
      </c>
      <c r="B2901" s="21">
        <f>IF('Journal'!B1452="","",'Journal'!B1452)</f>
        <v/>
      </c>
      <c r="C2901" s="5">
        <f>IF('Journal'!C1452="","",'Journal'!C1452)</f>
        <v/>
      </c>
      <c r="D2901" s="5">
        <f>IF('Journal'!D1452="","",IFERROR(LEFT('Journal'!D1452,FIND(" ",'Journal'!D1452)-1),'Journal'!D1452))</f>
        <v/>
      </c>
      <c r="E2901" s="5">
        <f>IF('Journal'!D1452="","",IFERROR(INDEX('Kontoplan'!$B$3:$B$302,MATCH('Journal'!D1452,'Kontoplan'!$H$3:$H$302,0)),""))</f>
        <v/>
      </c>
      <c r="F2901" s="20">
        <f>IF('Journal'!G1452="","",'Journal'!G1452)</f>
        <v/>
      </c>
      <c r="G2901" s="20">
        <f>IF('Journal'!F1452="","",'Journal'!F1452)</f>
        <v/>
      </c>
      <c r="H2901" s="5">
        <f>IF('Journal'!I1452="","",'Journal'!I1452)</f>
        <v/>
      </c>
    </row>
    <row r="2902">
      <c r="A2902" s="18">
        <f>IF('Journal'!A1452="","",'Journal'!A1452)</f>
        <v/>
      </c>
      <c r="B2902" s="21">
        <f>IF('Journal'!B1452="","",'Journal'!B1452)</f>
        <v/>
      </c>
      <c r="C2902" s="5">
        <f>IF('Journal'!C1452="","",'Journal'!C1452)</f>
        <v/>
      </c>
      <c r="D2902" s="5">
        <f>IF('Journal'!E1452="","",IFERROR(LEFT('Journal'!E1452,FIND(" ",'Journal'!E1452)-1),'Journal'!E1452))</f>
        <v/>
      </c>
      <c r="E2902" s="5">
        <f>IF('Journal'!E1452="","",IFERROR(INDEX('Kontoplan'!$B$3:$B$302,MATCH('Journal'!E1452,'Kontoplan'!$H$3:$H$302,0)),""))</f>
        <v/>
      </c>
      <c r="F2902" s="20">
        <f>IF('Journal'!F1452="","",'Journal'!F1452)</f>
        <v/>
      </c>
      <c r="G2902" s="20">
        <f>IF('Journal'!G1452="","",'Journal'!G1452)</f>
        <v/>
      </c>
      <c r="H2902" s="5">
        <f>IF('Journal'!I1452="","",'Journal'!I1452)</f>
        <v/>
      </c>
    </row>
    <row r="2903">
      <c r="A2903" s="18">
        <f>IF('Journal'!A1453="","",'Journal'!A1453)</f>
        <v/>
      </c>
      <c r="B2903" s="21">
        <f>IF('Journal'!B1453="","",'Journal'!B1453)</f>
        <v/>
      </c>
      <c r="C2903" s="5">
        <f>IF('Journal'!C1453="","",'Journal'!C1453)</f>
        <v/>
      </c>
      <c r="D2903" s="5">
        <f>IF('Journal'!D1453="","",IFERROR(LEFT('Journal'!D1453,FIND(" ",'Journal'!D1453)-1),'Journal'!D1453))</f>
        <v/>
      </c>
      <c r="E2903" s="5">
        <f>IF('Journal'!D1453="","",IFERROR(INDEX('Kontoplan'!$B$3:$B$302,MATCH('Journal'!D1453,'Kontoplan'!$H$3:$H$302,0)),""))</f>
        <v/>
      </c>
      <c r="F2903" s="20">
        <f>IF('Journal'!G1453="","",'Journal'!G1453)</f>
        <v/>
      </c>
      <c r="G2903" s="20">
        <f>IF('Journal'!F1453="","",'Journal'!F1453)</f>
        <v/>
      </c>
      <c r="H2903" s="5">
        <f>IF('Journal'!I1453="","",'Journal'!I1453)</f>
        <v/>
      </c>
    </row>
    <row r="2904">
      <c r="A2904" s="18">
        <f>IF('Journal'!A1453="","",'Journal'!A1453)</f>
        <v/>
      </c>
      <c r="B2904" s="21">
        <f>IF('Journal'!B1453="","",'Journal'!B1453)</f>
        <v/>
      </c>
      <c r="C2904" s="5">
        <f>IF('Journal'!C1453="","",'Journal'!C1453)</f>
        <v/>
      </c>
      <c r="D2904" s="5">
        <f>IF('Journal'!E1453="","",IFERROR(LEFT('Journal'!E1453,FIND(" ",'Journal'!E1453)-1),'Journal'!E1453))</f>
        <v/>
      </c>
      <c r="E2904" s="5">
        <f>IF('Journal'!E1453="","",IFERROR(INDEX('Kontoplan'!$B$3:$B$302,MATCH('Journal'!E1453,'Kontoplan'!$H$3:$H$302,0)),""))</f>
        <v/>
      </c>
      <c r="F2904" s="20">
        <f>IF('Journal'!F1453="","",'Journal'!F1453)</f>
        <v/>
      </c>
      <c r="G2904" s="20">
        <f>IF('Journal'!G1453="","",'Journal'!G1453)</f>
        <v/>
      </c>
      <c r="H2904" s="5">
        <f>IF('Journal'!I1453="","",'Journal'!I1453)</f>
        <v/>
      </c>
    </row>
    <row r="2905">
      <c r="A2905" s="18">
        <f>IF('Journal'!A1454="","",'Journal'!A1454)</f>
        <v/>
      </c>
      <c r="B2905" s="21">
        <f>IF('Journal'!B1454="","",'Journal'!B1454)</f>
        <v/>
      </c>
      <c r="C2905" s="5">
        <f>IF('Journal'!C1454="","",'Journal'!C1454)</f>
        <v/>
      </c>
      <c r="D2905" s="5">
        <f>IF('Journal'!D1454="","",IFERROR(LEFT('Journal'!D1454,FIND(" ",'Journal'!D1454)-1),'Journal'!D1454))</f>
        <v/>
      </c>
      <c r="E2905" s="5">
        <f>IF('Journal'!D1454="","",IFERROR(INDEX('Kontoplan'!$B$3:$B$302,MATCH('Journal'!D1454,'Kontoplan'!$H$3:$H$302,0)),""))</f>
        <v/>
      </c>
      <c r="F2905" s="20">
        <f>IF('Journal'!G1454="","",'Journal'!G1454)</f>
        <v/>
      </c>
      <c r="G2905" s="20">
        <f>IF('Journal'!F1454="","",'Journal'!F1454)</f>
        <v/>
      </c>
      <c r="H2905" s="5">
        <f>IF('Journal'!I1454="","",'Journal'!I1454)</f>
        <v/>
      </c>
    </row>
    <row r="2906">
      <c r="A2906" s="18">
        <f>IF('Journal'!A1454="","",'Journal'!A1454)</f>
        <v/>
      </c>
      <c r="B2906" s="21">
        <f>IF('Journal'!B1454="","",'Journal'!B1454)</f>
        <v/>
      </c>
      <c r="C2906" s="5">
        <f>IF('Journal'!C1454="","",'Journal'!C1454)</f>
        <v/>
      </c>
      <c r="D2906" s="5">
        <f>IF('Journal'!E1454="","",IFERROR(LEFT('Journal'!E1454,FIND(" ",'Journal'!E1454)-1),'Journal'!E1454))</f>
        <v/>
      </c>
      <c r="E2906" s="5">
        <f>IF('Journal'!E1454="","",IFERROR(INDEX('Kontoplan'!$B$3:$B$302,MATCH('Journal'!E1454,'Kontoplan'!$H$3:$H$302,0)),""))</f>
        <v/>
      </c>
      <c r="F2906" s="20">
        <f>IF('Journal'!F1454="","",'Journal'!F1454)</f>
        <v/>
      </c>
      <c r="G2906" s="20">
        <f>IF('Journal'!G1454="","",'Journal'!G1454)</f>
        <v/>
      </c>
      <c r="H2906" s="5">
        <f>IF('Journal'!I1454="","",'Journal'!I1454)</f>
        <v/>
      </c>
    </row>
    <row r="2907">
      <c r="A2907" s="18">
        <f>IF('Journal'!A1455="","",'Journal'!A1455)</f>
        <v/>
      </c>
      <c r="B2907" s="21">
        <f>IF('Journal'!B1455="","",'Journal'!B1455)</f>
        <v/>
      </c>
      <c r="C2907" s="5">
        <f>IF('Journal'!C1455="","",'Journal'!C1455)</f>
        <v/>
      </c>
      <c r="D2907" s="5">
        <f>IF('Journal'!D1455="","",IFERROR(LEFT('Journal'!D1455,FIND(" ",'Journal'!D1455)-1),'Journal'!D1455))</f>
        <v/>
      </c>
      <c r="E2907" s="5">
        <f>IF('Journal'!D1455="","",IFERROR(INDEX('Kontoplan'!$B$3:$B$302,MATCH('Journal'!D1455,'Kontoplan'!$H$3:$H$302,0)),""))</f>
        <v/>
      </c>
      <c r="F2907" s="20">
        <f>IF('Journal'!G1455="","",'Journal'!G1455)</f>
        <v/>
      </c>
      <c r="G2907" s="20">
        <f>IF('Journal'!F1455="","",'Journal'!F1455)</f>
        <v/>
      </c>
      <c r="H2907" s="5">
        <f>IF('Journal'!I1455="","",'Journal'!I1455)</f>
        <v/>
      </c>
    </row>
    <row r="2908">
      <c r="A2908" s="18">
        <f>IF('Journal'!A1455="","",'Journal'!A1455)</f>
        <v/>
      </c>
      <c r="B2908" s="21">
        <f>IF('Journal'!B1455="","",'Journal'!B1455)</f>
        <v/>
      </c>
      <c r="C2908" s="5">
        <f>IF('Journal'!C1455="","",'Journal'!C1455)</f>
        <v/>
      </c>
      <c r="D2908" s="5">
        <f>IF('Journal'!E1455="","",IFERROR(LEFT('Journal'!E1455,FIND(" ",'Journal'!E1455)-1),'Journal'!E1455))</f>
        <v/>
      </c>
      <c r="E2908" s="5">
        <f>IF('Journal'!E1455="","",IFERROR(INDEX('Kontoplan'!$B$3:$B$302,MATCH('Journal'!E1455,'Kontoplan'!$H$3:$H$302,0)),""))</f>
        <v/>
      </c>
      <c r="F2908" s="20">
        <f>IF('Journal'!F1455="","",'Journal'!F1455)</f>
        <v/>
      </c>
      <c r="G2908" s="20">
        <f>IF('Journal'!G1455="","",'Journal'!G1455)</f>
        <v/>
      </c>
      <c r="H2908" s="5">
        <f>IF('Journal'!I1455="","",'Journal'!I1455)</f>
        <v/>
      </c>
    </row>
    <row r="2909">
      <c r="A2909" s="18">
        <f>IF('Journal'!A1456="","",'Journal'!A1456)</f>
        <v/>
      </c>
      <c r="B2909" s="21">
        <f>IF('Journal'!B1456="","",'Journal'!B1456)</f>
        <v/>
      </c>
      <c r="C2909" s="5">
        <f>IF('Journal'!C1456="","",'Journal'!C1456)</f>
        <v/>
      </c>
      <c r="D2909" s="5">
        <f>IF('Journal'!D1456="","",IFERROR(LEFT('Journal'!D1456,FIND(" ",'Journal'!D1456)-1),'Journal'!D1456))</f>
        <v/>
      </c>
      <c r="E2909" s="5">
        <f>IF('Journal'!D1456="","",IFERROR(INDEX('Kontoplan'!$B$3:$B$302,MATCH('Journal'!D1456,'Kontoplan'!$H$3:$H$302,0)),""))</f>
        <v/>
      </c>
      <c r="F2909" s="20">
        <f>IF('Journal'!G1456="","",'Journal'!G1456)</f>
        <v/>
      </c>
      <c r="G2909" s="20">
        <f>IF('Journal'!F1456="","",'Journal'!F1456)</f>
        <v/>
      </c>
      <c r="H2909" s="5">
        <f>IF('Journal'!I1456="","",'Journal'!I1456)</f>
        <v/>
      </c>
    </row>
    <row r="2910">
      <c r="A2910" s="18">
        <f>IF('Journal'!A1456="","",'Journal'!A1456)</f>
        <v/>
      </c>
      <c r="B2910" s="21">
        <f>IF('Journal'!B1456="","",'Journal'!B1456)</f>
        <v/>
      </c>
      <c r="C2910" s="5">
        <f>IF('Journal'!C1456="","",'Journal'!C1456)</f>
        <v/>
      </c>
      <c r="D2910" s="5">
        <f>IF('Journal'!E1456="","",IFERROR(LEFT('Journal'!E1456,FIND(" ",'Journal'!E1456)-1),'Journal'!E1456))</f>
        <v/>
      </c>
      <c r="E2910" s="5">
        <f>IF('Journal'!E1456="","",IFERROR(INDEX('Kontoplan'!$B$3:$B$302,MATCH('Journal'!E1456,'Kontoplan'!$H$3:$H$302,0)),""))</f>
        <v/>
      </c>
      <c r="F2910" s="20">
        <f>IF('Journal'!F1456="","",'Journal'!F1456)</f>
        <v/>
      </c>
      <c r="G2910" s="20">
        <f>IF('Journal'!G1456="","",'Journal'!G1456)</f>
        <v/>
      </c>
      <c r="H2910" s="5">
        <f>IF('Journal'!I1456="","",'Journal'!I1456)</f>
        <v/>
      </c>
    </row>
    <row r="2911">
      <c r="A2911" s="18">
        <f>IF('Journal'!A1457="","",'Journal'!A1457)</f>
        <v/>
      </c>
      <c r="B2911" s="21">
        <f>IF('Journal'!B1457="","",'Journal'!B1457)</f>
        <v/>
      </c>
      <c r="C2911" s="5">
        <f>IF('Journal'!C1457="","",'Journal'!C1457)</f>
        <v/>
      </c>
      <c r="D2911" s="5">
        <f>IF('Journal'!D1457="","",IFERROR(LEFT('Journal'!D1457,FIND(" ",'Journal'!D1457)-1),'Journal'!D1457))</f>
        <v/>
      </c>
      <c r="E2911" s="5">
        <f>IF('Journal'!D1457="","",IFERROR(INDEX('Kontoplan'!$B$3:$B$302,MATCH('Journal'!D1457,'Kontoplan'!$H$3:$H$302,0)),""))</f>
        <v/>
      </c>
      <c r="F2911" s="20">
        <f>IF('Journal'!G1457="","",'Journal'!G1457)</f>
        <v/>
      </c>
      <c r="G2911" s="20">
        <f>IF('Journal'!F1457="","",'Journal'!F1457)</f>
        <v/>
      </c>
      <c r="H2911" s="5">
        <f>IF('Journal'!I1457="","",'Journal'!I1457)</f>
        <v/>
      </c>
    </row>
    <row r="2912">
      <c r="A2912" s="18">
        <f>IF('Journal'!A1457="","",'Journal'!A1457)</f>
        <v/>
      </c>
      <c r="B2912" s="21">
        <f>IF('Journal'!B1457="","",'Journal'!B1457)</f>
        <v/>
      </c>
      <c r="C2912" s="5">
        <f>IF('Journal'!C1457="","",'Journal'!C1457)</f>
        <v/>
      </c>
      <c r="D2912" s="5">
        <f>IF('Journal'!E1457="","",IFERROR(LEFT('Journal'!E1457,FIND(" ",'Journal'!E1457)-1),'Journal'!E1457))</f>
        <v/>
      </c>
      <c r="E2912" s="5">
        <f>IF('Journal'!E1457="","",IFERROR(INDEX('Kontoplan'!$B$3:$B$302,MATCH('Journal'!E1457,'Kontoplan'!$H$3:$H$302,0)),""))</f>
        <v/>
      </c>
      <c r="F2912" s="20">
        <f>IF('Journal'!F1457="","",'Journal'!F1457)</f>
        <v/>
      </c>
      <c r="G2912" s="20">
        <f>IF('Journal'!G1457="","",'Journal'!G1457)</f>
        <v/>
      </c>
      <c r="H2912" s="5">
        <f>IF('Journal'!I1457="","",'Journal'!I1457)</f>
        <v/>
      </c>
    </row>
    <row r="2913">
      <c r="A2913" s="18">
        <f>IF('Journal'!A1458="","",'Journal'!A1458)</f>
        <v/>
      </c>
      <c r="B2913" s="21">
        <f>IF('Journal'!B1458="","",'Journal'!B1458)</f>
        <v/>
      </c>
      <c r="C2913" s="5">
        <f>IF('Journal'!C1458="","",'Journal'!C1458)</f>
        <v/>
      </c>
      <c r="D2913" s="5">
        <f>IF('Journal'!D1458="","",IFERROR(LEFT('Journal'!D1458,FIND(" ",'Journal'!D1458)-1),'Journal'!D1458))</f>
        <v/>
      </c>
      <c r="E2913" s="5">
        <f>IF('Journal'!D1458="","",IFERROR(INDEX('Kontoplan'!$B$3:$B$302,MATCH('Journal'!D1458,'Kontoplan'!$H$3:$H$302,0)),""))</f>
        <v/>
      </c>
      <c r="F2913" s="20">
        <f>IF('Journal'!G1458="","",'Journal'!G1458)</f>
        <v/>
      </c>
      <c r="G2913" s="20">
        <f>IF('Journal'!F1458="","",'Journal'!F1458)</f>
        <v/>
      </c>
      <c r="H2913" s="5">
        <f>IF('Journal'!I1458="","",'Journal'!I1458)</f>
        <v/>
      </c>
    </row>
    <row r="2914">
      <c r="A2914" s="18">
        <f>IF('Journal'!A1458="","",'Journal'!A1458)</f>
        <v/>
      </c>
      <c r="B2914" s="21">
        <f>IF('Journal'!B1458="","",'Journal'!B1458)</f>
        <v/>
      </c>
      <c r="C2914" s="5">
        <f>IF('Journal'!C1458="","",'Journal'!C1458)</f>
        <v/>
      </c>
      <c r="D2914" s="5">
        <f>IF('Journal'!E1458="","",IFERROR(LEFT('Journal'!E1458,FIND(" ",'Journal'!E1458)-1),'Journal'!E1458))</f>
        <v/>
      </c>
      <c r="E2914" s="5">
        <f>IF('Journal'!E1458="","",IFERROR(INDEX('Kontoplan'!$B$3:$B$302,MATCH('Journal'!E1458,'Kontoplan'!$H$3:$H$302,0)),""))</f>
        <v/>
      </c>
      <c r="F2914" s="20">
        <f>IF('Journal'!F1458="","",'Journal'!F1458)</f>
        <v/>
      </c>
      <c r="G2914" s="20">
        <f>IF('Journal'!G1458="","",'Journal'!G1458)</f>
        <v/>
      </c>
      <c r="H2914" s="5">
        <f>IF('Journal'!I1458="","",'Journal'!I1458)</f>
        <v/>
      </c>
    </row>
    <row r="2915">
      <c r="A2915" s="18">
        <f>IF('Journal'!A1459="","",'Journal'!A1459)</f>
        <v/>
      </c>
      <c r="B2915" s="21">
        <f>IF('Journal'!B1459="","",'Journal'!B1459)</f>
        <v/>
      </c>
      <c r="C2915" s="5">
        <f>IF('Journal'!C1459="","",'Journal'!C1459)</f>
        <v/>
      </c>
      <c r="D2915" s="5">
        <f>IF('Journal'!D1459="","",IFERROR(LEFT('Journal'!D1459,FIND(" ",'Journal'!D1459)-1),'Journal'!D1459))</f>
        <v/>
      </c>
      <c r="E2915" s="5">
        <f>IF('Journal'!D1459="","",IFERROR(INDEX('Kontoplan'!$B$3:$B$302,MATCH('Journal'!D1459,'Kontoplan'!$H$3:$H$302,0)),""))</f>
        <v/>
      </c>
      <c r="F2915" s="20">
        <f>IF('Journal'!G1459="","",'Journal'!G1459)</f>
        <v/>
      </c>
      <c r="G2915" s="20">
        <f>IF('Journal'!F1459="","",'Journal'!F1459)</f>
        <v/>
      </c>
      <c r="H2915" s="5">
        <f>IF('Journal'!I1459="","",'Journal'!I1459)</f>
        <v/>
      </c>
    </row>
    <row r="2916">
      <c r="A2916" s="18">
        <f>IF('Journal'!A1459="","",'Journal'!A1459)</f>
        <v/>
      </c>
      <c r="B2916" s="21">
        <f>IF('Journal'!B1459="","",'Journal'!B1459)</f>
        <v/>
      </c>
      <c r="C2916" s="5">
        <f>IF('Journal'!C1459="","",'Journal'!C1459)</f>
        <v/>
      </c>
      <c r="D2916" s="5">
        <f>IF('Journal'!E1459="","",IFERROR(LEFT('Journal'!E1459,FIND(" ",'Journal'!E1459)-1),'Journal'!E1459))</f>
        <v/>
      </c>
      <c r="E2916" s="5">
        <f>IF('Journal'!E1459="","",IFERROR(INDEX('Kontoplan'!$B$3:$B$302,MATCH('Journal'!E1459,'Kontoplan'!$H$3:$H$302,0)),""))</f>
        <v/>
      </c>
      <c r="F2916" s="20">
        <f>IF('Journal'!F1459="","",'Journal'!F1459)</f>
        <v/>
      </c>
      <c r="G2916" s="20">
        <f>IF('Journal'!G1459="","",'Journal'!G1459)</f>
        <v/>
      </c>
      <c r="H2916" s="5">
        <f>IF('Journal'!I1459="","",'Journal'!I1459)</f>
        <v/>
      </c>
    </row>
    <row r="2917">
      <c r="A2917" s="18">
        <f>IF('Journal'!A1460="","",'Journal'!A1460)</f>
        <v/>
      </c>
      <c r="B2917" s="21">
        <f>IF('Journal'!B1460="","",'Journal'!B1460)</f>
        <v/>
      </c>
      <c r="C2917" s="5">
        <f>IF('Journal'!C1460="","",'Journal'!C1460)</f>
        <v/>
      </c>
      <c r="D2917" s="5">
        <f>IF('Journal'!D1460="","",IFERROR(LEFT('Journal'!D1460,FIND(" ",'Journal'!D1460)-1),'Journal'!D1460))</f>
        <v/>
      </c>
      <c r="E2917" s="5">
        <f>IF('Journal'!D1460="","",IFERROR(INDEX('Kontoplan'!$B$3:$B$302,MATCH('Journal'!D1460,'Kontoplan'!$H$3:$H$302,0)),""))</f>
        <v/>
      </c>
      <c r="F2917" s="20">
        <f>IF('Journal'!G1460="","",'Journal'!G1460)</f>
        <v/>
      </c>
      <c r="G2917" s="20">
        <f>IF('Journal'!F1460="","",'Journal'!F1460)</f>
        <v/>
      </c>
      <c r="H2917" s="5">
        <f>IF('Journal'!I1460="","",'Journal'!I1460)</f>
        <v/>
      </c>
    </row>
    <row r="2918">
      <c r="A2918" s="18">
        <f>IF('Journal'!A1460="","",'Journal'!A1460)</f>
        <v/>
      </c>
      <c r="B2918" s="21">
        <f>IF('Journal'!B1460="","",'Journal'!B1460)</f>
        <v/>
      </c>
      <c r="C2918" s="5">
        <f>IF('Journal'!C1460="","",'Journal'!C1460)</f>
        <v/>
      </c>
      <c r="D2918" s="5">
        <f>IF('Journal'!E1460="","",IFERROR(LEFT('Journal'!E1460,FIND(" ",'Journal'!E1460)-1),'Journal'!E1460))</f>
        <v/>
      </c>
      <c r="E2918" s="5">
        <f>IF('Journal'!E1460="","",IFERROR(INDEX('Kontoplan'!$B$3:$B$302,MATCH('Journal'!E1460,'Kontoplan'!$H$3:$H$302,0)),""))</f>
        <v/>
      </c>
      <c r="F2918" s="20">
        <f>IF('Journal'!F1460="","",'Journal'!F1460)</f>
        <v/>
      </c>
      <c r="G2918" s="20">
        <f>IF('Journal'!G1460="","",'Journal'!G1460)</f>
        <v/>
      </c>
      <c r="H2918" s="5">
        <f>IF('Journal'!I1460="","",'Journal'!I1460)</f>
        <v/>
      </c>
    </row>
    <row r="2919">
      <c r="A2919" s="18">
        <f>IF('Journal'!A1461="","",'Journal'!A1461)</f>
        <v/>
      </c>
      <c r="B2919" s="21">
        <f>IF('Journal'!B1461="","",'Journal'!B1461)</f>
        <v/>
      </c>
      <c r="C2919" s="5">
        <f>IF('Journal'!C1461="","",'Journal'!C1461)</f>
        <v/>
      </c>
      <c r="D2919" s="5">
        <f>IF('Journal'!D1461="","",IFERROR(LEFT('Journal'!D1461,FIND(" ",'Journal'!D1461)-1),'Journal'!D1461))</f>
        <v/>
      </c>
      <c r="E2919" s="5">
        <f>IF('Journal'!D1461="","",IFERROR(INDEX('Kontoplan'!$B$3:$B$302,MATCH('Journal'!D1461,'Kontoplan'!$H$3:$H$302,0)),""))</f>
        <v/>
      </c>
      <c r="F2919" s="20">
        <f>IF('Journal'!G1461="","",'Journal'!G1461)</f>
        <v/>
      </c>
      <c r="G2919" s="20">
        <f>IF('Journal'!F1461="","",'Journal'!F1461)</f>
        <v/>
      </c>
      <c r="H2919" s="5">
        <f>IF('Journal'!I1461="","",'Journal'!I1461)</f>
        <v/>
      </c>
    </row>
    <row r="2920">
      <c r="A2920" s="18">
        <f>IF('Journal'!A1461="","",'Journal'!A1461)</f>
        <v/>
      </c>
      <c r="B2920" s="21">
        <f>IF('Journal'!B1461="","",'Journal'!B1461)</f>
        <v/>
      </c>
      <c r="C2920" s="5">
        <f>IF('Journal'!C1461="","",'Journal'!C1461)</f>
        <v/>
      </c>
      <c r="D2920" s="5">
        <f>IF('Journal'!E1461="","",IFERROR(LEFT('Journal'!E1461,FIND(" ",'Journal'!E1461)-1),'Journal'!E1461))</f>
        <v/>
      </c>
      <c r="E2920" s="5">
        <f>IF('Journal'!E1461="","",IFERROR(INDEX('Kontoplan'!$B$3:$B$302,MATCH('Journal'!E1461,'Kontoplan'!$H$3:$H$302,0)),""))</f>
        <v/>
      </c>
      <c r="F2920" s="20">
        <f>IF('Journal'!F1461="","",'Journal'!F1461)</f>
        <v/>
      </c>
      <c r="G2920" s="20">
        <f>IF('Journal'!G1461="","",'Journal'!G1461)</f>
        <v/>
      </c>
      <c r="H2920" s="5">
        <f>IF('Journal'!I1461="","",'Journal'!I1461)</f>
        <v/>
      </c>
    </row>
    <row r="2921">
      <c r="A2921" s="18">
        <f>IF('Journal'!A1462="","",'Journal'!A1462)</f>
        <v/>
      </c>
      <c r="B2921" s="21">
        <f>IF('Journal'!B1462="","",'Journal'!B1462)</f>
        <v/>
      </c>
      <c r="C2921" s="5">
        <f>IF('Journal'!C1462="","",'Journal'!C1462)</f>
        <v/>
      </c>
      <c r="D2921" s="5">
        <f>IF('Journal'!D1462="","",IFERROR(LEFT('Journal'!D1462,FIND(" ",'Journal'!D1462)-1),'Journal'!D1462))</f>
        <v/>
      </c>
      <c r="E2921" s="5">
        <f>IF('Journal'!D1462="","",IFERROR(INDEX('Kontoplan'!$B$3:$B$302,MATCH('Journal'!D1462,'Kontoplan'!$H$3:$H$302,0)),""))</f>
        <v/>
      </c>
      <c r="F2921" s="20">
        <f>IF('Journal'!G1462="","",'Journal'!G1462)</f>
        <v/>
      </c>
      <c r="G2921" s="20">
        <f>IF('Journal'!F1462="","",'Journal'!F1462)</f>
        <v/>
      </c>
      <c r="H2921" s="5">
        <f>IF('Journal'!I1462="","",'Journal'!I1462)</f>
        <v/>
      </c>
    </row>
    <row r="2922">
      <c r="A2922" s="18">
        <f>IF('Journal'!A1462="","",'Journal'!A1462)</f>
        <v/>
      </c>
      <c r="B2922" s="21">
        <f>IF('Journal'!B1462="","",'Journal'!B1462)</f>
        <v/>
      </c>
      <c r="C2922" s="5">
        <f>IF('Journal'!C1462="","",'Journal'!C1462)</f>
        <v/>
      </c>
      <c r="D2922" s="5">
        <f>IF('Journal'!E1462="","",IFERROR(LEFT('Journal'!E1462,FIND(" ",'Journal'!E1462)-1),'Journal'!E1462))</f>
        <v/>
      </c>
      <c r="E2922" s="5">
        <f>IF('Journal'!E1462="","",IFERROR(INDEX('Kontoplan'!$B$3:$B$302,MATCH('Journal'!E1462,'Kontoplan'!$H$3:$H$302,0)),""))</f>
        <v/>
      </c>
      <c r="F2922" s="20">
        <f>IF('Journal'!F1462="","",'Journal'!F1462)</f>
        <v/>
      </c>
      <c r="G2922" s="20">
        <f>IF('Journal'!G1462="","",'Journal'!G1462)</f>
        <v/>
      </c>
      <c r="H2922" s="5">
        <f>IF('Journal'!I1462="","",'Journal'!I1462)</f>
        <v/>
      </c>
    </row>
    <row r="2923">
      <c r="A2923" s="18">
        <f>IF('Journal'!A1463="","",'Journal'!A1463)</f>
        <v/>
      </c>
      <c r="B2923" s="21">
        <f>IF('Journal'!B1463="","",'Journal'!B1463)</f>
        <v/>
      </c>
      <c r="C2923" s="5">
        <f>IF('Journal'!C1463="","",'Journal'!C1463)</f>
        <v/>
      </c>
      <c r="D2923" s="5">
        <f>IF('Journal'!D1463="","",IFERROR(LEFT('Journal'!D1463,FIND(" ",'Journal'!D1463)-1),'Journal'!D1463))</f>
        <v/>
      </c>
      <c r="E2923" s="5">
        <f>IF('Journal'!D1463="","",IFERROR(INDEX('Kontoplan'!$B$3:$B$302,MATCH('Journal'!D1463,'Kontoplan'!$H$3:$H$302,0)),""))</f>
        <v/>
      </c>
      <c r="F2923" s="20">
        <f>IF('Journal'!G1463="","",'Journal'!G1463)</f>
        <v/>
      </c>
      <c r="G2923" s="20">
        <f>IF('Journal'!F1463="","",'Journal'!F1463)</f>
        <v/>
      </c>
      <c r="H2923" s="5">
        <f>IF('Journal'!I1463="","",'Journal'!I1463)</f>
        <v/>
      </c>
    </row>
    <row r="2924">
      <c r="A2924" s="18">
        <f>IF('Journal'!A1463="","",'Journal'!A1463)</f>
        <v/>
      </c>
      <c r="B2924" s="21">
        <f>IF('Journal'!B1463="","",'Journal'!B1463)</f>
        <v/>
      </c>
      <c r="C2924" s="5">
        <f>IF('Journal'!C1463="","",'Journal'!C1463)</f>
        <v/>
      </c>
      <c r="D2924" s="5">
        <f>IF('Journal'!E1463="","",IFERROR(LEFT('Journal'!E1463,FIND(" ",'Journal'!E1463)-1),'Journal'!E1463))</f>
        <v/>
      </c>
      <c r="E2924" s="5">
        <f>IF('Journal'!E1463="","",IFERROR(INDEX('Kontoplan'!$B$3:$B$302,MATCH('Journal'!E1463,'Kontoplan'!$H$3:$H$302,0)),""))</f>
        <v/>
      </c>
      <c r="F2924" s="20">
        <f>IF('Journal'!F1463="","",'Journal'!F1463)</f>
        <v/>
      </c>
      <c r="G2924" s="20">
        <f>IF('Journal'!G1463="","",'Journal'!G1463)</f>
        <v/>
      </c>
      <c r="H2924" s="5">
        <f>IF('Journal'!I1463="","",'Journal'!I1463)</f>
        <v/>
      </c>
    </row>
    <row r="2925">
      <c r="A2925" s="18">
        <f>IF('Journal'!A1464="","",'Journal'!A1464)</f>
        <v/>
      </c>
      <c r="B2925" s="21">
        <f>IF('Journal'!B1464="","",'Journal'!B1464)</f>
        <v/>
      </c>
      <c r="C2925" s="5">
        <f>IF('Journal'!C1464="","",'Journal'!C1464)</f>
        <v/>
      </c>
      <c r="D2925" s="5">
        <f>IF('Journal'!D1464="","",IFERROR(LEFT('Journal'!D1464,FIND(" ",'Journal'!D1464)-1),'Journal'!D1464))</f>
        <v/>
      </c>
      <c r="E2925" s="5">
        <f>IF('Journal'!D1464="","",IFERROR(INDEX('Kontoplan'!$B$3:$B$302,MATCH('Journal'!D1464,'Kontoplan'!$H$3:$H$302,0)),""))</f>
        <v/>
      </c>
      <c r="F2925" s="20">
        <f>IF('Journal'!G1464="","",'Journal'!G1464)</f>
        <v/>
      </c>
      <c r="G2925" s="20">
        <f>IF('Journal'!F1464="","",'Journal'!F1464)</f>
        <v/>
      </c>
      <c r="H2925" s="5">
        <f>IF('Journal'!I1464="","",'Journal'!I1464)</f>
        <v/>
      </c>
    </row>
    <row r="2926">
      <c r="A2926" s="18">
        <f>IF('Journal'!A1464="","",'Journal'!A1464)</f>
        <v/>
      </c>
      <c r="B2926" s="21">
        <f>IF('Journal'!B1464="","",'Journal'!B1464)</f>
        <v/>
      </c>
      <c r="C2926" s="5">
        <f>IF('Journal'!C1464="","",'Journal'!C1464)</f>
        <v/>
      </c>
      <c r="D2926" s="5">
        <f>IF('Journal'!E1464="","",IFERROR(LEFT('Journal'!E1464,FIND(" ",'Journal'!E1464)-1),'Journal'!E1464))</f>
        <v/>
      </c>
      <c r="E2926" s="5">
        <f>IF('Journal'!E1464="","",IFERROR(INDEX('Kontoplan'!$B$3:$B$302,MATCH('Journal'!E1464,'Kontoplan'!$H$3:$H$302,0)),""))</f>
        <v/>
      </c>
      <c r="F2926" s="20">
        <f>IF('Journal'!F1464="","",'Journal'!F1464)</f>
        <v/>
      </c>
      <c r="G2926" s="20">
        <f>IF('Journal'!G1464="","",'Journal'!G1464)</f>
        <v/>
      </c>
      <c r="H2926" s="5">
        <f>IF('Journal'!I1464="","",'Journal'!I1464)</f>
        <v/>
      </c>
    </row>
    <row r="2927">
      <c r="A2927" s="18">
        <f>IF('Journal'!A1465="","",'Journal'!A1465)</f>
        <v/>
      </c>
      <c r="B2927" s="21">
        <f>IF('Journal'!B1465="","",'Journal'!B1465)</f>
        <v/>
      </c>
      <c r="C2927" s="5">
        <f>IF('Journal'!C1465="","",'Journal'!C1465)</f>
        <v/>
      </c>
      <c r="D2927" s="5">
        <f>IF('Journal'!D1465="","",IFERROR(LEFT('Journal'!D1465,FIND(" ",'Journal'!D1465)-1),'Journal'!D1465))</f>
        <v/>
      </c>
      <c r="E2927" s="5">
        <f>IF('Journal'!D1465="","",IFERROR(INDEX('Kontoplan'!$B$3:$B$302,MATCH('Journal'!D1465,'Kontoplan'!$H$3:$H$302,0)),""))</f>
        <v/>
      </c>
      <c r="F2927" s="20">
        <f>IF('Journal'!G1465="","",'Journal'!G1465)</f>
        <v/>
      </c>
      <c r="G2927" s="20">
        <f>IF('Journal'!F1465="","",'Journal'!F1465)</f>
        <v/>
      </c>
      <c r="H2927" s="5">
        <f>IF('Journal'!I1465="","",'Journal'!I1465)</f>
        <v/>
      </c>
    </row>
    <row r="2928">
      <c r="A2928" s="18">
        <f>IF('Journal'!A1465="","",'Journal'!A1465)</f>
        <v/>
      </c>
      <c r="B2928" s="21">
        <f>IF('Journal'!B1465="","",'Journal'!B1465)</f>
        <v/>
      </c>
      <c r="C2928" s="5">
        <f>IF('Journal'!C1465="","",'Journal'!C1465)</f>
        <v/>
      </c>
      <c r="D2928" s="5">
        <f>IF('Journal'!E1465="","",IFERROR(LEFT('Journal'!E1465,FIND(" ",'Journal'!E1465)-1),'Journal'!E1465))</f>
        <v/>
      </c>
      <c r="E2928" s="5">
        <f>IF('Journal'!E1465="","",IFERROR(INDEX('Kontoplan'!$B$3:$B$302,MATCH('Journal'!E1465,'Kontoplan'!$H$3:$H$302,0)),""))</f>
        <v/>
      </c>
      <c r="F2928" s="20">
        <f>IF('Journal'!F1465="","",'Journal'!F1465)</f>
        <v/>
      </c>
      <c r="G2928" s="20">
        <f>IF('Journal'!G1465="","",'Journal'!G1465)</f>
        <v/>
      </c>
      <c r="H2928" s="5">
        <f>IF('Journal'!I1465="","",'Journal'!I1465)</f>
        <v/>
      </c>
    </row>
    <row r="2929">
      <c r="A2929" s="18">
        <f>IF('Journal'!A1466="","",'Journal'!A1466)</f>
        <v/>
      </c>
      <c r="B2929" s="21">
        <f>IF('Journal'!B1466="","",'Journal'!B1466)</f>
        <v/>
      </c>
      <c r="C2929" s="5">
        <f>IF('Journal'!C1466="","",'Journal'!C1466)</f>
        <v/>
      </c>
      <c r="D2929" s="5">
        <f>IF('Journal'!D1466="","",IFERROR(LEFT('Journal'!D1466,FIND(" ",'Journal'!D1466)-1),'Journal'!D1466))</f>
        <v/>
      </c>
      <c r="E2929" s="5">
        <f>IF('Journal'!D1466="","",IFERROR(INDEX('Kontoplan'!$B$3:$B$302,MATCH('Journal'!D1466,'Kontoplan'!$H$3:$H$302,0)),""))</f>
        <v/>
      </c>
      <c r="F2929" s="20">
        <f>IF('Journal'!G1466="","",'Journal'!G1466)</f>
        <v/>
      </c>
      <c r="G2929" s="20">
        <f>IF('Journal'!F1466="","",'Journal'!F1466)</f>
        <v/>
      </c>
      <c r="H2929" s="5">
        <f>IF('Journal'!I1466="","",'Journal'!I1466)</f>
        <v/>
      </c>
    </row>
    <row r="2930">
      <c r="A2930" s="18">
        <f>IF('Journal'!A1466="","",'Journal'!A1466)</f>
        <v/>
      </c>
      <c r="B2930" s="21">
        <f>IF('Journal'!B1466="","",'Journal'!B1466)</f>
        <v/>
      </c>
      <c r="C2930" s="5">
        <f>IF('Journal'!C1466="","",'Journal'!C1466)</f>
        <v/>
      </c>
      <c r="D2930" s="5">
        <f>IF('Journal'!E1466="","",IFERROR(LEFT('Journal'!E1466,FIND(" ",'Journal'!E1466)-1),'Journal'!E1466))</f>
        <v/>
      </c>
      <c r="E2930" s="5">
        <f>IF('Journal'!E1466="","",IFERROR(INDEX('Kontoplan'!$B$3:$B$302,MATCH('Journal'!E1466,'Kontoplan'!$H$3:$H$302,0)),""))</f>
        <v/>
      </c>
      <c r="F2930" s="20">
        <f>IF('Journal'!F1466="","",'Journal'!F1466)</f>
        <v/>
      </c>
      <c r="G2930" s="20">
        <f>IF('Journal'!G1466="","",'Journal'!G1466)</f>
        <v/>
      </c>
      <c r="H2930" s="5">
        <f>IF('Journal'!I1466="","",'Journal'!I1466)</f>
        <v/>
      </c>
    </row>
    <row r="2931">
      <c r="A2931" s="18">
        <f>IF('Journal'!A1467="","",'Journal'!A1467)</f>
        <v/>
      </c>
      <c r="B2931" s="21">
        <f>IF('Journal'!B1467="","",'Journal'!B1467)</f>
        <v/>
      </c>
      <c r="C2931" s="5">
        <f>IF('Journal'!C1467="","",'Journal'!C1467)</f>
        <v/>
      </c>
      <c r="D2931" s="5">
        <f>IF('Journal'!D1467="","",IFERROR(LEFT('Journal'!D1467,FIND(" ",'Journal'!D1467)-1),'Journal'!D1467))</f>
        <v/>
      </c>
      <c r="E2931" s="5">
        <f>IF('Journal'!D1467="","",IFERROR(INDEX('Kontoplan'!$B$3:$B$302,MATCH('Journal'!D1467,'Kontoplan'!$H$3:$H$302,0)),""))</f>
        <v/>
      </c>
      <c r="F2931" s="20">
        <f>IF('Journal'!G1467="","",'Journal'!G1467)</f>
        <v/>
      </c>
      <c r="G2931" s="20">
        <f>IF('Journal'!F1467="","",'Journal'!F1467)</f>
        <v/>
      </c>
      <c r="H2931" s="5">
        <f>IF('Journal'!I1467="","",'Journal'!I1467)</f>
        <v/>
      </c>
    </row>
    <row r="2932">
      <c r="A2932" s="18">
        <f>IF('Journal'!A1467="","",'Journal'!A1467)</f>
        <v/>
      </c>
      <c r="B2932" s="21">
        <f>IF('Journal'!B1467="","",'Journal'!B1467)</f>
        <v/>
      </c>
      <c r="C2932" s="5">
        <f>IF('Journal'!C1467="","",'Journal'!C1467)</f>
        <v/>
      </c>
      <c r="D2932" s="5">
        <f>IF('Journal'!E1467="","",IFERROR(LEFT('Journal'!E1467,FIND(" ",'Journal'!E1467)-1),'Journal'!E1467))</f>
        <v/>
      </c>
      <c r="E2932" s="5">
        <f>IF('Journal'!E1467="","",IFERROR(INDEX('Kontoplan'!$B$3:$B$302,MATCH('Journal'!E1467,'Kontoplan'!$H$3:$H$302,0)),""))</f>
        <v/>
      </c>
      <c r="F2932" s="20">
        <f>IF('Journal'!F1467="","",'Journal'!F1467)</f>
        <v/>
      </c>
      <c r="G2932" s="20">
        <f>IF('Journal'!G1467="","",'Journal'!G1467)</f>
        <v/>
      </c>
      <c r="H2932" s="5">
        <f>IF('Journal'!I1467="","",'Journal'!I1467)</f>
        <v/>
      </c>
    </row>
    <row r="2933">
      <c r="A2933" s="18">
        <f>IF('Journal'!A1468="","",'Journal'!A1468)</f>
        <v/>
      </c>
      <c r="B2933" s="21">
        <f>IF('Journal'!B1468="","",'Journal'!B1468)</f>
        <v/>
      </c>
      <c r="C2933" s="5">
        <f>IF('Journal'!C1468="","",'Journal'!C1468)</f>
        <v/>
      </c>
      <c r="D2933" s="5">
        <f>IF('Journal'!D1468="","",IFERROR(LEFT('Journal'!D1468,FIND(" ",'Journal'!D1468)-1),'Journal'!D1468))</f>
        <v/>
      </c>
      <c r="E2933" s="5">
        <f>IF('Journal'!D1468="","",IFERROR(INDEX('Kontoplan'!$B$3:$B$302,MATCH('Journal'!D1468,'Kontoplan'!$H$3:$H$302,0)),""))</f>
        <v/>
      </c>
      <c r="F2933" s="20">
        <f>IF('Journal'!G1468="","",'Journal'!G1468)</f>
        <v/>
      </c>
      <c r="G2933" s="20">
        <f>IF('Journal'!F1468="","",'Journal'!F1468)</f>
        <v/>
      </c>
      <c r="H2933" s="5">
        <f>IF('Journal'!I1468="","",'Journal'!I1468)</f>
        <v/>
      </c>
    </row>
    <row r="2934">
      <c r="A2934" s="18">
        <f>IF('Journal'!A1468="","",'Journal'!A1468)</f>
        <v/>
      </c>
      <c r="B2934" s="21">
        <f>IF('Journal'!B1468="","",'Journal'!B1468)</f>
        <v/>
      </c>
      <c r="C2934" s="5">
        <f>IF('Journal'!C1468="","",'Journal'!C1468)</f>
        <v/>
      </c>
      <c r="D2934" s="5">
        <f>IF('Journal'!E1468="","",IFERROR(LEFT('Journal'!E1468,FIND(" ",'Journal'!E1468)-1),'Journal'!E1468))</f>
        <v/>
      </c>
      <c r="E2934" s="5">
        <f>IF('Journal'!E1468="","",IFERROR(INDEX('Kontoplan'!$B$3:$B$302,MATCH('Journal'!E1468,'Kontoplan'!$H$3:$H$302,0)),""))</f>
        <v/>
      </c>
      <c r="F2934" s="20">
        <f>IF('Journal'!F1468="","",'Journal'!F1468)</f>
        <v/>
      </c>
      <c r="G2934" s="20">
        <f>IF('Journal'!G1468="","",'Journal'!G1468)</f>
        <v/>
      </c>
      <c r="H2934" s="5">
        <f>IF('Journal'!I1468="","",'Journal'!I1468)</f>
        <v/>
      </c>
    </row>
    <row r="2935">
      <c r="A2935" s="18">
        <f>IF('Journal'!A1469="","",'Journal'!A1469)</f>
        <v/>
      </c>
      <c r="B2935" s="21">
        <f>IF('Journal'!B1469="","",'Journal'!B1469)</f>
        <v/>
      </c>
      <c r="C2935" s="5">
        <f>IF('Journal'!C1469="","",'Journal'!C1469)</f>
        <v/>
      </c>
      <c r="D2935" s="5">
        <f>IF('Journal'!D1469="","",IFERROR(LEFT('Journal'!D1469,FIND(" ",'Journal'!D1469)-1),'Journal'!D1469))</f>
        <v/>
      </c>
      <c r="E2935" s="5">
        <f>IF('Journal'!D1469="","",IFERROR(INDEX('Kontoplan'!$B$3:$B$302,MATCH('Journal'!D1469,'Kontoplan'!$H$3:$H$302,0)),""))</f>
        <v/>
      </c>
      <c r="F2935" s="20">
        <f>IF('Journal'!G1469="","",'Journal'!G1469)</f>
        <v/>
      </c>
      <c r="G2935" s="20">
        <f>IF('Journal'!F1469="","",'Journal'!F1469)</f>
        <v/>
      </c>
      <c r="H2935" s="5">
        <f>IF('Journal'!I1469="","",'Journal'!I1469)</f>
        <v/>
      </c>
    </row>
    <row r="2936">
      <c r="A2936" s="18">
        <f>IF('Journal'!A1469="","",'Journal'!A1469)</f>
        <v/>
      </c>
      <c r="B2936" s="21">
        <f>IF('Journal'!B1469="","",'Journal'!B1469)</f>
        <v/>
      </c>
      <c r="C2936" s="5">
        <f>IF('Journal'!C1469="","",'Journal'!C1469)</f>
        <v/>
      </c>
      <c r="D2936" s="5">
        <f>IF('Journal'!E1469="","",IFERROR(LEFT('Journal'!E1469,FIND(" ",'Journal'!E1469)-1),'Journal'!E1469))</f>
        <v/>
      </c>
      <c r="E2936" s="5">
        <f>IF('Journal'!E1469="","",IFERROR(INDEX('Kontoplan'!$B$3:$B$302,MATCH('Journal'!E1469,'Kontoplan'!$H$3:$H$302,0)),""))</f>
        <v/>
      </c>
      <c r="F2936" s="20">
        <f>IF('Journal'!F1469="","",'Journal'!F1469)</f>
        <v/>
      </c>
      <c r="G2936" s="20">
        <f>IF('Journal'!G1469="","",'Journal'!G1469)</f>
        <v/>
      </c>
      <c r="H2936" s="5">
        <f>IF('Journal'!I1469="","",'Journal'!I1469)</f>
        <v/>
      </c>
    </row>
    <row r="2937">
      <c r="A2937" s="18">
        <f>IF('Journal'!A1470="","",'Journal'!A1470)</f>
        <v/>
      </c>
      <c r="B2937" s="21">
        <f>IF('Journal'!B1470="","",'Journal'!B1470)</f>
        <v/>
      </c>
      <c r="C2937" s="5">
        <f>IF('Journal'!C1470="","",'Journal'!C1470)</f>
        <v/>
      </c>
      <c r="D2937" s="5">
        <f>IF('Journal'!D1470="","",IFERROR(LEFT('Journal'!D1470,FIND(" ",'Journal'!D1470)-1),'Journal'!D1470))</f>
        <v/>
      </c>
      <c r="E2937" s="5">
        <f>IF('Journal'!D1470="","",IFERROR(INDEX('Kontoplan'!$B$3:$B$302,MATCH('Journal'!D1470,'Kontoplan'!$H$3:$H$302,0)),""))</f>
        <v/>
      </c>
      <c r="F2937" s="20">
        <f>IF('Journal'!G1470="","",'Journal'!G1470)</f>
        <v/>
      </c>
      <c r="G2937" s="20">
        <f>IF('Journal'!F1470="","",'Journal'!F1470)</f>
        <v/>
      </c>
      <c r="H2937" s="5">
        <f>IF('Journal'!I1470="","",'Journal'!I1470)</f>
        <v/>
      </c>
    </row>
    <row r="2938">
      <c r="A2938" s="18">
        <f>IF('Journal'!A1470="","",'Journal'!A1470)</f>
        <v/>
      </c>
      <c r="B2938" s="21">
        <f>IF('Journal'!B1470="","",'Journal'!B1470)</f>
        <v/>
      </c>
      <c r="C2938" s="5">
        <f>IF('Journal'!C1470="","",'Journal'!C1470)</f>
        <v/>
      </c>
      <c r="D2938" s="5">
        <f>IF('Journal'!E1470="","",IFERROR(LEFT('Journal'!E1470,FIND(" ",'Journal'!E1470)-1),'Journal'!E1470))</f>
        <v/>
      </c>
      <c r="E2938" s="5">
        <f>IF('Journal'!E1470="","",IFERROR(INDEX('Kontoplan'!$B$3:$B$302,MATCH('Journal'!E1470,'Kontoplan'!$H$3:$H$302,0)),""))</f>
        <v/>
      </c>
      <c r="F2938" s="20">
        <f>IF('Journal'!F1470="","",'Journal'!F1470)</f>
        <v/>
      </c>
      <c r="G2938" s="20">
        <f>IF('Journal'!G1470="","",'Journal'!G1470)</f>
        <v/>
      </c>
      <c r="H2938" s="5">
        <f>IF('Journal'!I1470="","",'Journal'!I1470)</f>
        <v/>
      </c>
    </row>
    <row r="2939">
      <c r="A2939" s="18">
        <f>IF('Journal'!A1471="","",'Journal'!A1471)</f>
        <v/>
      </c>
      <c r="B2939" s="21">
        <f>IF('Journal'!B1471="","",'Journal'!B1471)</f>
        <v/>
      </c>
      <c r="C2939" s="5">
        <f>IF('Journal'!C1471="","",'Journal'!C1471)</f>
        <v/>
      </c>
      <c r="D2939" s="5">
        <f>IF('Journal'!D1471="","",IFERROR(LEFT('Journal'!D1471,FIND(" ",'Journal'!D1471)-1),'Journal'!D1471))</f>
        <v/>
      </c>
      <c r="E2939" s="5">
        <f>IF('Journal'!D1471="","",IFERROR(INDEX('Kontoplan'!$B$3:$B$302,MATCH('Journal'!D1471,'Kontoplan'!$H$3:$H$302,0)),""))</f>
        <v/>
      </c>
      <c r="F2939" s="20">
        <f>IF('Journal'!G1471="","",'Journal'!G1471)</f>
        <v/>
      </c>
      <c r="G2939" s="20">
        <f>IF('Journal'!F1471="","",'Journal'!F1471)</f>
        <v/>
      </c>
      <c r="H2939" s="5">
        <f>IF('Journal'!I1471="","",'Journal'!I1471)</f>
        <v/>
      </c>
    </row>
    <row r="2940">
      <c r="A2940" s="18">
        <f>IF('Journal'!A1471="","",'Journal'!A1471)</f>
        <v/>
      </c>
      <c r="B2940" s="21">
        <f>IF('Journal'!B1471="","",'Journal'!B1471)</f>
        <v/>
      </c>
      <c r="C2940" s="5">
        <f>IF('Journal'!C1471="","",'Journal'!C1471)</f>
        <v/>
      </c>
      <c r="D2940" s="5">
        <f>IF('Journal'!E1471="","",IFERROR(LEFT('Journal'!E1471,FIND(" ",'Journal'!E1471)-1),'Journal'!E1471))</f>
        <v/>
      </c>
      <c r="E2940" s="5">
        <f>IF('Journal'!E1471="","",IFERROR(INDEX('Kontoplan'!$B$3:$B$302,MATCH('Journal'!E1471,'Kontoplan'!$H$3:$H$302,0)),""))</f>
        <v/>
      </c>
      <c r="F2940" s="20">
        <f>IF('Journal'!F1471="","",'Journal'!F1471)</f>
        <v/>
      </c>
      <c r="G2940" s="20">
        <f>IF('Journal'!G1471="","",'Journal'!G1471)</f>
        <v/>
      </c>
      <c r="H2940" s="5">
        <f>IF('Journal'!I1471="","",'Journal'!I1471)</f>
        <v/>
      </c>
    </row>
    <row r="2941">
      <c r="A2941" s="18">
        <f>IF('Journal'!A1472="","",'Journal'!A1472)</f>
        <v/>
      </c>
      <c r="B2941" s="21">
        <f>IF('Journal'!B1472="","",'Journal'!B1472)</f>
        <v/>
      </c>
      <c r="C2941" s="5">
        <f>IF('Journal'!C1472="","",'Journal'!C1472)</f>
        <v/>
      </c>
      <c r="D2941" s="5">
        <f>IF('Journal'!D1472="","",IFERROR(LEFT('Journal'!D1472,FIND(" ",'Journal'!D1472)-1),'Journal'!D1472))</f>
        <v/>
      </c>
      <c r="E2941" s="5">
        <f>IF('Journal'!D1472="","",IFERROR(INDEX('Kontoplan'!$B$3:$B$302,MATCH('Journal'!D1472,'Kontoplan'!$H$3:$H$302,0)),""))</f>
        <v/>
      </c>
      <c r="F2941" s="20">
        <f>IF('Journal'!G1472="","",'Journal'!G1472)</f>
        <v/>
      </c>
      <c r="G2941" s="20">
        <f>IF('Journal'!F1472="","",'Journal'!F1472)</f>
        <v/>
      </c>
      <c r="H2941" s="5">
        <f>IF('Journal'!I1472="","",'Journal'!I1472)</f>
        <v/>
      </c>
    </row>
    <row r="2942">
      <c r="A2942" s="18">
        <f>IF('Journal'!A1472="","",'Journal'!A1472)</f>
        <v/>
      </c>
      <c r="B2942" s="21">
        <f>IF('Journal'!B1472="","",'Journal'!B1472)</f>
        <v/>
      </c>
      <c r="C2942" s="5">
        <f>IF('Journal'!C1472="","",'Journal'!C1472)</f>
        <v/>
      </c>
      <c r="D2942" s="5">
        <f>IF('Journal'!E1472="","",IFERROR(LEFT('Journal'!E1472,FIND(" ",'Journal'!E1472)-1),'Journal'!E1472))</f>
        <v/>
      </c>
      <c r="E2942" s="5">
        <f>IF('Journal'!E1472="","",IFERROR(INDEX('Kontoplan'!$B$3:$B$302,MATCH('Journal'!E1472,'Kontoplan'!$H$3:$H$302,0)),""))</f>
        <v/>
      </c>
      <c r="F2942" s="20">
        <f>IF('Journal'!F1472="","",'Journal'!F1472)</f>
        <v/>
      </c>
      <c r="G2942" s="20">
        <f>IF('Journal'!G1472="","",'Journal'!G1472)</f>
        <v/>
      </c>
      <c r="H2942" s="5">
        <f>IF('Journal'!I1472="","",'Journal'!I1472)</f>
        <v/>
      </c>
    </row>
    <row r="2943">
      <c r="A2943" s="18">
        <f>IF('Journal'!A1473="","",'Journal'!A1473)</f>
        <v/>
      </c>
      <c r="B2943" s="21">
        <f>IF('Journal'!B1473="","",'Journal'!B1473)</f>
        <v/>
      </c>
      <c r="C2943" s="5">
        <f>IF('Journal'!C1473="","",'Journal'!C1473)</f>
        <v/>
      </c>
      <c r="D2943" s="5">
        <f>IF('Journal'!D1473="","",IFERROR(LEFT('Journal'!D1473,FIND(" ",'Journal'!D1473)-1),'Journal'!D1473))</f>
        <v/>
      </c>
      <c r="E2943" s="5">
        <f>IF('Journal'!D1473="","",IFERROR(INDEX('Kontoplan'!$B$3:$B$302,MATCH('Journal'!D1473,'Kontoplan'!$H$3:$H$302,0)),""))</f>
        <v/>
      </c>
      <c r="F2943" s="20">
        <f>IF('Journal'!G1473="","",'Journal'!G1473)</f>
        <v/>
      </c>
      <c r="G2943" s="20">
        <f>IF('Journal'!F1473="","",'Journal'!F1473)</f>
        <v/>
      </c>
      <c r="H2943" s="5">
        <f>IF('Journal'!I1473="","",'Journal'!I1473)</f>
        <v/>
      </c>
    </row>
    <row r="2944">
      <c r="A2944" s="18">
        <f>IF('Journal'!A1473="","",'Journal'!A1473)</f>
        <v/>
      </c>
      <c r="B2944" s="21">
        <f>IF('Journal'!B1473="","",'Journal'!B1473)</f>
        <v/>
      </c>
      <c r="C2944" s="5">
        <f>IF('Journal'!C1473="","",'Journal'!C1473)</f>
        <v/>
      </c>
      <c r="D2944" s="5">
        <f>IF('Journal'!E1473="","",IFERROR(LEFT('Journal'!E1473,FIND(" ",'Journal'!E1473)-1),'Journal'!E1473))</f>
        <v/>
      </c>
      <c r="E2944" s="5">
        <f>IF('Journal'!E1473="","",IFERROR(INDEX('Kontoplan'!$B$3:$B$302,MATCH('Journal'!E1473,'Kontoplan'!$H$3:$H$302,0)),""))</f>
        <v/>
      </c>
      <c r="F2944" s="20">
        <f>IF('Journal'!F1473="","",'Journal'!F1473)</f>
        <v/>
      </c>
      <c r="G2944" s="20">
        <f>IF('Journal'!G1473="","",'Journal'!G1473)</f>
        <v/>
      </c>
      <c r="H2944" s="5">
        <f>IF('Journal'!I1473="","",'Journal'!I1473)</f>
        <v/>
      </c>
    </row>
    <row r="2945">
      <c r="A2945" s="18">
        <f>IF('Journal'!A1474="","",'Journal'!A1474)</f>
        <v/>
      </c>
      <c r="B2945" s="21">
        <f>IF('Journal'!B1474="","",'Journal'!B1474)</f>
        <v/>
      </c>
      <c r="C2945" s="5">
        <f>IF('Journal'!C1474="","",'Journal'!C1474)</f>
        <v/>
      </c>
      <c r="D2945" s="5">
        <f>IF('Journal'!D1474="","",IFERROR(LEFT('Journal'!D1474,FIND(" ",'Journal'!D1474)-1),'Journal'!D1474))</f>
        <v/>
      </c>
      <c r="E2945" s="5">
        <f>IF('Journal'!D1474="","",IFERROR(INDEX('Kontoplan'!$B$3:$B$302,MATCH('Journal'!D1474,'Kontoplan'!$H$3:$H$302,0)),""))</f>
        <v/>
      </c>
      <c r="F2945" s="20">
        <f>IF('Journal'!G1474="","",'Journal'!G1474)</f>
        <v/>
      </c>
      <c r="G2945" s="20">
        <f>IF('Journal'!F1474="","",'Journal'!F1474)</f>
        <v/>
      </c>
      <c r="H2945" s="5">
        <f>IF('Journal'!I1474="","",'Journal'!I1474)</f>
        <v/>
      </c>
    </row>
    <row r="2946">
      <c r="A2946" s="18">
        <f>IF('Journal'!A1474="","",'Journal'!A1474)</f>
        <v/>
      </c>
      <c r="B2946" s="21">
        <f>IF('Journal'!B1474="","",'Journal'!B1474)</f>
        <v/>
      </c>
      <c r="C2946" s="5">
        <f>IF('Journal'!C1474="","",'Journal'!C1474)</f>
        <v/>
      </c>
      <c r="D2946" s="5">
        <f>IF('Journal'!E1474="","",IFERROR(LEFT('Journal'!E1474,FIND(" ",'Journal'!E1474)-1),'Journal'!E1474))</f>
        <v/>
      </c>
      <c r="E2946" s="5">
        <f>IF('Journal'!E1474="","",IFERROR(INDEX('Kontoplan'!$B$3:$B$302,MATCH('Journal'!E1474,'Kontoplan'!$H$3:$H$302,0)),""))</f>
        <v/>
      </c>
      <c r="F2946" s="20">
        <f>IF('Journal'!F1474="","",'Journal'!F1474)</f>
        <v/>
      </c>
      <c r="G2946" s="20">
        <f>IF('Journal'!G1474="","",'Journal'!G1474)</f>
        <v/>
      </c>
      <c r="H2946" s="5">
        <f>IF('Journal'!I1474="","",'Journal'!I1474)</f>
        <v/>
      </c>
    </row>
    <row r="2947">
      <c r="A2947" s="18">
        <f>IF('Journal'!A1475="","",'Journal'!A1475)</f>
        <v/>
      </c>
      <c r="B2947" s="21">
        <f>IF('Journal'!B1475="","",'Journal'!B1475)</f>
        <v/>
      </c>
      <c r="C2947" s="5">
        <f>IF('Journal'!C1475="","",'Journal'!C1475)</f>
        <v/>
      </c>
      <c r="D2947" s="5">
        <f>IF('Journal'!D1475="","",IFERROR(LEFT('Journal'!D1475,FIND(" ",'Journal'!D1475)-1),'Journal'!D1475))</f>
        <v/>
      </c>
      <c r="E2947" s="5">
        <f>IF('Journal'!D1475="","",IFERROR(INDEX('Kontoplan'!$B$3:$B$302,MATCH('Journal'!D1475,'Kontoplan'!$H$3:$H$302,0)),""))</f>
        <v/>
      </c>
      <c r="F2947" s="20">
        <f>IF('Journal'!G1475="","",'Journal'!G1475)</f>
        <v/>
      </c>
      <c r="G2947" s="20">
        <f>IF('Journal'!F1475="","",'Journal'!F1475)</f>
        <v/>
      </c>
      <c r="H2947" s="5">
        <f>IF('Journal'!I1475="","",'Journal'!I1475)</f>
        <v/>
      </c>
    </row>
    <row r="2948">
      <c r="A2948" s="18">
        <f>IF('Journal'!A1475="","",'Journal'!A1475)</f>
        <v/>
      </c>
      <c r="B2948" s="21">
        <f>IF('Journal'!B1475="","",'Journal'!B1475)</f>
        <v/>
      </c>
      <c r="C2948" s="5">
        <f>IF('Journal'!C1475="","",'Journal'!C1475)</f>
        <v/>
      </c>
      <c r="D2948" s="5">
        <f>IF('Journal'!E1475="","",IFERROR(LEFT('Journal'!E1475,FIND(" ",'Journal'!E1475)-1),'Journal'!E1475))</f>
        <v/>
      </c>
      <c r="E2948" s="5">
        <f>IF('Journal'!E1475="","",IFERROR(INDEX('Kontoplan'!$B$3:$B$302,MATCH('Journal'!E1475,'Kontoplan'!$H$3:$H$302,0)),""))</f>
        <v/>
      </c>
      <c r="F2948" s="20">
        <f>IF('Journal'!F1475="","",'Journal'!F1475)</f>
        <v/>
      </c>
      <c r="G2948" s="20">
        <f>IF('Journal'!G1475="","",'Journal'!G1475)</f>
        <v/>
      </c>
      <c r="H2948" s="5">
        <f>IF('Journal'!I1475="","",'Journal'!I1475)</f>
        <v/>
      </c>
    </row>
    <row r="2949">
      <c r="A2949" s="18">
        <f>IF('Journal'!A1476="","",'Journal'!A1476)</f>
        <v/>
      </c>
      <c r="B2949" s="21">
        <f>IF('Journal'!B1476="","",'Journal'!B1476)</f>
        <v/>
      </c>
      <c r="C2949" s="5">
        <f>IF('Journal'!C1476="","",'Journal'!C1476)</f>
        <v/>
      </c>
      <c r="D2949" s="5">
        <f>IF('Journal'!D1476="","",IFERROR(LEFT('Journal'!D1476,FIND(" ",'Journal'!D1476)-1),'Journal'!D1476))</f>
        <v/>
      </c>
      <c r="E2949" s="5">
        <f>IF('Journal'!D1476="","",IFERROR(INDEX('Kontoplan'!$B$3:$B$302,MATCH('Journal'!D1476,'Kontoplan'!$H$3:$H$302,0)),""))</f>
        <v/>
      </c>
      <c r="F2949" s="20">
        <f>IF('Journal'!G1476="","",'Journal'!G1476)</f>
        <v/>
      </c>
      <c r="G2949" s="20">
        <f>IF('Journal'!F1476="","",'Journal'!F1476)</f>
        <v/>
      </c>
      <c r="H2949" s="5">
        <f>IF('Journal'!I1476="","",'Journal'!I1476)</f>
        <v/>
      </c>
    </row>
    <row r="2950">
      <c r="A2950" s="18">
        <f>IF('Journal'!A1476="","",'Journal'!A1476)</f>
        <v/>
      </c>
      <c r="B2950" s="21">
        <f>IF('Journal'!B1476="","",'Journal'!B1476)</f>
        <v/>
      </c>
      <c r="C2950" s="5">
        <f>IF('Journal'!C1476="","",'Journal'!C1476)</f>
        <v/>
      </c>
      <c r="D2950" s="5">
        <f>IF('Journal'!E1476="","",IFERROR(LEFT('Journal'!E1476,FIND(" ",'Journal'!E1476)-1),'Journal'!E1476))</f>
        <v/>
      </c>
      <c r="E2950" s="5">
        <f>IF('Journal'!E1476="","",IFERROR(INDEX('Kontoplan'!$B$3:$B$302,MATCH('Journal'!E1476,'Kontoplan'!$H$3:$H$302,0)),""))</f>
        <v/>
      </c>
      <c r="F2950" s="20">
        <f>IF('Journal'!F1476="","",'Journal'!F1476)</f>
        <v/>
      </c>
      <c r="G2950" s="20">
        <f>IF('Journal'!G1476="","",'Journal'!G1476)</f>
        <v/>
      </c>
      <c r="H2950" s="5">
        <f>IF('Journal'!I1476="","",'Journal'!I1476)</f>
        <v/>
      </c>
    </row>
    <row r="2951">
      <c r="A2951" s="18">
        <f>IF('Journal'!A1477="","",'Journal'!A1477)</f>
        <v/>
      </c>
      <c r="B2951" s="21">
        <f>IF('Journal'!B1477="","",'Journal'!B1477)</f>
        <v/>
      </c>
      <c r="C2951" s="5">
        <f>IF('Journal'!C1477="","",'Journal'!C1477)</f>
        <v/>
      </c>
      <c r="D2951" s="5">
        <f>IF('Journal'!D1477="","",IFERROR(LEFT('Journal'!D1477,FIND(" ",'Journal'!D1477)-1),'Journal'!D1477))</f>
        <v/>
      </c>
      <c r="E2951" s="5">
        <f>IF('Journal'!D1477="","",IFERROR(INDEX('Kontoplan'!$B$3:$B$302,MATCH('Journal'!D1477,'Kontoplan'!$H$3:$H$302,0)),""))</f>
        <v/>
      </c>
      <c r="F2951" s="20">
        <f>IF('Journal'!G1477="","",'Journal'!G1477)</f>
        <v/>
      </c>
      <c r="G2951" s="20">
        <f>IF('Journal'!F1477="","",'Journal'!F1477)</f>
        <v/>
      </c>
      <c r="H2951" s="5">
        <f>IF('Journal'!I1477="","",'Journal'!I1477)</f>
        <v/>
      </c>
    </row>
    <row r="2952">
      <c r="A2952" s="18">
        <f>IF('Journal'!A1477="","",'Journal'!A1477)</f>
        <v/>
      </c>
      <c r="B2952" s="21">
        <f>IF('Journal'!B1477="","",'Journal'!B1477)</f>
        <v/>
      </c>
      <c r="C2952" s="5">
        <f>IF('Journal'!C1477="","",'Journal'!C1477)</f>
        <v/>
      </c>
      <c r="D2952" s="5">
        <f>IF('Journal'!E1477="","",IFERROR(LEFT('Journal'!E1477,FIND(" ",'Journal'!E1477)-1),'Journal'!E1477))</f>
        <v/>
      </c>
      <c r="E2952" s="5">
        <f>IF('Journal'!E1477="","",IFERROR(INDEX('Kontoplan'!$B$3:$B$302,MATCH('Journal'!E1477,'Kontoplan'!$H$3:$H$302,0)),""))</f>
        <v/>
      </c>
      <c r="F2952" s="20">
        <f>IF('Journal'!F1477="","",'Journal'!F1477)</f>
        <v/>
      </c>
      <c r="G2952" s="20">
        <f>IF('Journal'!G1477="","",'Journal'!G1477)</f>
        <v/>
      </c>
      <c r="H2952" s="5">
        <f>IF('Journal'!I1477="","",'Journal'!I1477)</f>
        <v/>
      </c>
    </row>
    <row r="2953">
      <c r="A2953" s="18">
        <f>IF('Journal'!A1478="","",'Journal'!A1478)</f>
        <v/>
      </c>
      <c r="B2953" s="21">
        <f>IF('Journal'!B1478="","",'Journal'!B1478)</f>
        <v/>
      </c>
      <c r="C2953" s="5">
        <f>IF('Journal'!C1478="","",'Journal'!C1478)</f>
        <v/>
      </c>
      <c r="D2953" s="5">
        <f>IF('Journal'!D1478="","",IFERROR(LEFT('Journal'!D1478,FIND(" ",'Journal'!D1478)-1),'Journal'!D1478))</f>
        <v/>
      </c>
      <c r="E2953" s="5">
        <f>IF('Journal'!D1478="","",IFERROR(INDEX('Kontoplan'!$B$3:$B$302,MATCH('Journal'!D1478,'Kontoplan'!$H$3:$H$302,0)),""))</f>
        <v/>
      </c>
      <c r="F2953" s="20">
        <f>IF('Journal'!G1478="","",'Journal'!G1478)</f>
        <v/>
      </c>
      <c r="G2953" s="20">
        <f>IF('Journal'!F1478="","",'Journal'!F1478)</f>
        <v/>
      </c>
      <c r="H2953" s="5">
        <f>IF('Journal'!I1478="","",'Journal'!I1478)</f>
        <v/>
      </c>
    </row>
    <row r="2954">
      <c r="A2954" s="18">
        <f>IF('Journal'!A1478="","",'Journal'!A1478)</f>
        <v/>
      </c>
      <c r="B2954" s="21">
        <f>IF('Journal'!B1478="","",'Journal'!B1478)</f>
        <v/>
      </c>
      <c r="C2954" s="5">
        <f>IF('Journal'!C1478="","",'Journal'!C1478)</f>
        <v/>
      </c>
      <c r="D2954" s="5">
        <f>IF('Journal'!E1478="","",IFERROR(LEFT('Journal'!E1478,FIND(" ",'Journal'!E1478)-1),'Journal'!E1478))</f>
        <v/>
      </c>
      <c r="E2954" s="5">
        <f>IF('Journal'!E1478="","",IFERROR(INDEX('Kontoplan'!$B$3:$B$302,MATCH('Journal'!E1478,'Kontoplan'!$H$3:$H$302,0)),""))</f>
        <v/>
      </c>
      <c r="F2954" s="20">
        <f>IF('Journal'!F1478="","",'Journal'!F1478)</f>
        <v/>
      </c>
      <c r="G2954" s="20">
        <f>IF('Journal'!G1478="","",'Journal'!G1478)</f>
        <v/>
      </c>
      <c r="H2954" s="5">
        <f>IF('Journal'!I1478="","",'Journal'!I1478)</f>
        <v/>
      </c>
    </row>
    <row r="2955">
      <c r="A2955" s="18">
        <f>IF('Journal'!A1479="","",'Journal'!A1479)</f>
        <v/>
      </c>
      <c r="B2955" s="21">
        <f>IF('Journal'!B1479="","",'Journal'!B1479)</f>
        <v/>
      </c>
      <c r="C2955" s="5">
        <f>IF('Journal'!C1479="","",'Journal'!C1479)</f>
        <v/>
      </c>
      <c r="D2955" s="5">
        <f>IF('Journal'!D1479="","",IFERROR(LEFT('Journal'!D1479,FIND(" ",'Journal'!D1479)-1),'Journal'!D1479))</f>
        <v/>
      </c>
      <c r="E2955" s="5">
        <f>IF('Journal'!D1479="","",IFERROR(INDEX('Kontoplan'!$B$3:$B$302,MATCH('Journal'!D1479,'Kontoplan'!$H$3:$H$302,0)),""))</f>
        <v/>
      </c>
      <c r="F2955" s="20">
        <f>IF('Journal'!G1479="","",'Journal'!G1479)</f>
        <v/>
      </c>
      <c r="G2955" s="20">
        <f>IF('Journal'!F1479="","",'Journal'!F1479)</f>
        <v/>
      </c>
      <c r="H2955" s="5">
        <f>IF('Journal'!I1479="","",'Journal'!I1479)</f>
        <v/>
      </c>
    </row>
    <row r="2956">
      <c r="A2956" s="18">
        <f>IF('Journal'!A1479="","",'Journal'!A1479)</f>
        <v/>
      </c>
      <c r="B2956" s="21">
        <f>IF('Journal'!B1479="","",'Journal'!B1479)</f>
        <v/>
      </c>
      <c r="C2956" s="5">
        <f>IF('Journal'!C1479="","",'Journal'!C1479)</f>
        <v/>
      </c>
      <c r="D2956" s="5">
        <f>IF('Journal'!E1479="","",IFERROR(LEFT('Journal'!E1479,FIND(" ",'Journal'!E1479)-1),'Journal'!E1479))</f>
        <v/>
      </c>
      <c r="E2956" s="5">
        <f>IF('Journal'!E1479="","",IFERROR(INDEX('Kontoplan'!$B$3:$B$302,MATCH('Journal'!E1479,'Kontoplan'!$H$3:$H$302,0)),""))</f>
        <v/>
      </c>
      <c r="F2956" s="20">
        <f>IF('Journal'!F1479="","",'Journal'!F1479)</f>
        <v/>
      </c>
      <c r="G2956" s="20">
        <f>IF('Journal'!G1479="","",'Journal'!G1479)</f>
        <v/>
      </c>
      <c r="H2956" s="5">
        <f>IF('Journal'!I1479="","",'Journal'!I1479)</f>
        <v/>
      </c>
    </row>
    <row r="2957">
      <c r="A2957" s="18">
        <f>IF('Journal'!A1480="","",'Journal'!A1480)</f>
        <v/>
      </c>
      <c r="B2957" s="21">
        <f>IF('Journal'!B1480="","",'Journal'!B1480)</f>
        <v/>
      </c>
      <c r="C2957" s="5">
        <f>IF('Journal'!C1480="","",'Journal'!C1480)</f>
        <v/>
      </c>
      <c r="D2957" s="5">
        <f>IF('Journal'!D1480="","",IFERROR(LEFT('Journal'!D1480,FIND(" ",'Journal'!D1480)-1),'Journal'!D1480))</f>
        <v/>
      </c>
      <c r="E2957" s="5">
        <f>IF('Journal'!D1480="","",IFERROR(INDEX('Kontoplan'!$B$3:$B$302,MATCH('Journal'!D1480,'Kontoplan'!$H$3:$H$302,0)),""))</f>
        <v/>
      </c>
      <c r="F2957" s="20">
        <f>IF('Journal'!G1480="","",'Journal'!G1480)</f>
        <v/>
      </c>
      <c r="G2957" s="20">
        <f>IF('Journal'!F1480="","",'Journal'!F1480)</f>
        <v/>
      </c>
      <c r="H2957" s="5">
        <f>IF('Journal'!I1480="","",'Journal'!I1480)</f>
        <v/>
      </c>
    </row>
    <row r="2958">
      <c r="A2958" s="18">
        <f>IF('Journal'!A1480="","",'Journal'!A1480)</f>
        <v/>
      </c>
      <c r="B2958" s="21">
        <f>IF('Journal'!B1480="","",'Journal'!B1480)</f>
        <v/>
      </c>
      <c r="C2958" s="5">
        <f>IF('Journal'!C1480="","",'Journal'!C1480)</f>
        <v/>
      </c>
      <c r="D2958" s="5">
        <f>IF('Journal'!E1480="","",IFERROR(LEFT('Journal'!E1480,FIND(" ",'Journal'!E1480)-1),'Journal'!E1480))</f>
        <v/>
      </c>
      <c r="E2958" s="5">
        <f>IF('Journal'!E1480="","",IFERROR(INDEX('Kontoplan'!$B$3:$B$302,MATCH('Journal'!E1480,'Kontoplan'!$H$3:$H$302,0)),""))</f>
        <v/>
      </c>
      <c r="F2958" s="20">
        <f>IF('Journal'!F1480="","",'Journal'!F1480)</f>
        <v/>
      </c>
      <c r="G2958" s="20">
        <f>IF('Journal'!G1480="","",'Journal'!G1480)</f>
        <v/>
      </c>
      <c r="H2958" s="5">
        <f>IF('Journal'!I1480="","",'Journal'!I1480)</f>
        <v/>
      </c>
    </row>
    <row r="2959">
      <c r="A2959" s="18">
        <f>IF('Journal'!A1481="","",'Journal'!A1481)</f>
        <v/>
      </c>
      <c r="B2959" s="21">
        <f>IF('Journal'!B1481="","",'Journal'!B1481)</f>
        <v/>
      </c>
      <c r="C2959" s="5">
        <f>IF('Journal'!C1481="","",'Journal'!C1481)</f>
        <v/>
      </c>
      <c r="D2959" s="5">
        <f>IF('Journal'!D1481="","",IFERROR(LEFT('Journal'!D1481,FIND(" ",'Journal'!D1481)-1),'Journal'!D1481))</f>
        <v/>
      </c>
      <c r="E2959" s="5">
        <f>IF('Journal'!D1481="","",IFERROR(INDEX('Kontoplan'!$B$3:$B$302,MATCH('Journal'!D1481,'Kontoplan'!$H$3:$H$302,0)),""))</f>
        <v/>
      </c>
      <c r="F2959" s="20">
        <f>IF('Journal'!G1481="","",'Journal'!G1481)</f>
        <v/>
      </c>
      <c r="G2959" s="20">
        <f>IF('Journal'!F1481="","",'Journal'!F1481)</f>
        <v/>
      </c>
      <c r="H2959" s="5">
        <f>IF('Journal'!I1481="","",'Journal'!I1481)</f>
        <v/>
      </c>
    </row>
    <row r="2960">
      <c r="A2960" s="18">
        <f>IF('Journal'!A1481="","",'Journal'!A1481)</f>
        <v/>
      </c>
      <c r="B2960" s="21">
        <f>IF('Journal'!B1481="","",'Journal'!B1481)</f>
        <v/>
      </c>
      <c r="C2960" s="5">
        <f>IF('Journal'!C1481="","",'Journal'!C1481)</f>
        <v/>
      </c>
      <c r="D2960" s="5">
        <f>IF('Journal'!E1481="","",IFERROR(LEFT('Journal'!E1481,FIND(" ",'Journal'!E1481)-1),'Journal'!E1481))</f>
        <v/>
      </c>
      <c r="E2960" s="5">
        <f>IF('Journal'!E1481="","",IFERROR(INDEX('Kontoplan'!$B$3:$B$302,MATCH('Journal'!E1481,'Kontoplan'!$H$3:$H$302,0)),""))</f>
        <v/>
      </c>
      <c r="F2960" s="20">
        <f>IF('Journal'!F1481="","",'Journal'!F1481)</f>
        <v/>
      </c>
      <c r="G2960" s="20">
        <f>IF('Journal'!G1481="","",'Journal'!G1481)</f>
        <v/>
      </c>
      <c r="H2960" s="5">
        <f>IF('Journal'!I1481="","",'Journal'!I1481)</f>
        <v/>
      </c>
    </row>
    <row r="2961">
      <c r="A2961" s="18">
        <f>IF('Journal'!A1482="","",'Journal'!A1482)</f>
        <v/>
      </c>
      <c r="B2961" s="21">
        <f>IF('Journal'!B1482="","",'Journal'!B1482)</f>
        <v/>
      </c>
      <c r="C2961" s="5">
        <f>IF('Journal'!C1482="","",'Journal'!C1482)</f>
        <v/>
      </c>
      <c r="D2961" s="5">
        <f>IF('Journal'!D1482="","",IFERROR(LEFT('Journal'!D1482,FIND(" ",'Journal'!D1482)-1),'Journal'!D1482))</f>
        <v/>
      </c>
      <c r="E2961" s="5">
        <f>IF('Journal'!D1482="","",IFERROR(INDEX('Kontoplan'!$B$3:$B$302,MATCH('Journal'!D1482,'Kontoplan'!$H$3:$H$302,0)),""))</f>
        <v/>
      </c>
      <c r="F2961" s="20">
        <f>IF('Journal'!G1482="","",'Journal'!G1482)</f>
        <v/>
      </c>
      <c r="G2961" s="20">
        <f>IF('Journal'!F1482="","",'Journal'!F1482)</f>
        <v/>
      </c>
      <c r="H2961" s="5">
        <f>IF('Journal'!I1482="","",'Journal'!I1482)</f>
        <v/>
      </c>
    </row>
    <row r="2962">
      <c r="A2962" s="18">
        <f>IF('Journal'!A1482="","",'Journal'!A1482)</f>
        <v/>
      </c>
      <c r="B2962" s="21">
        <f>IF('Journal'!B1482="","",'Journal'!B1482)</f>
        <v/>
      </c>
      <c r="C2962" s="5">
        <f>IF('Journal'!C1482="","",'Journal'!C1482)</f>
        <v/>
      </c>
      <c r="D2962" s="5">
        <f>IF('Journal'!E1482="","",IFERROR(LEFT('Journal'!E1482,FIND(" ",'Journal'!E1482)-1),'Journal'!E1482))</f>
        <v/>
      </c>
      <c r="E2962" s="5">
        <f>IF('Journal'!E1482="","",IFERROR(INDEX('Kontoplan'!$B$3:$B$302,MATCH('Journal'!E1482,'Kontoplan'!$H$3:$H$302,0)),""))</f>
        <v/>
      </c>
      <c r="F2962" s="20">
        <f>IF('Journal'!F1482="","",'Journal'!F1482)</f>
        <v/>
      </c>
      <c r="G2962" s="20">
        <f>IF('Journal'!G1482="","",'Journal'!G1482)</f>
        <v/>
      </c>
      <c r="H2962" s="5">
        <f>IF('Journal'!I1482="","",'Journal'!I1482)</f>
        <v/>
      </c>
    </row>
    <row r="2963">
      <c r="A2963" s="18">
        <f>IF('Journal'!A1483="","",'Journal'!A1483)</f>
        <v/>
      </c>
      <c r="B2963" s="21">
        <f>IF('Journal'!B1483="","",'Journal'!B1483)</f>
        <v/>
      </c>
      <c r="C2963" s="5">
        <f>IF('Journal'!C1483="","",'Journal'!C1483)</f>
        <v/>
      </c>
      <c r="D2963" s="5">
        <f>IF('Journal'!D1483="","",IFERROR(LEFT('Journal'!D1483,FIND(" ",'Journal'!D1483)-1),'Journal'!D1483))</f>
        <v/>
      </c>
      <c r="E2963" s="5">
        <f>IF('Journal'!D1483="","",IFERROR(INDEX('Kontoplan'!$B$3:$B$302,MATCH('Journal'!D1483,'Kontoplan'!$H$3:$H$302,0)),""))</f>
        <v/>
      </c>
      <c r="F2963" s="20">
        <f>IF('Journal'!G1483="","",'Journal'!G1483)</f>
        <v/>
      </c>
      <c r="G2963" s="20">
        <f>IF('Journal'!F1483="","",'Journal'!F1483)</f>
        <v/>
      </c>
      <c r="H2963" s="5">
        <f>IF('Journal'!I1483="","",'Journal'!I1483)</f>
        <v/>
      </c>
    </row>
    <row r="2964">
      <c r="A2964" s="18">
        <f>IF('Journal'!A1483="","",'Journal'!A1483)</f>
        <v/>
      </c>
      <c r="B2964" s="21">
        <f>IF('Journal'!B1483="","",'Journal'!B1483)</f>
        <v/>
      </c>
      <c r="C2964" s="5">
        <f>IF('Journal'!C1483="","",'Journal'!C1483)</f>
        <v/>
      </c>
      <c r="D2964" s="5">
        <f>IF('Journal'!E1483="","",IFERROR(LEFT('Journal'!E1483,FIND(" ",'Journal'!E1483)-1),'Journal'!E1483))</f>
        <v/>
      </c>
      <c r="E2964" s="5">
        <f>IF('Journal'!E1483="","",IFERROR(INDEX('Kontoplan'!$B$3:$B$302,MATCH('Journal'!E1483,'Kontoplan'!$H$3:$H$302,0)),""))</f>
        <v/>
      </c>
      <c r="F2964" s="20">
        <f>IF('Journal'!F1483="","",'Journal'!F1483)</f>
        <v/>
      </c>
      <c r="G2964" s="20">
        <f>IF('Journal'!G1483="","",'Journal'!G1483)</f>
        <v/>
      </c>
      <c r="H2964" s="5">
        <f>IF('Journal'!I1483="","",'Journal'!I1483)</f>
        <v/>
      </c>
    </row>
    <row r="2965">
      <c r="A2965" s="18">
        <f>IF('Journal'!A1484="","",'Journal'!A1484)</f>
        <v/>
      </c>
      <c r="B2965" s="21">
        <f>IF('Journal'!B1484="","",'Journal'!B1484)</f>
        <v/>
      </c>
      <c r="C2965" s="5">
        <f>IF('Journal'!C1484="","",'Journal'!C1484)</f>
        <v/>
      </c>
      <c r="D2965" s="5">
        <f>IF('Journal'!D1484="","",IFERROR(LEFT('Journal'!D1484,FIND(" ",'Journal'!D1484)-1),'Journal'!D1484))</f>
        <v/>
      </c>
      <c r="E2965" s="5">
        <f>IF('Journal'!D1484="","",IFERROR(INDEX('Kontoplan'!$B$3:$B$302,MATCH('Journal'!D1484,'Kontoplan'!$H$3:$H$302,0)),""))</f>
        <v/>
      </c>
      <c r="F2965" s="20">
        <f>IF('Journal'!G1484="","",'Journal'!G1484)</f>
        <v/>
      </c>
      <c r="G2965" s="20">
        <f>IF('Journal'!F1484="","",'Journal'!F1484)</f>
        <v/>
      </c>
      <c r="H2965" s="5">
        <f>IF('Journal'!I1484="","",'Journal'!I1484)</f>
        <v/>
      </c>
    </row>
    <row r="2966">
      <c r="A2966" s="18">
        <f>IF('Journal'!A1484="","",'Journal'!A1484)</f>
        <v/>
      </c>
      <c r="B2966" s="21">
        <f>IF('Journal'!B1484="","",'Journal'!B1484)</f>
        <v/>
      </c>
      <c r="C2966" s="5">
        <f>IF('Journal'!C1484="","",'Journal'!C1484)</f>
        <v/>
      </c>
      <c r="D2966" s="5">
        <f>IF('Journal'!E1484="","",IFERROR(LEFT('Journal'!E1484,FIND(" ",'Journal'!E1484)-1),'Journal'!E1484))</f>
        <v/>
      </c>
      <c r="E2966" s="5">
        <f>IF('Journal'!E1484="","",IFERROR(INDEX('Kontoplan'!$B$3:$B$302,MATCH('Journal'!E1484,'Kontoplan'!$H$3:$H$302,0)),""))</f>
        <v/>
      </c>
      <c r="F2966" s="20">
        <f>IF('Journal'!F1484="","",'Journal'!F1484)</f>
        <v/>
      </c>
      <c r="G2966" s="20">
        <f>IF('Journal'!G1484="","",'Journal'!G1484)</f>
        <v/>
      </c>
      <c r="H2966" s="5">
        <f>IF('Journal'!I1484="","",'Journal'!I1484)</f>
        <v/>
      </c>
    </row>
    <row r="2967">
      <c r="A2967" s="18">
        <f>IF('Journal'!A1485="","",'Journal'!A1485)</f>
        <v/>
      </c>
      <c r="B2967" s="21">
        <f>IF('Journal'!B1485="","",'Journal'!B1485)</f>
        <v/>
      </c>
      <c r="C2967" s="5">
        <f>IF('Journal'!C1485="","",'Journal'!C1485)</f>
        <v/>
      </c>
      <c r="D2967" s="5">
        <f>IF('Journal'!D1485="","",IFERROR(LEFT('Journal'!D1485,FIND(" ",'Journal'!D1485)-1),'Journal'!D1485))</f>
        <v/>
      </c>
      <c r="E2967" s="5">
        <f>IF('Journal'!D1485="","",IFERROR(INDEX('Kontoplan'!$B$3:$B$302,MATCH('Journal'!D1485,'Kontoplan'!$H$3:$H$302,0)),""))</f>
        <v/>
      </c>
      <c r="F2967" s="20">
        <f>IF('Journal'!G1485="","",'Journal'!G1485)</f>
        <v/>
      </c>
      <c r="G2967" s="20">
        <f>IF('Journal'!F1485="","",'Journal'!F1485)</f>
        <v/>
      </c>
      <c r="H2967" s="5">
        <f>IF('Journal'!I1485="","",'Journal'!I1485)</f>
        <v/>
      </c>
    </row>
    <row r="2968">
      <c r="A2968" s="18">
        <f>IF('Journal'!A1485="","",'Journal'!A1485)</f>
        <v/>
      </c>
      <c r="B2968" s="21">
        <f>IF('Journal'!B1485="","",'Journal'!B1485)</f>
        <v/>
      </c>
      <c r="C2968" s="5">
        <f>IF('Journal'!C1485="","",'Journal'!C1485)</f>
        <v/>
      </c>
      <c r="D2968" s="5">
        <f>IF('Journal'!E1485="","",IFERROR(LEFT('Journal'!E1485,FIND(" ",'Journal'!E1485)-1),'Journal'!E1485))</f>
        <v/>
      </c>
      <c r="E2968" s="5">
        <f>IF('Journal'!E1485="","",IFERROR(INDEX('Kontoplan'!$B$3:$B$302,MATCH('Journal'!E1485,'Kontoplan'!$H$3:$H$302,0)),""))</f>
        <v/>
      </c>
      <c r="F2968" s="20">
        <f>IF('Journal'!F1485="","",'Journal'!F1485)</f>
        <v/>
      </c>
      <c r="G2968" s="20">
        <f>IF('Journal'!G1485="","",'Journal'!G1485)</f>
        <v/>
      </c>
      <c r="H2968" s="5">
        <f>IF('Journal'!I1485="","",'Journal'!I1485)</f>
        <v/>
      </c>
    </row>
    <row r="2969">
      <c r="A2969" s="18">
        <f>IF('Journal'!A1486="","",'Journal'!A1486)</f>
        <v/>
      </c>
      <c r="B2969" s="21">
        <f>IF('Journal'!B1486="","",'Journal'!B1486)</f>
        <v/>
      </c>
      <c r="C2969" s="5">
        <f>IF('Journal'!C1486="","",'Journal'!C1486)</f>
        <v/>
      </c>
      <c r="D2969" s="5">
        <f>IF('Journal'!D1486="","",IFERROR(LEFT('Journal'!D1486,FIND(" ",'Journal'!D1486)-1),'Journal'!D1486))</f>
        <v/>
      </c>
      <c r="E2969" s="5">
        <f>IF('Journal'!D1486="","",IFERROR(INDEX('Kontoplan'!$B$3:$B$302,MATCH('Journal'!D1486,'Kontoplan'!$H$3:$H$302,0)),""))</f>
        <v/>
      </c>
      <c r="F2969" s="20">
        <f>IF('Journal'!G1486="","",'Journal'!G1486)</f>
        <v/>
      </c>
      <c r="G2969" s="20">
        <f>IF('Journal'!F1486="","",'Journal'!F1486)</f>
        <v/>
      </c>
      <c r="H2969" s="5">
        <f>IF('Journal'!I1486="","",'Journal'!I1486)</f>
        <v/>
      </c>
    </row>
    <row r="2970">
      <c r="A2970" s="18">
        <f>IF('Journal'!A1486="","",'Journal'!A1486)</f>
        <v/>
      </c>
      <c r="B2970" s="21">
        <f>IF('Journal'!B1486="","",'Journal'!B1486)</f>
        <v/>
      </c>
      <c r="C2970" s="5">
        <f>IF('Journal'!C1486="","",'Journal'!C1486)</f>
        <v/>
      </c>
      <c r="D2970" s="5">
        <f>IF('Journal'!E1486="","",IFERROR(LEFT('Journal'!E1486,FIND(" ",'Journal'!E1486)-1),'Journal'!E1486))</f>
        <v/>
      </c>
      <c r="E2970" s="5">
        <f>IF('Journal'!E1486="","",IFERROR(INDEX('Kontoplan'!$B$3:$B$302,MATCH('Journal'!E1486,'Kontoplan'!$H$3:$H$302,0)),""))</f>
        <v/>
      </c>
      <c r="F2970" s="20">
        <f>IF('Journal'!F1486="","",'Journal'!F1486)</f>
        <v/>
      </c>
      <c r="G2970" s="20">
        <f>IF('Journal'!G1486="","",'Journal'!G1486)</f>
        <v/>
      </c>
      <c r="H2970" s="5">
        <f>IF('Journal'!I1486="","",'Journal'!I1486)</f>
        <v/>
      </c>
    </row>
    <row r="2971">
      <c r="A2971" s="18">
        <f>IF('Journal'!A1487="","",'Journal'!A1487)</f>
        <v/>
      </c>
      <c r="B2971" s="21">
        <f>IF('Journal'!B1487="","",'Journal'!B1487)</f>
        <v/>
      </c>
      <c r="C2971" s="5">
        <f>IF('Journal'!C1487="","",'Journal'!C1487)</f>
        <v/>
      </c>
      <c r="D2971" s="5">
        <f>IF('Journal'!D1487="","",IFERROR(LEFT('Journal'!D1487,FIND(" ",'Journal'!D1487)-1),'Journal'!D1487))</f>
        <v/>
      </c>
      <c r="E2971" s="5">
        <f>IF('Journal'!D1487="","",IFERROR(INDEX('Kontoplan'!$B$3:$B$302,MATCH('Journal'!D1487,'Kontoplan'!$H$3:$H$302,0)),""))</f>
        <v/>
      </c>
      <c r="F2971" s="20">
        <f>IF('Journal'!G1487="","",'Journal'!G1487)</f>
        <v/>
      </c>
      <c r="G2971" s="20">
        <f>IF('Journal'!F1487="","",'Journal'!F1487)</f>
        <v/>
      </c>
      <c r="H2971" s="5">
        <f>IF('Journal'!I1487="","",'Journal'!I1487)</f>
        <v/>
      </c>
    </row>
    <row r="2972">
      <c r="A2972" s="18">
        <f>IF('Journal'!A1487="","",'Journal'!A1487)</f>
        <v/>
      </c>
      <c r="B2972" s="21">
        <f>IF('Journal'!B1487="","",'Journal'!B1487)</f>
        <v/>
      </c>
      <c r="C2972" s="5">
        <f>IF('Journal'!C1487="","",'Journal'!C1487)</f>
        <v/>
      </c>
      <c r="D2972" s="5">
        <f>IF('Journal'!E1487="","",IFERROR(LEFT('Journal'!E1487,FIND(" ",'Journal'!E1487)-1),'Journal'!E1487))</f>
        <v/>
      </c>
      <c r="E2972" s="5">
        <f>IF('Journal'!E1487="","",IFERROR(INDEX('Kontoplan'!$B$3:$B$302,MATCH('Journal'!E1487,'Kontoplan'!$H$3:$H$302,0)),""))</f>
        <v/>
      </c>
      <c r="F2972" s="20">
        <f>IF('Journal'!F1487="","",'Journal'!F1487)</f>
        <v/>
      </c>
      <c r="G2972" s="20">
        <f>IF('Journal'!G1487="","",'Journal'!G1487)</f>
        <v/>
      </c>
      <c r="H2972" s="5">
        <f>IF('Journal'!I1487="","",'Journal'!I1487)</f>
        <v/>
      </c>
    </row>
    <row r="2973">
      <c r="A2973" s="18">
        <f>IF('Journal'!A1488="","",'Journal'!A1488)</f>
        <v/>
      </c>
      <c r="B2973" s="21">
        <f>IF('Journal'!B1488="","",'Journal'!B1488)</f>
        <v/>
      </c>
      <c r="C2973" s="5">
        <f>IF('Journal'!C1488="","",'Journal'!C1488)</f>
        <v/>
      </c>
      <c r="D2973" s="5">
        <f>IF('Journal'!D1488="","",IFERROR(LEFT('Journal'!D1488,FIND(" ",'Journal'!D1488)-1),'Journal'!D1488))</f>
        <v/>
      </c>
      <c r="E2973" s="5">
        <f>IF('Journal'!D1488="","",IFERROR(INDEX('Kontoplan'!$B$3:$B$302,MATCH('Journal'!D1488,'Kontoplan'!$H$3:$H$302,0)),""))</f>
        <v/>
      </c>
      <c r="F2973" s="20">
        <f>IF('Journal'!G1488="","",'Journal'!G1488)</f>
        <v/>
      </c>
      <c r="G2973" s="20">
        <f>IF('Journal'!F1488="","",'Journal'!F1488)</f>
        <v/>
      </c>
      <c r="H2973" s="5">
        <f>IF('Journal'!I1488="","",'Journal'!I1488)</f>
        <v/>
      </c>
    </row>
    <row r="2974">
      <c r="A2974" s="18">
        <f>IF('Journal'!A1488="","",'Journal'!A1488)</f>
        <v/>
      </c>
      <c r="B2974" s="21">
        <f>IF('Journal'!B1488="","",'Journal'!B1488)</f>
        <v/>
      </c>
      <c r="C2974" s="5">
        <f>IF('Journal'!C1488="","",'Journal'!C1488)</f>
        <v/>
      </c>
      <c r="D2974" s="5">
        <f>IF('Journal'!E1488="","",IFERROR(LEFT('Journal'!E1488,FIND(" ",'Journal'!E1488)-1),'Journal'!E1488))</f>
        <v/>
      </c>
      <c r="E2974" s="5">
        <f>IF('Journal'!E1488="","",IFERROR(INDEX('Kontoplan'!$B$3:$B$302,MATCH('Journal'!E1488,'Kontoplan'!$H$3:$H$302,0)),""))</f>
        <v/>
      </c>
      <c r="F2974" s="20">
        <f>IF('Journal'!F1488="","",'Journal'!F1488)</f>
        <v/>
      </c>
      <c r="G2974" s="20">
        <f>IF('Journal'!G1488="","",'Journal'!G1488)</f>
        <v/>
      </c>
      <c r="H2974" s="5">
        <f>IF('Journal'!I1488="","",'Journal'!I1488)</f>
        <v/>
      </c>
    </row>
    <row r="2975">
      <c r="A2975" s="18">
        <f>IF('Journal'!A1489="","",'Journal'!A1489)</f>
        <v/>
      </c>
      <c r="B2975" s="21">
        <f>IF('Journal'!B1489="","",'Journal'!B1489)</f>
        <v/>
      </c>
      <c r="C2975" s="5">
        <f>IF('Journal'!C1489="","",'Journal'!C1489)</f>
        <v/>
      </c>
      <c r="D2975" s="5">
        <f>IF('Journal'!D1489="","",IFERROR(LEFT('Journal'!D1489,FIND(" ",'Journal'!D1489)-1),'Journal'!D1489))</f>
        <v/>
      </c>
      <c r="E2975" s="5">
        <f>IF('Journal'!D1489="","",IFERROR(INDEX('Kontoplan'!$B$3:$B$302,MATCH('Journal'!D1489,'Kontoplan'!$H$3:$H$302,0)),""))</f>
        <v/>
      </c>
      <c r="F2975" s="20">
        <f>IF('Journal'!G1489="","",'Journal'!G1489)</f>
        <v/>
      </c>
      <c r="G2975" s="20">
        <f>IF('Journal'!F1489="","",'Journal'!F1489)</f>
        <v/>
      </c>
      <c r="H2975" s="5">
        <f>IF('Journal'!I1489="","",'Journal'!I1489)</f>
        <v/>
      </c>
    </row>
    <row r="2976">
      <c r="A2976" s="18">
        <f>IF('Journal'!A1489="","",'Journal'!A1489)</f>
        <v/>
      </c>
      <c r="B2976" s="21">
        <f>IF('Journal'!B1489="","",'Journal'!B1489)</f>
        <v/>
      </c>
      <c r="C2976" s="5">
        <f>IF('Journal'!C1489="","",'Journal'!C1489)</f>
        <v/>
      </c>
      <c r="D2976" s="5">
        <f>IF('Journal'!E1489="","",IFERROR(LEFT('Journal'!E1489,FIND(" ",'Journal'!E1489)-1),'Journal'!E1489))</f>
        <v/>
      </c>
      <c r="E2976" s="5">
        <f>IF('Journal'!E1489="","",IFERROR(INDEX('Kontoplan'!$B$3:$B$302,MATCH('Journal'!E1489,'Kontoplan'!$H$3:$H$302,0)),""))</f>
        <v/>
      </c>
      <c r="F2976" s="20">
        <f>IF('Journal'!F1489="","",'Journal'!F1489)</f>
        <v/>
      </c>
      <c r="G2976" s="20">
        <f>IF('Journal'!G1489="","",'Journal'!G1489)</f>
        <v/>
      </c>
      <c r="H2976" s="5">
        <f>IF('Journal'!I1489="","",'Journal'!I1489)</f>
        <v/>
      </c>
    </row>
    <row r="2977">
      <c r="A2977" s="18">
        <f>IF('Journal'!A1490="","",'Journal'!A1490)</f>
        <v/>
      </c>
      <c r="B2977" s="21">
        <f>IF('Journal'!B1490="","",'Journal'!B1490)</f>
        <v/>
      </c>
      <c r="C2977" s="5">
        <f>IF('Journal'!C1490="","",'Journal'!C1490)</f>
        <v/>
      </c>
      <c r="D2977" s="5">
        <f>IF('Journal'!D1490="","",IFERROR(LEFT('Journal'!D1490,FIND(" ",'Journal'!D1490)-1),'Journal'!D1490))</f>
        <v/>
      </c>
      <c r="E2977" s="5">
        <f>IF('Journal'!D1490="","",IFERROR(INDEX('Kontoplan'!$B$3:$B$302,MATCH('Journal'!D1490,'Kontoplan'!$H$3:$H$302,0)),""))</f>
        <v/>
      </c>
      <c r="F2977" s="20">
        <f>IF('Journal'!G1490="","",'Journal'!G1490)</f>
        <v/>
      </c>
      <c r="G2977" s="20">
        <f>IF('Journal'!F1490="","",'Journal'!F1490)</f>
        <v/>
      </c>
      <c r="H2977" s="5">
        <f>IF('Journal'!I1490="","",'Journal'!I1490)</f>
        <v/>
      </c>
    </row>
    <row r="2978">
      <c r="A2978" s="18">
        <f>IF('Journal'!A1490="","",'Journal'!A1490)</f>
        <v/>
      </c>
      <c r="B2978" s="21">
        <f>IF('Journal'!B1490="","",'Journal'!B1490)</f>
        <v/>
      </c>
      <c r="C2978" s="5">
        <f>IF('Journal'!C1490="","",'Journal'!C1490)</f>
        <v/>
      </c>
      <c r="D2978" s="5">
        <f>IF('Journal'!E1490="","",IFERROR(LEFT('Journal'!E1490,FIND(" ",'Journal'!E1490)-1),'Journal'!E1490))</f>
        <v/>
      </c>
      <c r="E2978" s="5">
        <f>IF('Journal'!E1490="","",IFERROR(INDEX('Kontoplan'!$B$3:$B$302,MATCH('Journal'!E1490,'Kontoplan'!$H$3:$H$302,0)),""))</f>
        <v/>
      </c>
      <c r="F2978" s="20">
        <f>IF('Journal'!F1490="","",'Journal'!F1490)</f>
        <v/>
      </c>
      <c r="G2978" s="20">
        <f>IF('Journal'!G1490="","",'Journal'!G1490)</f>
        <v/>
      </c>
      <c r="H2978" s="5">
        <f>IF('Journal'!I1490="","",'Journal'!I1490)</f>
        <v/>
      </c>
    </row>
    <row r="2979">
      <c r="A2979" s="18">
        <f>IF('Journal'!A1491="","",'Journal'!A1491)</f>
        <v/>
      </c>
      <c r="B2979" s="21">
        <f>IF('Journal'!B1491="","",'Journal'!B1491)</f>
        <v/>
      </c>
      <c r="C2979" s="5">
        <f>IF('Journal'!C1491="","",'Journal'!C1491)</f>
        <v/>
      </c>
      <c r="D2979" s="5">
        <f>IF('Journal'!D1491="","",IFERROR(LEFT('Journal'!D1491,FIND(" ",'Journal'!D1491)-1),'Journal'!D1491))</f>
        <v/>
      </c>
      <c r="E2979" s="5">
        <f>IF('Journal'!D1491="","",IFERROR(INDEX('Kontoplan'!$B$3:$B$302,MATCH('Journal'!D1491,'Kontoplan'!$H$3:$H$302,0)),""))</f>
        <v/>
      </c>
      <c r="F2979" s="20">
        <f>IF('Journal'!G1491="","",'Journal'!G1491)</f>
        <v/>
      </c>
      <c r="G2979" s="20">
        <f>IF('Journal'!F1491="","",'Journal'!F1491)</f>
        <v/>
      </c>
      <c r="H2979" s="5">
        <f>IF('Journal'!I1491="","",'Journal'!I1491)</f>
        <v/>
      </c>
    </row>
    <row r="2980">
      <c r="A2980" s="18">
        <f>IF('Journal'!A1491="","",'Journal'!A1491)</f>
        <v/>
      </c>
      <c r="B2980" s="21">
        <f>IF('Journal'!B1491="","",'Journal'!B1491)</f>
        <v/>
      </c>
      <c r="C2980" s="5">
        <f>IF('Journal'!C1491="","",'Journal'!C1491)</f>
        <v/>
      </c>
      <c r="D2980" s="5">
        <f>IF('Journal'!E1491="","",IFERROR(LEFT('Journal'!E1491,FIND(" ",'Journal'!E1491)-1),'Journal'!E1491))</f>
        <v/>
      </c>
      <c r="E2980" s="5">
        <f>IF('Journal'!E1491="","",IFERROR(INDEX('Kontoplan'!$B$3:$B$302,MATCH('Journal'!E1491,'Kontoplan'!$H$3:$H$302,0)),""))</f>
        <v/>
      </c>
      <c r="F2980" s="20">
        <f>IF('Journal'!F1491="","",'Journal'!F1491)</f>
        <v/>
      </c>
      <c r="G2980" s="20">
        <f>IF('Journal'!G1491="","",'Journal'!G1491)</f>
        <v/>
      </c>
      <c r="H2980" s="5">
        <f>IF('Journal'!I1491="","",'Journal'!I1491)</f>
        <v/>
      </c>
    </row>
    <row r="2981">
      <c r="A2981" s="18">
        <f>IF('Journal'!A1492="","",'Journal'!A1492)</f>
        <v/>
      </c>
      <c r="B2981" s="21">
        <f>IF('Journal'!B1492="","",'Journal'!B1492)</f>
        <v/>
      </c>
      <c r="C2981" s="5">
        <f>IF('Journal'!C1492="","",'Journal'!C1492)</f>
        <v/>
      </c>
      <c r="D2981" s="5">
        <f>IF('Journal'!D1492="","",IFERROR(LEFT('Journal'!D1492,FIND(" ",'Journal'!D1492)-1),'Journal'!D1492))</f>
        <v/>
      </c>
      <c r="E2981" s="5">
        <f>IF('Journal'!D1492="","",IFERROR(INDEX('Kontoplan'!$B$3:$B$302,MATCH('Journal'!D1492,'Kontoplan'!$H$3:$H$302,0)),""))</f>
        <v/>
      </c>
      <c r="F2981" s="20">
        <f>IF('Journal'!G1492="","",'Journal'!G1492)</f>
        <v/>
      </c>
      <c r="G2981" s="20">
        <f>IF('Journal'!F1492="","",'Journal'!F1492)</f>
        <v/>
      </c>
      <c r="H2981" s="5">
        <f>IF('Journal'!I1492="","",'Journal'!I1492)</f>
        <v/>
      </c>
    </row>
    <row r="2982">
      <c r="A2982" s="18">
        <f>IF('Journal'!A1492="","",'Journal'!A1492)</f>
        <v/>
      </c>
      <c r="B2982" s="21">
        <f>IF('Journal'!B1492="","",'Journal'!B1492)</f>
        <v/>
      </c>
      <c r="C2982" s="5">
        <f>IF('Journal'!C1492="","",'Journal'!C1492)</f>
        <v/>
      </c>
      <c r="D2982" s="5">
        <f>IF('Journal'!E1492="","",IFERROR(LEFT('Journal'!E1492,FIND(" ",'Journal'!E1492)-1),'Journal'!E1492))</f>
        <v/>
      </c>
      <c r="E2982" s="5">
        <f>IF('Journal'!E1492="","",IFERROR(INDEX('Kontoplan'!$B$3:$B$302,MATCH('Journal'!E1492,'Kontoplan'!$H$3:$H$302,0)),""))</f>
        <v/>
      </c>
      <c r="F2982" s="20">
        <f>IF('Journal'!F1492="","",'Journal'!F1492)</f>
        <v/>
      </c>
      <c r="G2982" s="20">
        <f>IF('Journal'!G1492="","",'Journal'!G1492)</f>
        <v/>
      </c>
      <c r="H2982" s="5">
        <f>IF('Journal'!I1492="","",'Journal'!I1492)</f>
        <v/>
      </c>
    </row>
    <row r="2983">
      <c r="A2983" s="18">
        <f>IF('Journal'!A1493="","",'Journal'!A1493)</f>
        <v/>
      </c>
      <c r="B2983" s="21">
        <f>IF('Journal'!B1493="","",'Journal'!B1493)</f>
        <v/>
      </c>
      <c r="C2983" s="5">
        <f>IF('Journal'!C1493="","",'Journal'!C1493)</f>
        <v/>
      </c>
      <c r="D2983" s="5">
        <f>IF('Journal'!D1493="","",IFERROR(LEFT('Journal'!D1493,FIND(" ",'Journal'!D1493)-1),'Journal'!D1493))</f>
        <v/>
      </c>
      <c r="E2983" s="5">
        <f>IF('Journal'!D1493="","",IFERROR(INDEX('Kontoplan'!$B$3:$B$302,MATCH('Journal'!D1493,'Kontoplan'!$H$3:$H$302,0)),""))</f>
        <v/>
      </c>
      <c r="F2983" s="20">
        <f>IF('Journal'!G1493="","",'Journal'!G1493)</f>
        <v/>
      </c>
      <c r="G2983" s="20">
        <f>IF('Journal'!F1493="","",'Journal'!F1493)</f>
        <v/>
      </c>
      <c r="H2983" s="5">
        <f>IF('Journal'!I1493="","",'Journal'!I1493)</f>
        <v/>
      </c>
    </row>
    <row r="2984">
      <c r="A2984" s="18">
        <f>IF('Journal'!A1493="","",'Journal'!A1493)</f>
        <v/>
      </c>
      <c r="B2984" s="21">
        <f>IF('Journal'!B1493="","",'Journal'!B1493)</f>
        <v/>
      </c>
      <c r="C2984" s="5">
        <f>IF('Journal'!C1493="","",'Journal'!C1493)</f>
        <v/>
      </c>
      <c r="D2984" s="5">
        <f>IF('Journal'!E1493="","",IFERROR(LEFT('Journal'!E1493,FIND(" ",'Journal'!E1493)-1),'Journal'!E1493))</f>
        <v/>
      </c>
      <c r="E2984" s="5">
        <f>IF('Journal'!E1493="","",IFERROR(INDEX('Kontoplan'!$B$3:$B$302,MATCH('Journal'!E1493,'Kontoplan'!$H$3:$H$302,0)),""))</f>
        <v/>
      </c>
      <c r="F2984" s="20">
        <f>IF('Journal'!F1493="","",'Journal'!F1493)</f>
        <v/>
      </c>
      <c r="G2984" s="20">
        <f>IF('Journal'!G1493="","",'Journal'!G1493)</f>
        <v/>
      </c>
      <c r="H2984" s="5">
        <f>IF('Journal'!I1493="","",'Journal'!I1493)</f>
        <v/>
      </c>
    </row>
    <row r="2985">
      <c r="A2985" s="18">
        <f>IF('Journal'!A1494="","",'Journal'!A1494)</f>
        <v/>
      </c>
      <c r="B2985" s="21">
        <f>IF('Journal'!B1494="","",'Journal'!B1494)</f>
        <v/>
      </c>
      <c r="C2985" s="5">
        <f>IF('Journal'!C1494="","",'Journal'!C1494)</f>
        <v/>
      </c>
      <c r="D2985" s="5">
        <f>IF('Journal'!D1494="","",IFERROR(LEFT('Journal'!D1494,FIND(" ",'Journal'!D1494)-1),'Journal'!D1494))</f>
        <v/>
      </c>
      <c r="E2985" s="5">
        <f>IF('Journal'!D1494="","",IFERROR(INDEX('Kontoplan'!$B$3:$B$302,MATCH('Journal'!D1494,'Kontoplan'!$H$3:$H$302,0)),""))</f>
        <v/>
      </c>
      <c r="F2985" s="20">
        <f>IF('Journal'!G1494="","",'Journal'!G1494)</f>
        <v/>
      </c>
      <c r="G2985" s="20">
        <f>IF('Journal'!F1494="","",'Journal'!F1494)</f>
        <v/>
      </c>
      <c r="H2985" s="5">
        <f>IF('Journal'!I1494="","",'Journal'!I1494)</f>
        <v/>
      </c>
    </row>
    <row r="2986">
      <c r="A2986" s="18">
        <f>IF('Journal'!A1494="","",'Journal'!A1494)</f>
        <v/>
      </c>
      <c r="B2986" s="21">
        <f>IF('Journal'!B1494="","",'Journal'!B1494)</f>
        <v/>
      </c>
      <c r="C2986" s="5">
        <f>IF('Journal'!C1494="","",'Journal'!C1494)</f>
        <v/>
      </c>
      <c r="D2986" s="5">
        <f>IF('Journal'!E1494="","",IFERROR(LEFT('Journal'!E1494,FIND(" ",'Journal'!E1494)-1),'Journal'!E1494))</f>
        <v/>
      </c>
      <c r="E2986" s="5">
        <f>IF('Journal'!E1494="","",IFERROR(INDEX('Kontoplan'!$B$3:$B$302,MATCH('Journal'!E1494,'Kontoplan'!$H$3:$H$302,0)),""))</f>
        <v/>
      </c>
      <c r="F2986" s="20">
        <f>IF('Journal'!F1494="","",'Journal'!F1494)</f>
        <v/>
      </c>
      <c r="G2986" s="20">
        <f>IF('Journal'!G1494="","",'Journal'!G1494)</f>
        <v/>
      </c>
      <c r="H2986" s="5">
        <f>IF('Journal'!I1494="","",'Journal'!I1494)</f>
        <v/>
      </c>
    </row>
    <row r="2987">
      <c r="A2987" s="18">
        <f>IF('Journal'!A1495="","",'Journal'!A1495)</f>
        <v/>
      </c>
      <c r="B2987" s="21">
        <f>IF('Journal'!B1495="","",'Journal'!B1495)</f>
        <v/>
      </c>
      <c r="C2987" s="5">
        <f>IF('Journal'!C1495="","",'Journal'!C1495)</f>
        <v/>
      </c>
      <c r="D2987" s="5">
        <f>IF('Journal'!D1495="","",IFERROR(LEFT('Journal'!D1495,FIND(" ",'Journal'!D1495)-1),'Journal'!D1495))</f>
        <v/>
      </c>
      <c r="E2987" s="5">
        <f>IF('Journal'!D1495="","",IFERROR(INDEX('Kontoplan'!$B$3:$B$302,MATCH('Journal'!D1495,'Kontoplan'!$H$3:$H$302,0)),""))</f>
        <v/>
      </c>
      <c r="F2987" s="20">
        <f>IF('Journal'!G1495="","",'Journal'!G1495)</f>
        <v/>
      </c>
      <c r="G2987" s="20">
        <f>IF('Journal'!F1495="","",'Journal'!F1495)</f>
        <v/>
      </c>
      <c r="H2987" s="5">
        <f>IF('Journal'!I1495="","",'Journal'!I1495)</f>
        <v/>
      </c>
    </row>
    <row r="2988">
      <c r="A2988" s="18">
        <f>IF('Journal'!A1495="","",'Journal'!A1495)</f>
        <v/>
      </c>
      <c r="B2988" s="21">
        <f>IF('Journal'!B1495="","",'Journal'!B1495)</f>
        <v/>
      </c>
      <c r="C2988" s="5">
        <f>IF('Journal'!C1495="","",'Journal'!C1495)</f>
        <v/>
      </c>
      <c r="D2988" s="5">
        <f>IF('Journal'!E1495="","",IFERROR(LEFT('Journal'!E1495,FIND(" ",'Journal'!E1495)-1),'Journal'!E1495))</f>
        <v/>
      </c>
      <c r="E2988" s="5">
        <f>IF('Journal'!E1495="","",IFERROR(INDEX('Kontoplan'!$B$3:$B$302,MATCH('Journal'!E1495,'Kontoplan'!$H$3:$H$302,0)),""))</f>
        <v/>
      </c>
      <c r="F2988" s="20">
        <f>IF('Journal'!F1495="","",'Journal'!F1495)</f>
        <v/>
      </c>
      <c r="G2988" s="20">
        <f>IF('Journal'!G1495="","",'Journal'!G1495)</f>
        <v/>
      </c>
      <c r="H2988" s="5">
        <f>IF('Journal'!I1495="","",'Journal'!I1495)</f>
        <v/>
      </c>
    </row>
    <row r="2989">
      <c r="A2989" s="18">
        <f>IF('Journal'!A1496="","",'Journal'!A1496)</f>
        <v/>
      </c>
      <c r="B2989" s="21">
        <f>IF('Journal'!B1496="","",'Journal'!B1496)</f>
        <v/>
      </c>
      <c r="C2989" s="5">
        <f>IF('Journal'!C1496="","",'Journal'!C1496)</f>
        <v/>
      </c>
      <c r="D2989" s="5">
        <f>IF('Journal'!D1496="","",IFERROR(LEFT('Journal'!D1496,FIND(" ",'Journal'!D1496)-1),'Journal'!D1496))</f>
        <v/>
      </c>
      <c r="E2989" s="5">
        <f>IF('Journal'!D1496="","",IFERROR(INDEX('Kontoplan'!$B$3:$B$302,MATCH('Journal'!D1496,'Kontoplan'!$H$3:$H$302,0)),""))</f>
        <v/>
      </c>
      <c r="F2989" s="20">
        <f>IF('Journal'!G1496="","",'Journal'!G1496)</f>
        <v/>
      </c>
      <c r="G2989" s="20">
        <f>IF('Journal'!F1496="","",'Journal'!F1496)</f>
        <v/>
      </c>
      <c r="H2989" s="5">
        <f>IF('Journal'!I1496="","",'Journal'!I1496)</f>
        <v/>
      </c>
    </row>
    <row r="2990">
      <c r="A2990" s="18">
        <f>IF('Journal'!A1496="","",'Journal'!A1496)</f>
        <v/>
      </c>
      <c r="B2990" s="21">
        <f>IF('Journal'!B1496="","",'Journal'!B1496)</f>
        <v/>
      </c>
      <c r="C2990" s="5">
        <f>IF('Journal'!C1496="","",'Journal'!C1496)</f>
        <v/>
      </c>
      <c r="D2990" s="5">
        <f>IF('Journal'!E1496="","",IFERROR(LEFT('Journal'!E1496,FIND(" ",'Journal'!E1496)-1),'Journal'!E1496))</f>
        <v/>
      </c>
      <c r="E2990" s="5">
        <f>IF('Journal'!E1496="","",IFERROR(INDEX('Kontoplan'!$B$3:$B$302,MATCH('Journal'!E1496,'Kontoplan'!$H$3:$H$302,0)),""))</f>
        <v/>
      </c>
      <c r="F2990" s="20">
        <f>IF('Journal'!F1496="","",'Journal'!F1496)</f>
        <v/>
      </c>
      <c r="G2990" s="20">
        <f>IF('Journal'!G1496="","",'Journal'!G1496)</f>
        <v/>
      </c>
      <c r="H2990" s="5">
        <f>IF('Journal'!I1496="","",'Journal'!I1496)</f>
        <v/>
      </c>
    </row>
    <row r="2991">
      <c r="A2991" s="18">
        <f>IF('Journal'!A1497="","",'Journal'!A1497)</f>
        <v/>
      </c>
      <c r="B2991" s="21">
        <f>IF('Journal'!B1497="","",'Journal'!B1497)</f>
        <v/>
      </c>
      <c r="C2991" s="5">
        <f>IF('Journal'!C1497="","",'Journal'!C1497)</f>
        <v/>
      </c>
      <c r="D2991" s="5">
        <f>IF('Journal'!D1497="","",IFERROR(LEFT('Journal'!D1497,FIND(" ",'Journal'!D1497)-1),'Journal'!D1497))</f>
        <v/>
      </c>
      <c r="E2991" s="5">
        <f>IF('Journal'!D1497="","",IFERROR(INDEX('Kontoplan'!$B$3:$B$302,MATCH('Journal'!D1497,'Kontoplan'!$H$3:$H$302,0)),""))</f>
        <v/>
      </c>
      <c r="F2991" s="20">
        <f>IF('Journal'!G1497="","",'Journal'!G1497)</f>
        <v/>
      </c>
      <c r="G2991" s="20">
        <f>IF('Journal'!F1497="","",'Journal'!F1497)</f>
        <v/>
      </c>
      <c r="H2991" s="5">
        <f>IF('Journal'!I1497="","",'Journal'!I1497)</f>
        <v/>
      </c>
    </row>
    <row r="2992">
      <c r="A2992" s="18">
        <f>IF('Journal'!A1497="","",'Journal'!A1497)</f>
        <v/>
      </c>
      <c r="B2992" s="21">
        <f>IF('Journal'!B1497="","",'Journal'!B1497)</f>
        <v/>
      </c>
      <c r="C2992" s="5">
        <f>IF('Journal'!C1497="","",'Journal'!C1497)</f>
        <v/>
      </c>
      <c r="D2992" s="5">
        <f>IF('Journal'!E1497="","",IFERROR(LEFT('Journal'!E1497,FIND(" ",'Journal'!E1497)-1),'Journal'!E1497))</f>
        <v/>
      </c>
      <c r="E2992" s="5">
        <f>IF('Journal'!E1497="","",IFERROR(INDEX('Kontoplan'!$B$3:$B$302,MATCH('Journal'!E1497,'Kontoplan'!$H$3:$H$302,0)),""))</f>
        <v/>
      </c>
      <c r="F2992" s="20">
        <f>IF('Journal'!F1497="","",'Journal'!F1497)</f>
        <v/>
      </c>
      <c r="G2992" s="20">
        <f>IF('Journal'!G1497="","",'Journal'!G1497)</f>
        <v/>
      </c>
      <c r="H2992" s="5">
        <f>IF('Journal'!I1497="","",'Journal'!I1497)</f>
        <v/>
      </c>
    </row>
    <row r="2993">
      <c r="A2993" s="18">
        <f>IF('Journal'!A1498="","",'Journal'!A1498)</f>
        <v/>
      </c>
      <c r="B2993" s="21">
        <f>IF('Journal'!B1498="","",'Journal'!B1498)</f>
        <v/>
      </c>
      <c r="C2993" s="5">
        <f>IF('Journal'!C1498="","",'Journal'!C1498)</f>
        <v/>
      </c>
      <c r="D2993" s="5">
        <f>IF('Journal'!D1498="","",IFERROR(LEFT('Journal'!D1498,FIND(" ",'Journal'!D1498)-1),'Journal'!D1498))</f>
        <v/>
      </c>
      <c r="E2993" s="5">
        <f>IF('Journal'!D1498="","",IFERROR(INDEX('Kontoplan'!$B$3:$B$302,MATCH('Journal'!D1498,'Kontoplan'!$H$3:$H$302,0)),""))</f>
        <v/>
      </c>
      <c r="F2993" s="20">
        <f>IF('Journal'!G1498="","",'Journal'!G1498)</f>
        <v/>
      </c>
      <c r="G2993" s="20">
        <f>IF('Journal'!F1498="","",'Journal'!F1498)</f>
        <v/>
      </c>
      <c r="H2993" s="5">
        <f>IF('Journal'!I1498="","",'Journal'!I1498)</f>
        <v/>
      </c>
    </row>
    <row r="2994">
      <c r="A2994" s="18">
        <f>IF('Journal'!A1498="","",'Journal'!A1498)</f>
        <v/>
      </c>
      <c r="B2994" s="21">
        <f>IF('Journal'!B1498="","",'Journal'!B1498)</f>
        <v/>
      </c>
      <c r="C2994" s="5">
        <f>IF('Journal'!C1498="","",'Journal'!C1498)</f>
        <v/>
      </c>
      <c r="D2994" s="5">
        <f>IF('Journal'!E1498="","",IFERROR(LEFT('Journal'!E1498,FIND(" ",'Journal'!E1498)-1),'Journal'!E1498))</f>
        <v/>
      </c>
      <c r="E2994" s="5">
        <f>IF('Journal'!E1498="","",IFERROR(INDEX('Kontoplan'!$B$3:$B$302,MATCH('Journal'!E1498,'Kontoplan'!$H$3:$H$302,0)),""))</f>
        <v/>
      </c>
      <c r="F2994" s="20">
        <f>IF('Journal'!F1498="","",'Journal'!F1498)</f>
        <v/>
      </c>
      <c r="G2994" s="20">
        <f>IF('Journal'!G1498="","",'Journal'!G1498)</f>
        <v/>
      </c>
      <c r="H2994" s="5">
        <f>IF('Journal'!I1498="","",'Journal'!I1498)</f>
        <v/>
      </c>
    </row>
    <row r="2995">
      <c r="A2995" s="18">
        <f>IF('Journal'!A1499="","",'Journal'!A1499)</f>
        <v/>
      </c>
      <c r="B2995" s="21">
        <f>IF('Journal'!B1499="","",'Journal'!B1499)</f>
        <v/>
      </c>
      <c r="C2995" s="5">
        <f>IF('Journal'!C1499="","",'Journal'!C1499)</f>
        <v/>
      </c>
      <c r="D2995" s="5">
        <f>IF('Journal'!D1499="","",IFERROR(LEFT('Journal'!D1499,FIND(" ",'Journal'!D1499)-1),'Journal'!D1499))</f>
        <v/>
      </c>
      <c r="E2995" s="5">
        <f>IF('Journal'!D1499="","",IFERROR(INDEX('Kontoplan'!$B$3:$B$302,MATCH('Journal'!D1499,'Kontoplan'!$H$3:$H$302,0)),""))</f>
        <v/>
      </c>
      <c r="F2995" s="20">
        <f>IF('Journal'!G1499="","",'Journal'!G1499)</f>
        <v/>
      </c>
      <c r="G2995" s="20">
        <f>IF('Journal'!F1499="","",'Journal'!F1499)</f>
        <v/>
      </c>
      <c r="H2995" s="5">
        <f>IF('Journal'!I1499="","",'Journal'!I1499)</f>
        <v/>
      </c>
    </row>
    <row r="2996">
      <c r="A2996" s="18">
        <f>IF('Journal'!A1499="","",'Journal'!A1499)</f>
        <v/>
      </c>
      <c r="B2996" s="21">
        <f>IF('Journal'!B1499="","",'Journal'!B1499)</f>
        <v/>
      </c>
      <c r="C2996" s="5">
        <f>IF('Journal'!C1499="","",'Journal'!C1499)</f>
        <v/>
      </c>
      <c r="D2996" s="5">
        <f>IF('Journal'!E1499="","",IFERROR(LEFT('Journal'!E1499,FIND(" ",'Journal'!E1499)-1),'Journal'!E1499))</f>
        <v/>
      </c>
      <c r="E2996" s="5">
        <f>IF('Journal'!E1499="","",IFERROR(INDEX('Kontoplan'!$B$3:$B$302,MATCH('Journal'!E1499,'Kontoplan'!$H$3:$H$302,0)),""))</f>
        <v/>
      </c>
      <c r="F2996" s="20">
        <f>IF('Journal'!F1499="","",'Journal'!F1499)</f>
        <v/>
      </c>
      <c r="G2996" s="20">
        <f>IF('Journal'!G1499="","",'Journal'!G1499)</f>
        <v/>
      </c>
      <c r="H2996" s="5">
        <f>IF('Journal'!I1499="","",'Journal'!I1499)</f>
        <v/>
      </c>
    </row>
    <row r="2997">
      <c r="A2997" s="18">
        <f>IF('Journal'!A1500="","",'Journal'!A1500)</f>
        <v/>
      </c>
      <c r="B2997" s="21">
        <f>IF('Journal'!B1500="","",'Journal'!B1500)</f>
        <v/>
      </c>
      <c r="C2997" s="5">
        <f>IF('Journal'!C1500="","",'Journal'!C1500)</f>
        <v/>
      </c>
      <c r="D2997" s="5">
        <f>IF('Journal'!D1500="","",IFERROR(LEFT('Journal'!D1500,FIND(" ",'Journal'!D1500)-1),'Journal'!D1500))</f>
        <v/>
      </c>
      <c r="E2997" s="5">
        <f>IF('Journal'!D1500="","",IFERROR(INDEX('Kontoplan'!$B$3:$B$302,MATCH('Journal'!D1500,'Kontoplan'!$H$3:$H$302,0)),""))</f>
        <v/>
      </c>
      <c r="F2997" s="20">
        <f>IF('Journal'!G1500="","",'Journal'!G1500)</f>
        <v/>
      </c>
      <c r="G2997" s="20">
        <f>IF('Journal'!F1500="","",'Journal'!F1500)</f>
        <v/>
      </c>
      <c r="H2997" s="5">
        <f>IF('Journal'!I1500="","",'Journal'!I1500)</f>
        <v/>
      </c>
    </row>
    <row r="2998">
      <c r="A2998" s="18">
        <f>IF('Journal'!A1500="","",'Journal'!A1500)</f>
        <v/>
      </c>
      <c r="B2998" s="21">
        <f>IF('Journal'!B1500="","",'Journal'!B1500)</f>
        <v/>
      </c>
      <c r="C2998" s="5">
        <f>IF('Journal'!C1500="","",'Journal'!C1500)</f>
        <v/>
      </c>
      <c r="D2998" s="5">
        <f>IF('Journal'!E1500="","",IFERROR(LEFT('Journal'!E1500,FIND(" ",'Journal'!E1500)-1),'Journal'!E1500))</f>
        <v/>
      </c>
      <c r="E2998" s="5">
        <f>IF('Journal'!E1500="","",IFERROR(INDEX('Kontoplan'!$B$3:$B$302,MATCH('Journal'!E1500,'Kontoplan'!$H$3:$H$302,0)),""))</f>
        <v/>
      </c>
      <c r="F2998" s="20">
        <f>IF('Journal'!F1500="","",'Journal'!F1500)</f>
        <v/>
      </c>
      <c r="G2998" s="20">
        <f>IF('Journal'!G1500="","",'Journal'!G1500)</f>
        <v/>
      </c>
      <c r="H2998" s="5">
        <f>IF('Journal'!I1500="","",'Journal'!I1500)</f>
        <v/>
      </c>
    </row>
    <row r="2999">
      <c r="A2999" s="18">
        <f>IF('Journal'!A1501="","",'Journal'!A1501)</f>
        <v/>
      </c>
      <c r="B2999" s="21">
        <f>IF('Journal'!B1501="","",'Journal'!B1501)</f>
        <v/>
      </c>
      <c r="C2999" s="5">
        <f>IF('Journal'!C1501="","",'Journal'!C1501)</f>
        <v/>
      </c>
      <c r="D2999" s="5">
        <f>IF('Journal'!D1501="","",IFERROR(LEFT('Journal'!D1501,FIND(" ",'Journal'!D1501)-1),'Journal'!D1501))</f>
        <v/>
      </c>
      <c r="E2999" s="5">
        <f>IF('Journal'!D1501="","",IFERROR(INDEX('Kontoplan'!$B$3:$B$302,MATCH('Journal'!D1501,'Kontoplan'!$H$3:$H$302,0)),""))</f>
        <v/>
      </c>
      <c r="F2999" s="20">
        <f>IF('Journal'!G1501="","",'Journal'!G1501)</f>
        <v/>
      </c>
      <c r="G2999" s="20">
        <f>IF('Journal'!F1501="","",'Journal'!F1501)</f>
        <v/>
      </c>
      <c r="H2999" s="5">
        <f>IF('Journal'!I1501="","",'Journal'!I1501)</f>
        <v/>
      </c>
    </row>
    <row r="3000">
      <c r="A3000" s="18">
        <f>IF('Journal'!A1501="","",'Journal'!A1501)</f>
        <v/>
      </c>
      <c r="B3000" s="21">
        <f>IF('Journal'!B1501="","",'Journal'!B1501)</f>
        <v/>
      </c>
      <c r="C3000" s="5">
        <f>IF('Journal'!C1501="","",'Journal'!C1501)</f>
        <v/>
      </c>
      <c r="D3000" s="5">
        <f>IF('Journal'!E1501="","",IFERROR(LEFT('Journal'!E1501,FIND(" ",'Journal'!E1501)-1),'Journal'!E1501))</f>
        <v/>
      </c>
      <c r="E3000" s="5">
        <f>IF('Journal'!E1501="","",IFERROR(INDEX('Kontoplan'!$B$3:$B$302,MATCH('Journal'!E1501,'Kontoplan'!$H$3:$H$302,0)),""))</f>
        <v/>
      </c>
      <c r="F3000" s="20">
        <f>IF('Journal'!F1501="","",'Journal'!F1501)</f>
        <v/>
      </c>
      <c r="G3000" s="20">
        <f>IF('Journal'!G1501="","",'Journal'!G1501)</f>
        <v/>
      </c>
      <c r="H3000" s="5">
        <f>IF('Journal'!I1501="","",'Journal'!I1501)</f>
        <v/>
      </c>
    </row>
    <row r="3001">
      <c r="A3001" s="18">
        <f>IF('Journal'!A1502="","",'Journal'!A1502)</f>
        <v/>
      </c>
      <c r="B3001" s="21">
        <f>IF('Journal'!B1502="","",'Journal'!B1502)</f>
        <v/>
      </c>
      <c r="C3001" s="5">
        <f>IF('Journal'!C1502="","",'Journal'!C1502)</f>
        <v/>
      </c>
      <c r="D3001" s="5">
        <f>IF('Journal'!D1502="","",IFERROR(LEFT('Journal'!D1502,FIND(" ",'Journal'!D1502)-1),'Journal'!D1502))</f>
        <v/>
      </c>
      <c r="E3001" s="5">
        <f>IF('Journal'!D1502="","",IFERROR(INDEX('Kontoplan'!$B$3:$B$302,MATCH('Journal'!D1502,'Kontoplan'!$H$3:$H$302,0)),""))</f>
        <v/>
      </c>
      <c r="F3001" s="20">
        <f>IF('Journal'!G1502="","",'Journal'!G1502)</f>
        <v/>
      </c>
      <c r="G3001" s="20">
        <f>IF('Journal'!F1502="","",'Journal'!F1502)</f>
        <v/>
      </c>
      <c r="H3001" s="5">
        <f>IF('Journal'!I1502="","",'Journal'!I1502)</f>
        <v/>
      </c>
    </row>
    <row r="3002">
      <c r="A3002" s="18">
        <f>IF('Journal'!A1502="","",'Journal'!A1502)</f>
        <v/>
      </c>
      <c r="B3002" s="21">
        <f>IF('Journal'!B1502="","",'Journal'!B1502)</f>
        <v/>
      </c>
      <c r="C3002" s="5">
        <f>IF('Journal'!C1502="","",'Journal'!C1502)</f>
        <v/>
      </c>
      <c r="D3002" s="5">
        <f>IF('Journal'!E1502="","",IFERROR(LEFT('Journal'!E1502,FIND(" ",'Journal'!E1502)-1),'Journal'!E1502))</f>
        <v/>
      </c>
      <c r="E3002" s="5">
        <f>IF('Journal'!E1502="","",IFERROR(INDEX('Kontoplan'!$B$3:$B$302,MATCH('Journal'!E1502,'Kontoplan'!$H$3:$H$302,0)),""))</f>
        <v/>
      </c>
      <c r="F3002" s="20">
        <f>IF('Journal'!F1502="","",'Journal'!F1502)</f>
        <v/>
      </c>
      <c r="G3002" s="20">
        <f>IF('Journal'!G1502="","",'Journal'!G1502)</f>
        <v/>
      </c>
      <c r="H3002" s="5">
        <f>IF('Journal'!I1502="","",'Journal'!I1502)</f>
        <v/>
      </c>
    </row>
    <row r="3003">
      <c r="A3003" s="18">
        <f>IF('Journal'!A1503="","",'Journal'!A1503)</f>
        <v/>
      </c>
      <c r="B3003" s="21">
        <f>IF('Journal'!B1503="","",'Journal'!B1503)</f>
        <v/>
      </c>
      <c r="C3003" s="5">
        <f>IF('Journal'!C1503="","",'Journal'!C1503)</f>
        <v/>
      </c>
      <c r="D3003" s="5">
        <f>IF('Journal'!D1503="","",IFERROR(LEFT('Journal'!D1503,FIND(" ",'Journal'!D1503)-1),'Journal'!D1503))</f>
        <v/>
      </c>
      <c r="E3003" s="5">
        <f>IF('Journal'!D1503="","",IFERROR(INDEX('Kontoplan'!$B$3:$B$302,MATCH('Journal'!D1503,'Kontoplan'!$H$3:$H$302,0)),""))</f>
        <v/>
      </c>
      <c r="F3003" s="20">
        <f>IF('Journal'!G1503="","",'Journal'!G1503)</f>
        <v/>
      </c>
      <c r="G3003" s="20">
        <f>IF('Journal'!F1503="","",'Journal'!F1503)</f>
        <v/>
      </c>
      <c r="H3003" s="5">
        <f>IF('Journal'!I1503="","",'Journal'!I1503)</f>
        <v/>
      </c>
    </row>
    <row r="3004">
      <c r="A3004" s="18">
        <f>IF('Journal'!A1503="","",'Journal'!A1503)</f>
        <v/>
      </c>
      <c r="B3004" s="21">
        <f>IF('Journal'!B1503="","",'Journal'!B1503)</f>
        <v/>
      </c>
      <c r="C3004" s="5">
        <f>IF('Journal'!C1503="","",'Journal'!C1503)</f>
        <v/>
      </c>
      <c r="D3004" s="5">
        <f>IF('Journal'!E1503="","",IFERROR(LEFT('Journal'!E1503,FIND(" ",'Journal'!E1503)-1),'Journal'!E1503))</f>
        <v/>
      </c>
      <c r="E3004" s="5">
        <f>IF('Journal'!E1503="","",IFERROR(INDEX('Kontoplan'!$B$3:$B$302,MATCH('Journal'!E1503,'Kontoplan'!$H$3:$H$302,0)),""))</f>
        <v/>
      </c>
      <c r="F3004" s="20">
        <f>IF('Journal'!F1503="","",'Journal'!F1503)</f>
        <v/>
      </c>
      <c r="G3004" s="20">
        <f>IF('Journal'!G1503="","",'Journal'!G1503)</f>
        <v/>
      </c>
      <c r="H3004" s="5">
        <f>IF('Journal'!I1503="","",'Journal'!I1503)</f>
        <v/>
      </c>
    </row>
    <row r="3005">
      <c r="A3005" s="18">
        <f>IF('Journal'!A1504="","",'Journal'!A1504)</f>
        <v/>
      </c>
      <c r="B3005" s="21">
        <f>IF('Journal'!B1504="","",'Journal'!B1504)</f>
        <v/>
      </c>
      <c r="C3005" s="5">
        <f>IF('Journal'!C1504="","",'Journal'!C1504)</f>
        <v/>
      </c>
      <c r="D3005" s="5">
        <f>IF('Journal'!D1504="","",IFERROR(LEFT('Journal'!D1504,FIND(" ",'Journal'!D1504)-1),'Journal'!D1504))</f>
        <v/>
      </c>
      <c r="E3005" s="5">
        <f>IF('Journal'!D1504="","",IFERROR(INDEX('Kontoplan'!$B$3:$B$302,MATCH('Journal'!D1504,'Kontoplan'!$H$3:$H$302,0)),""))</f>
        <v/>
      </c>
      <c r="F3005" s="20">
        <f>IF('Journal'!G1504="","",'Journal'!G1504)</f>
        <v/>
      </c>
      <c r="G3005" s="20">
        <f>IF('Journal'!F1504="","",'Journal'!F1504)</f>
        <v/>
      </c>
      <c r="H3005" s="5">
        <f>IF('Journal'!I1504="","",'Journal'!I1504)</f>
        <v/>
      </c>
    </row>
    <row r="3006">
      <c r="A3006" s="18">
        <f>IF('Journal'!A1504="","",'Journal'!A1504)</f>
        <v/>
      </c>
      <c r="B3006" s="21">
        <f>IF('Journal'!B1504="","",'Journal'!B1504)</f>
        <v/>
      </c>
      <c r="C3006" s="5">
        <f>IF('Journal'!C1504="","",'Journal'!C1504)</f>
        <v/>
      </c>
      <c r="D3006" s="5">
        <f>IF('Journal'!E1504="","",IFERROR(LEFT('Journal'!E1504,FIND(" ",'Journal'!E1504)-1),'Journal'!E1504))</f>
        <v/>
      </c>
      <c r="E3006" s="5">
        <f>IF('Journal'!E1504="","",IFERROR(INDEX('Kontoplan'!$B$3:$B$302,MATCH('Journal'!E1504,'Kontoplan'!$H$3:$H$302,0)),""))</f>
        <v/>
      </c>
      <c r="F3006" s="20">
        <f>IF('Journal'!F1504="","",'Journal'!F1504)</f>
        <v/>
      </c>
      <c r="G3006" s="20">
        <f>IF('Journal'!G1504="","",'Journal'!G1504)</f>
        <v/>
      </c>
      <c r="H3006" s="5">
        <f>IF('Journal'!I1504="","",'Journal'!I1504)</f>
        <v/>
      </c>
    </row>
    <row r="3007">
      <c r="A3007" s="18">
        <f>IF('Journal'!A1505="","",'Journal'!A1505)</f>
        <v/>
      </c>
      <c r="B3007" s="21">
        <f>IF('Journal'!B1505="","",'Journal'!B1505)</f>
        <v/>
      </c>
      <c r="C3007" s="5">
        <f>IF('Journal'!C1505="","",'Journal'!C1505)</f>
        <v/>
      </c>
      <c r="D3007" s="5">
        <f>IF('Journal'!D1505="","",IFERROR(LEFT('Journal'!D1505,FIND(" ",'Journal'!D1505)-1),'Journal'!D1505))</f>
        <v/>
      </c>
      <c r="E3007" s="5">
        <f>IF('Journal'!D1505="","",IFERROR(INDEX('Kontoplan'!$B$3:$B$302,MATCH('Journal'!D1505,'Kontoplan'!$H$3:$H$302,0)),""))</f>
        <v/>
      </c>
      <c r="F3007" s="20">
        <f>IF('Journal'!G1505="","",'Journal'!G1505)</f>
        <v/>
      </c>
      <c r="G3007" s="20">
        <f>IF('Journal'!F1505="","",'Journal'!F1505)</f>
        <v/>
      </c>
      <c r="H3007" s="5">
        <f>IF('Journal'!I1505="","",'Journal'!I1505)</f>
        <v/>
      </c>
    </row>
    <row r="3008">
      <c r="A3008" s="18">
        <f>IF('Journal'!A1505="","",'Journal'!A1505)</f>
        <v/>
      </c>
      <c r="B3008" s="21">
        <f>IF('Journal'!B1505="","",'Journal'!B1505)</f>
        <v/>
      </c>
      <c r="C3008" s="5">
        <f>IF('Journal'!C1505="","",'Journal'!C1505)</f>
        <v/>
      </c>
      <c r="D3008" s="5">
        <f>IF('Journal'!E1505="","",IFERROR(LEFT('Journal'!E1505,FIND(" ",'Journal'!E1505)-1),'Journal'!E1505))</f>
        <v/>
      </c>
      <c r="E3008" s="5">
        <f>IF('Journal'!E1505="","",IFERROR(INDEX('Kontoplan'!$B$3:$B$302,MATCH('Journal'!E1505,'Kontoplan'!$H$3:$H$302,0)),""))</f>
        <v/>
      </c>
      <c r="F3008" s="20">
        <f>IF('Journal'!F1505="","",'Journal'!F1505)</f>
        <v/>
      </c>
      <c r="G3008" s="20">
        <f>IF('Journal'!G1505="","",'Journal'!G1505)</f>
        <v/>
      </c>
      <c r="H3008" s="5">
        <f>IF('Journal'!I1505="","",'Journal'!I1505)</f>
        <v/>
      </c>
    </row>
    <row r="3009">
      <c r="A3009" s="18">
        <f>IF('Journal'!A1506="","",'Journal'!A1506)</f>
        <v/>
      </c>
      <c r="B3009" s="21">
        <f>IF('Journal'!B1506="","",'Journal'!B1506)</f>
        <v/>
      </c>
      <c r="C3009" s="5">
        <f>IF('Journal'!C1506="","",'Journal'!C1506)</f>
        <v/>
      </c>
      <c r="D3009" s="5">
        <f>IF('Journal'!D1506="","",IFERROR(LEFT('Journal'!D1506,FIND(" ",'Journal'!D1506)-1),'Journal'!D1506))</f>
        <v/>
      </c>
      <c r="E3009" s="5">
        <f>IF('Journal'!D1506="","",IFERROR(INDEX('Kontoplan'!$B$3:$B$302,MATCH('Journal'!D1506,'Kontoplan'!$H$3:$H$302,0)),""))</f>
        <v/>
      </c>
      <c r="F3009" s="20">
        <f>IF('Journal'!G1506="","",'Journal'!G1506)</f>
        <v/>
      </c>
      <c r="G3009" s="20">
        <f>IF('Journal'!F1506="","",'Journal'!F1506)</f>
        <v/>
      </c>
      <c r="H3009" s="5">
        <f>IF('Journal'!I1506="","",'Journal'!I1506)</f>
        <v/>
      </c>
    </row>
    <row r="3010">
      <c r="A3010" s="18">
        <f>IF('Journal'!A1506="","",'Journal'!A1506)</f>
        <v/>
      </c>
      <c r="B3010" s="21">
        <f>IF('Journal'!B1506="","",'Journal'!B1506)</f>
        <v/>
      </c>
      <c r="C3010" s="5">
        <f>IF('Journal'!C1506="","",'Journal'!C1506)</f>
        <v/>
      </c>
      <c r="D3010" s="5">
        <f>IF('Journal'!E1506="","",IFERROR(LEFT('Journal'!E1506,FIND(" ",'Journal'!E1506)-1),'Journal'!E1506))</f>
        <v/>
      </c>
      <c r="E3010" s="5">
        <f>IF('Journal'!E1506="","",IFERROR(INDEX('Kontoplan'!$B$3:$B$302,MATCH('Journal'!E1506,'Kontoplan'!$H$3:$H$302,0)),""))</f>
        <v/>
      </c>
      <c r="F3010" s="20">
        <f>IF('Journal'!F1506="","",'Journal'!F1506)</f>
        <v/>
      </c>
      <c r="G3010" s="20">
        <f>IF('Journal'!G1506="","",'Journal'!G1506)</f>
        <v/>
      </c>
      <c r="H3010" s="5">
        <f>IF('Journal'!I1506="","",'Journal'!I1506)</f>
        <v/>
      </c>
    </row>
    <row r="3011">
      <c r="A3011" s="18">
        <f>IF('Journal'!A1507="","",'Journal'!A1507)</f>
        <v/>
      </c>
      <c r="B3011" s="21">
        <f>IF('Journal'!B1507="","",'Journal'!B1507)</f>
        <v/>
      </c>
      <c r="C3011" s="5">
        <f>IF('Journal'!C1507="","",'Journal'!C1507)</f>
        <v/>
      </c>
      <c r="D3011" s="5">
        <f>IF('Journal'!D1507="","",IFERROR(LEFT('Journal'!D1507,FIND(" ",'Journal'!D1507)-1),'Journal'!D1507))</f>
        <v/>
      </c>
      <c r="E3011" s="5">
        <f>IF('Journal'!D1507="","",IFERROR(INDEX('Kontoplan'!$B$3:$B$302,MATCH('Journal'!D1507,'Kontoplan'!$H$3:$H$302,0)),""))</f>
        <v/>
      </c>
      <c r="F3011" s="20">
        <f>IF('Journal'!G1507="","",'Journal'!G1507)</f>
        <v/>
      </c>
      <c r="G3011" s="20">
        <f>IF('Journal'!F1507="","",'Journal'!F1507)</f>
        <v/>
      </c>
      <c r="H3011" s="5">
        <f>IF('Journal'!I1507="","",'Journal'!I1507)</f>
        <v/>
      </c>
    </row>
    <row r="3012">
      <c r="A3012" s="18">
        <f>IF('Journal'!A1507="","",'Journal'!A1507)</f>
        <v/>
      </c>
      <c r="B3012" s="21">
        <f>IF('Journal'!B1507="","",'Journal'!B1507)</f>
        <v/>
      </c>
      <c r="C3012" s="5">
        <f>IF('Journal'!C1507="","",'Journal'!C1507)</f>
        <v/>
      </c>
      <c r="D3012" s="5">
        <f>IF('Journal'!E1507="","",IFERROR(LEFT('Journal'!E1507,FIND(" ",'Journal'!E1507)-1),'Journal'!E1507))</f>
        <v/>
      </c>
      <c r="E3012" s="5">
        <f>IF('Journal'!E1507="","",IFERROR(INDEX('Kontoplan'!$B$3:$B$302,MATCH('Journal'!E1507,'Kontoplan'!$H$3:$H$302,0)),""))</f>
        <v/>
      </c>
      <c r="F3012" s="20">
        <f>IF('Journal'!F1507="","",'Journal'!F1507)</f>
        <v/>
      </c>
      <c r="G3012" s="20">
        <f>IF('Journal'!G1507="","",'Journal'!G1507)</f>
        <v/>
      </c>
      <c r="H3012" s="5">
        <f>IF('Journal'!I1507="","",'Journal'!I1507)</f>
        <v/>
      </c>
    </row>
    <row r="3013">
      <c r="A3013" s="18">
        <f>IF('Journal'!A1508="","",'Journal'!A1508)</f>
        <v/>
      </c>
      <c r="B3013" s="21">
        <f>IF('Journal'!B1508="","",'Journal'!B1508)</f>
        <v/>
      </c>
      <c r="C3013" s="5">
        <f>IF('Journal'!C1508="","",'Journal'!C1508)</f>
        <v/>
      </c>
      <c r="D3013" s="5">
        <f>IF('Journal'!D1508="","",IFERROR(LEFT('Journal'!D1508,FIND(" ",'Journal'!D1508)-1),'Journal'!D1508))</f>
        <v/>
      </c>
      <c r="E3013" s="5">
        <f>IF('Journal'!D1508="","",IFERROR(INDEX('Kontoplan'!$B$3:$B$302,MATCH('Journal'!D1508,'Kontoplan'!$H$3:$H$302,0)),""))</f>
        <v/>
      </c>
      <c r="F3013" s="20">
        <f>IF('Journal'!G1508="","",'Journal'!G1508)</f>
        <v/>
      </c>
      <c r="G3013" s="20">
        <f>IF('Journal'!F1508="","",'Journal'!F1508)</f>
        <v/>
      </c>
      <c r="H3013" s="5">
        <f>IF('Journal'!I1508="","",'Journal'!I1508)</f>
        <v/>
      </c>
    </row>
    <row r="3014">
      <c r="A3014" s="18">
        <f>IF('Journal'!A1508="","",'Journal'!A1508)</f>
        <v/>
      </c>
      <c r="B3014" s="21">
        <f>IF('Journal'!B1508="","",'Journal'!B1508)</f>
        <v/>
      </c>
      <c r="C3014" s="5">
        <f>IF('Journal'!C1508="","",'Journal'!C1508)</f>
        <v/>
      </c>
      <c r="D3014" s="5">
        <f>IF('Journal'!E1508="","",IFERROR(LEFT('Journal'!E1508,FIND(" ",'Journal'!E1508)-1),'Journal'!E1508))</f>
        <v/>
      </c>
      <c r="E3014" s="5">
        <f>IF('Journal'!E1508="","",IFERROR(INDEX('Kontoplan'!$B$3:$B$302,MATCH('Journal'!E1508,'Kontoplan'!$H$3:$H$302,0)),""))</f>
        <v/>
      </c>
      <c r="F3014" s="20">
        <f>IF('Journal'!F1508="","",'Journal'!F1508)</f>
        <v/>
      </c>
      <c r="G3014" s="20">
        <f>IF('Journal'!G1508="","",'Journal'!G1508)</f>
        <v/>
      </c>
      <c r="H3014" s="5">
        <f>IF('Journal'!I1508="","",'Journal'!I1508)</f>
        <v/>
      </c>
    </row>
    <row r="3015">
      <c r="A3015" s="18">
        <f>IF('Journal'!A1509="","",'Journal'!A1509)</f>
        <v/>
      </c>
      <c r="B3015" s="21">
        <f>IF('Journal'!B1509="","",'Journal'!B1509)</f>
        <v/>
      </c>
      <c r="C3015" s="5">
        <f>IF('Journal'!C1509="","",'Journal'!C1509)</f>
        <v/>
      </c>
      <c r="D3015" s="5">
        <f>IF('Journal'!D1509="","",IFERROR(LEFT('Journal'!D1509,FIND(" ",'Journal'!D1509)-1),'Journal'!D1509))</f>
        <v/>
      </c>
      <c r="E3015" s="5">
        <f>IF('Journal'!D1509="","",IFERROR(INDEX('Kontoplan'!$B$3:$B$302,MATCH('Journal'!D1509,'Kontoplan'!$H$3:$H$302,0)),""))</f>
        <v/>
      </c>
      <c r="F3015" s="20">
        <f>IF('Journal'!G1509="","",'Journal'!G1509)</f>
        <v/>
      </c>
      <c r="G3015" s="20">
        <f>IF('Journal'!F1509="","",'Journal'!F1509)</f>
        <v/>
      </c>
      <c r="H3015" s="5">
        <f>IF('Journal'!I1509="","",'Journal'!I1509)</f>
        <v/>
      </c>
    </row>
    <row r="3016">
      <c r="A3016" s="18">
        <f>IF('Journal'!A1509="","",'Journal'!A1509)</f>
        <v/>
      </c>
      <c r="B3016" s="21">
        <f>IF('Journal'!B1509="","",'Journal'!B1509)</f>
        <v/>
      </c>
      <c r="C3016" s="5">
        <f>IF('Journal'!C1509="","",'Journal'!C1509)</f>
        <v/>
      </c>
      <c r="D3016" s="5">
        <f>IF('Journal'!E1509="","",IFERROR(LEFT('Journal'!E1509,FIND(" ",'Journal'!E1509)-1),'Journal'!E1509))</f>
        <v/>
      </c>
      <c r="E3016" s="5">
        <f>IF('Journal'!E1509="","",IFERROR(INDEX('Kontoplan'!$B$3:$B$302,MATCH('Journal'!E1509,'Kontoplan'!$H$3:$H$302,0)),""))</f>
        <v/>
      </c>
      <c r="F3016" s="20">
        <f>IF('Journal'!F1509="","",'Journal'!F1509)</f>
        <v/>
      </c>
      <c r="G3016" s="20">
        <f>IF('Journal'!G1509="","",'Journal'!G1509)</f>
        <v/>
      </c>
      <c r="H3016" s="5">
        <f>IF('Journal'!I1509="","",'Journal'!I1509)</f>
        <v/>
      </c>
    </row>
    <row r="3017">
      <c r="A3017" s="18">
        <f>IF('Journal'!A1510="","",'Journal'!A1510)</f>
        <v/>
      </c>
      <c r="B3017" s="21">
        <f>IF('Journal'!B1510="","",'Journal'!B1510)</f>
        <v/>
      </c>
      <c r="C3017" s="5">
        <f>IF('Journal'!C1510="","",'Journal'!C1510)</f>
        <v/>
      </c>
      <c r="D3017" s="5">
        <f>IF('Journal'!D1510="","",IFERROR(LEFT('Journal'!D1510,FIND(" ",'Journal'!D1510)-1),'Journal'!D1510))</f>
        <v/>
      </c>
      <c r="E3017" s="5">
        <f>IF('Journal'!D1510="","",IFERROR(INDEX('Kontoplan'!$B$3:$B$302,MATCH('Journal'!D1510,'Kontoplan'!$H$3:$H$302,0)),""))</f>
        <v/>
      </c>
      <c r="F3017" s="20">
        <f>IF('Journal'!G1510="","",'Journal'!G1510)</f>
        <v/>
      </c>
      <c r="G3017" s="20">
        <f>IF('Journal'!F1510="","",'Journal'!F1510)</f>
        <v/>
      </c>
      <c r="H3017" s="5">
        <f>IF('Journal'!I1510="","",'Journal'!I1510)</f>
        <v/>
      </c>
    </row>
    <row r="3018">
      <c r="A3018" s="18">
        <f>IF('Journal'!A1510="","",'Journal'!A1510)</f>
        <v/>
      </c>
      <c r="B3018" s="21">
        <f>IF('Journal'!B1510="","",'Journal'!B1510)</f>
        <v/>
      </c>
      <c r="C3018" s="5">
        <f>IF('Journal'!C1510="","",'Journal'!C1510)</f>
        <v/>
      </c>
      <c r="D3018" s="5">
        <f>IF('Journal'!E1510="","",IFERROR(LEFT('Journal'!E1510,FIND(" ",'Journal'!E1510)-1),'Journal'!E1510))</f>
        <v/>
      </c>
      <c r="E3018" s="5">
        <f>IF('Journal'!E1510="","",IFERROR(INDEX('Kontoplan'!$B$3:$B$302,MATCH('Journal'!E1510,'Kontoplan'!$H$3:$H$302,0)),""))</f>
        <v/>
      </c>
      <c r="F3018" s="20">
        <f>IF('Journal'!F1510="","",'Journal'!F1510)</f>
        <v/>
      </c>
      <c r="G3018" s="20">
        <f>IF('Journal'!G1510="","",'Journal'!G1510)</f>
        <v/>
      </c>
      <c r="H3018" s="5">
        <f>IF('Journal'!I1510="","",'Journal'!I1510)</f>
        <v/>
      </c>
    </row>
    <row r="3019">
      <c r="A3019" s="18">
        <f>IF('Journal'!A1511="","",'Journal'!A1511)</f>
        <v/>
      </c>
      <c r="B3019" s="21">
        <f>IF('Journal'!B1511="","",'Journal'!B1511)</f>
        <v/>
      </c>
      <c r="C3019" s="5">
        <f>IF('Journal'!C1511="","",'Journal'!C1511)</f>
        <v/>
      </c>
      <c r="D3019" s="5">
        <f>IF('Journal'!D1511="","",IFERROR(LEFT('Journal'!D1511,FIND(" ",'Journal'!D1511)-1),'Journal'!D1511))</f>
        <v/>
      </c>
      <c r="E3019" s="5">
        <f>IF('Journal'!D1511="","",IFERROR(INDEX('Kontoplan'!$B$3:$B$302,MATCH('Journal'!D1511,'Kontoplan'!$H$3:$H$302,0)),""))</f>
        <v/>
      </c>
      <c r="F3019" s="20">
        <f>IF('Journal'!G1511="","",'Journal'!G1511)</f>
        <v/>
      </c>
      <c r="G3019" s="20">
        <f>IF('Journal'!F1511="","",'Journal'!F1511)</f>
        <v/>
      </c>
      <c r="H3019" s="5">
        <f>IF('Journal'!I1511="","",'Journal'!I1511)</f>
        <v/>
      </c>
    </row>
    <row r="3020">
      <c r="A3020" s="18">
        <f>IF('Journal'!A1511="","",'Journal'!A1511)</f>
        <v/>
      </c>
      <c r="B3020" s="21">
        <f>IF('Journal'!B1511="","",'Journal'!B1511)</f>
        <v/>
      </c>
      <c r="C3020" s="5">
        <f>IF('Journal'!C1511="","",'Journal'!C1511)</f>
        <v/>
      </c>
      <c r="D3020" s="5">
        <f>IF('Journal'!E1511="","",IFERROR(LEFT('Journal'!E1511,FIND(" ",'Journal'!E1511)-1),'Journal'!E1511))</f>
        <v/>
      </c>
      <c r="E3020" s="5">
        <f>IF('Journal'!E1511="","",IFERROR(INDEX('Kontoplan'!$B$3:$B$302,MATCH('Journal'!E1511,'Kontoplan'!$H$3:$H$302,0)),""))</f>
        <v/>
      </c>
      <c r="F3020" s="20">
        <f>IF('Journal'!F1511="","",'Journal'!F1511)</f>
        <v/>
      </c>
      <c r="G3020" s="20">
        <f>IF('Journal'!G1511="","",'Journal'!G1511)</f>
        <v/>
      </c>
      <c r="H3020" s="5">
        <f>IF('Journal'!I1511="","",'Journal'!I1511)</f>
        <v/>
      </c>
    </row>
    <row r="3021">
      <c r="A3021" s="18">
        <f>IF('Journal'!A1512="","",'Journal'!A1512)</f>
        <v/>
      </c>
      <c r="B3021" s="21">
        <f>IF('Journal'!B1512="","",'Journal'!B1512)</f>
        <v/>
      </c>
      <c r="C3021" s="5">
        <f>IF('Journal'!C1512="","",'Journal'!C1512)</f>
        <v/>
      </c>
      <c r="D3021" s="5">
        <f>IF('Journal'!D1512="","",IFERROR(LEFT('Journal'!D1512,FIND(" ",'Journal'!D1512)-1),'Journal'!D1512))</f>
        <v/>
      </c>
      <c r="E3021" s="5">
        <f>IF('Journal'!D1512="","",IFERROR(INDEX('Kontoplan'!$B$3:$B$302,MATCH('Journal'!D1512,'Kontoplan'!$H$3:$H$302,0)),""))</f>
        <v/>
      </c>
      <c r="F3021" s="20">
        <f>IF('Journal'!G1512="","",'Journal'!G1512)</f>
        <v/>
      </c>
      <c r="G3021" s="20">
        <f>IF('Journal'!F1512="","",'Journal'!F1512)</f>
        <v/>
      </c>
      <c r="H3021" s="5">
        <f>IF('Journal'!I1512="","",'Journal'!I1512)</f>
        <v/>
      </c>
    </row>
    <row r="3022">
      <c r="A3022" s="18">
        <f>IF('Journal'!A1512="","",'Journal'!A1512)</f>
        <v/>
      </c>
      <c r="B3022" s="21">
        <f>IF('Journal'!B1512="","",'Journal'!B1512)</f>
        <v/>
      </c>
      <c r="C3022" s="5">
        <f>IF('Journal'!C1512="","",'Journal'!C1512)</f>
        <v/>
      </c>
      <c r="D3022" s="5">
        <f>IF('Journal'!E1512="","",IFERROR(LEFT('Journal'!E1512,FIND(" ",'Journal'!E1512)-1),'Journal'!E1512))</f>
        <v/>
      </c>
      <c r="E3022" s="5">
        <f>IF('Journal'!E1512="","",IFERROR(INDEX('Kontoplan'!$B$3:$B$302,MATCH('Journal'!E1512,'Kontoplan'!$H$3:$H$302,0)),""))</f>
        <v/>
      </c>
      <c r="F3022" s="20">
        <f>IF('Journal'!F1512="","",'Journal'!F1512)</f>
        <v/>
      </c>
      <c r="G3022" s="20">
        <f>IF('Journal'!G1512="","",'Journal'!G1512)</f>
        <v/>
      </c>
      <c r="H3022" s="5">
        <f>IF('Journal'!I1512="","",'Journal'!I1512)</f>
        <v/>
      </c>
    </row>
    <row r="3023">
      <c r="A3023" s="18">
        <f>IF('Journal'!A1513="","",'Journal'!A1513)</f>
        <v/>
      </c>
      <c r="B3023" s="21">
        <f>IF('Journal'!B1513="","",'Journal'!B1513)</f>
        <v/>
      </c>
      <c r="C3023" s="5">
        <f>IF('Journal'!C1513="","",'Journal'!C1513)</f>
        <v/>
      </c>
      <c r="D3023" s="5">
        <f>IF('Journal'!D1513="","",IFERROR(LEFT('Journal'!D1513,FIND(" ",'Journal'!D1513)-1),'Journal'!D1513))</f>
        <v/>
      </c>
      <c r="E3023" s="5">
        <f>IF('Journal'!D1513="","",IFERROR(INDEX('Kontoplan'!$B$3:$B$302,MATCH('Journal'!D1513,'Kontoplan'!$H$3:$H$302,0)),""))</f>
        <v/>
      </c>
      <c r="F3023" s="20">
        <f>IF('Journal'!G1513="","",'Journal'!G1513)</f>
        <v/>
      </c>
      <c r="G3023" s="20">
        <f>IF('Journal'!F1513="","",'Journal'!F1513)</f>
        <v/>
      </c>
      <c r="H3023" s="5">
        <f>IF('Journal'!I1513="","",'Journal'!I1513)</f>
        <v/>
      </c>
    </row>
    <row r="3024">
      <c r="A3024" s="18">
        <f>IF('Journal'!A1513="","",'Journal'!A1513)</f>
        <v/>
      </c>
      <c r="B3024" s="21">
        <f>IF('Journal'!B1513="","",'Journal'!B1513)</f>
        <v/>
      </c>
      <c r="C3024" s="5">
        <f>IF('Journal'!C1513="","",'Journal'!C1513)</f>
        <v/>
      </c>
      <c r="D3024" s="5">
        <f>IF('Journal'!E1513="","",IFERROR(LEFT('Journal'!E1513,FIND(" ",'Journal'!E1513)-1),'Journal'!E1513))</f>
        <v/>
      </c>
      <c r="E3024" s="5">
        <f>IF('Journal'!E1513="","",IFERROR(INDEX('Kontoplan'!$B$3:$B$302,MATCH('Journal'!E1513,'Kontoplan'!$H$3:$H$302,0)),""))</f>
        <v/>
      </c>
      <c r="F3024" s="20">
        <f>IF('Journal'!F1513="","",'Journal'!F1513)</f>
        <v/>
      </c>
      <c r="G3024" s="20">
        <f>IF('Journal'!G1513="","",'Journal'!G1513)</f>
        <v/>
      </c>
      <c r="H3024" s="5">
        <f>IF('Journal'!I1513="","",'Journal'!I1513)</f>
        <v/>
      </c>
    </row>
    <row r="3025">
      <c r="A3025" s="18">
        <f>IF('Journal'!A1514="","",'Journal'!A1514)</f>
        <v/>
      </c>
      <c r="B3025" s="21">
        <f>IF('Journal'!B1514="","",'Journal'!B1514)</f>
        <v/>
      </c>
      <c r="C3025" s="5">
        <f>IF('Journal'!C1514="","",'Journal'!C1514)</f>
        <v/>
      </c>
      <c r="D3025" s="5">
        <f>IF('Journal'!D1514="","",IFERROR(LEFT('Journal'!D1514,FIND(" ",'Journal'!D1514)-1),'Journal'!D1514))</f>
        <v/>
      </c>
      <c r="E3025" s="5">
        <f>IF('Journal'!D1514="","",IFERROR(INDEX('Kontoplan'!$B$3:$B$302,MATCH('Journal'!D1514,'Kontoplan'!$H$3:$H$302,0)),""))</f>
        <v/>
      </c>
      <c r="F3025" s="20">
        <f>IF('Journal'!G1514="","",'Journal'!G1514)</f>
        <v/>
      </c>
      <c r="G3025" s="20">
        <f>IF('Journal'!F1514="","",'Journal'!F1514)</f>
        <v/>
      </c>
      <c r="H3025" s="5">
        <f>IF('Journal'!I1514="","",'Journal'!I1514)</f>
        <v/>
      </c>
    </row>
    <row r="3026">
      <c r="A3026" s="18">
        <f>IF('Journal'!A1514="","",'Journal'!A1514)</f>
        <v/>
      </c>
      <c r="B3026" s="21">
        <f>IF('Journal'!B1514="","",'Journal'!B1514)</f>
        <v/>
      </c>
      <c r="C3026" s="5">
        <f>IF('Journal'!C1514="","",'Journal'!C1514)</f>
        <v/>
      </c>
      <c r="D3026" s="5">
        <f>IF('Journal'!E1514="","",IFERROR(LEFT('Journal'!E1514,FIND(" ",'Journal'!E1514)-1),'Journal'!E1514))</f>
        <v/>
      </c>
      <c r="E3026" s="5">
        <f>IF('Journal'!E1514="","",IFERROR(INDEX('Kontoplan'!$B$3:$B$302,MATCH('Journal'!E1514,'Kontoplan'!$H$3:$H$302,0)),""))</f>
        <v/>
      </c>
      <c r="F3026" s="20">
        <f>IF('Journal'!F1514="","",'Journal'!F1514)</f>
        <v/>
      </c>
      <c r="G3026" s="20">
        <f>IF('Journal'!G1514="","",'Journal'!G1514)</f>
        <v/>
      </c>
      <c r="H3026" s="5">
        <f>IF('Journal'!I1514="","",'Journal'!I1514)</f>
        <v/>
      </c>
    </row>
    <row r="3027">
      <c r="A3027" s="18">
        <f>IF('Journal'!A1515="","",'Journal'!A1515)</f>
        <v/>
      </c>
      <c r="B3027" s="21">
        <f>IF('Journal'!B1515="","",'Journal'!B1515)</f>
        <v/>
      </c>
      <c r="C3027" s="5">
        <f>IF('Journal'!C1515="","",'Journal'!C1515)</f>
        <v/>
      </c>
      <c r="D3027" s="5">
        <f>IF('Journal'!D1515="","",IFERROR(LEFT('Journal'!D1515,FIND(" ",'Journal'!D1515)-1),'Journal'!D1515))</f>
        <v/>
      </c>
      <c r="E3027" s="5">
        <f>IF('Journal'!D1515="","",IFERROR(INDEX('Kontoplan'!$B$3:$B$302,MATCH('Journal'!D1515,'Kontoplan'!$H$3:$H$302,0)),""))</f>
        <v/>
      </c>
      <c r="F3027" s="20">
        <f>IF('Journal'!G1515="","",'Journal'!G1515)</f>
        <v/>
      </c>
      <c r="G3027" s="20">
        <f>IF('Journal'!F1515="","",'Journal'!F1515)</f>
        <v/>
      </c>
      <c r="H3027" s="5">
        <f>IF('Journal'!I1515="","",'Journal'!I1515)</f>
        <v/>
      </c>
    </row>
    <row r="3028">
      <c r="A3028" s="18">
        <f>IF('Journal'!A1515="","",'Journal'!A1515)</f>
        <v/>
      </c>
      <c r="B3028" s="21">
        <f>IF('Journal'!B1515="","",'Journal'!B1515)</f>
        <v/>
      </c>
      <c r="C3028" s="5">
        <f>IF('Journal'!C1515="","",'Journal'!C1515)</f>
        <v/>
      </c>
      <c r="D3028" s="5">
        <f>IF('Journal'!E1515="","",IFERROR(LEFT('Journal'!E1515,FIND(" ",'Journal'!E1515)-1),'Journal'!E1515))</f>
        <v/>
      </c>
      <c r="E3028" s="5">
        <f>IF('Journal'!E1515="","",IFERROR(INDEX('Kontoplan'!$B$3:$B$302,MATCH('Journal'!E1515,'Kontoplan'!$H$3:$H$302,0)),""))</f>
        <v/>
      </c>
      <c r="F3028" s="20">
        <f>IF('Journal'!F1515="","",'Journal'!F1515)</f>
        <v/>
      </c>
      <c r="G3028" s="20">
        <f>IF('Journal'!G1515="","",'Journal'!G1515)</f>
        <v/>
      </c>
      <c r="H3028" s="5">
        <f>IF('Journal'!I1515="","",'Journal'!I1515)</f>
        <v/>
      </c>
    </row>
    <row r="3029">
      <c r="A3029" s="18">
        <f>IF('Journal'!A1516="","",'Journal'!A1516)</f>
        <v/>
      </c>
      <c r="B3029" s="21">
        <f>IF('Journal'!B1516="","",'Journal'!B1516)</f>
        <v/>
      </c>
      <c r="C3029" s="5">
        <f>IF('Journal'!C1516="","",'Journal'!C1516)</f>
        <v/>
      </c>
      <c r="D3029" s="5">
        <f>IF('Journal'!D1516="","",IFERROR(LEFT('Journal'!D1516,FIND(" ",'Journal'!D1516)-1),'Journal'!D1516))</f>
        <v/>
      </c>
      <c r="E3029" s="5">
        <f>IF('Journal'!D1516="","",IFERROR(INDEX('Kontoplan'!$B$3:$B$302,MATCH('Journal'!D1516,'Kontoplan'!$H$3:$H$302,0)),""))</f>
        <v/>
      </c>
      <c r="F3029" s="20">
        <f>IF('Journal'!G1516="","",'Journal'!G1516)</f>
        <v/>
      </c>
      <c r="G3029" s="20">
        <f>IF('Journal'!F1516="","",'Journal'!F1516)</f>
        <v/>
      </c>
      <c r="H3029" s="5">
        <f>IF('Journal'!I1516="","",'Journal'!I1516)</f>
        <v/>
      </c>
    </row>
    <row r="3030">
      <c r="A3030" s="18">
        <f>IF('Journal'!A1516="","",'Journal'!A1516)</f>
        <v/>
      </c>
      <c r="B3030" s="21">
        <f>IF('Journal'!B1516="","",'Journal'!B1516)</f>
        <v/>
      </c>
      <c r="C3030" s="5">
        <f>IF('Journal'!C1516="","",'Journal'!C1516)</f>
        <v/>
      </c>
      <c r="D3030" s="5">
        <f>IF('Journal'!E1516="","",IFERROR(LEFT('Journal'!E1516,FIND(" ",'Journal'!E1516)-1),'Journal'!E1516))</f>
        <v/>
      </c>
      <c r="E3030" s="5">
        <f>IF('Journal'!E1516="","",IFERROR(INDEX('Kontoplan'!$B$3:$B$302,MATCH('Journal'!E1516,'Kontoplan'!$H$3:$H$302,0)),""))</f>
        <v/>
      </c>
      <c r="F3030" s="20">
        <f>IF('Journal'!F1516="","",'Journal'!F1516)</f>
        <v/>
      </c>
      <c r="G3030" s="20">
        <f>IF('Journal'!G1516="","",'Journal'!G1516)</f>
        <v/>
      </c>
      <c r="H3030" s="5">
        <f>IF('Journal'!I1516="","",'Journal'!I1516)</f>
        <v/>
      </c>
    </row>
    <row r="3031">
      <c r="A3031" s="18">
        <f>IF('Journal'!A1517="","",'Journal'!A1517)</f>
        <v/>
      </c>
      <c r="B3031" s="21">
        <f>IF('Journal'!B1517="","",'Journal'!B1517)</f>
        <v/>
      </c>
      <c r="C3031" s="5">
        <f>IF('Journal'!C1517="","",'Journal'!C1517)</f>
        <v/>
      </c>
      <c r="D3031" s="5">
        <f>IF('Journal'!D1517="","",IFERROR(LEFT('Journal'!D1517,FIND(" ",'Journal'!D1517)-1),'Journal'!D1517))</f>
        <v/>
      </c>
      <c r="E3031" s="5">
        <f>IF('Journal'!D1517="","",IFERROR(INDEX('Kontoplan'!$B$3:$B$302,MATCH('Journal'!D1517,'Kontoplan'!$H$3:$H$302,0)),""))</f>
        <v/>
      </c>
      <c r="F3031" s="20">
        <f>IF('Journal'!G1517="","",'Journal'!G1517)</f>
        <v/>
      </c>
      <c r="G3031" s="20">
        <f>IF('Journal'!F1517="","",'Journal'!F1517)</f>
        <v/>
      </c>
      <c r="H3031" s="5">
        <f>IF('Journal'!I1517="","",'Journal'!I1517)</f>
        <v/>
      </c>
    </row>
    <row r="3032">
      <c r="A3032" s="18">
        <f>IF('Journal'!A1517="","",'Journal'!A1517)</f>
        <v/>
      </c>
      <c r="B3032" s="21">
        <f>IF('Journal'!B1517="","",'Journal'!B1517)</f>
        <v/>
      </c>
      <c r="C3032" s="5">
        <f>IF('Journal'!C1517="","",'Journal'!C1517)</f>
        <v/>
      </c>
      <c r="D3032" s="5">
        <f>IF('Journal'!E1517="","",IFERROR(LEFT('Journal'!E1517,FIND(" ",'Journal'!E1517)-1),'Journal'!E1517))</f>
        <v/>
      </c>
      <c r="E3032" s="5">
        <f>IF('Journal'!E1517="","",IFERROR(INDEX('Kontoplan'!$B$3:$B$302,MATCH('Journal'!E1517,'Kontoplan'!$H$3:$H$302,0)),""))</f>
        <v/>
      </c>
      <c r="F3032" s="20">
        <f>IF('Journal'!F1517="","",'Journal'!F1517)</f>
        <v/>
      </c>
      <c r="G3032" s="20">
        <f>IF('Journal'!G1517="","",'Journal'!G1517)</f>
        <v/>
      </c>
      <c r="H3032" s="5">
        <f>IF('Journal'!I1517="","",'Journal'!I1517)</f>
        <v/>
      </c>
    </row>
    <row r="3033">
      <c r="A3033" s="18">
        <f>IF('Journal'!A1518="","",'Journal'!A1518)</f>
        <v/>
      </c>
      <c r="B3033" s="21">
        <f>IF('Journal'!B1518="","",'Journal'!B1518)</f>
        <v/>
      </c>
      <c r="C3033" s="5">
        <f>IF('Journal'!C1518="","",'Journal'!C1518)</f>
        <v/>
      </c>
      <c r="D3033" s="5">
        <f>IF('Journal'!D1518="","",IFERROR(LEFT('Journal'!D1518,FIND(" ",'Journal'!D1518)-1),'Journal'!D1518))</f>
        <v/>
      </c>
      <c r="E3033" s="5">
        <f>IF('Journal'!D1518="","",IFERROR(INDEX('Kontoplan'!$B$3:$B$302,MATCH('Journal'!D1518,'Kontoplan'!$H$3:$H$302,0)),""))</f>
        <v/>
      </c>
      <c r="F3033" s="20">
        <f>IF('Journal'!G1518="","",'Journal'!G1518)</f>
        <v/>
      </c>
      <c r="G3033" s="20">
        <f>IF('Journal'!F1518="","",'Journal'!F1518)</f>
        <v/>
      </c>
      <c r="H3033" s="5">
        <f>IF('Journal'!I1518="","",'Journal'!I1518)</f>
        <v/>
      </c>
    </row>
    <row r="3034">
      <c r="A3034" s="18">
        <f>IF('Journal'!A1518="","",'Journal'!A1518)</f>
        <v/>
      </c>
      <c r="B3034" s="21">
        <f>IF('Journal'!B1518="","",'Journal'!B1518)</f>
        <v/>
      </c>
      <c r="C3034" s="5">
        <f>IF('Journal'!C1518="","",'Journal'!C1518)</f>
        <v/>
      </c>
      <c r="D3034" s="5">
        <f>IF('Journal'!E1518="","",IFERROR(LEFT('Journal'!E1518,FIND(" ",'Journal'!E1518)-1),'Journal'!E1518))</f>
        <v/>
      </c>
      <c r="E3034" s="5">
        <f>IF('Journal'!E1518="","",IFERROR(INDEX('Kontoplan'!$B$3:$B$302,MATCH('Journal'!E1518,'Kontoplan'!$H$3:$H$302,0)),""))</f>
        <v/>
      </c>
      <c r="F3034" s="20">
        <f>IF('Journal'!F1518="","",'Journal'!F1518)</f>
        <v/>
      </c>
      <c r="G3034" s="20">
        <f>IF('Journal'!G1518="","",'Journal'!G1518)</f>
        <v/>
      </c>
      <c r="H3034" s="5">
        <f>IF('Journal'!I1518="","",'Journal'!I1518)</f>
        <v/>
      </c>
    </row>
    <row r="3035">
      <c r="A3035" s="18">
        <f>IF('Journal'!A1519="","",'Journal'!A1519)</f>
        <v/>
      </c>
      <c r="B3035" s="21">
        <f>IF('Journal'!B1519="","",'Journal'!B1519)</f>
        <v/>
      </c>
      <c r="C3035" s="5">
        <f>IF('Journal'!C1519="","",'Journal'!C1519)</f>
        <v/>
      </c>
      <c r="D3035" s="5">
        <f>IF('Journal'!D1519="","",IFERROR(LEFT('Journal'!D1519,FIND(" ",'Journal'!D1519)-1),'Journal'!D1519))</f>
        <v/>
      </c>
      <c r="E3035" s="5">
        <f>IF('Journal'!D1519="","",IFERROR(INDEX('Kontoplan'!$B$3:$B$302,MATCH('Journal'!D1519,'Kontoplan'!$H$3:$H$302,0)),""))</f>
        <v/>
      </c>
      <c r="F3035" s="20">
        <f>IF('Journal'!G1519="","",'Journal'!G1519)</f>
        <v/>
      </c>
      <c r="G3035" s="20">
        <f>IF('Journal'!F1519="","",'Journal'!F1519)</f>
        <v/>
      </c>
      <c r="H3035" s="5">
        <f>IF('Journal'!I1519="","",'Journal'!I1519)</f>
        <v/>
      </c>
    </row>
    <row r="3036">
      <c r="A3036" s="18">
        <f>IF('Journal'!A1519="","",'Journal'!A1519)</f>
        <v/>
      </c>
      <c r="B3036" s="21">
        <f>IF('Journal'!B1519="","",'Journal'!B1519)</f>
        <v/>
      </c>
      <c r="C3036" s="5">
        <f>IF('Journal'!C1519="","",'Journal'!C1519)</f>
        <v/>
      </c>
      <c r="D3036" s="5">
        <f>IF('Journal'!E1519="","",IFERROR(LEFT('Journal'!E1519,FIND(" ",'Journal'!E1519)-1),'Journal'!E1519))</f>
        <v/>
      </c>
      <c r="E3036" s="5">
        <f>IF('Journal'!E1519="","",IFERROR(INDEX('Kontoplan'!$B$3:$B$302,MATCH('Journal'!E1519,'Kontoplan'!$H$3:$H$302,0)),""))</f>
        <v/>
      </c>
      <c r="F3036" s="20">
        <f>IF('Journal'!F1519="","",'Journal'!F1519)</f>
        <v/>
      </c>
      <c r="G3036" s="20">
        <f>IF('Journal'!G1519="","",'Journal'!G1519)</f>
        <v/>
      </c>
      <c r="H3036" s="5">
        <f>IF('Journal'!I1519="","",'Journal'!I1519)</f>
        <v/>
      </c>
    </row>
    <row r="3037">
      <c r="A3037" s="18">
        <f>IF('Journal'!A1520="","",'Journal'!A1520)</f>
        <v/>
      </c>
      <c r="B3037" s="21">
        <f>IF('Journal'!B1520="","",'Journal'!B1520)</f>
        <v/>
      </c>
      <c r="C3037" s="5">
        <f>IF('Journal'!C1520="","",'Journal'!C1520)</f>
        <v/>
      </c>
      <c r="D3037" s="5">
        <f>IF('Journal'!D1520="","",IFERROR(LEFT('Journal'!D1520,FIND(" ",'Journal'!D1520)-1),'Journal'!D1520))</f>
        <v/>
      </c>
      <c r="E3037" s="5">
        <f>IF('Journal'!D1520="","",IFERROR(INDEX('Kontoplan'!$B$3:$B$302,MATCH('Journal'!D1520,'Kontoplan'!$H$3:$H$302,0)),""))</f>
        <v/>
      </c>
      <c r="F3037" s="20">
        <f>IF('Journal'!G1520="","",'Journal'!G1520)</f>
        <v/>
      </c>
      <c r="G3037" s="20">
        <f>IF('Journal'!F1520="","",'Journal'!F1520)</f>
        <v/>
      </c>
      <c r="H3037" s="5">
        <f>IF('Journal'!I1520="","",'Journal'!I1520)</f>
        <v/>
      </c>
    </row>
    <row r="3038">
      <c r="A3038" s="18">
        <f>IF('Journal'!A1520="","",'Journal'!A1520)</f>
        <v/>
      </c>
      <c r="B3038" s="21">
        <f>IF('Journal'!B1520="","",'Journal'!B1520)</f>
        <v/>
      </c>
      <c r="C3038" s="5">
        <f>IF('Journal'!C1520="","",'Journal'!C1520)</f>
        <v/>
      </c>
      <c r="D3038" s="5">
        <f>IF('Journal'!E1520="","",IFERROR(LEFT('Journal'!E1520,FIND(" ",'Journal'!E1520)-1),'Journal'!E1520))</f>
        <v/>
      </c>
      <c r="E3038" s="5">
        <f>IF('Journal'!E1520="","",IFERROR(INDEX('Kontoplan'!$B$3:$B$302,MATCH('Journal'!E1520,'Kontoplan'!$H$3:$H$302,0)),""))</f>
        <v/>
      </c>
      <c r="F3038" s="20">
        <f>IF('Journal'!F1520="","",'Journal'!F1520)</f>
        <v/>
      </c>
      <c r="G3038" s="20">
        <f>IF('Journal'!G1520="","",'Journal'!G1520)</f>
        <v/>
      </c>
      <c r="H3038" s="5">
        <f>IF('Journal'!I1520="","",'Journal'!I1520)</f>
        <v/>
      </c>
    </row>
    <row r="3039">
      <c r="A3039" s="18">
        <f>IF('Journal'!A1521="","",'Journal'!A1521)</f>
        <v/>
      </c>
      <c r="B3039" s="21">
        <f>IF('Journal'!B1521="","",'Journal'!B1521)</f>
        <v/>
      </c>
      <c r="C3039" s="5">
        <f>IF('Journal'!C1521="","",'Journal'!C1521)</f>
        <v/>
      </c>
      <c r="D3039" s="5">
        <f>IF('Journal'!D1521="","",IFERROR(LEFT('Journal'!D1521,FIND(" ",'Journal'!D1521)-1),'Journal'!D1521))</f>
        <v/>
      </c>
      <c r="E3039" s="5">
        <f>IF('Journal'!D1521="","",IFERROR(INDEX('Kontoplan'!$B$3:$B$302,MATCH('Journal'!D1521,'Kontoplan'!$H$3:$H$302,0)),""))</f>
        <v/>
      </c>
      <c r="F3039" s="20">
        <f>IF('Journal'!G1521="","",'Journal'!G1521)</f>
        <v/>
      </c>
      <c r="G3039" s="20">
        <f>IF('Journal'!F1521="","",'Journal'!F1521)</f>
        <v/>
      </c>
      <c r="H3039" s="5">
        <f>IF('Journal'!I1521="","",'Journal'!I1521)</f>
        <v/>
      </c>
    </row>
    <row r="3040">
      <c r="A3040" s="18">
        <f>IF('Journal'!A1521="","",'Journal'!A1521)</f>
        <v/>
      </c>
      <c r="B3040" s="21">
        <f>IF('Journal'!B1521="","",'Journal'!B1521)</f>
        <v/>
      </c>
      <c r="C3040" s="5">
        <f>IF('Journal'!C1521="","",'Journal'!C1521)</f>
        <v/>
      </c>
      <c r="D3040" s="5">
        <f>IF('Journal'!E1521="","",IFERROR(LEFT('Journal'!E1521,FIND(" ",'Journal'!E1521)-1),'Journal'!E1521))</f>
        <v/>
      </c>
      <c r="E3040" s="5">
        <f>IF('Journal'!E1521="","",IFERROR(INDEX('Kontoplan'!$B$3:$B$302,MATCH('Journal'!E1521,'Kontoplan'!$H$3:$H$302,0)),""))</f>
        <v/>
      </c>
      <c r="F3040" s="20">
        <f>IF('Journal'!F1521="","",'Journal'!F1521)</f>
        <v/>
      </c>
      <c r="G3040" s="20">
        <f>IF('Journal'!G1521="","",'Journal'!G1521)</f>
        <v/>
      </c>
      <c r="H3040" s="5">
        <f>IF('Journal'!I1521="","",'Journal'!I1521)</f>
        <v/>
      </c>
    </row>
    <row r="3041">
      <c r="A3041" s="18">
        <f>IF('Journal'!A1522="","",'Journal'!A1522)</f>
        <v/>
      </c>
      <c r="B3041" s="21">
        <f>IF('Journal'!B1522="","",'Journal'!B1522)</f>
        <v/>
      </c>
      <c r="C3041" s="5">
        <f>IF('Journal'!C1522="","",'Journal'!C1522)</f>
        <v/>
      </c>
      <c r="D3041" s="5">
        <f>IF('Journal'!D1522="","",IFERROR(LEFT('Journal'!D1522,FIND(" ",'Journal'!D1522)-1),'Journal'!D1522))</f>
        <v/>
      </c>
      <c r="E3041" s="5">
        <f>IF('Journal'!D1522="","",IFERROR(INDEX('Kontoplan'!$B$3:$B$302,MATCH('Journal'!D1522,'Kontoplan'!$H$3:$H$302,0)),""))</f>
        <v/>
      </c>
      <c r="F3041" s="20">
        <f>IF('Journal'!G1522="","",'Journal'!G1522)</f>
        <v/>
      </c>
      <c r="G3041" s="20">
        <f>IF('Journal'!F1522="","",'Journal'!F1522)</f>
        <v/>
      </c>
      <c r="H3041" s="5">
        <f>IF('Journal'!I1522="","",'Journal'!I1522)</f>
        <v/>
      </c>
    </row>
    <row r="3042">
      <c r="A3042" s="18">
        <f>IF('Journal'!A1522="","",'Journal'!A1522)</f>
        <v/>
      </c>
      <c r="B3042" s="21">
        <f>IF('Journal'!B1522="","",'Journal'!B1522)</f>
        <v/>
      </c>
      <c r="C3042" s="5">
        <f>IF('Journal'!C1522="","",'Journal'!C1522)</f>
        <v/>
      </c>
      <c r="D3042" s="5">
        <f>IF('Journal'!E1522="","",IFERROR(LEFT('Journal'!E1522,FIND(" ",'Journal'!E1522)-1),'Journal'!E1522))</f>
        <v/>
      </c>
      <c r="E3042" s="5">
        <f>IF('Journal'!E1522="","",IFERROR(INDEX('Kontoplan'!$B$3:$B$302,MATCH('Journal'!E1522,'Kontoplan'!$H$3:$H$302,0)),""))</f>
        <v/>
      </c>
      <c r="F3042" s="20">
        <f>IF('Journal'!F1522="","",'Journal'!F1522)</f>
        <v/>
      </c>
      <c r="G3042" s="20">
        <f>IF('Journal'!G1522="","",'Journal'!G1522)</f>
        <v/>
      </c>
      <c r="H3042" s="5">
        <f>IF('Journal'!I1522="","",'Journal'!I1522)</f>
        <v/>
      </c>
    </row>
    <row r="3043">
      <c r="A3043" s="18">
        <f>IF('Journal'!A1523="","",'Journal'!A1523)</f>
        <v/>
      </c>
      <c r="B3043" s="21">
        <f>IF('Journal'!B1523="","",'Journal'!B1523)</f>
        <v/>
      </c>
      <c r="C3043" s="5">
        <f>IF('Journal'!C1523="","",'Journal'!C1523)</f>
        <v/>
      </c>
      <c r="D3043" s="5">
        <f>IF('Journal'!D1523="","",IFERROR(LEFT('Journal'!D1523,FIND(" ",'Journal'!D1523)-1),'Journal'!D1523))</f>
        <v/>
      </c>
      <c r="E3043" s="5">
        <f>IF('Journal'!D1523="","",IFERROR(INDEX('Kontoplan'!$B$3:$B$302,MATCH('Journal'!D1523,'Kontoplan'!$H$3:$H$302,0)),""))</f>
        <v/>
      </c>
      <c r="F3043" s="20">
        <f>IF('Journal'!G1523="","",'Journal'!G1523)</f>
        <v/>
      </c>
      <c r="G3043" s="20">
        <f>IF('Journal'!F1523="","",'Journal'!F1523)</f>
        <v/>
      </c>
      <c r="H3043" s="5">
        <f>IF('Journal'!I1523="","",'Journal'!I1523)</f>
        <v/>
      </c>
    </row>
    <row r="3044">
      <c r="A3044" s="18">
        <f>IF('Journal'!A1523="","",'Journal'!A1523)</f>
        <v/>
      </c>
      <c r="B3044" s="21">
        <f>IF('Journal'!B1523="","",'Journal'!B1523)</f>
        <v/>
      </c>
      <c r="C3044" s="5">
        <f>IF('Journal'!C1523="","",'Journal'!C1523)</f>
        <v/>
      </c>
      <c r="D3044" s="5">
        <f>IF('Journal'!E1523="","",IFERROR(LEFT('Journal'!E1523,FIND(" ",'Journal'!E1523)-1),'Journal'!E1523))</f>
        <v/>
      </c>
      <c r="E3044" s="5">
        <f>IF('Journal'!E1523="","",IFERROR(INDEX('Kontoplan'!$B$3:$B$302,MATCH('Journal'!E1523,'Kontoplan'!$H$3:$H$302,0)),""))</f>
        <v/>
      </c>
      <c r="F3044" s="20">
        <f>IF('Journal'!F1523="","",'Journal'!F1523)</f>
        <v/>
      </c>
      <c r="G3044" s="20">
        <f>IF('Journal'!G1523="","",'Journal'!G1523)</f>
        <v/>
      </c>
      <c r="H3044" s="5">
        <f>IF('Journal'!I1523="","",'Journal'!I1523)</f>
        <v/>
      </c>
    </row>
    <row r="3045">
      <c r="A3045" s="18">
        <f>IF('Journal'!A1524="","",'Journal'!A1524)</f>
        <v/>
      </c>
      <c r="B3045" s="21">
        <f>IF('Journal'!B1524="","",'Journal'!B1524)</f>
        <v/>
      </c>
      <c r="C3045" s="5">
        <f>IF('Journal'!C1524="","",'Journal'!C1524)</f>
        <v/>
      </c>
      <c r="D3045" s="5">
        <f>IF('Journal'!D1524="","",IFERROR(LEFT('Journal'!D1524,FIND(" ",'Journal'!D1524)-1),'Journal'!D1524))</f>
        <v/>
      </c>
      <c r="E3045" s="5">
        <f>IF('Journal'!D1524="","",IFERROR(INDEX('Kontoplan'!$B$3:$B$302,MATCH('Journal'!D1524,'Kontoplan'!$H$3:$H$302,0)),""))</f>
        <v/>
      </c>
      <c r="F3045" s="20">
        <f>IF('Journal'!G1524="","",'Journal'!G1524)</f>
        <v/>
      </c>
      <c r="G3045" s="20">
        <f>IF('Journal'!F1524="","",'Journal'!F1524)</f>
        <v/>
      </c>
      <c r="H3045" s="5">
        <f>IF('Journal'!I1524="","",'Journal'!I1524)</f>
        <v/>
      </c>
    </row>
    <row r="3046">
      <c r="A3046" s="18">
        <f>IF('Journal'!A1524="","",'Journal'!A1524)</f>
        <v/>
      </c>
      <c r="B3046" s="21">
        <f>IF('Journal'!B1524="","",'Journal'!B1524)</f>
        <v/>
      </c>
      <c r="C3046" s="5">
        <f>IF('Journal'!C1524="","",'Journal'!C1524)</f>
        <v/>
      </c>
      <c r="D3046" s="5">
        <f>IF('Journal'!E1524="","",IFERROR(LEFT('Journal'!E1524,FIND(" ",'Journal'!E1524)-1),'Journal'!E1524))</f>
        <v/>
      </c>
      <c r="E3046" s="5">
        <f>IF('Journal'!E1524="","",IFERROR(INDEX('Kontoplan'!$B$3:$B$302,MATCH('Journal'!E1524,'Kontoplan'!$H$3:$H$302,0)),""))</f>
        <v/>
      </c>
      <c r="F3046" s="20">
        <f>IF('Journal'!F1524="","",'Journal'!F1524)</f>
        <v/>
      </c>
      <c r="G3046" s="20">
        <f>IF('Journal'!G1524="","",'Journal'!G1524)</f>
        <v/>
      </c>
      <c r="H3046" s="5">
        <f>IF('Journal'!I1524="","",'Journal'!I1524)</f>
        <v/>
      </c>
    </row>
    <row r="3047">
      <c r="A3047" s="18">
        <f>IF('Journal'!A1525="","",'Journal'!A1525)</f>
        <v/>
      </c>
      <c r="B3047" s="21">
        <f>IF('Journal'!B1525="","",'Journal'!B1525)</f>
        <v/>
      </c>
      <c r="C3047" s="5">
        <f>IF('Journal'!C1525="","",'Journal'!C1525)</f>
        <v/>
      </c>
      <c r="D3047" s="5">
        <f>IF('Journal'!D1525="","",IFERROR(LEFT('Journal'!D1525,FIND(" ",'Journal'!D1525)-1),'Journal'!D1525))</f>
        <v/>
      </c>
      <c r="E3047" s="5">
        <f>IF('Journal'!D1525="","",IFERROR(INDEX('Kontoplan'!$B$3:$B$302,MATCH('Journal'!D1525,'Kontoplan'!$H$3:$H$302,0)),""))</f>
        <v/>
      </c>
      <c r="F3047" s="20">
        <f>IF('Journal'!G1525="","",'Journal'!G1525)</f>
        <v/>
      </c>
      <c r="G3047" s="20">
        <f>IF('Journal'!F1525="","",'Journal'!F1525)</f>
        <v/>
      </c>
      <c r="H3047" s="5">
        <f>IF('Journal'!I1525="","",'Journal'!I1525)</f>
        <v/>
      </c>
    </row>
    <row r="3048">
      <c r="A3048" s="18">
        <f>IF('Journal'!A1525="","",'Journal'!A1525)</f>
        <v/>
      </c>
      <c r="B3048" s="21">
        <f>IF('Journal'!B1525="","",'Journal'!B1525)</f>
        <v/>
      </c>
      <c r="C3048" s="5">
        <f>IF('Journal'!C1525="","",'Journal'!C1525)</f>
        <v/>
      </c>
      <c r="D3048" s="5">
        <f>IF('Journal'!E1525="","",IFERROR(LEFT('Journal'!E1525,FIND(" ",'Journal'!E1525)-1),'Journal'!E1525))</f>
        <v/>
      </c>
      <c r="E3048" s="5">
        <f>IF('Journal'!E1525="","",IFERROR(INDEX('Kontoplan'!$B$3:$B$302,MATCH('Journal'!E1525,'Kontoplan'!$H$3:$H$302,0)),""))</f>
        <v/>
      </c>
      <c r="F3048" s="20">
        <f>IF('Journal'!F1525="","",'Journal'!F1525)</f>
        <v/>
      </c>
      <c r="G3048" s="20">
        <f>IF('Journal'!G1525="","",'Journal'!G1525)</f>
        <v/>
      </c>
      <c r="H3048" s="5">
        <f>IF('Journal'!I1525="","",'Journal'!I1525)</f>
        <v/>
      </c>
    </row>
    <row r="3049">
      <c r="A3049" s="18">
        <f>IF('Journal'!A1526="","",'Journal'!A1526)</f>
        <v/>
      </c>
      <c r="B3049" s="21">
        <f>IF('Journal'!B1526="","",'Journal'!B1526)</f>
        <v/>
      </c>
      <c r="C3049" s="5">
        <f>IF('Journal'!C1526="","",'Journal'!C1526)</f>
        <v/>
      </c>
      <c r="D3049" s="5">
        <f>IF('Journal'!D1526="","",IFERROR(LEFT('Journal'!D1526,FIND(" ",'Journal'!D1526)-1),'Journal'!D1526))</f>
        <v/>
      </c>
      <c r="E3049" s="5">
        <f>IF('Journal'!D1526="","",IFERROR(INDEX('Kontoplan'!$B$3:$B$302,MATCH('Journal'!D1526,'Kontoplan'!$H$3:$H$302,0)),""))</f>
        <v/>
      </c>
      <c r="F3049" s="20">
        <f>IF('Journal'!G1526="","",'Journal'!G1526)</f>
        <v/>
      </c>
      <c r="G3049" s="20">
        <f>IF('Journal'!F1526="","",'Journal'!F1526)</f>
        <v/>
      </c>
      <c r="H3049" s="5">
        <f>IF('Journal'!I1526="","",'Journal'!I1526)</f>
        <v/>
      </c>
    </row>
    <row r="3050">
      <c r="A3050" s="18">
        <f>IF('Journal'!A1526="","",'Journal'!A1526)</f>
        <v/>
      </c>
      <c r="B3050" s="21">
        <f>IF('Journal'!B1526="","",'Journal'!B1526)</f>
        <v/>
      </c>
      <c r="C3050" s="5">
        <f>IF('Journal'!C1526="","",'Journal'!C1526)</f>
        <v/>
      </c>
      <c r="D3050" s="5">
        <f>IF('Journal'!E1526="","",IFERROR(LEFT('Journal'!E1526,FIND(" ",'Journal'!E1526)-1),'Journal'!E1526))</f>
        <v/>
      </c>
      <c r="E3050" s="5">
        <f>IF('Journal'!E1526="","",IFERROR(INDEX('Kontoplan'!$B$3:$B$302,MATCH('Journal'!E1526,'Kontoplan'!$H$3:$H$302,0)),""))</f>
        <v/>
      </c>
      <c r="F3050" s="20">
        <f>IF('Journal'!F1526="","",'Journal'!F1526)</f>
        <v/>
      </c>
      <c r="G3050" s="20">
        <f>IF('Journal'!G1526="","",'Journal'!G1526)</f>
        <v/>
      </c>
      <c r="H3050" s="5">
        <f>IF('Journal'!I1526="","",'Journal'!I1526)</f>
        <v/>
      </c>
    </row>
    <row r="3051">
      <c r="A3051" s="18">
        <f>IF('Journal'!A1527="","",'Journal'!A1527)</f>
        <v/>
      </c>
      <c r="B3051" s="21">
        <f>IF('Journal'!B1527="","",'Journal'!B1527)</f>
        <v/>
      </c>
      <c r="C3051" s="5">
        <f>IF('Journal'!C1527="","",'Journal'!C1527)</f>
        <v/>
      </c>
      <c r="D3051" s="5">
        <f>IF('Journal'!D1527="","",IFERROR(LEFT('Journal'!D1527,FIND(" ",'Journal'!D1527)-1),'Journal'!D1527))</f>
        <v/>
      </c>
      <c r="E3051" s="5">
        <f>IF('Journal'!D1527="","",IFERROR(INDEX('Kontoplan'!$B$3:$B$302,MATCH('Journal'!D1527,'Kontoplan'!$H$3:$H$302,0)),""))</f>
        <v/>
      </c>
      <c r="F3051" s="20">
        <f>IF('Journal'!G1527="","",'Journal'!G1527)</f>
        <v/>
      </c>
      <c r="G3051" s="20">
        <f>IF('Journal'!F1527="","",'Journal'!F1527)</f>
        <v/>
      </c>
      <c r="H3051" s="5">
        <f>IF('Journal'!I1527="","",'Journal'!I1527)</f>
        <v/>
      </c>
    </row>
    <row r="3052">
      <c r="A3052" s="18">
        <f>IF('Journal'!A1527="","",'Journal'!A1527)</f>
        <v/>
      </c>
      <c r="B3052" s="21">
        <f>IF('Journal'!B1527="","",'Journal'!B1527)</f>
        <v/>
      </c>
      <c r="C3052" s="5">
        <f>IF('Journal'!C1527="","",'Journal'!C1527)</f>
        <v/>
      </c>
      <c r="D3052" s="5">
        <f>IF('Journal'!E1527="","",IFERROR(LEFT('Journal'!E1527,FIND(" ",'Journal'!E1527)-1),'Journal'!E1527))</f>
        <v/>
      </c>
      <c r="E3052" s="5">
        <f>IF('Journal'!E1527="","",IFERROR(INDEX('Kontoplan'!$B$3:$B$302,MATCH('Journal'!E1527,'Kontoplan'!$H$3:$H$302,0)),""))</f>
        <v/>
      </c>
      <c r="F3052" s="20">
        <f>IF('Journal'!F1527="","",'Journal'!F1527)</f>
        <v/>
      </c>
      <c r="G3052" s="20">
        <f>IF('Journal'!G1527="","",'Journal'!G1527)</f>
        <v/>
      </c>
      <c r="H3052" s="5">
        <f>IF('Journal'!I1527="","",'Journal'!I1527)</f>
        <v/>
      </c>
    </row>
    <row r="3053">
      <c r="A3053" s="18">
        <f>IF('Journal'!A1528="","",'Journal'!A1528)</f>
        <v/>
      </c>
      <c r="B3053" s="21">
        <f>IF('Journal'!B1528="","",'Journal'!B1528)</f>
        <v/>
      </c>
      <c r="C3053" s="5">
        <f>IF('Journal'!C1528="","",'Journal'!C1528)</f>
        <v/>
      </c>
      <c r="D3053" s="5">
        <f>IF('Journal'!D1528="","",IFERROR(LEFT('Journal'!D1528,FIND(" ",'Journal'!D1528)-1),'Journal'!D1528))</f>
        <v/>
      </c>
      <c r="E3053" s="5">
        <f>IF('Journal'!D1528="","",IFERROR(INDEX('Kontoplan'!$B$3:$B$302,MATCH('Journal'!D1528,'Kontoplan'!$H$3:$H$302,0)),""))</f>
        <v/>
      </c>
      <c r="F3053" s="20">
        <f>IF('Journal'!G1528="","",'Journal'!G1528)</f>
        <v/>
      </c>
      <c r="G3053" s="20">
        <f>IF('Journal'!F1528="","",'Journal'!F1528)</f>
        <v/>
      </c>
      <c r="H3053" s="5">
        <f>IF('Journal'!I1528="","",'Journal'!I1528)</f>
        <v/>
      </c>
    </row>
    <row r="3054">
      <c r="A3054" s="18">
        <f>IF('Journal'!A1528="","",'Journal'!A1528)</f>
        <v/>
      </c>
      <c r="B3054" s="21">
        <f>IF('Journal'!B1528="","",'Journal'!B1528)</f>
        <v/>
      </c>
      <c r="C3054" s="5">
        <f>IF('Journal'!C1528="","",'Journal'!C1528)</f>
        <v/>
      </c>
      <c r="D3054" s="5">
        <f>IF('Journal'!E1528="","",IFERROR(LEFT('Journal'!E1528,FIND(" ",'Journal'!E1528)-1),'Journal'!E1528))</f>
        <v/>
      </c>
      <c r="E3054" s="5">
        <f>IF('Journal'!E1528="","",IFERROR(INDEX('Kontoplan'!$B$3:$B$302,MATCH('Journal'!E1528,'Kontoplan'!$H$3:$H$302,0)),""))</f>
        <v/>
      </c>
      <c r="F3054" s="20">
        <f>IF('Journal'!F1528="","",'Journal'!F1528)</f>
        <v/>
      </c>
      <c r="G3054" s="20">
        <f>IF('Journal'!G1528="","",'Journal'!G1528)</f>
        <v/>
      </c>
      <c r="H3054" s="5">
        <f>IF('Journal'!I1528="","",'Journal'!I1528)</f>
        <v/>
      </c>
    </row>
    <row r="3055">
      <c r="A3055" s="18">
        <f>IF('Journal'!A1529="","",'Journal'!A1529)</f>
        <v/>
      </c>
      <c r="B3055" s="21">
        <f>IF('Journal'!B1529="","",'Journal'!B1529)</f>
        <v/>
      </c>
      <c r="C3055" s="5">
        <f>IF('Journal'!C1529="","",'Journal'!C1529)</f>
        <v/>
      </c>
      <c r="D3055" s="5">
        <f>IF('Journal'!D1529="","",IFERROR(LEFT('Journal'!D1529,FIND(" ",'Journal'!D1529)-1),'Journal'!D1529))</f>
        <v/>
      </c>
      <c r="E3055" s="5">
        <f>IF('Journal'!D1529="","",IFERROR(INDEX('Kontoplan'!$B$3:$B$302,MATCH('Journal'!D1529,'Kontoplan'!$H$3:$H$302,0)),""))</f>
        <v/>
      </c>
      <c r="F3055" s="20">
        <f>IF('Journal'!G1529="","",'Journal'!G1529)</f>
        <v/>
      </c>
      <c r="G3055" s="20">
        <f>IF('Journal'!F1529="","",'Journal'!F1529)</f>
        <v/>
      </c>
      <c r="H3055" s="5">
        <f>IF('Journal'!I1529="","",'Journal'!I1529)</f>
        <v/>
      </c>
    </row>
    <row r="3056">
      <c r="A3056" s="18">
        <f>IF('Journal'!A1529="","",'Journal'!A1529)</f>
        <v/>
      </c>
      <c r="B3056" s="21">
        <f>IF('Journal'!B1529="","",'Journal'!B1529)</f>
        <v/>
      </c>
      <c r="C3056" s="5">
        <f>IF('Journal'!C1529="","",'Journal'!C1529)</f>
        <v/>
      </c>
      <c r="D3056" s="5">
        <f>IF('Journal'!E1529="","",IFERROR(LEFT('Journal'!E1529,FIND(" ",'Journal'!E1529)-1),'Journal'!E1529))</f>
        <v/>
      </c>
      <c r="E3056" s="5">
        <f>IF('Journal'!E1529="","",IFERROR(INDEX('Kontoplan'!$B$3:$B$302,MATCH('Journal'!E1529,'Kontoplan'!$H$3:$H$302,0)),""))</f>
        <v/>
      </c>
      <c r="F3056" s="20">
        <f>IF('Journal'!F1529="","",'Journal'!F1529)</f>
        <v/>
      </c>
      <c r="G3056" s="20">
        <f>IF('Journal'!G1529="","",'Journal'!G1529)</f>
        <v/>
      </c>
      <c r="H3056" s="5">
        <f>IF('Journal'!I1529="","",'Journal'!I1529)</f>
        <v/>
      </c>
    </row>
    <row r="3057">
      <c r="A3057" s="18">
        <f>IF('Journal'!A1530="","",'Journal'!A1530)</f>
        <v/>
      </c>
      <c r="B3057" s="21">
        <f>IF('Journal'!B1530="","",'Journal'!B1530)</f>
        <v/>
      </c>
      <c r="C3057" s="5">
        <f>IF('Journal'!C1530="","",'Journal'!C1530)</f>
        <v/>
      </c>
      <c r="D3057" s="5">
        <f>IF('Journal'!D1530="","",IFERROR(LEFT('Journal'!D1530,FIND(" ",'Journal'!D1530)-1),'Journal'!D1530))</f>
        <v/>
      </c>
      <c r="E3057" s="5">
        <f>IF('Journal'!D1530="","",IFERROR(INDEX('Kontoplan'!$B$3:$B$302,MATCH('Journal'!D1530,'Kontoplan'!$H$3:$H$302,0)),""))</f>
        <v/>
      </c>
      <c r="F3057" s="20">
        <f>IF('Journal'!G1530="","",'Journal'!G1530)</f>
        <v/>
      </c>
      <c r="G3057" s="20">
        <f>IF('Journal'!F1530="","",'Journal'!F1530)</f>
        <v/>
      </c>
      <c r="H3057" s="5">
        <f>IF('Journal'!I1530="","",'Journal'!I1530)</f>
        <v/>
      </c>
    </row>
    <row r="3058">
      <c r="A3058" s="18">
        <f>IF('Journal'!A1530="","",'Journal'!A1530)</f>
        <v/>
      </c>
      <c r="B3058" s="21">
        <f>IF('Journal'!B1530="","",'Journal'!B1530)</f>
        <v/>
      </c>
      <c r="C3058" s="5">
        <f>IF('Journal'!C1530="","",'Journal'!C1530)</f>
        <v/>
      </c>
      <c r="D3058" s="5">
        <f>IF('Journal'!E1530="","",IFERROR(LEFT('Journal'!E1530,FIND(" ",'Journal'!E1530)-1),'Journal'!E1530))</f>
        <v/>
      </c>
      <c r="E3058" s="5">
        <f>IF('Journal'!E1530="","",IFERROR(INDEX('Kontoplan'!$B$3:$B$302,MATCH('Journal'!E1530,'Kontoplan'!$H$3:$H$302,0)),""))</f>
        <v/>
      </c>
      <c r="F3058" s="20">
        <f>IF('Journal'!F1530="","",'Journal'!F1530)</f>
        <v/>
      </c>
      <c r="G3058" s="20">
        <f>IF('Journal'!G1530="","",'Journal'!G1530)</f>
        <v/>
      </c>
      <c r="H3058" s="5">
        <f>IF('Journal'!I1530="","",'Journal'!I1530)</f>
        <v/>
      </c>
    </row>
    <row r="3059">
      <c r="A3059" s="18">
        <f>IF('Journal'!A1531="","",'Journal'!A1531)</f>
        <v/>
      </c>
      <c r="B3059" s="21">
        <f>IF('Journal'!B1531="","",'Journal'!B1531)</f>
        <v/>
      </c>
      <c r="C3059" s="5">
        <f>IF('Journal'!C1531="","",'Journal'!C1531)</f>
        <v/>
      </c>
      <c r="D3059" s="5">
        <f>IF('Journal'!D1531="","",IFERROR(LEFT('Journal'!D1531,FIND(" ",'Journal'!D1531)-1),'Journal'!D1531))</f>
        <v/>
      </c>
      <c r="E3059" s="5">
        <f>IF('Journal'!D1531="","",IFERROR(INDEX('Kontoplan'!$B$3:$B$302,MATCH('Journal'!D1531,'Kontoplan'!$H$3:$H$302,0)),""))</f>
        <v/>
      </c>
      <c r="F3059" s="20">
        <f>IF('Journal'!G1531="","",'Journal'!G1531)</f>
        <v/>
      </c>
      <c r="G3059" s="20">
        <f>IF('Journal'!F1531="","",'Journal'!F1531)</f>
        <v/>
      </c>
      <c r="H3059" s="5">
        <f>IF('Journal'!I1531="","",'Journal'!I1531)</f>
        <v/>
      </c>
    </row>
    <row r="3060">
      <c r="A3060" s="18">
        <f>IF('Journal'!A1531="","",'Journal'!A1531)</f>
        <v/>
      </c>
      <c r="B3060" s="21">
        <f>IF('Journal'!B1531="","",'Journal'!B1531)</f>
        <v/>
      </c>
      <c r="C3060" s="5">
        <f>IF('Journal'!C1531="","",'Journal'!C1531)</f>
        <v/>
      </c>
      <c r="D3060" s="5">
        <f>IF('Journal'!E1531="","",IFERROR(LEFT('Journal'!E1531,FIND(" ",'Journal'!E1531)-1),'Journal'!E1531))</f>
        <v/>
      </c>
      <c r="E3060" s="5">
        <f>IF('Journal'!E1531="","",IFERROR(INDEX('Kontoplan'!$B$3:$B$302,MATCH('Journal'!E1531,'Kontoplan'!$H$3:$H$302,0)),""))</f>
        <v/>
      </c>
      <c r="F3060" s="20">
        <f>IF('Journal'!F1531="","",'Journal'!F1531)</f>
        <v/>
      </c>
      <c r="G3060" s="20">
        <f>IF('Journal'!G1531="","",'Journal'!G1531)</f>
        <v/>
      </c>
      <c r="H3060" s="5">
        <f>IF('Journal'!I1531="","",'Journal'!I1531)</f>
        <v/>
      </c>
    </row>
    <row r="3061">
      <c r="A3061" s="18">
        <f>IF('Journal'!A1532="","",'Journal'!A1532)</f>
        <v/>
      </c>
      <c r="B3061" s="21">
        <f>IF('Journal'!B1532="","",'Journal'!B1532)</f>
        <v/>
      </c>
      <c r="C3061" s="5">
        <f>IF('Journal'!C1532="","",'Journal'!C1532)</f>
        <v/>
      </c>
      <c r="D3061" s="5">
        <f>IF('Journal'!D1532="","",IFERROR(LEFT('Journal'!D1532,FIND(" ",'Journal'!D1532)-1),'Journal'!D1532))</f>
        <v/>
      </c>
      <c r="E3061" s="5">
        <f>IF('Journal'!D1532="","",IFERROR(INDEX('Kontoplan'!$B$3:$B$302,MATCH('Journal'!D1532,'Kontoplan'!$H$3:$H$302,0)),""))</f>
        <v/>
      </c>
      <c r="F3061" s="20">
        <f>IF('Journal'!G1532="","",'Journal'!G1532)</f>
        <v/>
      </c>
      <c r="G3061" s="20">
        <f>IF('Journal'!F1532="","",'Journal'!F1532)</f>
        <v/>
      </c>
      <c r="H3061" s="5">
        <f>IF('Journal'!I1532="","",'Journal'!I1532)</f>
        <v/>
      </c>
    </row>
    <row r="3062">
      <c r="A3062" s="18">
        <f>IF('Journal'!A1532="","",'Journal'!A1532)</f>
        <v/>
      </c>
      <c r="B3062" s="21">
        <f>IF('Journal'!B1532="","",'Journal'!B1532)</f>
        <v/>
      </c>
      <c r="C3062" s="5">
        <f>IF('Journal'!C1532="","",'Journal'!C1532)</f>
        <v/>
      </c>
      <c r="D3062" s="5">
        <f>IF('Journal'!E1532="","",IFERROR(LEFT('Journal'!E1532,FIND(" ",'Journal'!E1532)-1),'Journal'!E1532))</f>
        <v/>
      </c>
      <c r="E3062" s="5">
        <f>IF('Journal'!E1532="","",IFERROR(INDEX('Kontoplan'!$B$3:$B$302,MATCH('Journal'!E1532,'Kontoplan'!$H$3:$H$302,0)),""))</f>
        <v/>
      </c>
      <c r="F3062" s="20">
        <f>IF('Journal'!F1532="","",'Journal'!F1532)</f>
        <v/>
      </c>
      <c r="G3062" s="20">
        <f>IF('Journal'!G1532="","",'Journal'!G1532)</f>
        <v/>
      </c>
      <c r="H3062" s="5">
        <f>IF('Journal'!I1532="","",'Journal'!I1532)</f>
        <v/>
      </c>
    </row>
    <row r="3063">
      <c r="A3063" s="18">
        <f>IF('Journal'!A1533="","",'Journal'!A1533)</f>
        <v/>
      </c>
      <c r="B3063" s="21">
        <f>IF('Journal'!B1533="","",'Journal'!B1533)</f>
        <v/>
      </c>
      <c r="C3063" s="5">
        <f>IF('Journal'!C1533="","",'Journal'!C1533)</f>
        <v/>
      </c>
      <c r="D3063" s="5">
        <f>IF('Journal'!D1533="","",IFERROR(LEFT('Journal'!D1533,FIND(" ",'Journal'!D1533)-1),'Journal'!D1533))</f>
        <v/>
      </c>
      <c r="E3063" s="5">
        <f>IF('Journal'!D1533="","",IFERROR(INDEX('Kontoplan'!$B$3:$B$302,MATCH('Journal'!D1533,'Kontoplan'!$H$3:$H$302,0)),""))</f>
        <v/>
      </c>
      <c r="F3063" s="20">
        <f>IF('Journal'!G1533="","",'Journal'!G1533)</f>
        <v/>
      </c>
      <c r="G3063" s="20">
        <f>IF('Journal'!F1533="","",'Journal'!F1533)</f>
        <v/>
      </c>
      <c r="H3063" s="5">
        <f>IF('Journal'!I1533="","",'Journal'!I1533)</f>
        <v/>
      </c>
    </row>
    <row r="3064">
      <c r="A3064" s="18">
        <f>IF('Journal'!A1533="","",'Journal'!A1533)</f>
        <v/>
      </c>
      <c r="B3064" s="21">
        <f>IF('Journal'!B1533="","",'Journal'!B1533)</f>
        <v/>
      </c>
      <c r="C3064" s="5">
        <f>IF('Journal'!C1533="","",'Journal'!C1533)</f>
        <v/>
      </c>
      <c r="D3064" s="5">
        <f>IF('Journal'!E1533="","",IFERROR(LEFT('Journal'!E1533,FIND(" ",'Journal'!E1533)-1),'Journal'!E1533))</f>
        <v/>
      </c>
      <c r="E3064" s="5">
        <f>IF('Journal'!E1533="","",IFERROR(INDEX('Kontoplan'!$B$3:$B$302,MATCH('Journal'!E1533,'Kontoplan'!$H$3:$H$302,0)),""))</f>
        <v/>
      </c>
      <c r="F3064" s="20">
        <f>IF('Journal'!F1533="","",'Journal'!F1533)</f>
        <v/>
      </c>
      <c r="G3064" s="20">
        <f>IF('Journal'!G1533="","",'Journal'!G1533)</f>
        <v/>
      </c>
      <c r="H3064" s="5">
        <f>IF('Journal'!I1533="","",'Journal'!I1533)</f>
        <v/>
      </c>
    </row>
    <row r="3065">
      <c r="A3065" s="18">
        <f>IF('Journal'!A1534="","",'Journal'!A1534)</f>
        <v/>
      </c>
      <c r="B3065" s="21">
        <f>IF('Journal'!B1534="","",'Journal'!B1534)</f>
        <v/>
      </c>
      <c r="C3065" s="5">
        <f>IF('Journal'!C1534="","",'Journal'!C1534)</f>
        <v/>
      </c>
      <c r="D3065" s="5">
        <f>IF('Journal'!D1534="","",IFERROR(LEFT('Journal'!D1534,FIND(" ",'Journal'!D1534)-1),'Journal'!D1534))</f>
        <v/>
      </c>
      <c r="E3065" s="5">
        <f>IF('Journal'!D1534="","",IFERROR(INDEX('Kontoplan'!$B$3:$B$302,MATCH('Journal'!D1534,'Kontoplan'!$H$3:$H$302,0)),""))</f>
        <v/>
      </c>
      <c r="F3065" s="20">
        <f>IF('Journal'!G1534="","",'Journal'!G1534)</f>
        <v/>
      </c>
      <c r="G3065" s="20">
        <f>IF('Journal'!F1534="","",'Journal'!F1534)</f>
        <v/>
      </c>
      <c r="H3065" s="5">
        <f>IF('Journal'!I1534="","",'Journal'!I1534)</f>
        <v/>
      </c>
    </row>
    <row r="3066">
      <c r="A3066" s="18">
        <f>IF('Journal'!A1534="","",'Journal'!A1534)</f>
        <v/>
      </c>
      <c r="B3066" s="21">
        <f>IF('Journal'!B1534="","",'Journal'!B1534)</f>
        <v/>
      </c>
      <c r="C3066" s="5">
        <f>IF('Journal'!C1534="","",'Journal'!C1534)</f>
        <v/>
      </c>
      <c r="D3066" s="5">
        <f>IF('Journal'!E1534="","",IFERROR(LEFT('Journal'!E1534,FIND(" ",'Journal'!E1534)-1),'Journal'!E1534))</f>
        <v/>
      </c>
      <c r="E3066" s="5">
        <f>IF('Journal'!E1534="","",IFERROR(INDEX('Kontoplan'!$B$3:$B$302,MATCH('Journal'!E1534,'Kontoplan'!$H$3:$H$302,0)),""))</f>
        <v/>
      </c>
      <c r="F3066" s="20">
        <f>IF('Journal'!F1534="","",'Journal'!F1534)</f>
        <v/>
      </c>
      <c r="G3066" s="20">
        <f>IF('Journal'!G1534="","",'Journal'!G1534)</f>
        <v/>
      </c>
      <c r="H3066" s="5">
        <f>IF('Journal'!I1534="","",'Journal'!I1534)</f>
        <v/>
      </c>
    </row>
    <row r="3067">
      <c r="A3067" s="18">
        <f>IF('Journal'!A1535="","",'Journal'!A1535)</f>
        <v/>
      </c>
      <c r="B3067" s="21">
        <f>IF('Journal'!B1535="","",'Journal'!B1535)</f>
        <v/>
      </c>
      <c r="C3067" s="5">
        <f>IF('Journal'!C1535="","",'Journal'!C1535)</f>
        <v/>
      </c>
      <c r="D3067" s="5">
        <f>IF('Journal'!D1535="","",IFERROR(LEFT('Journal'!D1535,FIND(" ",'Journal'!D1535)-1),'Journal'!D1535))</f>
        <v/>
      </c>
      <c r="E3067" s="5">
        <f>IF('Journal'!D1535="","",IFERROR(INDEX('Kontoplan'!$B$3:$B$302,MATCH('Journal'!D1535,'Kontoplan'!$H$3:$H$302,0)),""))</f>
        <v/>
      </c>
      <c r="F3067" s="20">
        <f>IF('Journal'!G1535="","",'Journal'!G1535)</f>
        <v/>
      </c>
      <c r="G3067" s="20">
        <f>IF('Journal'!F1535="","",'Journal'!F1535)</f>
        <v/>
      </c>
      <c r="H3067" s="5">
        <f>IF('Journal'!I1535="","",'Journal'!I1535)</f>
        <v/>
      </c>
    </row>
    <row r="3068">
      <c r="A3068" s="18">
        <f>IF('Journal'!A1535="","",'Journal'!A1535)</f>
        <v/>
      </c>
      <c r="B3068" s="21">
        <f>IF('Journal'!B1535="","",'Journal'!B1535)</f>
        <v/>
      </c>
      <c r="C3068" s="5">
        <f>IF('Journal'!C1535="","",'Journal'!C1535)</f>
        <v/>
      </c>
      <c r="D3068" s="5">
        <f>IF('Journal'!E1535="","",IFERROR(LEFT('Journal'!E1535,FIND(" ",'Journal'!E1535)-1),'Journal'!E1535))</f>
        <v/>
      </c>
      <c r="E3068" s="5">
        <f>IF('Journal'!E1535="","",IFERROR(INDEX('Kontoplan'!$B$3:$B$302,MATCH('Journal'!E1535,'Kontoplan'!$H$3:$H$302,0)),""))</f>
        <v/>
      </c>
      <c r="F3068" s="20">
        <f>IF('Journal'!F1535="","",'Journal'!F1535)</f>
        <v/>
      </c>
      <c r="G3068" s="20">
        <f>IF('Journal'!G1535="","",'Journal'!G1535)</f>
        <v/>
      </c>
      <c r="H3068" s="5">
        <f>IF('Journal'!I1535="","",'Journal'!I1535)</f>
        <v/>
      </c>
    </row>
    <row r="3069">
      <c r="A3069" s="18">
        <f>IF('Journal'!A1536="","",'Journal'!A1536)</f>
        <v/>
      </c>
      <c r="B3069" s="21">
        <f>IF('Journal'!B1536="","",'Journal'!B1536)</f>
        <v/>
      </c>
      <c r="C3069" s="5">
        <f>IF('Journal'!C1536="","",'Journal'!C1536)</f>
        <v/>
      </c>
      <c r="D3069" s="5">
        <f>IF('Journal'!D1536="","",IFERROR(LEFT('Journal'!D1536,FIND(" ",'Journal'!D1536)-1),'Journal'!D1536))</f>
        <v/>
      </c>
      <c r="E3069" s="5">
        <f>IF('Journal'!D1536="","",IFERROR(INDEX('Kontoplan'!$B$3:$B$302,MATCH('Journal'!D1536,'Kontoplan'!$H$3:$H$302,0)),""))</f>
        <v/>
      </c>
      <c r="F3069" s="20">
        <f>IF('Journal'!G1536="","",'Journal'!G1536)</f>
        <v/>
      </c>
      <c r="G3069" s="20">
        <f>IF('Journal'!F1536="","",'Journal'!F1536)</f>
        <v/>
      </c>
      <c r="H3069" s="5">
        <f>IF('Journal'!I1536="","",'Journal'!I1536)</f>
        <v/>
      </c>
    </row>
    <row r="3070">
      <c r="A3070" s="18">
        <f>IF('Journal'!A1536="","",'Journal'!A1536)</f>
        <v/>
      </c>
      <c r="B3070" s="21">
        <f>IF('Journal'!B1536="","",'Journal'!B1536)</f>
        <v/>
      </c>
      <c r="C3070" s="5">
        <f>IF('Journal'!C1536="","",'Journal'!C1536)</f>
        <v/>
      </c>
      <c r="D3070" s="5">
        <f>IF('Journal'!E1536="","",IFERROR(LEFT('Journal'!E1536,FIND(" ",'Journal'!E1536)-1),'Journal'!E1536))</f>
        <v/>
      </c>
      <c r="E3070" s="5">
        <f>IF('Journal'!E1536="","",IFERROR(INDEX('Kontoplan'!$B$3:$B$302,MATCH('Journal'!E1536,'Kontoplan'!$H$3:$H$302,0)),""))</f>
        <v/>
      </c>
      <c r="F3070" s="20">
        <f>IF('Journal'!F1536="","",'Journal'!F1536)</f>
        <v/>
      </c>
      <c r="G3070" s="20">
        <f>IF('Journal'!G1536="","",'Journal'!G1536)</f>
        <v/>
      </c>
      <c r="H3070" s="5">
        <f>IF('Journal'!I1536="","",'Journal'!I1536)</f>
        <v/>
      </c>
    </row>
    <row r="3071">
      <c r="A3071" s="18">
        <f>IF('Journal'!A1537="","",'Journal'!A1537)</f>
        <v/>
      </c>
      <c r="B3071" s="21">
        <f>IF('Journal'!B1537="","",'Journal'!B1537)</f>
        <v/>
      </c>
      <c r="C3071" s="5">
        <f>IF('Journal'!C1537="","",'Journal'!C1537)</f>
        <v/>
      </c>
      <c r="D3071" s="5">
        <f>IF('Journal'!D1537="","",IFERROR(LEFT('Journal'!D1537,FIND(" ",'Journal'!D1537)-1),'Journal'!D1537))</f>
        <v/>
      </c>
      <c r="E3071" s="5">
        <f>IF('Journal'!D1537="","",IFERROR(INDEX('Kontoplan'!$B$3:$B$302,MATCH('Journal'!D1537,'Kontoplan'!$H$3:$H$302,0)),""))</f>
        <v/>
      </c>
      <c r="F3071" s="20">
        <f>IF('Journal'!G1537="","",'Journal'!G1537)</f>
        <v/>
      </c>
      <c r="G3071" s="20">
        <f>IF('Journal'!F1537="","",'Journal'!F1537)</f>
        <v/>
      </c>
      <c r="H3071" s="5">
        <f>IF('Journal'!I1537="","",'Journal'!I1537)</f>
        <v/>
      </c>
    </row>
    <row r="3072">
      <c r="A3072" s="18">
        <f>IF('Journal'!A1537="","",'Journal'!A1537)</f>
        <v/>
      </c>
      <c r="B3072" s="21">
        <f>IF('Journal'!B1537="","",'Journal'!B1537)</f>
        <v/>
      </c>
      <c r="C3072" s="5">
        <f>IF('Journal'!C1537="","",'Journal'!C1537)</f>
        <v/>
      </c>
      <c r="D3072" s="5">
        <f>IF('Journal'!E1537="","",IFERROR(LEFT('Journal'!E1537,FIND(" ",'Journal'!E1537)-1),'Journal'!E1537))</f>
        <v/>
      </c>
      <c r="E3072" s="5">
        <f>IF('Journal'!E1537="","",IFERROR(INDEX('Kontoplan'!$B$3:$B$302,MATCH('Journal'!E1537,'Kontoplan'!$H$3:$H$302,0)),""))</f>
        <v/>
      </c>
      <c r="F3072" s="20">
        <f>IF('Journal'!F1537="","",'Journal'!F1537)</f>
        <v/>
      </c>
      <c r="G3072" s="20">
        <f>IF('Journal'!G1537="","",'Journal'!G1537)</f>
        <v/>
      </c>
      <c r="H3072" s="5">
        <f>IF('Journal'!I1537="","",'Journal'!I1537)</f>
        <v/>
      </c>
    </row>
    <row r="3073">
      <c r="A3073" s="18">
        <f>IF('Journal'!A1538="","",'Journal'!A1538)</f>
        <v/>
      </c>
      <c r="B3073" s="21">
        <f>IF('Journal'!B1538="","",'Journal'!B1538)</f>
        <v/>
      </c>
      <c r="C3073" s="5">
        <f>IF('Journal'!C1538="","",'Journal'!C1538)</f>
        <v/>
      </c>
      <c r="D3073" s="5">
        <f>IF('Journal'!D1538="","",IFERROR(LEFT('Journal'!D1538,FIND(" ",'Journal'!D1538)-1),'Journal'!D1538))</f>
        <v/>
      </c>
      <c r="E3073" s="5">
        <f>IF('Journal'!D1538="","",IFERROR(INDEX('Kontoplan'!$B$3:$B$302,MATCH('Journal'!D1538,'Kontoplan'!$H$3:$H$302,0)),""))</f>
        <v/>
      </c>
      <c r="F3073" s="20">
        <f>IF('Journal'!G1538="","",'Journal'!G1538)</f>
        <v/>
      </c>
      <c r="G3073" s="20">
        <f>IF('Journal'!F1538="","",'Journal'!F1538)</f>
        <v/>
      </c>
      <c r="H3073" s="5">
        <f>IF('Journal'!I1538="","",'Journal'!I1538)</f>
        <v/>
      </c>
    </row>
    <row r="3074">
      <c r="A3074" s="18">
        <f>IF('Journal'!A1538="","",'Journal'!A1538)</f>
        <v/>
      </c>
      <c r="B3074" s="21">
        <f>IF('Journal'!B1538="","",'Journal'!B1538)</f>
        <v/>
      </c>
      <c r="C3074" s="5">
        <f>IF('Journal'!C1538="","",'Journal'!C1538)</f>
        <v/>
      </c>
      <c r="D3074" s="5">
        <f>IF('Journal'!E1538="","",IFERROR(LEFT('Journal'!E1538,FIND(" ",'Journal'!E1538)-1),'Journal'!E1538))</f>
        <v/>
      </c>
      <c r="E3074" s="5">
        <f>IF('Journal'!E1538="","",IFERROR(INDEX('Kontoplan'!$B$3:$B$302,MATCH('Journal'!E1538,'Kontoplan'!$H$3:$H$302,0)),""))</f>
        <v/>
      </c>
      <c r="F3074" s="20">
        <f>IF('Journal'!F1538="","",'Journal'!F1538)</f>
        <v/>
      </c>
      <c r="G3074" s="20">
        <f>IF('Journal'!G1538="","",'Journal'!G1538)</f>
        <v/>
      </c>
      <c r="H3074" s="5">
        <f>IF('Journal'!I1538="","",'Journal'!I1538)</f>
        <v/>
      </c>
    </row>
    <row r="3075">
      <c r="A3075" s="18">
        <f>IF('Journal'!A1539="","",'Journal'!A1539)</f>
        <v/>
      </c>
      <c r="B3075" s="21">
        <f>IF('Journal'!B1539="","",'Journal'!B1539)</f>
        <v/>
      </c>
      <c r="C3075" s="5">
        <f>IF('Journal'!C1539="","",'Journal'!C1539)</f>
        <v/>
      </c>
      <c r="D3075" s="5">
        <f>IF('Journal'!D1539="","",IFERROR(LEFT('Journal'!D1539,FIND(" ",'Journal'!D1539)-1),'Journal'!D1539))</f>
        <v/>
      </c>
      <c r="E3075" s="5">
        <f>IF('Journal'!D1539="","",IFERROR(INDEX('Kontoplan'!$B$3:$B$302,MATCH('Journal'!D1539,'Kontoplan'!$H$3:$H$302,0)),""))</f>
        <v/>
      </c>
      <c r="F3075" s="20">
        <f>IF('Journal'!G1539="","",'Journal'!G1539)</f>
        <v/>
      </c>
      <c r="G3075" s="20">
        <f>IF('Journal'!F1539="","",'Journal'!F1539)</f>
        <v/>
      </c>
      <c r="H3075" s="5">
        <f>IF('Journal'!I1539="","",'Journal'!I1539)</f>
        <v/>
      </c>
    </row>
    <row r="3076">
      <c r="A3076" s="18">
        <f>IF('Journal'!A1539="","",'Journal'!A1539)</f>
        <v/>
      </c>
      <c r="B3076" s="21">
        <f>IF('Journal'!B1539="","",'Journal'!B1539)</f>
        <v/>
      </c>
      <c r="C3076" s="5">
        <f>IF('Journal'!C1539="","",'Journal'!C1539)</f>
        <v/>
      </c>
      <c r="D3076" s="5">
        <f>IF('Journal'!E1539="","",IFERROR(LEFT('Journal'!E1539,FIND(" ",'Journal'!E1539)-1),'Journal'!E1539))</f>
        <v/>
      </c>
      <c r="E3076" s="5">
        <f>IF('Journal'!E1539="","",IFERROR(INDEX('Kontoplan'!$B$3:$B$302,MATCH('Journal'!E1539,'Kontoplan'!$H$3:$H$302,0)),""))</f>
        <v/>
      </c>
      <c r="F3076" s="20">
        <f>IF('Journal'!F1539="","",'Journal'!F1539)</f>
        <v/>
      </c>
      <c r="G3076" s="20">
        <f>IF('Journal'!G1539="","",'Journal'!G1539)</f>
        <v/>
      </c>
      <c r="H3076" s="5">
        <f>IF('Journal'!I1539="","",'Journal'!I1539)</f>
        <v/>
      </c>
    </row>
    <row r="3077">
      <c r="A3077" s="18">
        <f>IF('Journal'!A1540="","",'Journal'!A1540)</f>
        <v/>
      </c>
      <c r="B3077" s="21">
        <f>IF('Journal'!B1540="","",'Journal'!B1540)</f>
        <v/>
      </c>
      <c r="C3077" s="5">
        <f>IF('Journal'!C1540="","",'Journal'!C1540)</f>
        <v/>
      </c>
      <c r="D3077" s="5">
        <f>IF('Journal'!D1540="","",IFERROR(LEFT('Journal'!D1540,FIND(" ",'Journal'!D1540)-1),'Journal'!D1540))</f>
        <v/>
      </c>
      <c r="E3077" s="5">
        <f>IF('Journal'!D1540="","",IFERROR(INDEX('Kontoplan'!$B$3:$B$302,MATCH('Journal'!D1540,'Kontoplan'!$H$3:$H$302,0)),""))</f>
        <v/>
      </c>
      <c r="F3077" s="20">
        <f>IF('Journal'!G1540="","",'Journal'!G1540)</f>
        <v/>
      </c>
      <c r="G3077" s="20">
        <f>IF('Journal'!F1540="","",'Journal'!F1540)</f>
        <v/>
      </c>
      <c r="H3077" s="5">
        <f>IF('Journal'!I1540="","",'Journal'!I1540)</f>
        <v/>
      </c>
    </row>
    <row r="3078">
      <c r="A3078" s="18">
        <f>IF('Journal'!A1540="","",'Journal'!A1540)</f>
        <v/>
      </c>
      <c r="B3078" s="21">
        <f>IF('Journal'!B1540="","",'Journal'!B1540)</f>
        <v/>
      </c>
      <c r="C3078" s="5">
        <f>IF('Journal'!C1540="","",'Journal'!C1540)</f>
        <v/>
      </c>
      <c r="D3078" s="5">
        <f>IF('Journal'!E1540="","",IFERROR(LEFT('Journal'!E1540,FIND(" ",'Journal'!E1540)-1),'Journal'!E1540))</f>
        <v/>
      </c>
      <c r="E3078" s="5">
        <f>IF('Journal'!E1540="","",IFERROR(INDEX('Kontoplan'!$B$3:$B$302,MATCH('Journal'!E1540,'Kontoplan'!$H$3:$H$302,0)),""))</f>
        <v/>
      </c>
      <c r="F3078" s="20">
        <f>IF('Journal'!F1540="","",'Journal'!F1540)</f>
        <v/>
      </c>
      <c r="G3078" s="20">
        <f>IF('Journal'!G1540="","",'Journal'!G1540)</f>
        <v/>
      </c>
      <c r="H3078" s="5">
        <f>IF('Journal'!I1540="","",'Journal'!I1540)</f>
        <v/>
      </c>
    </row>
    <row r="3079">
      <c r="A3079" s="18">
        <f>IF('Journal'!A1541="","",'Journal'!A1541)</f>
        <v/>
      </c>
      <c r="B3079" s="21">
        <f>IF('Journal'!B1541="","",'Journal'!B1541)</f>
        <v/>
      </c>
      <c r="C3079" s="5">
        <f>IF('Journal'!C1541="","",'Journal'!C1541)</f>
        <v/>
      </c>
      <c r="D3079" s="5">
        <f>IF('Journal'!D1541="","",IFERROR(LEFT('Journal'!D1541,FIND(" ",'Journal'!D1541)-1),'Journal'!D1541))</f>
        <v/>
      </c>
      <c r="E3079" s="5">
        <f>IF('Journal'!D1541="","",IFERROR(INDEX('Kontoplan'!$B$3:$B$302,MATCH('Journal'!D1541,'Kontoplan'!$H$3:$H$302,0)),""))</f>
        <v/>
      </c>
      <c r="F3079" s="20">
        <f>IF('Journal'!G1541="","",'Journal'!G1541)</f>
        <v/>
      </c>
      <c r="G3079" s="20">
        <f>IF('Journal'!F1541="","",'Journal'!F1541)</f>
        <v/>
      </c>
      <c r="H3079" s="5">
        <f>IF('Journal'!I1541="","",'Journal'!I1541)</f>
        <v/>
      </c>
    </row>
    <row r="3080">
      <c r="A3080" s="18">
        <f>IF('Journal'!A1541="","",'Journal'!A1541)</f>
        <v/>
      </c>
      <c r="B3080" s="21">
        <f>IF('Journal'!B1541="","",'Journal'!B1541)</f>
        <v/>
      </c>
      <c r="C3080" s="5">
        <f>IF('Journal'!C1541="","",'Journal'!C1541)</f>
        <v/>
      </c>
      <c r="D3080" s="5">
        <f>IF('Journal'!E1541="","",IFERROR(LEFT('Journal'!E1541,FIND(" ",'Journal'!E1541)-1),'Journal'!E1541))</f>
        <v/>
      </c>
      <c r="E3080" s="5">
        <f>IF('Journal'!E1541="","",IFERROR(INDEX('Kontoplan'!$B$3:$B$302,MATCH('Journal'!E1541,'Kontoplan'!$H$3:$H$302,0)),""))</f>
        <v/>
      </c>
      <c r="F3080" s="20">
        <f>IF('Journal'!F1541="","",'Journal'!F1541)</f>
        <v/>
      </c>
      <c r="G3080" s="20">
        <f>IF('Journal'!G1541="","",'Journal'!G1541)</f>
        <v/>
      </c>
      <c r="H3080" s="5">
        <f>IF('Journal'!I1541="","",'Journal'!I1541)</f>
        <v/>
      </c>
    </row>
    <row r="3081">
      <c r="A3081" s="18">
        <f>IF('Journal'!A1542="","",'Journal'!A1542)</f>
        <v/>
      </c>
      <c r="B3081" s="21">
        <f>IF('Journal'!B1542="","",'Journal'!B1542)</f>
        <v/>
      </c>
      <c r="C3081" s="5">
        <f>IF('Journal'!C1542="","",'Journal'!C1542)</f>
        <v/>
      </c>
      <c r="D3081" s="5">
        <f>IF('Journal'!D1542="","",IFERROR(LEFT('Journal'!D1542,FIND(" ",'Journal'!D1542)-1),'Journal'!D1542))</f>
        <v/>
      </c>
      <c r="E3081" s="5">
        <f>IF('Journal'!D1542="","",IFERROR(INDEX('Kontoplan'!$B$3:$B$302,MATCH('Journal'!D1542,'Kontoplan'!$H$3:$H$302,0)),""))</f>
        <v/>
      </c>
      <c r="F3081" s="20">
        <f>IF('Journal'!G1542="","",'Journal'!G1542)</f>
        <v/>
      </c>
      <c r="G3081" s="20">
        <f>IF('Journal'!F1542="","",'Journal'!F1542)</f>
        <v/>
      </c>
      <c r="H3081" s="5">
        <f>IF('Journal'!I1542="","",'Journal'!I1542)</f>
        <v/>
      </c>
    </row>
    <row r="3082">
      <c r="A3082" s="18">
        <f>IF('Journal'!A1542="","",'Journal'!A1542)</f>
        <v/>
      </c>
      <c r="B3082" s="21">
        <f>IF('Journal'!B1542="","",'Journal'!B1542)</f>
        <v/>
      </c>
      <c r="C3082" s="5">
        <f>IF('Journal'!C1542="","",'Journal'!C1542)</f>
        <v/>
      </c>
      <c r="D3082" s="5">
        <f>IF('Journal'!E1542="","",IFERROR(LEFT('Journal'!E1542,FIND(" ",'Journal'!E1542)-1),'Journal'!E1542))</f>
        <v/>
      </c>
      <c r="E3082" s="5">
        <f>IF('Journal'!E1542="","",IFERROR(INDEX('Kontoplan'!$B$3:$B$302,MATCH('Journal'!E1542,'Kontoplan'!$H$3:$H$302,0)),""))</f>
        <v/>
      </c>
      <c r="F3082" s="20">
        <f>IF('Journal'!F1542="","",'Journal'!F1542)</f>
        <v/>
      </c>
      <c r="G3082" s="20">
        <f>IF('Journal'!G1542="","",'Journal'!G1542)</f>
        <v/>
      </c>
      <c r="H3082" s="5">
        <f>IF('Journal'!I1542="","",'Journal'!I1542)</f>
        <v/>
      </c>
    </row>
    <row r="3083">
      <c r="A3083" s="18">
        <f>IF('Journal'!A1543="","",'Journal'!A1543)</f>
        <v/>
      </c>
      <c r="B3083" s="21">
        <f>IF('Journal'!B1543="","",'Journal'!B1543)</f>
        <v/>
      </c>
      <c r="C3083" s="5">
        <f>IF('Journal'!C1543="","",'Journal'!C1543)</f>
        <v/>
      </c>
      <c r="D3083" s="5">
        <f>IF('Journal'!D1543="","",IFERROR(LEFT('Journal'!D1543,FIND(" ",'Journal'!D1543)-1),'Journal'!D1543))</f>
        <v/>
      </c>
      <c r="E3083" s="5">
        <f>IF('Journal'!D1543="","",IFERROR(INDEX('Kontoplan'!$B$3:$B$302,MATCH('Journal'!D1543,'Kontoplan'!$H$3:$H$302,0)),""))</f>
        <v/>
      </c>
      <c r="F3083" s="20">
        <f>IF('Journal'!G1543="","",'Journal'!G1543)</f>
        <v/>
      </c>
      <c r="G3083" s="20">
        <f>IF('Journal'!F1543="","",'Journal'!F1543)</f>
        <v/>
      </c>
      <c r="H3083" s="5">
        <f>IF('Journal'!I1543="","",'Journal'!I1543)</f>
        <v/>
      </c>
    </row>
    <row r="3084">
      <c r="A3084" s="18">
        <f>IF('Journal'!A1543="","",'Journal'!A1543)</f>
        <v/>
      </c>
      <c r="B3084" s="21">
        <f>IF('Journal'!B1543="","",'Journal'!B1543)</f>
        <v/>
      </c>
      <c r="C3084" s="5">
        <f>IF('Journal'!C1543="","",'Journal'!C1543)</f>
        <v/>
      </c>
      <c r="D3084" s="5">
        <f>IF('Journal'!E1543="","",IFERROR(LEFT('Journal'!E1543,FIND(" ",'Journal'!E1543)-1),'Journal'!E1543))</f>
        <v/>
      </c>
      <c r="E3084" s="5">
        <f>IF('Journal'!E1543="","",IFERROR(INDEX('Kontoplan'!$B$3:$B$302,MATCH('Journal'!E1543,'Kontoplan'!$H$3:$H$302,0)),""))</f>
        <v/>
      </c>
      <c r="F3084" s="20">
        <f>IF('Journal'!F1543="","",'Journal'!F1543)</f>
        <v/>
      </c>
      <c r="G3084" s="20">
        <f>IF('Journal'!G1543="","",'Journal'!G1543)</f>
        <v/>
      </c>
      <c r="H3084" s="5">
        <f>IF('Journal'!I1543="","",'Journal'!I1543)</f>
        <v/>
      </c>
    </row>
    <row r="3085">
      <c r="A3085" s="18">
        <f>IF('Journal'!A1544="","",'Journal'!A1544)</f>
        <v/>
      </c>
      <c r="B3085" s="21">
        <f>IF('Journal'!B1544="","",'Journal'!B1544)</f>
        <v/>
      </c>
      <c r="C3085" s="5">
        <f>IF('Journal'!C1544="","",'Journal'!C1544)</f>
        <v/>
      </c>
      <c r="D3085" s="5">
        <f>IF('Journal'!D1544="","",IFERROR(LEFT('Journal'!D1544,FIND(" ",'Journal'!D1544)-1),'Journal'!D1544))</f>
        <v/>
      </c>
      <c r="E3085" s="5">
        <f>IF('Journal'!D1544="","",IFERROR(INDEX('Kontoplan'!$B$3:$B$302,MATCH('Journal'!D1544,'Kontoplan'!$H$3:$H$302,0)),""))</f>
        <v/>
      </c>
      <c r="F3085" s="20">
        <f>IF('Journal'!G1544="","",'Journal'!G1544)</f>
        <v/>
      </c>
      <c r="G3085" s="20">
        <f>IF('Journal'!F1544="","",'Journal'!F1544)</f>
        <v/>
      </c>
      <c r="H3085" s="5">
        <f>IF('Journal'!I1544="","",'Journal'!I1544)</f>
        <v/>
      </c>
    </row>
    <row r="3086">
      <c r="A3086" s="18">
        <f>IF('Journal'!A1544="","",'Journal'!A1544)</f>
        <v/>
      </c>
      <c r="B3086" s="21">
        <f>IF('Journal'!B1544="","",'Journal'!B1544)</f>
        <v/>
      </c>
      <c r="C3086" s="5">
        <f>IF('Journal'!C1544="","",'Journal'!C1544)</f>
        <v/>
      </c>
      <c r="D3086" s="5">
        <f>IF('Journal'!E1544="","",IFERROR(LEFT('Journal'!E1544,FIND(" ",'Journal'!E1544)-1),'Journal'!E1544))</f>
        <v/>
      </c>
      <c r="E3086" s="5">
        <f>IF('Journal'!E1544="","",IFERROR(INDEX('Kontoplan'!$B$3:$B$302,MATCH('Journal'!E1544,'Kontoplan'!$H$3:$H$302,0)),""))</f>
        <v/>
      </c>
      <c r="F3086" s="20">
        <f>IF('Journal'!F1544="","",'Journal'!F1544)</f>
        <v/>
      </c>
      <c r="G3086" s="20">
        <f>IF('Journal'!G1544="","",'Journal'!G1544)</f>
        <v/>
      </c>
      <c r="H3086" s="5">
        <f>IF('Journal'!I1544="","",'Journal'!I1544)</f>
        <v/>
      </c>
    </row>
    <row r="3087">
      <c r="A3087" s="18">
        <f>IF('Journal'!A1545="","",'Journal'!A1545)</f>
        <v/>
      </c>
      <c r="B3087" s="21">
        <f>IF('Journal'!B1545="","",'Journal'!B1545)</f>
        <v/>
      </c>
      <c r="C3087" s="5">
        <f>IF('Journal'!C1545="","",'Journal'!C1545)</f>
        <v/>
      </c>
      <c r="D3087" s="5">
        <f>IF('Journal'!D1545="","",IFERROR(LEFT('Journal'!D1545,FIND(" ",'Journal'!D1545)-1),'Journal'!D1545))</f>
        <v/>
      </c>
      <c r="E3087" s="5">
        <f>IF('Journal'!D1545="","",IFERROR(INDEX('Kontoplan'!$B$3:$B$302,MATCH('Journal'!D1545,'Kontoplan'!$H$3:$H$302,0)),""))</f>
        <v/>
      </c>
      <c r="F3087" s="20">
        <f>IF('Journal'!G1545="","",'Journal'!G1545)</f>
        <v/>
      </c>
      <c r="G3087" s="20">
        <f>IF('Journal'!F1545="","",'Journal'!F1545)</f>
        <v/>
      </c>
      <c r="H3087" s="5">
        <f>IF('Journal'!I1545="","",'Journal'!I1545)</f>
        <v/>
      </c>
    </row>
    <row r="3088">
      <c r="A3088" s="18">
        <f>IF('Journal'!A1545="","",'Journal'!A1545)</f>
        <v/>
      </c>
      <c r="B3088" s="21">
        <f>IF('Journal'!B1545="","",'Journal'!B1545)</f>
        <v/>
      </c>
      <c r="C3088" s="5">
        <f>IF('Journal'!C1545="","",'Journal'!C1545)</f>
        <v/>
      </c>
      <c r="D3088" s="5">
        <f>IF('Journal'!E1545="","",IFERROR(LEFT('Journal'!E1545,FIND(" ",'Journal'!E1545)-1),'Journal'!E1545))</f>
        <v/>
      </c>
      <c r="E3088" s="5">
        <f>IF('Journal'!E1545="","",IFERROR(INDEX('Kontoplan'!$B$3:$B$302,MATCH('Journal'!E1545,'Kontoplan'!$H$3:$H$302,0)),""))</f>
        <v/>
      </c>
      <c r="F3088" s="20">
        <f>IF('Journal'!F1545="","",'Journal'!F1545)</f>
        <v/>
      </c>
      <c r="G3088" s="20">
        <f>IF('Journal'!G1545="","",'Journal'!G1545)</f>
        <v/>
      </c>
      <c r="H3088" s="5">
        <f>IF('Journal'!I1545="","",'Journal'!I1545)</f>
        <v/>
      </c>
    </row>
    <row r="3089">
      <c r="A3089" s="18">
        <f>IF('Journal'!A1546="","",'Journal'!A1546)</f>
        <v/>
      </c>
      <c r="B3089" s="21">
        <f>IF('Journal'!B1546="","",'Journal'!B1546)</f>
        <v/>
      </c>
      <c r="C3089" s="5">
        <f>IF('Journal'!C1546="","",'Journal'!C1546)</f>
        <v/>
      </c>
      <c r="D3089" s="5">
        <f>IF('Journal'!D1546="","",IFERROR(LEFT('Journal'!D1546,FIND(" ",'Journal'!D1546)-1),'Journal'!D1546))</f>
        <v/>
      </c>
      <c r="E3089" s="5">
        <f>IF('Journal'!D1546="","",IFERROR(INDEX('Kontoplan'!$B$3:$B$302,MATCH('Journal'!D1546,'Kontoplan'!$H$3:$H$302,0)),""))</f>
        <v/>
      </c>
      <c r="F3089" s="20">
        <f>IF('Journal'!G1546="","",'Journal'!G1546)</f>
        <v/>
      </c>
      <c r="G3089" s="20">
        <f>IF('Journal'!F1546="","",'Journal'!F1546)</f>
        <v/>
      </c>
      <c r="H3089" s="5">
        <f>IF('Journal'!I1546="","",'Journal'!I1546)</f>
        <v/>
      </c>
    </row>
    <row r="3090">
      <c r="A3090" s="18">
        <f>IF('Journal'!A1546="","",'Journal'!A1546)</f>
        <v/>
      </c>
      <c r="B3090" s="21">
        <f>IF('Journal'!B1546="","",'Journal'!B1546)</f>
        <v/>
      </c>
      <c r="C3090" s="5">
        <f>IF('Journal'!C1546="","",'Journal'!C1546)</f>
        <v/>
      </c>
      <c r="D3090" s="5">
        <f>IF('Journal'!E1546="","",IFERROR(LEFT('Journal'!E1546,FIND(" ",'Journal'!E1546)-1),'Journal'!E1546))</f>
        <v/>
      </c>
      <c r="E3090" s="5">
        <f>IF('Journal'!E1546="","",IFERROR(INDEX('Kontoplan'!$B$3:$B$302,MATCH('Journal'!E1546,'Kontoplan'!$H$3:$H$302,0)),""))</f>
        <v/>
      </c>
      <c r="F3090" s="20">
        <f>IF('Journal'!F1546="","",'Journal'!F1546)</f>
        <v/>
      </c>
      <c r="G3090" s="20">
        <f>IF('Journal'!G1546="","",'Journal'!G1546)</f>
        <v/>
      </c>
      <c r="H3090" s="5">
        <f>IF('Journal'!I1546="","",'Journal'!I1546)</f>
        <v/>
      </c>
    </row>
    <row r="3091">
      <c r="A3091" s="18">
        <f>IF('Journal'!A1547="","",'Journal'!A1547)</f>
        <v/>
      </c>
      <c r="B3091" s="21">
        <f>IF('Journal'!B1547="","",'Journal'!B1547)</f>
        <v/>
      </c>
      <c r="C3091" s="5">
        <f>IF('Journal'!C1547="","",'Journal'!C1547)</f>
        <v/>
      </c>
      <c r="D3091" s="5">
        <f>IF('Journal'!D1547="","",IFERROR(LEFT('Journal'!D1547,FIND(" ",'Journal'!D1547)-1),'Journal'!D1547))</f>
        <v/>
      </c>
      <c r="E3091" s="5">
        <f>IF('Journal'!D1547="","",IFERROR(INDEX('Kontoplan'!$B$3:$B$302,MATCH('Journal'!D1547,'Kontoplan'!$H$3:$H$302,0)),""))</f>
        <v/>
      </c>
      <c r="F3091" s="20">
        <f>IF('Journal'!G1547="","",'Journal'!G1547)</f>
        <v/>
      </c>
      <c r="G3091" s="20">
        <f>IF('Journal'!F1547="","",'Journal'!F1547)</f>
        <v/>
      </c>
      <c r="H3091" s="5">
        <f>IF('Journal'!I1547="","",'Journal'!I1547)</f>
        <v/>
      </c>
    </row>
    <row r="3092">
      <c r="A3092" s="18">
        <f>IF('Journal'!A1547="","",'Journal'!A1547)</f>
        <v/>
      </c>
      <c r="B3092" s="21">
        <f>IF('Journal'!B1547="","",'Journal'!B1547)</f>
        <v/>
      </c>
      <c r="C3092" s="5">
        <f>IF('Journal'!C1547="","",'Journal'!C1547)</f>
        <v/>
      </c>
      <c r="D3092" s="5">
        <f>IF('Journal'!E1547="","",IFERROR(LEFT('Journal'!E1547,FIND(" ",'Journal'!E1547)-1),'Journal'!E1547))</f>
        <v/>
      </c>
      <c r="E3092" s="5">
        <f>IF('Journal'!E1547="","",IFERROR(INDEX('Kontoplan'!$B$3:$B$302,MATCH('Journal'!E1547,'Kontoplan'!$H$3:$H$302,0)),""))</f>
        <v/>
      </c>
      <c r="F3092" s="20">
        <f>IF('Journal'!F1547="","",'Journal'!F1547)</f>
        <v/>
      </c>
      <c r="G3092" s="20">
        <f>IF('Journal'!G1547="","",'Journal'!G1547)</f>
        <v/>
      </c>
      <c r="H3092" s="5">
        <f>IF('Journal'!I1547="","",'Journal'!I1547)</f>
        <v/>
      </c>
    </row>
    <row r="3093">
      <c r="A3093" s="18">
        <f>IF('Journal'!A1548="","",'Journal'!A1548)</f>
        <v/>
      </c>
      <c r="B3093" s="21">
        <f>IF('Journal'!B1548="","",'Journal'!B1548)</f>
        <v/>
      </c>
      <c r="C3093" s="5">
        <f>IF('Journal'!C1548="","",'Journal'!C1548)</f>
        <v/>
      </c>
      <c r="D3093" s="5">
        <f>IF('Journal'!D1548="","",IFERROR(LEFT('Journal'!D1548,FIND(" ",'Journal'!D1548)-1),'Journal'!D1548))</f>
        <v/>
      </c>
      <c r="E3093" s="5">
        <f>IF('Journal'!D1548="","",IFERROR(INDEX('Kontoplan'!$B$3:$B$302,MATCH('Journal'!D1548,'Kontoplan'!$H$3:$H$302,0)),""))</f>
        <v/>
      </c>
      <c r="F3093" s="20">
        <f>IF('Journal'!G1548="","",'Journal'!G1548)</f>
        <v/>
      </c>
      <c r="G3093" s="20">
        <f>IF('Journal'!F1548="","",'Journal'!F1548)</f>
        <v/>
      </c>
      <c r="H3093" s="5">
        <f>IF('Journal'!I1548="","",'Journal'!I1548)</f>
        <v/>
      </c>
    </row>
    <row r="3094">
      <c r="A3094" s="18">
        <f>IF('Journal'!A1548="","",'Journal'!A1548)</f>
        <v/>
      </c>
      <c r="B3094" s="21">
        <f>IF('Journal'!B1548="","",'Journal'!B1548)</f>
        <v/>
      </c>
      <c r="C3094" s="5">
        <f>IF('Journal'!C1548="","",'Journal'!C1548)</f>
        <v/>
      </c>
      <c r="D3094" s="5">
        <f>IF('Journal'!E1548="","",IFERROR(LEFT('Journal'!E1548,FIND(" ",'Journal'!E1548)-1),'Journal'!E1548))</f>
        <v/>
      </c>
      <c r="E3094" s="5">
        <f>IF('Journal'!E1548="","",IFERROR(INDEX('Kontoplan'!$B$3:$B$302,MATCH('Journal'!E1548,'Kontoplan'!$H$3:$H$302,0)),""))</f>
        <v/>
      </c>
      <c r="F3094" s="20">
        <f>IF('Journal'!F1548="","",'Journal'!F1548)</f>
        <v/>
      </c>
      <c r="G3094" s="20">
        <f>IF('Journal'!G1548="","",'Journal'!G1548)</f>
        <v/>
      </c>
      <c r="H3094" s="5">
        <f>IF('Journal'!I1548="","",'Journal'!I1548)</f>
        <v/>
      </c>
    </row>
    <row r="3095">
      <c r="A3095" s="18">
        <f>IF('Journal'!A1549="","",'Journal'!A1549)</f>
        <v/>
      </c>
      <c r="B3095" s="21">
        <f>IF('Journal'!B1549="","",'Journal'!B1549)</f>
        <v/>
      </c>
      <c r="C3095" s="5">
        <f>IF('Journal'!C1549="","",'Journal'!C1549)</f>
        <v/>
      </c>
      <c r="D3095" s="5">
        <f>IF('Journal'!D1549="","",IFERROR(LEFT('Journal'!D1549,FIND(" ",'Journal'!D1549)-1),'Journal'!D1549))</f>
        <v/>
      </c>
      <c r="E3095" s="5">
        <f>IF('Journal'!D1549="","",IFERROR(INDEX('Kontoplan'!$B$3:$B$302,MATCH('Journal'!D1549,'Kontoplan'!$H$3:$H$302,0)),""))</f>
        <v/>
      </c>
      <c r="F3095" s="20">
        <f>IF('Journal'!G1549="","",'Journal'!G1549)</f>
        <v/>
      </c>
      <c r="G3095" s="20">
        <f>IF('Journal'!F1549="","",'Journal'!F1549)</f>
        <v/>
      </c>
      <c r="H3095" s="5">
        <f>IF('Journal'!I1549="","",'Journal'!I1549)</f>
        <v/>
      </c>
    </row>
    <row r="3096">
      <c r="A3096" s="18">
        <f>IF('Journal'!A1549="","",'Journal'!A1549)</f>
        <v/>
      </c>
      <c r="B3096" s="21">
        <f>IF('Journal'!B1549="","",'Journal'!B1549)</f>
        <v/>
      </c>
      <c r="C3096" s="5">
        <f>IF('Journal'!C1549="","",'Journal'!C1549)</f>
        <v/>
      </c>
      <c r="D3096" s="5">
        <f>IF('Journal'!E1549="","",IFERROR(LEFT('Journal'!E1549,FIND(" ",'Journal'!E1549)-1),'Journal'!E1549))</f>
        <v/>
      </c>
      <c r="E3096" s="5">
        <f>IF('Journal'!E1549="","",IFERROR(INDEX('Kontoplan'!$B$3:$B$302,MATCH('Journal'!E1549,'Kontoplan'!$H$3:$H$302,0)),""))</f>
        <v/>
      </c>
      <c r="F3096" s="20">
        <f>IF('Journal'!F1549="","",'Journal'!F1549)</f>
        <v/>
      </c>
      <c r="G3096" s="20">
        <f>IF('Journal'!G1549="","",'Journal'!G1549)</f>
        <v/>
      </c>
      <c r="H3096" s="5">
        <f>IF('Journal'!I1549="","",'Journal'!I1549)</f>
        <v/>
      </c>
    </row>
    <row r="3097">
      <c r="A3097" s="18">
        <f>IF('Journal'!A1550="","",'Journal'!A1550)</f>
        <v/>
      </c>
      <c r="B3097" s="21">
        <f>IF('Journal'!B1550="","",'Journal'!B1550)</f>
        <v/>
      </c>
      <c r="C3097" s="5">
        <f>IF('Journal'!C1550="","",'Journal'!C1550)</f>
        <v/>
      </c>
      <c r="D3097" s="5">
        <f>IF('Journal'!D1550="","",IFERROR(LEFT('Journal'!D1550,FIND(" ",'Journal'!D1550)-1),'Journal'!D1550))</f>
        <v/>
      </c>
      <c r="E3097" s="5">
        <f>IF('Journal'!D1550="","",IFERROR(INDEX('Kontoplan'!$B$3:$B$302,MATCH('Journal'!D1550,'Kontoplan'!$H$3:$H$302,0)),""))</f>
        <v/>
      </c>
      <c r="F3097" s="20">
        <f>IF('Journal'!G1550="","",'Journal'!G1550)</f>
        <v/>
      </c>
      <c r="G3097" s="20">
        <f>IF('Journal'!F1550="","",'Journal'!F1550)</f>
        <v/>
      </c>
      <c r="H3097" s="5">
        <f>IF('Journal'!I1550="","",'Journal'!I1550)</f>
        <v/>
      </c>
    </row>
    <row r="3098">
      <c r="A3098" s="18">
        <f>IF('Journal'!A1550="","",'Journal'!A1550)</f>
        <v/>
      </c>
      <c r="B3098" s="21">
        <f>IF('Journal'!B1550="","",'Journal'!B1550)</f>
        <v/>
      </c>
      <c r="C3098" s="5">
        <f>IF('Journal'!C1550="","",'Journal'!C1550)</f>
        <v/>
      </c>
      <c r="D3098" s="5">
        <f>IF('Journal'!E1550="","",IFERROR(LEFT('Journal'!E1550,FIND(" ",'Journal'!E1550)-1),'Journal'!E1550))</f>
        <v/>
      </c>
      <c r="E3098" s="5">
        <f>IF('Journal'!E1550="","",IFERROR(INDEX('Kontoplan'!$B$3:$B$302,MATCH('Journal'!E1550,'Kontoplan'!$H$3:$H$302,0)),""))</f>
        <v/>
      </c>
      <c r="F3098" s="20">
        <f>IF('Journal'!F1550="","",'Journal'!F1550)</f>
        <v/>
      </c>
      <c r="G3098" s="20">
        <f>IF('Journal'!G1550="","",'Journal'!G1550)</f>
        <v/>
      </c>
      <c r="H3098" s="5">
        <f>IF('Journal'!I1550="","",'Journal'!I1550)</f>
        <v/>
      </c>
    </row>
    <row r="3099">
      <c r="A3099" s="18">
        <f>IF('Journal'!A1551="","",'Journal'!A1551)</f>
        <v/>
      </c>
      <c r="B3099" s="21">
        <f>IF('Journal'!B1551="","",'Journal'!B1551)</f>
        <v/>
      </c>
      <c r="C3099" s="5">
        <f>IF('Journal'!C1551="","",'Journal'!C1551)</f>
        <v/>
      </c>
      <c r="D3099" s="5">
        <f>IF('Journal'!D1551="","",IFERROR(LEFT('Journal'!D1551,FIND(" ",'Journal'!D1551)-1),'Journal'!D1551))</f>
        <v/>
      </c>
      <c r="E3099" s="5">
        <f>IF('Journal'!D1551="","",IFERROR(INDEX('Kontoplan'!$B$3:$B$302,MATCH('Journal'!D1551,'Kontoplan'!$H$3:$H$302,0)),""))</f>
        <v/>
      </c>
      <c r="F3099" s="20">
        <f>IF('Journal'!G1551="","",'Journal'!G1551)</f>
        <v/>
      </c>
      <c r="G3099" s="20">
        <f>IF('Journal'!F1551="","",'Journal'!F1551)</f>
        <v/>
      </c>
      <c r="H3099" s="5">
        <f>IF('Journal'!I1551="","",'Journal'!I1551)</f>
        <v/>
      </c>
    </row>
    <row r="3100">
      <c r="A3100" s="18">
        <f>IF('Journal'!A1551="","",'Journal'!A1551)</f>
        <v/>
      </c>
      <c r="B3100" s="21">
        <f>IF('Journal'!B1551="","",'Journal'!B1551)</f>
        <v/>
      </c>
      <c r="C3100" s="5">
        <f>IF('Journal'!C1551="","",'Journal'!C1551)</f>
        <v/>
      </c>
      <c r="D3100" s="5">
        <f>IF('Journal'!E1551="","",IFERROR(LEFT('Journal'!E1551,FIND(" ",'Journal'!E1551)-1),'Journal'!E1551))</f>
        <v/>
      </c>
      <c r="E3100" s="5">
        <f>IF('Journal'!E1551="","",IFERROR(INDEX('Kontoplan'!$B$3:$B$302,MATCH('Journal'!E1551,'Kontoplan'!$H$3:$H$302,0)),""))</f>
        <v/>
      </c>
      <c r="F3100" s="20">
        <f>IF('Journal'!F1551="","",'Journal'!F1551)</f>
        <v/>
      </c>
      <c r="G3100" s="20">
        <f>IF('Journal'!G1551="","",'Journal'!G1551)</f>
        <v/>
      </c>
      <c r="H3100" s="5">
        <f>IF('Journal'!I1551="","",'Journal'!I1551)</f>
        <v/>
      </c>
    </row>
    <row r="3101">
      <c r="A3101" s="18">
        <f>IF('Journal'!A1552="","",'Journal'!A1552)</f>
        <v/>
      </c>
      <c r="B3101" s="21">
        <f>IF('Journal'!B1552="","",'Journal'!B1552)</f>
        <v/>
      </c>
      <c r="C3101" s="5">
        <f>IF('Journal'!C1552="","",'Journal'!C1552)</f>
        <v/>
      </c>
      <c r="D3101" s="5">
        <f>IF('Journal'!D1552="","",IFERROR(LEFT('Journal'!D1552,FIND(" ",'Journal'!D1552)-1),'Journal'!D1552))</f>
        <v/>
      </c>
      <c r="E3101" s="5">
        <f>IF('Journal'!D1552="","",IFERROR(INDEX('Kontoplan'!$B$3:$B$302,MATCH('Journal'!D1552,'Kontoplan'!$H$3:$H$302,0)),""))</f>
        <v/>
      </c>
      <c r="F3101" s="20">
        <f>IF('Journal'!G1552="","",'Journal'!G1552)</f>
        <v/>
      </c>
      <c r="G3101" s="20">
        <f>IF('Journal'!F1552="","",'Journal'!F1552)</f>
        <v/>
      </c>
      <c r="H3101" s="5">
        <f>IF('Journal'!I1552="","",'Journal'!I1552)</f>
        <v/>
      </c>
    </row>
    <row r="3102">
      <c r="A3102" s="18">
        <f>IF('Journal'!A1552="","",'Journal'!A1552)</f>
        <v/>
      </c>
      <c r="B3102" s="21">
        <f>IF('Journal'!B1552="","",'Journal'!B1552)</f>
        <v/>
      </c>
      <c r="C3102" s="5">
        <f>IF('Journal'!C1552="","",'Journal'!C1552)</f>
        <v/>
      </c>
      <c r="D3102" s="5">
        <f>IF('Journal'!E1552="","",IFERROR(LEFT('Journal'!E1552,FIND(" ",'Journal'!E1552)-1),'Journal'!E1552))</f>
        <v/>
      </c>
      <c r="E3102" s="5">
        <f>IF('Journal'!E1552="","",IFERROR(INDEX('Kontoplan'!$B$3:$B$302,MATCH('Journal'!E1552,'Kontoplan'!$H$3:$H$302,0)),""))</f>
        <v/>
      </c>
      <c r="F3102" s="20">
        <f>IF('Journal'!F1552="","",'Journal'!F1552)</f>
        <v/>
      </c>
      <c r="G3102" s="20">
        <f>IF('Journal'!G1552="","",'Journal'!G1552)</f>
        <v/>
      </c>
      <c r="H3102" s="5">
        <f>IF('Journal'!I1552="","",'Journal'!I1552)</f>
        <v/>
      </c>
    </row>
    <row r="3103">
      <c r="A3103" s="18">
        <f>IF('Journal'!A1553="","",'Journal'!A1553)</f>
        <v/>
      </c>
      <c r="B3103" s="21">
        <f>IF('Journal'!B1553="","",'Journal'!B1553)</f>
        <v/>
      </c>
      <c r="C3103" s="5">
        <f>IF('Journal'!C1553="","",'Journal'!C1553)</f>
        <v/>
      </c>
      <c r="D3103" s="5">
        <f>IF('Journal'!D1553="","",IFERROR(LEFT('Journal'!D1553,FIND(" ",'Journal'!D1553)-1),'Journal'!D1553))</f>
        <v/>
      </c>
      <c r="E3103" s="5">
        <f>IF('Journal'!D1553="","",IFERROR(INDEX('Kontoplan'!$B$3:$B$302,MATCH('Journal'!D1553,'Kontoplan'!$H$3:$H$302,0)),""))</f>
        <v/>
      </c>
      <c r="F3103" s="20">
        <f>IF('Journal'!G1553="","",'Journal'!G1553)</f>
        <v/>
      </c>
      <c r="G3103" s="20">
        <f>IF('Journal'!F1553="","",'Journal'!F1553)</f>
        <v/>
      </c>
      <c r="H3103" s="5">
        <f>IF('Journal'!I1553="","",'Journal'!I1553)</f>
        <v/>
      </c>
    </row>
    <row r="3104">
      <c r="A3104" s="18">
        <f>IF('Journal'!A1553="","",'Journal'!A1553)</f>
        <v/>
      </c>
      <c r="B3104" s="21">
        <f>IF('Journal'!B1553="","",'Journal'!B1553)</f>
        <v/>
      </c>
      <c r="C3104" s="5">
        <f>IF('Journal'!C1553="","",'Journal'!C1553)</f>
        <v/>
      </c>
      <c r="D3104" s="5">
        <f>IF('Journal'!E1553="","",IFERROR(LEFT('Journal'!E1553,FIND(" ",'Journal'!E1553)-1),'Journal'!E1553))</f>
        <v/>
      </c>
      <c r="E3104" s="5">
        <f>IF('Journal'!E1553="","",IFERROR(INDEX('Kontoplan'!$B$3:$B$302,MATCH('Journal'!E1553,'Kontoplan'!$H$3:$H$302,0)),""))</f>
        <v/>
      </c>
      <c r="F3104" s="20">
        <f>IF('Journal'!F1553="","",'Journal'!F1553)</f>
        <v/>
      </c>
      <c r="G3104" s="20">
        <f>IF('Journal'!G1553="","",'Journal'!G1553)</f>
        <v/>
      </c>
      <c r="H3104" s="5">
        <f>IF('Journal'!I1553="","",'Journal'!I1553)</f>
        <v/>
      </c>
    </row>
    <row r="3105">
      <c r="A3105" s="18">
        <f>IF('Journal'!A1554="","",'Journal'!A1554)</f>
        <v/>
      </c>
      <c r="B3105" s="21">
        <f>IF('Journal'!B1554="","",'Journal'!B1554)</f>
        <v/>
      </c>
      <c r="C3105" s="5">
        <f>IF('Journal'!C1554="","",'Journal'!C1554)</f>
        <v/>
      </c>
      <c r="D3105" s="5">
        <f>IF('Journal'!D1554="","",IFERROR(LEFT('Journal'!D1554,FIND(" ",'Journal'!D1554)-1),'Journal'!D1554))</f>
        <v/>
      </c>
      <c r="E3105" s="5">
        <f>IF('Journal'!D1554="","",IFERROR(INDEX('Kontoplan'!$B$3:$B$302,MATCH('Journal'!D1554,'Kontoplan'!$H$3:$H$302,0)),""))</f>
        <v/>
      </c>
      <c r="F3105" s="20">
        <f>IF('Journal'!G1554="","",'Journal'!G1554)</f>
        <v/>
      </c>
      <c r="G3105" s="20">
        <f>IF('Journal'!F1554="","",'Journal'!F1554)</f>
        <v/>
      </c>
      <c r="H3105" s="5">
        <f>IF('Journal'!I1554="","",'Journal'!I1554)</f>
        <v/>
      </c>
    </row>
    <row r="3106">
      <c r="A3106" s="18">
        <f>IF('Journal'!A1554="","",'Journal'!A1554)</f>
        <v/>
      </c>
      <c r="B3106" s="21">
        <f>IF('Journal'!B1554="","",'Journal'!B1554)</f>
        <v/>
      </c>
      <c r="C3106" s="5">
        <f>IF('Journal'!C1554="","",'Journal'!C1554)</f>
        <v/>
      </c>
      <c r="D3106" s="5">
        <f>IF('Journal'!E1554="","",IFERROR(LEFT('Journal'!E1554,FIND(" ",'Journal'!E1554)-1),'Journal'!E1554))</f>
        <v/>
      </c>
      <c r="E3106" s="5">
        <f>IF('Journal'!E1554="","",IFERROR(INDEX('Kontoplan'!$B$3:$B$302,MATCH('Journal'!E1554,'Kontoplan'!$H$3:$H$302,0)),""))</f>
        <v/>
      </c>
      <c r="F3106" s="20">
        <f>IF('Journal'!F1554="","",'Journal'!F1554)</f>
        <v/>
      </c>
      <c r="G3106" s="20">
        <f>IF('Journal'!G1554="","",'Journal'!G1554)</f>
        <v/>
      </c>
      <c r="H3106" s="5">
        <f>IF('Journal'!I1554="","",'Journal'!I1554)</f>
        <v/>
      </c>
    </row>
    <row r="3107">
      <c r="A3107" s="18">
        <f>IF('Journal'!A1555="","",'Journal'!A1555)</f>
        <v/>
      </c>
      <c r="B3107" s="21">
        <f>IF('Journal'!B1555="","",'Journal'!B1555)</f>
        <v/>
      </c>
      <c r="C3107" s="5">
        <f>IF('Journal'!C1555="","",'Journal'!C1555)</f>
        <v/>
      </c>
      <c r="D3107" s="5">
        <f>IF('Journal'!D1555="","",IFERROR(LEFT('Journal'!D1555,FIND(" ",'Journal'!D1555)-1),'Journal'!D1555))</f>
        <v/>
      </c>
      <c r="E3107" s="5">
        <f>IF('Journal'!D1555="","",IFERROR(INDEX('Kontoplan'!$B$3:$B$302,MATCH('Journal'!D1555,'Kontoplan'!$H$3:$H$302,0)),""))</f>
        <v/>
      </c>
      <c r="F3107" s="20">
        <f>IF('Journal'!G1555="","",'Journal'!G1555)</f>
        <v/>
      </c>
      <c r="G3107" s="20">
        <f>IF('Journal'!F1555="","",'Journal'!F1555)</f>
        <v/>
      </c>
      <c r="H3107" s="5">
        <f>IF('Journal'!I1555="","",'Journal'!I1555)</f>
        <v/>
      </c>
    </row>
    <row r="3108">
      <c r="A3108" s="18">
        <f>IF('Journal'!A1555="","",'Journal'!A1555)</f>
        <v/>
      </c>
      <c r="B3108" s="21">
        <f>IF('Journal'!B1555="","",'Journal'!B1555)</f>
        <v/>
      </c>
      <c r="C3108" s="5">
        <f>IF('Journal'!C1555="","",'Journal'!C1555)</f>
        <v/>
      </c>
      <c r="D3108" s="5">
        <f>IF('Journal'!E1555="","",IFERROR(LEFT('Journal'!E1555,FIND(" ",'Journal'!E1555)-1),'Journal'!E1555))</f>
        <v/>
      </c>
      <c r="E3108" s="5">
        <f>IF('Journal'!E1555="","",IFERROR(INDEX('Kontoplan'!$B$3:$B$302,MATCH('Journal'!E1555,'Kontoplan'!$H$3:$H$302,0)),""))</f>
        <v/>
      </c>
      <c r="F3108" s="20">
        <f>IF('Journal'!F1555="","",'Journal'!F1555)</f>
        <v/>
      </c>
      <c r="G3108" s="20">
        <f>IF('Journal'!G1555="","",'Journal'!G1555)</f>
        <v/>
      </c>
      <c r="H3108" s="5">
        <f>IF('Journal'!I1555="","",'Journal'!I1555)</f>
        <v/>
      </c>
    </row>
    <row r="3109">
      <c r="A3109" s="18">
        <f>IF('Journal'!A1556="","",'Journal'!A1556)</f>
        <v/>
      </c>
      <c r="B3109" s="21">
        <f>IF('Journal'!B1556="","",'Journal'!B1556)</f>
        <v/>
      </c>
      <c r="C3109" s="5">
        <f>IF('Journal'!C1556="","",'Journal'!C1556)</f>
        <v/>
      </c>
      <c r="D3109" s="5">
        <f>IF('Journal'!D1556="","",IFERROR(LEFT('Journal'!D1556,FIND(" ",'Journal'!D1556)-1),'Journal'!D1556))</f>
        <v/>
      </c>
      <c r="E3109" s="5">
        <f>IF('Journal'!D1556="","",IFERROR(INDEX('Kontoplan'!$B$3:$B$302,MATCH('Journal'!D1556,'Kontoplan'!$H$3:$H$302,0)),""))</f>
        <v/>
      </c>
      <c r="F3109" s="20">
        <f>IF('Journal'!G1556="","",'Journal'!G1556)</f>
        <v/>
      </c>
      <c r="G3109" s="20">
        <f>IF('Journal'!F1556="","",'Journal'!F1556)</f>
        <v/>
      </c>
      <c r="H3109" s="5">
        <f>IF('Journal'!I1556="","",'Journal'!I1556)</f>
        <v/>
      </c>
    </row>
    <row r="3110">
      <c r="A3110" s="18">
        <f>IF('Journal'!A1556="","",'Journal'!A1556)</f>
        <v/>
      </c>
      <c r="B3110" s="21">
        <f>IF('Journal'!B1556="","",'Journal'!B1556)</f>
        <v/>
      </c>
      <c r="C3110" s="5">
        <f>IF('Journal'!C1556="","",'Journal'!C1556)</f>
        <v/>
      </c>
      <c r="D3110" s="5">
        <f>IF('Journal'!E1556="","",IFERROR(LEFT('Journal'!E1556,FIND(" ",'Journal'!E1556)-1),'Journal'!E1556))</f>
        <v/>
      </c>
      <c r="E3110" s="5">
        <f>IF('Journal'!E1556="","",IFERROR(INDEX('Kontoplan'!$B$3:$B$302,MATCH('Journal'!E1556,'Kontoplan'!$H$3:$H$302,0)),""))</f>
        <v/>
      </c>
      <c r="F3110" s="20">
        <f>IF('Journal'!F1556="","",'Journal'!F1556)</f>
        <v/>
      </c>
      <c r="G3110" s="20">
        <f>IF('Journal'!G1556="","",'Journal'!G1556)</f>
        <v/>
      </c>
      <c r="H3110" s="5">
        <f>IF('Journal'!I1556="","",'Journal'!I1556)</f>
        <v/>
      </c>
    </row>
    <row r="3111">
      <c r="A3111" s="18">
        <f>IF('Journal'!A1557="","",'Journal'!A1557)</f>
        <v/>
      </c>
      <c r="B3111" s="21">
        <f>IF('Journal'!B1557="","",'Journal'!B1557)</f>
        <v/>
      </c>
      <c r="C3111" s="5">
        <f>IF('Journal'!C1557="","",'Journal'!C1557)</f>
        <v/>
      </c>
      <c r="D3111" s="5">
        <f>IF('Journal'!D1557="","",IFERROR(LEFT('Journal'!D1557,FIND(" ",'Journal'!D1557)-1),'Journal'!D1557))</f>
        <v/>
      </c>
      <c r="E3111" s="5">
        <f>IF('Journal'!D1557="","",IFERROR(INDEX('Kontoplan'!$B$3:$B$302,MATCH('Journal'!D1557,'Kontoplan'!$H$3:$H$302,0)),""))</f>
        <v/>
      </c>
      <c r="F3111" s="20">
        <f>IF('Journal'!G1557="","",'Journal'!G1557)</f>
        <v/>
      </c>
      <c r="G3111" s="20">
        <f>IF('Journal'!F1557="","",'Journal'!F1557)</f>
        <v/>
      </c>
      <c r="H3111" s="5">
        <f>IF('Journal'!I1557="","",'Journal'!I1557)</f>
        <v/>
      </c>
    </row>
    <row r="3112">
      <c r="A3112" s="18">
        <f>IF('Journal'!A1557="","",'Journal'!A1557)</f>
        <v/>
      </c>
      <c r="B3112" s="21">
        <f>IF('Journal'!B1557="","",'Journal'!B1557)</f>
        <v/>
      </c>
      <c r="C3112" s="5">
        <f>IF('Journal'!C1557="","",'Journal'!C1557)</f>
        <v/>
      </c>
      <c r="D3112" s="5">
        <f>IF('Journal'!E1557="","",IFERROR(LEFT('Journal'!E1557,FIND(" ",'Journal'!E1557)-1),'Journal'!E1557))</f>
        <v/>
      </c>
      <c r="E3112" s="5">
        <f>IF('Journal'!E1557="","",IFERROR(INDEX('Kontoplan'!$B$3:$B$302,MATCH('Journal'!E1557,'Kontoplan'!$H$3:$H$302,0)),""))</f>
        <v/>
      </c>
      <c r="F3112" s="20">
        <f>IF('Journal'!F1557="","",'Journal'!F1557)</f>
        <v/>
      </c>
      <c r="G3112" s="20">
        <f>IF('Journal'!G1557="","",'Journal'!G1557)</f>
        <v/>
      </c>
      <c r="H3112" s="5">
        <f>IF('Journal'!I1557="","",'Journal'!I1557)</f>
        <v/>
      </c>
    </row>
    <row r="3113">
      <c r="A3113" s="18">
        <f>IF('Journal'!A1558="","",'Journal'!A1558)</f>
        <v/>
      </c>
      <c r="B3113" s="21">
        <f>IF('Journal'!B1558="","",'Journal'!B1558)</f>
        <v/>
      </c>
      <c r="C3113" s="5">
        <f>IF('Journal'!C1558="","",'Journal'!C1558)</f>
        <v/>
      </c>
      <c r="D3113" s="5">
        <f>IF('Journal'!D1558="","",IFERROR(LEFT('Journal'!D1558,FIND(" ",'Journal'!D1558)-1),'Journal'!D1558))</f>
        <v/>
      </c>
      <c r="E3113" s="5">
        <f>IF('Journal'!D1558="","",IFERROR(INDEX('Kontoplan'!$B$3:$B$302,MATCH('Journal'!D1558,'Kontoplan'!$H$3:$H$302,0)),""))</f>
        <v/>
      </c>
      <c r="F3113" s="20">
        <f>IF('Journal'!G1558="","",'Journal'!G1558)</f>
        <v/>
      </c>
      <c r="G3113" s="20">
        <f>IF('Journal'!F1558="","",'Journal'!F1558)</f>
        <v/>
      </c>
      <c r="H3113" s="5">
        <f>IF('Journal'!I1558="","",'Journal'!I1558)</f>
        <v/>
      </c>
    </row>
    <row r="3114">
      <c r="A3114" s="18">
        <f>IF('Journal'!A1558="","",'Journal'!A1558)</f>
        <v/>
      </c>
      <c r="B3114" s="21">
        <f>IF('Journal'!B1558="","",'Journal'!B1558)</f>
        <v/>
      </c>
      <c r="C3114" s="5">
        <f>IF('Journal'!C1558="","",'Journal'!C1558)</f>
        <v/>
      </c>
      <c r="D3114" s="5">
        <f>IF('Journal'!E1558="","",IFERROR(LEFT('Journal'!E1558,FIND(" ",'Journal'!E1558)-1),'Journal'!E1558))</f>
        <v/>
      </c>
      <c r="E3114" s="5">
        <f>IF('Journal'!E1558="","",IFERROR(INDEX('Kontoplan'!$B$3:$B$302,MATCH('Journal'!E1558,'Kontoplan'!$H$3:$H$302,0)),""))</f>
        <v/>
      </c>
      <c r="F3114" s="20">
        <f>IF('Journal'!F1558="","",'Journal'!F1558)</f>
        <v/>
      </c>
      <c r="G3114" s="20">
        <f>IF('Journal'!G1558="","",'Journal'!G1558)</f>
        <v/>
      </c>
      <c r="H3114" s="5">
        <f>IF('Journal'!I1558="","",'Journal'!I1558)</f>
        <v/>
      </c>
    </row>
    <row r="3115">
      <c r="A3115" s="18">
        <f>IF('Journal'!A1559="","",'Journal'!A1559)</f>
        <v/>
      </c>
      <c r="B3115" s="21">
        <f>IF('Journal'!B1559="","",'Journal'!B1559)</f>
        <v/>
      </c>
      <c r="C3115" s="5">
        <f>IF('Journal'!C1559="","",'Journal'!C1559)</f>
        <v/>
      </c>
      <c r="D3115" s="5">
        <f>IF('Journal'!D1559="","",IFERROR(LEFT('Journal'!D1559,FIND(" ",'Journal'!D1559)-1),'Journal'!D1559))</f>
        <v/>
      </c>
      <c r="E3115" s="5">
        <f>IF('Journal'!D1559="","",IFERROR(INDEX('Kontoplan'!$B$3:$B$302,MATCH('Journal'!D1559,'Kontoplan'!$H$3:$H$302,0)),""))</f>
        <v/>
      </c>
      <c r="F3115" s="20">
        <f>IF('Journal'!G1559="","",'Journal'!G1559)</f>
        <v/>
      </c>
      <c r="G3115" s="20">
        <f>IF('Journal'!F1559="","",'Journal'!F1559)</f>
        <v/>
      </c>
      <c r="H3115" s="5">
        <f>IF('Journal'!I1559="","",'Journal'!I1559)</f>
        <v/>
      </c>
    </row>
    <row r="3116">
      <c r="A3116" s="18">
        <f>IF('Journal'!A1559="","",'Journal'!A1559)</f>
        <v/>
      </c>
      <c r="B3116" s="21">
        <f>IF('Journal'!B1559="","",'Journal'!B1559)</f>
        <v/>
      </c>
      <c r="C3116" s="5">
        <f>IF('Journal'!C1559="","",'Journal'!C1559)</f>
        <v/>
      </c>
      <c r="D3116" s="5">
        <f>IF('Journal'!E1559="","",IFERROR(LEFT('Journal'!E1559,FIND(" ",'Journal'!E1559)-1),'Journal'!E1559))</f>
        <v/>
      </c>
      <c r="E3116" s="5">
        <f>IF('Journal'!E1559="","",IFERROR(INDEX('Kontoplan'!$B$3:$B$302,MATCH('Journal'!E1559,'Kontoplan'!$H$3:$H$302,0)),""))</f>
        <v/>
      </c>
      <c r="F3116" s="20">
        <f>IF('Journal'!F1559="","",'Journal'!F1559)</f>
        <v/>
      </c>
      <c r="G3116" s="20">
        <f>IF('Journal'!G1559="","",'Journal'!G1559)</f>
        <v/>
      </c>
      <c r="H3116" s="5">
        <f>IF('Journal'!I1559="","",'Journal'!I1559)</f>
        <v/>
      </c>
    </row>
    <row r="3117">
      <c r="A3117" s="18">
        <f>IF('Journal'!A1560="","",'Journal'!A1560)</f>
        <v/>
      </c>
      <c r="B3117" s="21">
        <f>IF('Journal'!B1560="","",'Journal'!B1560)</f>
        <v/>
      </c>
      <c r="C3117" s="5">
        <f>IF('Journal'!C1560="","",'Journal'!C1560)</f>
        <v/>
      </c>
      <c r="D3117" s="5">
        <f>IF('Journal'!D1560="","",IFERROR(LEFT('Journal'!D1560,FIND(" ",'Journal'!D1560)-1),'Journal'!D1560))</f>
        <v/>
      </c>
      <c r="E3117" s="5">
        <f>IF('Journal'!D1560="","",IFERROR(INDEX('Kontoplan'!$B$3:$B$302,MATCH('Journal'!D1560,'Kontoplan'!$H$3:$H$302,0)),""))</f>
        <v/>
      </c>
      <c r="F3117" s="20">
        <f>IF('Journal'!G1560="","",'Journal'!G1560)</f>
        <v/>
      </c>
      <c r="G3117" s="20">
        <f>IF('Journal'!F1560="","",'Journal'!F1560)</f>
        <v/>
      </c>
      <c r="H3117" s="5">
        <f>IF('Journal'!I1560="","",'Journal'!I1560)</f>
        <v/>
      </c>
    </row>
    <row r="3118">
      <c r="A3118" s="18">
        <f>IF('Journal'!A1560="","",'Journal'!A1560)</f>
        <v/>
      </c>
      <c r="B3118" s="21">
        <f>IF('Journal'!B1560="","",'Journal'!B1560)</f>
        <v/>
      </c>
      <c r="C3118" s="5">
        <f>IF('Journal'!C1560="","",'Journal'!C1560)</f>
        <v/>
      </c>
      <c r="D3118" s="5">
        <f>IF('Journal'!E1560="","",IFERROR(LEFT('Journal'!E1560,FIND(" ",'Journal'!E1560)-1),'Journal'!E1560))</f>
        <v/>
      </c>
      <c r="E3118" s="5">
        <f>IF('Journal'!E1560="","",IFERROR(INDEX('Kontoplan'!$B$3:$B$302,MATCH('Journal'!E1560,'Kontoplan'!$H$3:$H$302,0)),""))</f>
        <v/>
      </c>
      <c r="F3118" s="20">
        <f>IF('Journal'!F1560="","",'Journal'!F1560)</f>
        <v/>
      </c>
      <c r="G3118" s="20">
        <f>IF('Journal'!G1560="","",'Journal'!G1560)</f>
        <v/>
      </c>
      <c r="H3118" s="5">
        <f>IF('Journal'!I1560="","",'Journal'!I1560)</f>
        <v/>
      </c>
    </row>
    <row r="3119">
      <c r="A3119" s="18">
        <f>IF('Journal'!A1561="","",'Journal'!A1561)</f>
        <v/>
      </c>
      <c r="B3119" s="21">
        <f>IF('Journal'!B1561="","",'Journal'!B1561)</f>
        <v/>
      </c>
      <c r="C3119" s="5">
        <f>IF('Journal'!C1561="","",'Journal'!C1561)</f>
        <v/>
      </c>
      <c r="D3119" s="5">
        <f>IF('Journal'!D1561="","",IFERROR(LEFT('Journal'!D1561,FIND(" ",'Journal'!D1561)-1),'Journal'!D1561))</f>
        <v/>
      </c>
      <c r="E3119" s="5">
        <f>IF('Journal'!D1561="","",IFERROR(INDEX('Kontoplan'!$B$3:$B$302,MATCH('Journal'!D1561,'Kontoplan'!$H$3:$H$302,0)),""))</f>
        <v/>
      </c>
      <c r="F3119" s="20">
        <f>IF('Journal'!G1561="","",'Journal'!G1561)</f>
        <v/>
      </c>
      <c r="G3119" s="20">
        <f>IF('Journal'!F1561="","",'Journal'!F1561)</f>
        <v/>
      </c>
      <c r="H3119" s="5">
        <f>IF('Journal'!I1561="","",'Journal'!I1561)</f>
        <v/>
      </c>
    </row>
    <row r="3120">
      <c r="A3120" s="18">
        <f>IF('Journal'!A1561="","",'Journal'!A1561)</f>
        <v/>
      </c>
      <c r="B3120" s="21">
        <f>IF('Journal'!B1561="","",'Journal'!B1561)</f>
        <v/>
      </c>
      <c r="C3120" s="5">
        <f>IF('Journal'!C1561="","",'Journal'!C1561)</f>
        <v/>
      </c>
      <c r="D3120" s="5">
        <f>IF('Journal'!E1561="","",IFERROR(LEFT('Journal'!E1561,FIND(" ",'Journal'!E1561)-1),'Journal'!E1561))</f>
        <v/>
      </c>
      <c r="E3120" s="5">
        <f>IF('Journal'!E1561="","",IFERROR(INDEX('Kontoplan'!$B$3:$B$302,MATCH('Journal'!E1561,'Kontoplan'!$H$3:$H$302,0)),""))</f>
        <v/>
      </c>
      <c r="F3120" s="20">
        <f>IF('Journal'!F1561="","",'Journal'!F1561)</f>
        <v/>
      </c>
      <c r="G3120" s="20">
        <f>IF('Journal'!G1561="","",'Journal'!G1561)</f>
        <v/>
      </c>
      <c r="H3120" s="5">
        <f>IF('Journal'!I1561="","",'Journal'!I1561)</f>
        <v/>
      </c>
    </row>
    <row r="3121">
      <c r="A3121" s="18">
        <f>IF('Journal'!A1562="","",'Journal'!A1562)</f>
        <v/>
      </c>
      <c r="B3121" s="21">
        <f>IF('Journal'!B1562="","",'Journal'!B1562)</f>
        <v/>
      </c>
      <c r="C3121" s="5">
        <f>IF('Journal'!C1562="","",'Journal'!C1562)</f>
        <v/>
      </c>
      <c r="D3121" s="5">
        <f>IF('Journal'!D1562="","",IFERROR(LEFT('Journal'!D1562,FIND(" ",'Journal'!D1562)-1),'Journal'!D1562))</f>
        <v/>
      </c>
      <c r="E3121" s="5">
        <f>IF('Journal'!D1562="","",IFERROR(INDEX('Kontoplan'!$B$3:$B$302,MATCH('Journal'!D1562,'Kontoplan'!$H$3:$H$302,0)),""))</f>
        <v/>
      </c>
      <c r="F3121" s="20">
        <f>IF('Journal'!G1562="","",'Journal'!G1562)</f>
        <v/>
      </c>
      <c r="G3121" s="20">
        <f>IF('Journal'!F1562="","",'Journal'!F1562)</f>
        <v/>
      </c>
      <c r="H3121" s="5">
        <f>IF('Journal'!I1562="","",'Journal'!I1562)</f>
        <v/>
      </c>
    </row>
    <row r="3122">
      <c r="A3122" s="18">
        <f>IF('Journal'!A1562="","",'Journal'!A1562)</f>
        <v/>
      </c>
      <c r="B3122" s="21">
        <f>IF('Journal'!B1562="","",'Journal'!B1562)</f>
        <v/>
      </c>
      <c r="C3122" s="5">
        <f>IF('Journal'!C1562="","",'Journal'!C1562)</f>
        <v/>
      </c>
      <c r="D3122" s="5">
        <f>IF('Journal'!E1562="","",IFERROR(LEFT('Journal'!E1562,FIND(" ",'Journal'!E1562)-1),'Journal'!E1562))</f>
        <v/>
      </c>
      <c r="E3122" s="5">
        <f>IF('Journal'!E1562="","",IFERROR(INDEX('Kontoplan'!$B$3:$B$302,MATCH('Journal'!E1562,'Kontoplan'!$H$3:$H$302,0)),""))</f>
        <v/>
      </c>
      <c r="F3122" s="20">
        <f>IF('Journal'!F1562="","",'Journal'!F1562)</f>
        <v/>
      </c>
      <c r="G3122" s="20">
        <f>IF('Journal'!G1562="","",'Journal'!G1562)</f>
        <v/>
      </c>
      <c r="H3122" s="5">
        <f>IF('Journal'!I1562="","",'Journal'!I1562)</f>
        <v/>
      </c>
    </row>
    <row r="3123">
      <c r="A3123" s="18">
        <f>IF('Journal'!A1563="","",'Journal'!A1563)</f>
        <v/>
      </c>
      <c r="B3123" s="21">
        <f>IF('Journal'!B1563="","",'Journal'!B1563)</f>
        <v/>
      </c>
      <c r="C3123" s="5">
        <f>IF('Journal'!C1563="","",'Journal'!C1563)</f>
        <v/>
      </c>
      <c r="D3123" s="5">
        <f>IF('Journal'!D1563="","",IFERROR(LEFT('Journal'!D1563,FIND(" ",'Journal'!D1563)-1),'Journal'!D1563))</f>
        <v/>
      </c>
      <c r="E3123" s="5">
        <f>IF('Journal'!D1563="","",IFERROR(INDEX('Kontoplan'!$B$3:$B$302,MATCH('Journal'!D1563,'Kontoplan'!$H$3:$H$302,0)),""))</f>
        <v/>
      </c>
      <c r="F3123" s="20">
        <f>IF('Journal'!G1563="","",'Journal'!G1563)</f>
        <v/>
      </c>
      <c r="G3123" s="20">
        <f>IF('Journal'!F1563="","",'Journal'!F1563)</f>
        <v/>
      </c>
      <c r="H3123" s="5">
        <f>IF('Journal'!I1563="","",'Journal'!I1563)</f>
        <v/>
      </c>
    </row>
    <row r="3124">
      <c r="A3124" s="18">
        <f>IF('Journal'!A1563="","",'Journal'!A1563)</f>
        <v/>
      </c>
      <c r="B3124" s="21">
        <f>IF('Journal'!B1563="","",'Journal'!B1563)</f>
        <v/>
      </c>
      <c r="C3124" s="5">
        <f>IF('Journal'!C1563="","",'Journal'!C1563)</f>
        <v/>
      </c>
      <c r="D3124" s="5">
        <f>IF('Journal'!E1563="","",IFERROR(LEFT('Journal'!E1563,FIND(" ",'Journal'!E1563)-1),'Journal'!E1563))</f>
        <v/>
      </c>
      <c r="E3124" s="5">
        <f>IF('Journal'!E1563="","",IFERROR(INDEX('Kontoplan'!$B$3:$B$302,MATCH('Journal'!E1563,'Kontoplan'!$H$3:$H$302,0)),""))</f>
        <v/>
      </c>
      <c r="F3124" s="20">
        <f>IF('Journal'!F1563="","",'Journal'!F1563)</f>
        <v/>
      </c>
      <c r="G3124" s="20">
        <f>IF('Journal'!G1563="","",'Journal'!G1563)</f>
        <v/>
      </c>
      <c r="H3124" s="5">
        <f>IF('Journal'!I1563="","",'Journal'!I1563)</f>
        <v/>
      </c>
    </row>
    <row r="3125">
      <c r="A3125" s="18">
        <f>IF('Journal'!A1564="","",'Journal'!A1564)</f>
        <v/>
      </c>
      <c r="B3125" s="21">
        <f>IF('Journal'!B1564="","",'Journal'!B1564)</f>
        <v/>
      </c>
      <c r="C3125" s="5">
        <f>IF('Journal'!C1564="","",'Journal'!C1564)</f>
        <v/>
      </c>
      <c r="D3125" s="5">
        <f>IF('Journal'!D1564="","",IFERROR(LEFT('Journal'!D1564,FIND(" ",'Journal'!D1564)-1),'Journal'!D1564))</f>
        <v/>
      </c>
      <c r="E3125" s="5">
        <f>IF('Journal'!D1564="","",IFERROR(INDEX('Kontoplan'!$B$3:$B$302,MATCH('Journal'!D1564,'Kontoplan'!$H$3:$H$302,0)),""))</f>
        <v/>
      </c>
      <c r="F3125" s="20">
        <f>IF('Journal'!G1564="","",'Journal'!G1564)</f>
        <v/>
      </c>
      <c r="G3125" s="20">
        <f>IF('Journal'!F1564="","",'Journal'!F1564)</f>
        <v/>
      </c>
      <c r="H3125" s="5">
        <f>IF('Journal'!I1564="","",'Journal'!I1564)</f>
        <v/>
      </c>
    </row>
    <row r="3126">
      <c r="A3126" s="18">
        <f>IF('Journal'!A1564="","",'Journal'!A1564)</f>
        <v/>
      </c>
      <c r="B3126" s="21">
        <f>IF('Journal'!B1564="","",'Journal'!B1564)</f>
        <v/>
      </c>
      <c r="C3126" s="5">
        <f>IF('Journal'!C1564="","",'Journal'!C1564)</f>
        <v/>
      </c>
      <c r="D3126" s="5">
        <f>IF('Journal'!E1564="","",IFERROR(LEFT('Journal'!E1564,FIND(" ",'Journal'!E1564)-1),'Journal'!E1564))</f>
        <v/>
      </c>
      <c r="E3126" s="5">
        <f>IF('Journal'!E1564="","",IFERROR(INDEX('Kontoplan'!$B$3:$B$302,MATCH('Journal'!E1564,'Kontoplan'!$H$3:$H$302,0)),""))</f>
        <v/>
      </c>
      <c r="F3126" s="20">
        <f>IF('Journal'!F1564="","",'Journal'!F1564)</f>
        <v/>
      </c>
      <c r="G3126" s="20">
        <f>IF('Journal'!G1564="","",'Journal'!G1564)</f>
        <v/>
      </c>
      <c r="H3126" s="5">
        <f>IF('Journal'!I1564="","",'Journal'!I1564)</f>
        <v/>
      </c>
    </row>
    <row r="3127">
      <c r="A3127" s="18">
        <f>IF('Journal'!A1565="","",'Journal'!A1565)</f>
        <v/>
      </c>
      <c r="B3127" s="21">
        <f>IF('Journal'!B1565="","",'Journal'!B1565)</f>
        <v/>
      </c>
      <c r="C3127" s="5">
        <f>IF('Journal'!C1565="","",'Journal'!C1565)</f>
        <v/>
      </c>
      <c r="D3127" s="5">
        <f>IF('Journal'!D1565="","",IFERROR(LEFT('Journal'!D1565,FIND(" ",'Journal'!D1565)-1),'Journal'!D1565))</f>
        <v/>
      </c>
      <c r="E3127" s="5">
        <f>IF('Journal'!D1565="","",IFERROR(INDEX('Kontoplan'!$B$3:$B$302,MATCH('Journal'!D1565,'Kontoplan'!$H$3:$H$302,0)),""))</f>
        <v/>
      </c>
      <c r="F3127" s="20">
        <f>IF('Journal'!G1565="","",'Journal'!G1565)</f>
        <v/>
      </c>
      <c r="G3127" s="20">
        <f>IF('Journal'!F1565="","",'Journal'!F1565)</f>
        <v/>
      </c>
      <c r="H3127" s="5">
        <f>IF('Journal'!I1565="","",'Journal'!I1565)</f>
        <v/>
      </c>
    </row>
    <row r="3128">
      <c r="A3128" s="18">
        <f>IF('Journal'!A1565="","",'Journal'!A1565)</f>
        <v/>
      </c>
      <c r="B3128" s="21">
        <f>IF('Journal'!B1565="","",'Journal'!B1565)</f>
        <v/>
      </c>
      <c r="C3128" s="5">
        <f>IF('Journal'!C1565="","",'Journal'!C1565)</f>
        <v/>
      </c>
      <c r="D3128" s="5">
        <f>IF('Journal'!E1565="","",IFERROR(LEFT('Journal'!E1565,FIND(" ",'Journal'!E1565)-1),'Journal'!E1565))</f>
        <v/>
      </c>
      <c r="E3128" s="5">
        <f>IF('Journal'!E1565="","",IFERROR(INDEX('Kontoplan'!$B$3:$B$302,MATCH('Journal'!E1565,'Kontoplan'!$H$3:$H$302,0)),""))</f>
        <v/>
      </c>
      <c r="F3128" s="20">
        <f>IF('Journal'!F1565="","",'Journal'!F1565)</f>
        <v/>
      </c>
      <c r="G3128" s="20">
        <f>IF('Journal'!G1565="","",'Journal'!G1565)</f>
        <v/>
      </c>
      <c r="H3128" s="5">
        <f>IF('Journal'!I1565="","",'Journal'!I1565)</f>
        <v/>
      </c>
    </row>
    <row r="3129">
      <c r="A3129" s="18">
        <f>IF('Journal'!A1566="","",'Journal'!A1566)</f>
        <v/>
      </c>
      <c r="B3129" s="21">
        <f>IF('Journal'!B1566="","",'Journal'!B1566)</f>
        <v/>
      </c>
      <c r="C3129" s="5">
        <f>IF('Journal'!C1566="","",'Journal'!C1566)</f>
        <v/>
      </c>
      <c r="D3129" s="5">
        <f>IF('Journal'!D1566="","",IFERROR(LEFT('Journal'!D1566,FIND(" ",'Journal'!D1566)-1),'Journal'!D1566))</f>
        <v/>
      </c>
      <c r="E3129" s="5">
        <f>IF('Journal'!D1566="","",IFERROR(INDEX('Kontoplan'!$B$3:$B$302,MATCH('Journal'!D1566,'Kontoplan'!$H$3:$H$302,0)),""))</f>
        <v/>
      </c>
      <c r="F3129" s="20">
        <f>IF('Journal'!G1566="","",'Journal'!G1566)</f>
        <v/>
      </c>
      <c r="G3129" s="20">
        <f>IF('Journal'!F1566="","",'Journal'!F1566)</f>
        <v/>
      </c>
      <c r="H3129" s="5">
        <f>IF('Journal'!I1566="","",'Journal'!I1566)</f>
        <v/>
      </c>
    </row>
    <row r="3130">
      <c r="A3130" s="18">
        <f>IF('Journal'!A1566="","",'Journal'!A1566)</f>
        <v/>
      </c>
      <c r="B3130" s="21">
        <f>IF('Journal'!B1566="","",'Journal'!B1566)</f>
        <v/>
      </c>
      <c r="C3130" s="5">
        <f>IF('Journal'!C1566="","",'Journal'!C1566)</f>
        <v/>
      </c>
      <c r="D3130" s="5">
        <f>IF('Journal'!E1566="","",IFERROR(LEFT('Journal'!E1566,FIND(" ",'Journal'!E1566)-1),'Journal'!E1566))</f>
        <v/>
      </c>
      <c r="E3130" s="5">
        <f>IF('Journal'!E1566="","",IFERROR(INDEX('Kontoplan'!$B$3:$B$302,MATCH('Journal'!E1566,'Kontoplan'!$H$3:$H$302,0)),""))</f>
        <v/>
      </c>
      <c r="F3130" s="20">
        <f>IF('Journal'!F1566="","",'Journal'!F1566)</f>
        <v/>
      </c>
      <c r="G3130" s="20">
        <f>IF('Journal'!G1566="","",'Journal'!G1566)</f>
        <v/>
      </c>
      <c r="H3130" s="5">
        <f>IF('Journal'!I1566="","",'Journal'!I1566)</f>
        <v/>
      </c>
    </row>
    <row r="3131">
      <c r="A3131" s="18">
        <f>IF('Journal'!A1567="","",'Journal'!A1567)</f>
        <v/>
      </c>
      <c r="B3131" s="21">
        <f>IF('Journal'!B1567="","",'Journal'!B1567)</f>
        <v/>
      </c>
      <c r="C3131" s="5">
        <f>IF('Journal'!C1567="","",'Journal'!C1567)</f>
        <v/>
      </c>
      <c r="D3131" s="5">
        <f>IF('Journal'!D1567="","",IFERROR(LEFT('Journal'!D1567,FIND(" ",'Journal'!D1567)-1),'Journal'!D1567))</f>
        <v/>
      </c>
      <c r="E3131" s="5">
        <f>IF('Journal'!D1567="","",IFERROR(INDEX('Kontoplan'!$B$3:$B$302,MATCH('Journal'!D1567,'Kontoplan'!$H$3:$H$302,0)),""))</f>
        <v/>
      </c>
      <c r="F3131" s="20">
        <f>IF('Journal'!G1567="","",'Journal'!G1567)</f>
        <v/>
      </c>
      <c r="G3131" s="20">
        <f>IF('Journal'!F1567="","",'Journal'!F1567)</f>
        <v/>
      </c>
      <c r="H3131" s="5">
        <f>IF('Journal'!I1567="","",'Journal'!I1567)</f>
        <v/>
      </c>
    </row>
    <row r="3132">
      <c r="A3132" s="18">
        <f>IF('Journal'!A1567="","",'Journal'!A1567)</f>
        <v/>
      </c>
      <c r="B3132" s="21">
        <f>IF('Journal'!B1567="","",'Journal'!B1567)</f>
        <v/>
      </c>
      <c r="C3132" s="5">
        <f>IF('Journal'!C1567="","",'Journal'!C1567)</f>
        <v/>
      </c>
      <c r="D3132" s="5">
        <f>IF('Journal'!E1567="","",IFERROR(LEFT('Journal'!E1567,FIND(" ",'Journal'!E1567)-1),'Journal'!E1567))</f>
        <v/>
      </c>
      <c r="E3132" s="5">
        <f>IF('Journal'!E1567="","",IFERROR(INDEX('Kontoplan'!$B$3:$B$302,MATCH('Journal'!E1567,'Kontoplan'!$H$3:$H$302,0)),""))</f>
        <v/>
      </c>
      <c r="F3132" s="20">
        <f>IF('Journal'!F1567="","",'Journal'!F1567)</f>
        <v/>
      </c>
      <c r="G3132" s="20">
        <f>IF('Journal'!G1567="","",'Journal'!G1567)</f>
        <v/>
      </c>
      <c r="H3132" s="5">
        <f>IF('Journal'!I1567="","",'Journal'!I1567)</f>
        <v/>
      </c>
    </row>
    <row r="3133">
      <c r="A3133" s="18">
        <f>IF('Journal'!A1568="","",'Journal'!A1568)</f>
        <v/>
      </c>
      <c r="B3133" s="21">
        <f>IF('Journal'!B1568="","",'Journal'!B1568)</f>
        <v/>
      </c>
      <c r="C3133" s="5">
        <f>IF('Journal'!C1568="","",'Journal'!C1568)</f>
        <v/>
      </c>
      <c r="D3133" s="5">
        <f>IF('Journal'!D1568="","",IFERROR(LEFT('Journal'!D1568,FIND(" ",'Journal'!D1568)-1),'Journal'!D1568))</f>
        <v/>
      </c>
      <c r="E3133" s="5">
        <f>IF('Journal'!D1568="","",IFERROR(INDEX('Kontoplan'!$B$3:$B$302,MATCH('Journal'!D1568,'Kontoplan'!$H$3:$H$302,0)),""))</f>
        <v/>
      </c>
      <c r="F3133" s="20">
        <f>IF('Journal'!G1568="","",'Journal'!G1568)</f>
        <v/>
      </c>
      <c r="G3133" s="20">
        <f>IF('Journal'!F1568="","",'Journal'!F1568)</f>
        <v/>
      </c>
      <c r="H3133" s="5">
        <f>IF('Journal'!I1568="","",'Journal'!I1568)</f>
        <v/>
      </c>
    </row>
    <row r="3134">
      <c r="A3134" s="18">
        <f>IF('Journal'!A1568="","",'Journal'!A1568)</f>
        <v/>
      </c>
      <c r="B3134" s="21">
        <f>IF('Journal'!B1568="","",'Journal'!B1568)</f>
        <v/>
      </c>
      <c r="C3134" s="5">
        <f>IF('Journal'!C1568="","",'Journal'!C1568)</f>
        <v/>
      </c>
      <c r="D3134" s="5">
        <f>IF('Journal'!E1568="","",IFERROR(LEFT('Journal'!E1568,FIND(" ",'Journal'!E1568)-1),'Journal'!E1568))</f>
        <v/>
      </c>
      <c r="E3134" s="5">
        <f>IF('Journal'!E1568="","",IFERROR(INDEX('Kontoplan'!$B$3:$B$302,MATCH('Journal'!E1568,'Kontoplan'!$H$3:$H$302,0)),""))</f>
        <v/>
      </c>
      <c r="F3134" s="20">
        <f>IF('Journal'!F1568="","",'Journal'!F1568)</f>
        <v/>
      </c>
      <c r="G3134" s="20">
        <f>IF('Journal'!G1568="","",'Journal'!G1568)</f>
        <v/>
      </c>
      <c r="H3134" s="5">
        <f>IF('Journal'!I1568="","",'Journal'!I1568)</f>
        <v/>
      </c>
    </row>
    <row r="3135">
      <c r="A3135" s="18">
        <f>IF('Journal'!A1569="","",'Journal'!A1569)</f>
        <v/>
      </c>
      <c r="B3135" s="21">
        <f>IF('Journal'!B1569="","",'Journal'!B1569)</f>
        <v/>
      </c>
      <c r="C3135" s="5">
        <f>IF('Journal'!C1569="","",'Journal'!C1569)</f>
        <v/>
      </c>
      <c r="D3135" s="5">
        <f>IF('Journal'!D1569="","",IFERROR(LEFT('Journal'!D1569,FIND(" ",'Journal'!D1569)-1),'Journal'!D1569))</f>
        <v/>
      </c>
      <c r="E3135" s="5">
        <f>IF('Journal'!D1569="","",IFERROR(INDEX('Kontoplan'!$B$3:$B$302,MATCH('Journal'!D1569,'Kontoplan'!$H$3:$H$302,0)),""))</f>
        <v/>
      </c>
      <c r="F3135" s="20">
        <f>IF('Journal'!G1569="","",'Journal'!G1569)</f>
        <v/>
      </c>
      <c r="G3135" s="20">
        <f>IF('Journal'!F1569="","",'Journal'!F1569)</f>
        <v/>
      </c>
      <c r="H3135" s="5">
        <f>IF('Journal'!I1569="","",'Journal'!I1569)</f>
        <v/>
      </c>
    </row>
    <row r="3136">
      <c r="A3136" s="18">
        <f>IF('Journal'!A1569="","",'Journal'!A1569)</f>
        <v/>
      </c>
      <c r="B3136" s="21">
        <f>IF('Journal'!B1569="","",'Journal'!B1569)</f>
        <v/>
      </c>
      <c r="C3136" s="5">
        <f>IF('Journal'!C1569="","",'Journal'!C1569)</f>
        <v/>
      </c>
      <c r="D3136" s="5">
        <f>IF('Journal'!E1569="","",IFERROR(LEFT('Journal'!E1569,FIND(" ",'Journal'!E1569)-1),'Journal'!E1569))</f>
        <v/>
      </c>
      <c r="E3136" s="5">
        <f>IF('Journal'!E1569="","",IFERROR(INDEX('Kontoplan'!$B$3:$B$302,MATCH('Journal'!E1569,'Kontoplan'!$H$3:$H$302,0)),""))</f>
        <v/>
      </c>
      <c r="F3136" s="20">
        <f>IF('Journal'!F1569="","",'Journal'!F1569)</f>
        <v/>
      </c>
      <c r="G3136" s="20">
        <f>IF('Journal'!G1569="","",'Journal'!G1569)</f>
        <v/>
      </c>
      <c r="H3136" s="5">
        <f>IF('Journal'!I1569="","",'Journal'!I1569)</f>
        <v/>
      </c>
    </row>
    <row r="3137">
      <c r="A3137" s="18">
        <f>IF('Journal'!A1570="","",'Journal'!A1570)</f>
        <v/>
      </c>
      <c r="B3137" s="21">
        <f>IF('Journal'!B1570="","",'Journal'!B1570)</f>
        <v/>
      </c>
      <c r="C3137" s="5">
        <f>IF('Journal'!C1570="","",'Journal'!C1570)</f>
        <v/>
      </c>
      <c r="D3137" s="5">
        <f>IF('Journal'!D1570="","",IFERROR(LEFT('Journal'!D1570,FIND(" ",'Journal'!D1570)-1),'Journal'!D1570))</f>
        <v/>
      </c>
      <c r="E3137" s="5">
        <f>IF('Journal'!D1570="","",IFERROR(INDEX('Kontoplan'!$B$3:$B$302,MATCH('Journal'!D1570,'Kontoplan'!$H$3:$H$302,0)),""))</f>
        <v/>
      </c>
      <c r="F3137" s="20">
        <f>IF('Journal'!G1570="","",'Journal'!G1570)</f>
        <v/>
      </c>
      <c r="G3137" s="20">
        <f>IF('Journal'!F1570="","",'Journal'!F1570)</f>
        <v/>
      </c>
      <c r="H3137" s="5">
        <f>IF('Journal'!I1570="","",'Journal'!I1570)</f>
        <v/>
      </c>
    </row>
    <row r="3138">
      <c r="A3138" s="18">
        <f>IF('Journal'!A1570="","",'Journal'!A1570)</f>
        <v/>
      </c>
      <c r="B3138" s="21">
        <f>IF('Journal'!B1570="","",'Journal'!B1570)</f>
        <v/>
      </c>
      <c r="C3138" s="5">
        <f>IF('Journal'!C1570="","",'Journal'!C1570)</f>
        <v/>
      </c>
      <c r="D3138" s="5">
        <f>IF('Journal'!E1570="","",IFERROR(LEFT('Journal'!E1570,FIND(" ",'Journal'!E1570)-1),'Journal'!E1570))</f>
        <v/>
      </c>
      <c r="E3138" s="5">
        <f>IF('Journal'!E1570="","",IFERROR(INDEX('Kontoplan'!$B$3:$B$302,MATCH('Journal'!E1570,'Kontoplan'!$H$3:$H$302,0)),""))</f>
        <v/>
      </c>
      <c r="F3138" s="20">
        <f>IF('Journal'!F1570="","",'Journal'!F1570)</f>
        <v/>
      </c>
      <c r="G3138" s="20">
        <f>IF('Journal'!G1570="","",'Journal'!G1570)</f>
        <v/>
      </c>
      <c r="H3138" s="5">
        <f>IF('Journal'!I1570="","",'Journal'!I1570)</f>
        <v/>
      </c>
    </row>
    <row r="3139">
      <c r="A3139" s="18">
        <f>IF('Journal'!A1571="","",'Journal'!A1571)</f>
        <v/>
      </c>
      <c r="B3139" s="21">
        <f>IF('Journal'!B1571="","",'Journal'!B1571)</f>
        <v/>
      </c>
      <c r="C3139" s="5">
        <f>IF('Journal'!C1571="","",'Journal'!C1571)</f>
        <v/>
      </c>
      <c r="D3139" s="5">
        <f>IF('Journal'!D1571="","",IFERROR(LEFT('Journal'!D1571,FIND(" ",'Journal'!D1571)-1),'Journal'!D1571))</f>
        <v/>
      </c>
      <c r="E3139" s="5">
        <f>IF('Journal'!D1571="","",IFERROR(INDEX('Kontoplan'!$B$3:$B$302,MATCH('Journal'!D1571,'Kontoplan'!$H$3:$H$302,0)),""))</f>
        <v/>
      </c>
      <c r="F3139" s="20">
        <f>IF('Journal'!G1571="","",'Journal'!G1571)</f>
        <v/>
      </c>
      <c r="G3139" s="20">
        <f>IF('Journal'!F1571="","",'Journal'!F1571)</f>
        <v/>
      </c>
      <c r="H3139" s="5">
        <f>IF('Journal'!I1571="","",'Journal'!I1571)</f>
        <v/>
      </c>
    </row>
    <row r="3140">
      <c r="A3140" s="18">
        <f>IF('Journal'!A1571="","",'Journal'!A1571)</f>
        <v/>
      </c>
      <c r="B3140" s="21">
        <f>IF('Journal'!B1571="","",'Journal'!B1571)</f>
        <v/>
      </c>
      <c r="C3140" s="5">
        <f>IF('Journal'!C1571="","",'Journal'!C1571)</f>
        <v/>
      </c>
      <c r="D3140" s="5">
        <f>IF('Journal'!E1571="","",IFERROR(LEFT('Journal'!E1571,FIND(" ",'Journal'!E1571)-1),'Journal'!E1571))</f>
        <v/>
      </c>
      <c r="E3140" s="5">
        <f>IF('Journal'!E1571="","",IFERROR(INDEX('Kontoplan'!$B$3:$B$302,MATCH('Journal'!E1571,'Kontoplan'!$H$3:$H$302,0)),""))</f>
        <v/>
      </c>
      <c r="F3140" s="20">
        <f>IF('Journal'!F1571="","",'Journal'!F1571)</f>
        <v/>
      </c>
      <c r="G3140" s="20">
        <f>IF('Journal'!G1571="","",'Journal'!G1571)</f>
        <v/>
      </c>
      <c r="H3140" s="5">
        <f>IF('Journal'!I1571="","",'Journal'!I1571)</f>
        <v/>
      </c>
    </row>
    <row r="3141">
      <c r="A3141" s="18">
        <f>IF('Journal'!A1572="","",'Journal'!A1572)</f>
        <v/>
      </c>
      <c r="B3141" s="21">
        <f>IF('Journal'!B1572="","",'Journal'!B1572)</f>
        <v/>
      </c>
      <c r="C3141" s="5">
        <f>IF('Journal'!C1572="","",'Journal'!C1572)</f>
        <v/>
      </c>
      <c r="D3141" s="5">
        <f>IF('Journal'!D1572="","",IFERROR(LEFT('Journal'!D1572,FIND(" ",'Journal'!D1572)-1),'Journal'!D1572))</f>
        <v/>
      </c>
      <c r="E3141" s="5">
        <f>IF('Journal'!D1572="","",IFERROR(INDEX('Kontoplan'!$B$3:$B$302,MATCH('Journal'!D1572,'Kontoplan'!$H$3:$H$302,0)),""))</f>
        <v/>
      </c>
      <c r="F3141" s="20">
        <f>IF('Journal'!G1572="","",'Journal'!G1572)</f>
        <v/>
      </c>
      <c r="G3141" s="20">
        <f>IF('Journal'!F1572="","",'Journal'!F1572)</f>
        <v/>
      </c>
      <c r="H3141" s="5">
        <f>IF('Journal'!I1572="","",'Journal'!I1572)</f>
        <v/>
      </c>
    </row>
    <row r="3142">
      <c r="A3142" s="18">
        <f>IF('Journal'!A1572="","",'Journal'!A1572)</f>
        <v/>
      </c>
      <c r="B3142" s="21">
        <f>IF('Journal'!B1572="","",'Journal'!B1572)</f>
        <v/>
      </c>
      <c r="C3142" s="5">
        <f>IF('Journal'!C1572="","",'Journal'!C1572)</f>
        <v/>
      </c>
      <c r="D3142" s="5">
        <f>IF('Journal'!E1572="","",IFERROR(LEFT('Journal'!E1572,FIND(" ",'Journal'!E1572)-1),'Journal'!E1572))</f>
        <v/>
      </c>
      <c r="E3142" s="5">
        <f>IF('Journal'!E1572="","",IFERROR(INDEX('Kontoplan'!$B$3:$B$302,MATCH('Journal'!E1572,'Kontoplan'!$H$3:$H$302,0)),""))</f>
        <v/>
      </c>
      <c r="F3142" s="20">
        <f>IF('Journal'!F1572="","",'Journal'!F1572)</f>
        <v/>
      </c>
      <c r="G3142" s="20">
        <f>IF('Journal'!G1572="","",'Journal'!G1572)</f>
        <v/>
      </c>
      <c r="H3142" s="5">
        <f>IF('Journal'!I1572="","",'Journal'!I1572)</f>
        <v/>
      </c>
    </row>
    <row r="3143">
      <c r="A3143" s="18">
        <f>IF('Journal'!A1573="","",'Journal'!A1573)</f>
        <v/>
      </c>
      <c r="B3143" s="21">
        <f>IF('Journal'!B1573="","",'Journal'!B1573)</f>
        <v/>
      </c>
      <c r="C3143" s="5">
        <f>IF('Journal'!C1573="","",'Journal'!C1573)</f>
        <v/>
      </c>
      <c r="D3143" s="5">
        <f>IF('Journal'!D1573="","",IFERROR(LEFT('Journal'!D1573,FIND(" ",'Journal'!D1573)-1),'Journal'!D1573))</f>
        <v/>
      </c>
      <c r="E3143" s="5">
        <f>IF('Journal'!D1573="","",IFERROR(INDEX('Kontoplan'!$B$3:$B$302,MATCH('Journal'!D1573,'Kontoplan'!$H$3:$H$302,0)),""))</f>
        <v/>
      </c>
      <c r="F3143" s="20">
        <f>IF('Journal'!G1573="","",'Journal'!G1573)</f>
        <v/>
      </c>
      <c r="G3143" s="20">
        <f>IF('Journal'!F1573="","",'Journal'!F1573)</f>
        <v/>
      </c>
      <c r="H3143" s="5">
        <f>IF('Journal'!I1573="","",'Journal'!I1573)</f>
        <v/>
      </c>
    </row>
    <row r="3144">
      <c r="A3144" s="18">
        <f>IF('Journal'!A1573="","",'Journal'!A1573)</f>
        <v/>
      </c>
      <c r="B3144" s="21">
        <f>IF('Journal'!B1573="","",'Journal'!B1573)</f>
        <v/>
      </c>
      <c r="C3144" s="5">
        <f>IF('Journal'!C1573="","",'Journal'!C1573)</f>
        <v/>
      </c>
      <c r="D3144" s="5">
        <f>IF('Journal'!E1573="","",IFERROR(LEFT('Journal'!E1573,FIND(" ",'Journal'!E1573)-1),'Journal'!E1573))</f>
        <v/>
      </c>
      <c r="E3144" s="5">
        <f>IF('Journal'!E1573="","",IFERROR(INDEX('Kontoplan'!$B$3:$B$302,MATCH('Journal'!E1573,'Kontoplan'!$H$3:$H$302,0)),""))</f>
        <v/>
      </c>
      <c r="F3144" s="20">
        <f>IF('Journal'!F1573="","",'Journal'!F1573)</f>
        <v/>
      </c>
      <c r="G3144" s="20">
        <f>IF('Journal'!G1573="","",'Journal'!G1573)</f>
        <v/>
      </c>
      <c r="H3144" s="5">
        <f>IF('Journal'!I1573="","",'Journal'!I1573)</f>
        <v/>
      </c>
    </row>
    <row r="3145">
      <c r="A3145" s="18">
        <f>IF('Journal'!A1574="","",'Journal'!A1574)</f>
        <v/>
      </c>
      <c r="B3145" s="21">
        <f>IF('Journal'!B1574="","",'Journal'!B1574)</f>
        <v/>
      </c>
      <c r="C3145" s="5">
        <f>IF('Journal'!C1574="","",'Journal'!C1574)</f>
        <v/>
      </c>
      <c r="D3145" s="5">
        <f>IF('Journal'!D1574="","",IFERROR(LEFT('Journal'!D1574,FIND(" ",'Journal'!D1574)-1),'Journal'!D1574))</f>
        <v/>
      </c>
      <c r="E3145" s="5">
        <f>IF('Journal'!D1574="","",IFERROR(INDEX('Kontoplan'!$B$3:$B$302,MATCH('Journal'!D1574,'Kontoplan'!$H$3:$H$302,0)),""))</f>
        <v/>
      </c>
      <c r="F3145" s="20">
        <f>IF('Journal'!G1574="","",'Journal'!G1574)</f>
        <v/>
      </c>
      <c r="G3145" s="20">
        <f>IF('Journal'!F1574="","",'Journal'!F1574)</f>
        <v/>
      </c>
      <c r="H3145" s="5">
        <f>IF('Journal'!I1574="","",'Journal'!I1574)</f>
        <v/>
      </c>
    </row>
    <row r="3146">
      <c r="A3146" s="18">
        <f>IF('Journal'!A1574="","",'Journal'!A1574)</f>
        <v/>
      </c>
      <c r="B3146" s="21">
        <f>IF('Journal'!B1574="","",'Journal'!B1574)</f>
        <v/>
      </c>
      <c r="C3146" s="5">
        <f>IF('Journal'!C1574="","",'Journal'!C1574)</f>
        <v/>
      </c>
      <c r="D3146" s="5">
        <f>IF('Journal'!E1574="","",IFERROR(LEFT('Journal'!E1574,FIND(" ",'Journal'!E1574)-1),'Journal'!E1574))</f>
        <v/>
      </c>
      <c r="E3146" s="5">
        <f>IF('Journal'!E1574="","",IFERROR(INDEX('Kontoplan'!$B$3:$B$302,MATCH('Journal'!E1574,'Kontoplan'!$H$3:$H$302,0)),""))</f>
        <v/>
      </c>
      <c r="F3146" s="20">
        <f>IF('Journal'!F1574="","",'Journal'!F1574)</f>
        <v/>
      </c>
      <c r="G3146" s="20">
        <f>IF('Journal'!G1574="","",'Journal'!G1574)</f>
        <v/>
      </c>
      <c r="H3146" s="5">
        <f>IF('Journal'!I1574="","",'Journal'!I1574)</f>
        <v/>
      </c>
    </row>
    <row r="3147">
      <c r="A3147" s="18">
        <f>IF('Journal'!A1575="","",'Journal'!A1575)</f>
        <v/>
      </c>
      <c r="B3147" s="21">
        <f>IF('Journal'!B1575="","",'Journal'!B1575)</f>
        <v/>
      </c>
      <c r="C3147" s="5">
        <f>IF('Journal'!C1575="","",'Journal'!C1575)</f>
        <v/>
      </c>
      <c r="D3147" s="5">
        <f>IF('Journal'!D1575="","",IFERROR(LEFT('Journal'!D1575,FIND(" ",'Journal'!D1575)-1),'Journal'!D1575))</f>
        <v/>
      </c>
      <c r="E3147" s="5">
        <f>IF('Journal'!D1575="","",IFERROR(INDEX('Kontoplan'!$B$3:$B$302,MATCH('Journal'!D1575,'Kontoplan'!$H$3:$H$302,0)),""))</f>
        <v/>
      </c>
      <c r="F3147" s="20">
        <f>IF('Journal'!G1575="","",'Journal'!G1575)</f>
        <v/>
      </c>
      <c r="G3147" s="20">
        <f>IF('Journal'!F1575="","",'Journal'!F1575)</f>
        <v/>
      </c>
      <c r="H3147" s="5">
        <f>IF('Journal'!I1575="","",'Journal'!I1575)</f>
        <v/>
      </c>
    </row>
    <row r="3148">
      <c r="A3148" s="18">
        <f>IF('Journal'!A1575="","",'Journal'!A1575)</f>
        <v/>
      </c>
      <c r="B3148" s="21">
        <f>IF('Journal'!B1575="","",'Journal'!B1575)</f>
        <v/>
      </c>
      <c r="C3148" s="5">
        <f>IF('Journal'!C1575="","",'Journal'!C1575)</f>
        <v/>
      </c>
      <c r="D3148" s="5">
        <f>IF('Journal'!E1575="","",IFERROR(LEFT('Journal'!E1575,FIND(" ",'Journal'!E1575)-1),'Journal'!E1575))</f>
        <v/>
      </c>
      <c r="E3148" s="5">
        <f>IF('Journal'!E1575="","",IFERROR(INDEX('Kontoplan'!$B$3:$B$302,MATCH('Journal'!E1575,'Kontoplan'!$H$3:$H$302,0)),""))</f>
        <v/>
      </c>
      <c r="F3148" s="20">
        <f>IF('Journal'!F1575="","",'Journal'!F1575)</f>
        <v/>
      </c>
      <c r="G3148" s="20">
        <f>IF('Journal'!G1575="","",'Journal'!G1575)</f>
        <v/>
      </c>
      <c r="H3148" s="5">
        <f>IF('Journal'!I1575="","",'Journal'!I1575)</f>
        <v/>
      </c>
    </row>
    <row r="3149">
      <c r="A3149" s="18">
        <f>IF('Journal'!A1576="","",'Journal'!A1576)</f>
        <v/>
      </c>
      <c r="B3149" s="21">
        <f>IF('Journal'!B1576="","",'Journal'!B1576)</f>
        <v/>
      </c>
      <c r="C3149" s="5">
        <f>IF('Journal'!C1576="","",'Journal'!C1576)</f>
        <v/>
      </c>
      <c r="D3149" s="5">
        <f>IF('Journal'!D1576="","",IFERROR(LEFT('Journal'!D1576,FIND(" ",'Journal'!D1576)-1),'Journal'!D1576))</f>
        <v/>
      </c>
      <c r="E3149" s="5">
        <f>IF('Journal'!D1576="","",IFERROR(INDEX('Kontoplan'!$B$3:$B$302,MATCH('Journal'!D1576,'Kontoplan'!$H$3:$H$302,0)),""))</f>
        <v/>
      </c>
      <c r="F3149" s="20">
        <f>IF('Journal'!G1576="","",'Journal'!G1576)</f>
        <v/>
      </c>
      <c r="G3149" s="20">
        <f>IF('Journal'!F1576="","",'Journal'!F1576)</f>
        <v/>
      </c>
      <c r="H3149" s="5">
        <f>IF('Journal'!I1576="","",'Journal'!I1576)</f>
        <v/>
      </c>
    </row>
    <row r="3150">
      <c r="A3150" s="18">
        <f>IF('Journal'!A1576="","",'Journal'!A1576)</f>
        <v/>
      </c>
      <c r="B3150" s="21">
        <f>IF('Journal'!B1576="","",'Journal'!B1576)</f>
        <v/>
      </c>
      <c r="C3150" s="5">
        <f>IF('Journal'!C1576="","",'Journal'!C1576)</f>
        <v/>
      </c>
      <c r="D3150" s="5">
        <f>IF('Journal'!E1576="","",IFERROR(LEFT('Journal'!E1576,FIND(" ",'Journal'!E1576)-1),'Journal'!E1576))</f>
        <v/>
      </c>
      <c r="E3150" s="5">
        <f>IF('Journal'!E1576="","",IFERROR(INDEX('Kontoplan'!$B$3:$B$302,MATCH('Journal'!E1576,'Kontoplan'!$H$3:$H$302,0)),""))</f>
        <v/>
      </c>
      <c r="F3150" s="20">
        <f>IF('Journal'!F1576="","",'Journal'!F1576)</f>
        <v/>
      </c>
      <c r="G3150" s="20">
        <f>IF('Journal'!G1576="","",'Journal'!G1576)</f>
        <v/>
      </c>
      <c r="H3150" s="5">
        <f>IF('Journal'!I1576="","",'Journal'!I1576)</f>
        <v/>
      </c>
    </row>
    <row r="3151">
      <c r="A3151" s="18">
        <f>IF('Journal'!A1577="","",'Journal'!A1577)</f>
        <v/>
      </c>
      <c r="B3151" s="21">
        <f>IF('Journal'!B1577="","",'Journal'!B1577)</f>
        <v/>
      </c>
      <c r="C3151" s="5">
        <f>IF('Journal'!C1577="","",'Journal'!C1577)</f>
        <v/>
      </c>
      <c r="D3151" s="5">
        <f>IF('Journal'!D1577="","",IFERROR(LEFT('Journal'!D1577,FIND(" ",'Journal'!D1577)-1),'Journal'!D1577))</f>
        <v/>
      </c>
      <c r="E3151" s="5">
        <f>IF('Journal'!D1577="","",IFERROR(INDEX('Kontoplan'!$B$3:$B$302,MATCH('Journal'!D1577,'Kontoplan'!$H$3:$H$302,0)),""))</f>
        <v/>
      </c>
      <c r="F3151" s="20">
        <f>IF('Journal'!G1577="","",'Journal'!G1577)</f>
        <v/>
      </c>
      <c r="G3151" s="20">
        <f>IF('Journal'!F1577="","",'Journal'!F1577)</f>
        <v/>
      </c>
      <c r="H3151" s="5">
        <f>IF('Journal'!I1577="","",'Journal'!I1577)</f>
        <v/>
      </c>
    </row>
    <row r="3152">
      <c r="A3152" s="18">
        <f>IF('Journal'!A1577="","",'Journal'!A1577)</f>
        <v/>
      </c>
      <c r="B3152" s="21">
        <f>IF('Journal'!B1577="","",'Journal'!B1577)</f>
        <v/>
      </c>
      <c r="C3152" s="5">
        <f>IF('Journal'!C1577="","",'Journal'!C1577)</f>
        <v/>
      </c>
      <c r="D3152" s="5">
        <f>IF('Journal'!E1577="","",IFERROR(LEFT('Journal'!E1577,FIND(" ",'Journal'!E1577)-1),'Journal'!E1577))</f>
        <v/>
      </c>
      <c r="E3152" s="5">
        <f>IF('Journal'!E1577="","",IFERROR(INDEX('Kontoplan'!$B$3:$B$302,MATCH('Journal'!E1577,'Kontoplan'!$H$3:$H$302,0)),""))</f>
        <v/>
      </c>
      <c r="F3152" s="20">
        <f>IF('Journal'!F1577="","",'Journal'!F1577)</f>
        <v/>
      </c>
      <c r="G3152" s="20">
        <f>IF('Journal'!G1577="","",'Journal'!G1577)</f>
        <v/>
      </c>
      <c r="H3152" s="5">
        <f>IF('Journal'!I1577="","",'Journal'!I1577)</f>
        <v/>
      </c>
    </row>
    <row r="3153">
      <c r="A3153" s="18">
        <f>IF('Journal'!A1578="","",'Journal'!A1578)</f>
        <v/>
      </c>
      <c r="B3153" s="21">
        <f>IF('Journal'!B1578="","",'Journal'!B1578)</f>
        <v/>
      </c>
      <c r="C3153" s="5">
        <f>IF('Journal'!C1578="","",'Journal'!C1578)</f>
        <v/>
      </c>
      <c r="D3153" s="5">
        <f>IF('Journal'!D1578="","",IFERROR(LEFT('Journal'!D1578,FIND(" ",'Journal'!D1578)-1),'Journal'!D1578))</f>
        <v/>
      </c>
      <c r="E3153" s="5">
        <f>IF('Journal'!D1578="","",IFERROR(INDEX('Kontoplan'!$B$3:$B$302,MATCH('Journal'!D1578,'Kontoplan'!$H$3:$H$302,0)),""))</f>
        <v/>
      </c>
      <c r="F3153" s="20">
        <f>IF('Journal'!G1578="","",'Journal'!G1578)</f>
        <v/>
      </c>
      <c r="G3153" s="20">
        <f>IF('Journal'!F1578="","",'Journal'!F1578)</f>
        <v/>
      </c>
      <c r="H3153" s="5">
        <f>IF('Journal'!I1578="","",'Journal'!I1578)</f>
        <v/>
      </c>
    </row>
    <row r="3154">
      <c r="A3154" s="18">
        <f>IF('Journal'!A1578="","",'Journal'!A1578)</f>
        <v/>
      </c>
      <c r="B3154" s="21">
        <f>IF('Journal'!B1578="","",'Journal'!B1578)</f>
        <v/>
      </c>
      <c r="C3154" s="5">
        <f>IF('Journal'!C1578="","",'Journal'!C1578)</f>
        <v/>
      </c>
      <c r="D3154" s="5">
        <f>IF('Journal'!E1578="","",IFERROR(LEFT('Journal'!E1578,FIND(" ",'Journal'!E1578)-1),'Journal'!E1578))</f>
        <v/>
      </c>
      <c r="E3154" s="5">
        <f>IF('Journal'!E1578="","",IFERROR(INDEX('Kontoplan'!$B$3:$B$302,MATCH('Journal'!E1578,'Kontoplan'!$H$3:$H$302,0)),""))</f>
        <v/>
      </c>
      <c r="F3154" s="20">
        <f>IF('Journal'!F1578="","",'Journal'!F1578)</f>
        <v/>
      </c>
      <c r="G3154" s="20">
        <f>IF('Journal'!G1578="","",'Journal'!G1578)</f>
        <v/>
      </c>
      <c r="H3154" s="5">
        <f>IF('Journal'!I1578="","",'Journal'!I1578)</f>
        <v/>
      </c>
    </row>
    <row r="3155">
      <c r="A3155" s="18">
        <f>IF('Journal'!A1579="","",'Journal'!A1579)</f>
        <v/>
      </c>
      <c r="B3155" s="21">
        <f>IF('Journal'!B1579="","",'Journal'!B1579)</f>
        <v/>
      </c>
      <c r="C3155" s="5">
        <f>IF('Journal'!C1579="","",'Journal'!C1579)</f>
        <v/>
      </c>
      <c r="D3155" s="5">
        <f>IF('Journal'!D1579="","",IFERROR(LEFT('Journal'!D1579,FIND(" ",'Journal'!D1579)-1),'Journal'!D1579))</f>
        <v/>
      </c>
      <c r="E3155" s="5">
        <f>IF('Journal'!D1579="","",IFERROR(INDEX('Kontoplan'!$B$3:$B$302,MATCH('Journal'!D1579,'Kontoplan'!$H$3:$H$302,0)),""))</f>
        <v/>
      </c>
      <c r="F3155" s="20">
        <f>IF('Journal'!G1579="","",'Journal'!G1579)</f>
        <v/>
      </c>
      <c r="G3155" s="20">
        <f>IF('Journal'!F1579="","",'Journal'!F1579)</f>
        <v/>
      </c>
      <c r="H3155" s="5">
        <f>IF('Journal'!I1579="","",'Journal'!I1579)</f>
        <v/>
      </c>
    </row>
    <row r="3156">
      <c r="A3156" s="18">
        <f>IF('Journal'!A1579="","",'Journal'!A1579)</f>
        <v/>
      </c>
      <c r="B3156" s="21">
        <f>IF('Journal'!B1579="","",'Journal'!B1579)</f>
        <v/>
      </c>
      <c r="C3156" s="5">
        <f>IF('Journal'!C1579="","",'Journal'!C1579)</f>
        <v/>
      </c>
      <c r="D3156" s="5">
        <f>IF('Journal'!E1579="","",IFERROR(LEFT('Journal'!E1579,FIND(" ",'Journal'!E1579)-1),'Journal'!E1579))</f>
        <v/>
      </c>
      <c r="E3156" s="5">
        <f>IF('Journal'!E1579="","",IFERROR(INDEX('Kontoplan'!$B$3:$B$302,MATCH('Journal'!E1579,'Kontoplan'!$H$3:$H$302,0)),""))</f>
        <v/>
      </c>
      <c r="F3156" s="20">
        <f>IF('Journal'!F1579="","",'Journal'!F1579)</f>
        <v/>
      </c>
      <c r="G3156" s="20">
        <f>IF('Journal'!G1579="","",'Journal'!G1579)</f>
        <v/>
      </c>
      <c r="H3156" s="5">
        <f>IF('Journal'!I1579="","",'Journal'!I1579)</f>
        <v/>
      </c>
    </row>
    <row r="3157">
      <c r="A3157" s="18">
        <f>IF('Journal'!A1580="","",'Journal'!A1580)</f>
        <v/>
      </c>
      <c r="B3157" s="21">
        <f>IF('Journal'!B1580="","",'Journal'!B1580)</f>
        <v/>
      </c>
      <c r="C3157" s="5">
        <f>IF('Journal'!C1580="","",'Journal'!C1580)</f>
        <v/>
      </c>
      <c r="D3157" s="5">
        <f>IF('Journal'!D1580="","",IFERROR(LEFT('Journal'!D1580,FIND(" ",'Journal'!D1580)-1),'Journal'!D1580))</f>
        <v/>
      </c>
      <c r="E3157" s="5">
        <f>IF('Journal'!D1580="","",IFERROR(INDEX('Kontoplan'!$B$3:$B$302,MATCH('Journal'!D1580,'Kontoplan'!$H$3:$H$302,0)),""))</f>
        <v/>
      </c>
      <c r="F3157" s="20">
        <f>IF('Journal'!G1580="","",'Journal'!G1580)</f>
        <v/>
      </c>
      <c r="G3157" s="20">
        <f>IF('Journal'!F1580="","",'Journal'!F1580)</f>
        <v/>
      </c>
      <c r="H3157" s="5">
        <f>IF('Journal'!I1580="","",'Journal'!I1580)</f>
        <v/>
      </c>
    </row>
    <row r="3158">
      <c r="A3158" s="18">
        <f>IF('Journal'!A1580="","",'Journal'!A1580)</f>
        <v/>
      </c>
      <c r="B3158" s="21">
        <f>IF('Journal'!B1580="","",'Journal'!B1580)</f>
        <v/>
      </c>
      <c r="C3158" s="5">
        <f>IF('Journal'!C1580="","",'Journal'!C1580)</f>
        <v/>
      </c>
      <c r="D3158" s="5">
        <f>IF('Journal'!E1580="","",IFERROR(LEFT('Journal'!E1580,FIND(" ",'Journal'!E1580)-1),'Journal'!E1580))</f>
        <v/>
      </c>
      <c r="E3158" s="5">
        <f>IF('Journal'!E1580="","",IFERROR(INDEX('Kontoplan'!$B$3:$B$302,MATCH('Journal'!E1580,'Kontoplan'!$H$3:$H$302,0)),""))</f>
        <v/>
      </c>
      <c r="F3158" s="20">
        <f>IF('Journal'!F1580="","",'Journal'!F1580)</f>
        <v/>
      </c>
      <c r="G3158" s="20">
        <f>IF('Journal'!G1580="","",'Journal'!G1580)</f>
        <v/>
      </c>
      <c r="H3158" s="5">
        <f>IF('Journal'!I1580="","",'Journal'!I1580)</f>
        <v/>
      </c>
    </row>
    <row r="3159">
      <c r="A3159" s="18">
        <f>IF('Journal'!A1581="","",'Journal'!A1581)</f>
        <v/>
      </c>
      <c r="B3159" s="21">
        <f>IF('Journal'!B1581="","",'Journal'!B1581)</f>
        <v/>
      </c>
      <c r="C3159" s="5">
        <f>IF('Journal'!C1581="","",'Journal'!C1581)</f>
        <v/>
      </c>
      <c r="D3159" s="5">
        <f>IF('Journal'!D1581="","",IFERROR(LEFT('Journal'!D1581,FIND(" ",'Journal'!D1581)-1),'Journal'!D1581))</f>
        <v/>
      </c>
      <c r="E3159" s="5">
        <f>IF('Journal'!D1581="","",IFERROR(INDEX('Kontoplan'!$B$3:$B$302,MATCH('Journal'!D1581,'Kontoplan'!$H$3:$H$302,0)),""))</f>
        <v/>
      </c>
      <c r="F3159" s="20">
        <f>IF('Journal'!G1581="","",'Journal'!G1581)</f>
        <v/>
      </c>
      <c r="G3159" s="20">
        <f>IF('Journal'!F1581="","",'Journal'!F1581)</f>
        <v/>
      </c>
      <c r="H3159" s="5">
        <f>IF('Journal'!I1581="","",'Journal'!I1581)</f>
        <v/>
      </c>
    </row>
    <row r="3160">
      <c r="A3160" s="18">
        <f>IF('Journal'!A1581="","",'Journal'!A1581)</f>
        <v/>
      </c>
      <c r="B3160" s="21">
        <f>IF('Journal'!B1581="","",'Journal'!B1581)</f>
        <v/>
      </c>
      <c r="C3160" s="5">
        <f>IF('Journal'!C1581="","",'Journal'!C1581)</f>
        <v/>
      </c>
      <c r="D3160" s="5">
        <f>IF('Journal'!E1581="","",IFERROR(LEFT('Journal'!E1581,FIND(" ",'Journal'!E1581)-1),'Journal'!E1581))</f>
        <v/>
      </c>
      <c r="E3160" s="5">
        <f>IF('Journal'!E1581="","",IFERROR(INDEX('Kontoplan'!$B$3:$B$302,MATCH('Journal'!E1581,'Kontoplan'!$H$3:$H$302,0)),""))</f>
        <v/>
      </c>
      <c r="F3160" s="20">
        <f>IF('Journal'!F1581="","",'Journal'!F1581)</f>
        <v/>
      </c>
      <c r="G3160" s="20">
        <f>IF('Journal'!G1581="","",'Journal'!G1581)</f>
        <v/>
      </c>
      <c r="H3160" s="5">
        <f>IF('Journal'!I1581="","",'Journal'!I1581)</f>
        <v/>
      </c>
    </row>
    <row r="3161">
      <c r="A3161" s="18">
        <f>IF('Journal'!A1582="","",'Journal'!A1582)</f>
        <v/>
      </c>
      <c r="B3161" s="21">
        <f>IF('Journal'!B1582="","",'Journal'!B1582)</f>
        <v/>
      </c>
      <c r="C3161" s="5">
        <f>IF('Journal'!C1582="","",'Journal'!C1582)</f>
        <v/>
      </c>
      <c r="D3161" s="5">
        <f>IF('Journal'!D1582="","",IFERROR(LEFT('Journal'!D1582,FIND(" ",'Journal'!D1582)-1),'Journal'!D1582))</f>
        <v/>
      </c>
      <c r="E3161" s="5">
        <f>IF('Journal'!D1582="","",IFERROR(INDEX('Kontoplan'!$B$3:$B$302,MATCH('Journal'!D1582,'Kontoplan'!$H$3:$H$302,0)),""))</f>
        <v/>
      </c>
      <c r="F3161" s="20">
        <f>IF('Journal'!G1582="","",'Journal'!G1582)</f>
        <v/>
      </c>
      <c r="G3161" s="20">
        <f>IF('Journal'!F1582="","",'Journal'!F1582)</f>
        <v/>
      </c>
      <c r="H3161" s="5">
        <f>IF('Journal'!I1582="","",'Journal'!I1582)</f>
        <v/>
      </c>
    </row>
    <row r="3162">
      <c r="A3162" s="18">
        <f>IF('Journal'!A1582="","",'Journal'!A1582)</f>
        <v/>
      </c>
      <c r="B3162" s="21">
        <f>IF('Journal'!B1582="","",'Journal'!B1582)</f>
        <v/>
      </c>
      <c r="C3162" s="5">
        <f>IF('Journal'!C1582="","",'Journal'!C1582)</f>
        <v/>
      </c>
      <c r="D3162" s="5">
        <f>IF('Journal'!E1582="","",IFERROR(LEFT('Journal'!E1582,FIND(" ",'Journal'!E1582)-1),'Journal'!E1582))</f>
        <v/>
      </c>
      <c r="E3162" s="5">
        <f>IF('Journal'!E1582="","",IFERROR(INDEX('Kontoplan'!$B$3:$B$302,MATCH('Journal'!E1582,'Kontoplan'!$H$3:$H$302,0)),""))</f>
        <v/>
      </c>
      <c r="F3162" s="20">
        <f>IF('Journal'!F1582="","",'Journal'!F1582)</f>
        <v/>
      </c>
      <c r="G3162" s="20">
        <f>IF('Journal'!G1582="","",'Journal'!G1582)</f>
        <v/>
      </c>
      <c r="H3162" s="5">
        <f>IF('Journal'!I1582="","",'Journal'!I1582)</f>
        <v/>
      </c>
    </row>
    <row r="3163">
      <c r="A3163" s="18">
        <f>IF('Journal'!A1583="","",'Journal'!A1583)</f>
        <v/>
      </c>
      <c r="B3163" s="21">
        <f>IF('Journal'!B1583="","",'Journal'!B1583)</f>
        <v/>
      </c>
      <c r="C3163" s="5">
        <f>IF('Journal'!C1583="","",'Journal'!C1583)</f>
        <v/>
      </c>
      <c r="D3163" s="5">
        <f>IF('Journal'!D1583="","",IFERROR(LEFT('Journal'!D1583,FIND(" ",'Journal'!D1583)-1),'Journal'!D1583))</f>
        <v/>
      </c>
      <c r="E3163" s="5">
        <f>IF('Journal'!D1583="","",IFERROR(INDEX('Kontoplan'!$B$3:$B$302,MATCH('Journal'!D1583,'Kontoplan'!$H$3:$H$302,0)),""))</f>
        <v/>
      </c>
      <c r="F3163" s="20">
        <f>IF('Journal'!G1583="","",'Journal'!G1583)</f>
        <v/>
      </c>
      <c r="G3163" s="20">
        <f>IF('Journal'!F1583="","",'Journal'!F1583)</f>
        <v/>
      </c>
      <c r="H3163" s="5">
        <f>IF('Journal'!I1583="","",'Journal'!I1583)</f>
        <v/>
      </c>
    </row>
    <row r="3164">
      <c r="A3164" s="18">
        <f>IF('Journal'!A1583="","",'Journal'!A1583)</f>
        <v/>
      </c>
      <c r="B3164" s="21">
        <f>IF('Journal'!B1583="","",'Journal'!B1583)</f>
        <v/>
      </c>
      <c r="C3164" s="5">
        <f>IF('Journal'!C1583="","",'Journal'!C1583)</f>
        <v/>
      </c>
      <c r="D3164" s="5">
        <f>IF('Journal'!E1583="","",IFERROR(LEFT('Journal'!E1583,FIND(" ",'Journal'!E1583)-1),'Journal'!E1583))</f>
        <v/>
      </c>
      <c r="E3164" s="5">
        <f>IF('Journal'!E1583="","",IFERROR(INDEX('Kontoplan'!$B$3:$B$302,MATCH('Journal'!E1583,'Kontoplan'!$H$3:$H$302,0)),""))</f>
        <v/>
      </c>
      <c r="F3164" s="20">
        <f>IF('Journal'!F1583="","",'Journal'!F1583)</f>
        <v/>
      </c>
      <c r="G3164" s="20">
        <f>IF('Journal'!G1583="","",'Journal'!G1583)</f>
        <v/>
      </c>
      <c r="H3164" s="5">
        <f>IF('Journal'!I1583="","",'Journal'!I1583)</f>
        <v/>
      </c>
    </row>
    <row r="3165">
      <c r="A3165" s="18">
        <f>IF('Journal'!A1584="","",'Journal'!A1584)</f>
        <v/>
      </c>
      <c r="B3165" s="21">
        <f>IF('Journal'!B1584="","",'Journal'!B1584)</f>
        <v/>
      </c>
      <c r="C3165" s="5">
        <f>IF('Journal'!C1584="","",'Journal'!C1584)</f>
        <v/>
      </c>
      <c r="D3165" s="5">
        <f>IF('Journal'!D1584="","",IFERROR(LEFT('Journal'!D1584,FIND(" ",'Journal'!D1584)-1),'Journal'!D1584))</f>
        <v/>
      </c>
      <c r="E3165" s="5">
        <f>IF('Journal'!D1584="","",IFERROR(INDEX('Kontoplan'!$B$3:$B$302,MATCH('Journal'!D1584,'Kontoplan'!$H$3:$H$302,0)),""))</f>
        <v/>
      </c>
      <c r="F3165" s="20">
        <f>IF('Journal'!G1584="","",'Journal'!G1584)</f>
        <v/>
      </c>
      <c r="G3165" s="20">
        <f>IF('Journal'!F1584="","",'Journal'!F1584)</f>
        <v/>
      </c>
      <c r="H3165" s="5">
        <f>IF('Journal'!I1584="","",'Journal'!I1584)</f>
        <v/>
      </c>
    </row>
    <row r="3166">
      <c r="A3166" s="18">
        <f>IF('Journal'!A1584="","",'Journal'!A1584)</f>
        <v/>
      </c>
      <c r="B3166" s="21">
        <f>IF('Journal'!B1584="","",'Journal'!B1584)</f>
        <v/>
      </c>
      <c r="C3166" s="5">
        <f>IF('Journal'!C1584="","",'Journal'!C1584)</f>
        <v/>
      </c>
      <c r="D3166" s="5">
        <f>IF('Journal'!E1584="","",IFERROR(LEFT('Journal'!E1584,FIND(" ",'Journal'!E1584)-1),'Journal'!E1584))</f>
        <v/>
      </c>
      <c r="E3166" s="5">
        <f>IF('Journal'!E1584="","",IFERROR(INDEX('Kontoplan'!$B$3:$B$302,MATCH('Journal'!E1584,'Kontoplan'!$H$3:$H$302,0)),""))</f>
        <v/>
      </c>
      <c r="F3166" s="20">
        <f>IF('Journal'!F1584="","",'Journal'!F1584)</f>
        <v/>
      </c>
      <c r="G3166" s="20">
        <f>IF('Journal'!G1584="","",'Journal'!G1584)</f>
        <v/>
      </c>
      <c r="H3166" s="5">
        <f>IF('Journal'!I1584="","",'Journal'!I1584)</f>
        <v/>
      </c>
    </row>
    <row r="3167">
      <c r="A3167" s="18">
        <f>IF('Journal'!A1585="","",'Journal'!A1585)</f>
        <v/>
      </c>
      <c r="B3167" s="21">
        <f>IF('Journal'!B1585="","",'Journal'!B1585)</f>
        <v/>
      </c>
      <c r="C3167" s="5">
        <f>IF('Journal'!C1585="","",'Journal'!C1585)</f>
        <v/>
      </c>
      <c r="D3167" s="5">
        <f>IF('Journal'!D1585="","",IFERROR(LEFT('Journal'!D1585,FIND(" ",'Journal'!D1585)-1),'Journal'!D1585))</f>
        <v/>
      </c>
      <c r="E3167" s="5">
        <f>IF('Journal'!D1585="","",IFERROR(INDEX('Kontoplan'!$B$3:$B$302,MATCH('Journal'!D1585,'Kontoplan'!$H$3:$H$302,0)),""))</f>
        <v/>
      </c>
      <c r="F3167" s="20">
        <f>IF('Journal'!G1585="","",'Journal'!G1585)</f>
        <v/>
      </c>
      <c r="G3167" s="20">
        <f>IF('Journal'!F1585="","",'Journal'!F1585)</f>
        <v/>
      </c>
      <c r="H3167" s="5">
        <f>IF('Journal'!I1585="","",'Journal'!I1585)</f>
        <v/>
      </c>
    </row>
    <row r="3168">
      <c r="A3168" s="18">
        <f>IF('Journal'!A1585="","",'Journal'!A1585)</f>
        <v/>
      </c>
      <c r="B3168" s="21">
        <f>IF('Journal'!B1585="","",'Journal'!B1585)</f>
        <v/>
      </c>
      <c r="C3168" s="5">
        <f>IF('Journal'!C1585="","",'Journal'!C1585)</f>
        <v/>
      </c>
      <c r="D3168" s="5">
        <f>IF('Journal'!E1585="","",IFERROR(LEFT('Journal'!E1585,FIND(" ",'Journal'!E1585)-1),'Journal'!E1585))</f>
        <v/>
      </c>
      <c r="E3168" s="5">
        <f>IF('Journal'!E1585="","",IFERROR(INDEX('Kontoplan'!$B$3:$B$302,MATCH('Journal'!E1585,'Kontoplan'!$H$3:$H$302,0)),""))</f>
        <v/>
      </c>
      <c r="F3168" s="20">
        <f>IF('Journal'!F1585="","",'Journal'!F1585)</f>
        <v/>
      </c>
      <c r="G3168" s="20">
        <f>IF('Journal'!G1585="","",'Journal'!G1585)</f>
        <v/>
      </c>
      <c r="H3168" s="5">
        <f>IF('Journal'!I1585="","",'Journal'!I1585)</f>
        <v/>
      </c>
    </row>
    <row r="3169">
      <c r="A3169" s="18">
        <f>IF('Journal'!A1586="","",'Journal'!A1586)</f>
        <v/>
      </c>
      <c r="B3169" s="21">
        <f>IF('Journal'!B1586="","",'Journal'!B1586)</f>
        <v/>
      </c>
      <c r="C3169" s="5">
        <f>IF('Journal'!C1586="","",'Journal'!C1586)</f>
        <v/>
      </c>
      <c r="D3169" s="5">
        <f>IF('Journal'!D1586="","",IFERROR(LEFT('Journal'!D1586,FIND(" ",'Journal'!D1586)-1),'Journal'!D1586))</f>
        <v/>
      </c>
      <c r="E3169" s="5">
        <f>IF('Journal'!D1586="","",IFERROR(INDEX('Kontoplan'!$B$3:$B$302,MATCH('Journal'!D1586,'Kontoplan'!$H$3:$H$302,0)),""))</f>
        <v/>
      </c>
      <c r="F3169" s="20">
        <f>IF('Journal'!G1586="","",'Journal'!G1586)</f>
        <v/>
      </c>
      <c r="G3169" s="20">
        <f>IF('Journal'!F1586="","",'Journal'!F1586)</f>
        <v/>
      </c>
      <c r="H3169" s="5">
        <f>IF('Journal'!I1586="","",'Journal'!I1586)</f>
        <v/>
      </c>
    </row>
    <row r="3170">
      <c r="A3170" s="18">
        <f>IF('Journal'!A1586="","",'Journal'!A1586)</f>
        <v/>
      </c>
      <c r="B3170" s="21">
        <f>IF('Journal'!B1586="","",'Journal'!B1586)</f>
        <v/>
      </c>
      <c r="C3170" s="5">
        <f>IF('Journal'!C1586="","",'Journal'!C1586)</f>
        <v/>
      </c>
      <c r="D3170" s="5">
        <f>IF('Journal'!E1586="","",IFERROR(LEFT('Journal'!E1586,FIND(" ",'Journal'!E1586)-1),'Journal'!E1586))</f>
        <v/>
      </c>
      <c r="E3170" s="5">
        <f>IF('Journal'!E1586="","",IFERROR(INDEX('Kontoplan'!$B$3:$B$302,MATCH('Journal'!E1586,'Kontoplan'!$H$3:$H$302,0)),""))</f>
        <v/>
      </c>
      <c r="F3170" s="20">
        <f>IF('Journal'!F1586="","",'Journal'!F1586)</f>
        <v/>
      </c>
      <c r="G3170" s="20">
        <f>IF('Journal'!G1586="","",'Journal'!G1586)</f>
        <v/>
      </c>
      <c r="H3170" s="5">
        <f>IF('Journal'!I1586="","",'Journal'!I1586)</f>
        <v/>
      </c>
    </row>
    <row r="3171">
      <c r="A3171" s="18">
        <f>IF('Journal'!A1587="","",'Journal'!A1587)</f>
        <v/>
      </c>
      <c r="B3171" s="21">
        <f>IF('Journal'!B1587="","",'Journal'!B1587)</f>
        <v/>
      </c>
      <c r="C3171" s="5">
        <f>IF('Journal'!C1587="","",'Journal'!C1587)</f>
        <v/>
      </c>
      <c r="D3171" s="5">
        <f>IF('Journal'!D1587="","",IFERROR(LEFT('Journal'!D1587,FIND(" ",'Journal'!D1587)-1),'Journal'!D1587))</f>
        <v/>
      </c>
      <c r="E3171" s="5">
        <f>IF('Journal'!D1587="","",IFERROR(INDEX('Kontoplan'!$B$3:$B$302,MATCH('Journal'!D1587,'Kontoplan'!$H$3:$H$302,0)),""))</f>
        <v/>
      </c>
      <c r="F3171" s="20">
        <f>IF('Journal'!G1587="","",'Journal'!G1587)</f>
        <v/>
      </c>
      <c r="G3171" s="20">
        <f>IF('Journal'!F1587="","",'Journal'!F1587)</f>
        <v/>
      </c>
      <c r="H3171" s="5">
        <f>IF('Journal'!I1587="","",'Journal'!I1587)</f>
        <v/>
      </c>
    </row>
    <row r="3172">
      <c r="A3172" s="18">
        <f>IF('Journal'!A1587="","",'Journal'!A1587)</f>
        <v/>
      </c>
      <c r="B3172" s="21">
        <f>IF('Journal'!B1587="","",'Journal'!B1587)</f>
        <v/>
      </c>
      <c r="C3172" s="5">
        <f>IF('Journal'!C1587="","",'Journal'!C1587)</f>
        <v/>
      </c>
      <c r="D3172" s="5">
        <f>IF('Journal'!E1587="","",IFERROR(LEFT('Journal'!E1587,FIND(" ",'Journal'!E1587)-1),'Journal'!E1587))</f>
        <v/>
      </c>
      <c r="E3172" s="5">
        <f>IF('Journal'!E1587="","",IFERROR(INDEX('Kontoplan'!$B$3:$B$302,MATCH('Journal'!E1587,'Kontoplan'!$H$3:$H$302,0)),""))</f>
        <v/>
      </c>
      <c r="F3172" s="20">
        <f>IF('Journal'!F1587="","",'Journal'!F1587)</f>
        <v/>
      </c>
      <c r="G3172" s="20">
        <f>IF('Journal'!G1587="","",'Journal'!G1587)</f>
        <v/>
      </c>
      <c r="H3172" s="5">
        <f>IF('Journal'!I1587="","",'Journal'!I1587)</f>
        <v/>
      </c>
    </row>
    <row r="3173">
      <c r="A3173" s="18">
        <f>IF('Journal'!A1588="","",'Journal'!A1588)</f>
        <v/>
      </c>
      <c r="B3173" s="21">
        <f>IF('Journal'!B1588="","",'Journal'!B1588)</f>
        <v/>
      </c>
      <c r="C3173" s="5">
        <f>IF('Journal'!C1588="","",'Journal'!C1588)</f>
        <v/>
      </c>
      <c r="D3173" s="5">
        <f>IF('Journal'!D1588="","",IFERROR(LEFT('Journal'!D1588,FIND(" ",'Journal'!D1588)-1),'Journal'!D1588))</f>
        <v/>
      </c>
      <c r="E3173" s="5">
        <f>IF('Journal'!D1588="","",IFERROR(INDEX('Kontoplan'!$B$3:$B$302,MATCH('Journal'!D1588,'Kontoplan'!$H$3:$H$302,0)),""))</f>
        <v/>
      </c>
      <c r="F3173" s="20">
        <f>IF('Journal'!G1588="","",'Journal'!G1588)</f>
        <v/>
      </c>
      <c r="G3173" s="20">
        <f>IF('Journal'!F1588="","",'Journal'!F1588)</f>
        <v/>
      </c>
      <c r="H3173" s="5">
        <f>IF('Journal'!I1588="","",'Journal'!I1588)</f>
        <v/>
      </c>
    </row>
    <row r="3174">
      <c r="A3174" s="18">
        <f>IF('Journal'!A1588="","",'Journal'!A1588)</f>
        <v/>
      </c>
      <c r="B3174" s="21">
        <f>IF('Journal'!B1588="","",'Journal'!B1588)</f>
        <v/>
      </c>
      <c r="C3174" s="5">
        <f>IF('Journal'!C1588="","",'Journal'!C1588)</f>
        <v/>
      </c>
      <c r="D3174" s="5">
        <f>IF('Journal'!E1588="","",IFERROR(LEFT('Journal'!E1588,FIND(" ",'Journal'!E1588)-1),'Journal'!E1588))</f>
        <v/>
      </c>
      <c r="E3174" s="5">
        <f>IF('Journal'!E1588="","",IFERROR(INDEX('Kontoplan'!$B$3:$B$302,MATCH('Journal'!E1588,'Kontoplan'!$H$3:$H$302,0)),""))</f>
        <v/>
      </c>
      <c r="F3174" s="20">
        <f>IF('Journal'!F1588="","",'Journal'!F1588)</f>
        <v/>
      </c>
      <c r="G3174" s="20">
        <f>IF('Journal'!G1588="","",'Journal'!G1588)</f>
        <v/>
      </c>
      <c r="H3174" s="5">
        <f>IF('Journal'!I1588="","",'Journal'!I1588)</f>
        <v/>
      </c>
    </row>
    <row r="3175">
      <c r="A3175" s="18">
        <f>IF('Journal'!A1589="","",'Journal'!A1589)</f>
        <v/>
      </c>
      <c r="B3175" s="21">
        <f>IF('Journal'!B1589="","",'Journal'!B1589)</f>
        <v/>
      </c>
      <c r="C3175" s="5">
        <f>IF('Journal'!C1589="","",'Journal'!C1589)</f>
        <v/>
      </c>
      <c r="D3175" s="5">
        <f>IF('Journal'!D1589="","",IFERROR(LEFT('Journal'!D1589,FIND(" ",'Journal'!D1589)-1),'Journal'!D1589))</f>
        <v/>
      </c>
      <c r="E3175" s="5">
        <f>IF('Journal'!D1589="","",IFERROR(INDEX('Kontoplan'!$B$3:$B$302,MATCH('Journal'!D1589,'Kontoplan'!$H$3:$H$302,0)),""))</f>
        <v/>
      </c>
      <c r="F3175" s="20">
        <f>IF('Journal'!G1589="","",'Journal'!G1589)</f>
        <v/>
      </c>
      <c r="G3175" s="20">
        <f>IF('Journal'!F1589="","",'Journal'!F1589)</f>
        <v/>
      </c>
      <c r="H3175" s="5">
        <f>IF('Journal'!I1589="","",'Journal'!I1589)</f>
        <v/>
      </c>
    </row>
    <row r="3176">
      <c r="A3176" s="18">
        <f>IF('Journal'!A1589="","",'Journal'!A1589)</f>
        <v/>
      </c>
      <c r="B3176" s="21">
        <f>IF('Journal'!B1589="","",'Journal'!B1589)</f>
        <v/>
      </c>
      <c r="C3176" s="5">
        <f>IF('Journal'!C1589="","",'Journal'!C1589)</f>
        <v/>
      </c>
      <c r="D3176" s="5">
        <f>IF('Journal'!E1589="","",IFERROR(LEFT('Journal'!E1589,FIND(" ",'Journal'!E1589)-1),'Journal'!E1589))</f>
        <v/>
      </c>
      <c r="E3176" s="5">
        <f>IF('Journal'!E1589="","",IFERROR(INDEX('Kontoplan'!$B$3:$B$302,MATCH('Journal'!E1589,'Kontoplan'!$H$3:$H$302,0)),""))</f>
        <v/>
      </c>
      <c r="F3176" s="20">
        <f>IF('Journal'!F1589="","",'Journal'!F1589)</f>
        <v/>
      </c>
      <c r="G3176" s="20">
        <f>IF('Journal'!G1589="","",'Journal'!G1589)</f>
        <v/>
      </c>
      <c r="H3176" s="5">
        <f>IF('Journal'!I1589="","",'Journal'!I1589)</f>
        <v/>
      </c>
    </row>
    <row r="3177">
      <c r="A3177" s="18">
        <f>IF('Journal'!A1590="","",'Journal'!A1590)</f>
        <v/>
      </c>
      <c r="B3177" s="21">
        <f>IF('Journal'!B1590="","",'Journal'!B1590)</f>
        <v/>
      </c>
      <c r="C3177" s="5">
        <f>IF('Journal'!C1590="","",'Journal'!C1590)</f>
        <v/>
      </c>
      <c r="D3177" s="5">
        <f>IF('Journal'!D1590="","",IFERROR(LEFT('Journal'!D1590,FIND(" ",'Journal'!D1590)-1),'Journal'!D1590))</f>
        <v/>
      </c>
      <c r="E3177" s="5">
        <f>IF('Journal'!D1590="","",IFERROR(INDEX('Kontoplan'!$B$3:$B$302,MATCH('Journal'!D1590,'Kontoplan'!$H$3:$H$302,0)),""))</f>
        <v/>
      </c>
      <c r="F3177" s="20">
        <f>IF('Journal'!G1590="","",'Journal'!G1590)</f>
        <v/>
      </c>
      <c r="G3177" s="20">
        <f>IF('Journal'!F1590="","",'Journal'!F1590)</f>
        <v/>
      </c>
      <c r="H3177" s="5">
        <f>IF('Journal'!I1590="","",'Journal'!I1590)</f>
        <v/>
      </c>
    </row>
    <row r="3178">
      <c r="A3178" s="18">
        <f>IF('Journal'!A1590="","",'Journal'!A1590)</f>
        <v/>
      </c>
      <c r="B3178" s="21">
        <f>IF('Journal'!B1590="","",'Journal'!B1590)</f>
        <v/>
      </c>
      <c r="C3178" s="5">
        <f>IF('Journal'!C1590="","",'Journal'!C1590)</f>
        <v/>
      </c>
      <c r="D3178" s="5">
        <f>IF('Journal'!E1590="","",IFERROR(LEFT('Journal'!E1590,FIND(" ",'Journal'!E1590)-1),'Journal'!E1590))</f>
        <v/>
      </c>
      <c r="E3178" s="5">
        <f>IF('Journal'!E1590="","",IFERROR(INDEX('Kontoplan'!$B$3:$B$302,MATCH('Journal'!E1590,'Kontoplan'!$H$3:$H$302,0)),""))</f>
        <v/>
      </c>
      <c r="F3178" s="20">
        <f>IF('Journal'!F1590="","",'Journal'!F1590)</f>
        <v/>
      </c>
      <c r="G3178" s="20">
        <f>IF('Journal'!G1590="","",'Journal'!G1590)</f>
        <v/>
      </c>
      <c r="H3178" s="5">
        <f>IF('Journal'!I1590="","",'Journal'!I1590)</f>
        <v/>
      </c>
    </row>
    <row r="3179">
      <c r="A3179" s="18">
        <f>IF('Journal'!A1591="","",'Journal'!A1591)</f>
        <v/>
      </c>
      <c r="B3179" s="21">
        <f>IF('Journal'!B1591="","",'Journal'!B1591)</f>
        <v/>
      </c>
      <c r="C3179" s="5">
        <f>IF('Journal'!C1591="","",'Journal'!C1591)</f>
        <v/>
      </c>
      <c r="D3179" s="5">
        <f>IF('Journal'!D1591="","",IFERROR(LEFT('Journal'!D1591,FIND(" ",'Journal'!D1591)-1),'Journal'!D1591))</f>
        <v/>
      </c>
      <c r="E3179" s="5">
        <f>IF('Journal'!D1591="","",IFERROR(INDEX('Kontoplan'!$B$3:$B$302,MATCH('Journal'!D1591,'Kontoplan'!$H$3:$H$302,0)),""))</f>
        <v/>
      </c>
      <c r="F3179" s="20">
        <f>IF('Journal'!G1591="","",'Journal'!G1591)</f>
        <v/>
      </c>
      <c r="G3179" s="20">
        <f>IF('Journal'!F1591="","",'Journal'!F1591)</f>
        <v/>
      </c>
      <c r="H3179" s="5">
        <f>IF('Journal'!I1591="","",'Journal'!I1591)</f>
        <v/>
      </c>
    </row>
    <row r="3180">
      <c r="A3180" s="18">
        <f>IF('Journal'!A1591="","",'Journal'!A1591)</f>
        <v/>
      </c>
      <c r="B3180" s="21">
        <f>IF('Journal'!B1591="","",'Journal'!B1591)</f>
        <v/>
      </c>
      <c r="C3180" s="5">
        <f>IF('Journal'!C1591="","",'Journal'!C1591)</f>
        <v/>
      </c>
      <c r="D3180" s="5">
        <f>IF('Journal'!E1591="","",IFERROR(LEFT('Journal'!E1591,FIND(" ",'Journal'!E1591)-1),'Journal'!E1591))</f>
        <v/>
      </c>
      <c r="E3180" s="5">
        <f>IF('Journal'!E1591="","",IFERROR(INDEX('Kontoplan'!$B$3:$B$302,MATCH('Journal'!E1591,'Kontoplan'!$H$3:$H$302,0)),""))</f>
        <v/>
      </c>
      <c r="F3180" s="20">
        <f>IF('Journal'!F1591="","",'Journal'!F1591)</f>
        <v/>
      </c>
      <c r="G3180" s="20">
        <f>IF('Journal'!G1591="","",'Journal'!G1591)</f>
        <v/>
      </c>
      <c r="H3180" s="5">
        <f>IF('Journal'!I1591="","",'Journal'!I1591)</f>
        <v/>
      </c>
    </row>
    <row r="3181">
      <c r="A3181" s="18">
        <f>IF('Journal'!A1592="","",'Journal'!A1592)</f>
        <v/>
      </c>
      <c r="B3181" s="21">
        <f>IF('Journal'!B1592="","",'Journal'!B1592)</f>
        <v/>
      </c>
      <c r="C3181" s="5">
        <f>IF('Journal'!C1592="","",'Journal'!C1592)</f>
        <v/>
      </c>
      <c r="D3181" s="5">
        <f>IF('Journal'!D1592="","",IFERROR(LEFT('Journal'!D1592,FIND(" ",'Journal'!D1592)-1),'Journal'!D1592))</f>
        <v/>
      </c>
      <c r="E3181" s="5">
        <f>IF('Journal'!D1592="","",IFERROR(INDEX('Kontoplan'!$B$3:$B$302,MATCH('Journal'!D1592,'Kontoplan'!$H$3:$H$302,0)),""))</f>
        <v/>
      </c>
      <c r="F3181" s="20">
        <f>IF('Journal'!G1592="","",'Journal'!G1592)</f>
        <v/>
      </c>
      <c r="G3181" s="20">
        <f>IF('Journal'!F1592="","",'Journal'!F1592)</f>
        <v/>
      </c>
      <c r="H3181" s="5">
        <f>IF('Journal'!I1592="","",'Journal'!I1592)</f>
        <v/>
      </c>
    </row>
    <row r="3182">
      <c r="A3182" s="18">
        <f>IF('Journal'!A1592="","",'Journal'!A1592)</f>
        <v/>
      </c>
      <c r="B3182" s="21">
        <f>IF('Journal'!B1592="","",'Journal'!B1592)</f>
        <v/>
      </c>
      <c r="C3182" s="5">
        <f>IF('Journal'!C1592="","",'Journal'!C1592)</f>
        <v/>
      </c>
      <c r="D3182" s="5">
        <f>IF('Journal'!E1592="","",IFERROR(LEFT('Journal'!E1592,FIND(" ",'Journal'!E1592)-1),'Journal'!E1592))</f>
        <v/>
      </c>
      <c r="E3182" s="5">
        <f>IF('Journal'!E1592="","",IFERROR(INDEX('Kontoplan'!$B$3:$B$302,MATCH('Journal'!E1592,'Kontoplan'!$H$3:$H$302,0)),""))</f>
        <v/>
      </c>
      <c r="F3182" s="20">
        <f>IF('Journal'!F1592="","",'Journal'!F1592)</f>
        <v/>
      </c>
      <c r="G3182" s="20">
        <f>IF('Journal'!G1592="","",'Journal'!G1592)</f>
        <v/>
      </c>
      <c r="H3182" s="5">
        <f>IF('Journal'!I1592="","",'Journal'!I1592)</f>
        <v/>
      </c>
    </row>
    <row r="3183">
      <c r="A3183" s="18">
        <f>IF('Journal'!A1593="","",'Journal'!A1593)</f>
        <v/>
      </c>
      <c r="B3183" s="21">
        <f>IF('Journal'!B1593="","",'Journal'!B1593)</f>
        <v/>
      </c>
      <c r="C3183" s="5">
        <f>IF('Journal'!C1593="","",'Journal'!C1593)</f>
        <v/>
      </c>
      <c r="D3183" s="5">
        <f>IF('Journal'!D1593="","",IFERROR(LEFT('Journal'!D1593,FIND(" ",'Journal'!D1593)-1),'Journal'!D1593))</f>
        <v/>
      </c>
      <c r="E3183" s="5">
        <f>IF('Journal'!D1593="","",IFERROR(INDEX('Kontoplan'!$B$3:$B$302,MATCH('Journal'!D1593,'Kontoplan'!$H$3:$H$302,0)),""))</f>
        <v/>
      </c>
      <c r="F3183" s="20">
        <f>IF('Journal'!G1593="","",'Journal'!G1593)</f>
        <v/>
      </c>
      <c r="G3183" s="20">
        <f>IF('Journal'!F1593="","",'Journal'!F1593)</f>
        <v/>
      </c>
      <c r="H3183" s="5">
        <f>IF('Journal'!I1593="","",'Journal'!I1593)</f>
        <v/>
      </c>
    </row>
    <row r="3184">
      <c r="A3184" s="18">
        <f>IF('Journal'!A1593="","",'Journal'!A1593)</f>
        <v/>
      </c>
      <c r="B3184" s="21">
        <f>IF('Journal'!B1593="","",'Journal'!B1593)</f>
        <v/>
      </c>
      <c r="C3184" s="5">
        <f>IF('Journal'!C1593="","",'Journal'!C1593)</f>
        <v/>
      </c>
      <c r="D3184" s="5">
        <f>IF('Journal'!E1593="","",IFERROR(LEFT('Journal'!E1593,FIND(" ",'Journal'!E1593)-1),'Journal'!E1593))</f>
        <v/>
      </c>
      <c r="E3184" s="5">
        <f>IF('Journal'!E1593="","",IFERROR(INDEX('Kontoplan'!$B$3:$B$302,MATCH('Journal'!E1593,'Kontoplan'!$H$3:$H$302,0)),""))</f>
        <v/>
      </c>
      <c r="F3184" s="20">
        <f>IF('Journal'!F1593="","",'Journal'!F1593)</f>
        <v/>
      </c>
      <c r="G3184" s="20">
        <f>IF('Journal'!G1593="","",'Journal'!G1593)</f>
        <v/>
      </c>
      <c r="H3184" s="5">
        <f>IF('Journal'!I1593="","",'Journal'!I1593)</f>
        <v/>
      </c>
    </row>
    <row r="3185">
      <c r="A3185" s="18">
        <f>IF('Journal'!A1594="","",'Journal'!A1594)</f>
        <v/>
      </c>
      <c r="B3185" s="21">
        <f>IF('Journal'!B1594="","",'Journal'!B1594)</f>
        <v/>
      </c>
      <c r="C3185" s="5">
        <f>IF('Journal'!C1594="","",'Journal'!C1594)</f>
        <v/>
      </c>
      <c r="D3185" s="5">
        <f>IF('Journal'!D1594="","",IFERROR(LEFT('Journal'!D1594,FIND(" ",'Journal'!D1594)-1),'Journal'!D1594))</f>
        <v/>
      </c>
      <c r="E3185" s="5">
        <f>IF('Journal'!D1594="","",IFERROR(INDEX('Kontoplan'!$B$3:$B$302,MATCH('Journal'!D1594,'Kontoplan'!$H$3:$H$302,0)),""))</f>
        <v/>
      </c>
      <c r="F3185" s="20">
        <f>IF('Journal'!G1594="","",'Journal'!G1594)</f>
        <v/>
      </c>
      <c r="G3185" s="20">
        <f>IF('Journal'!F1594="","",'Journal'!F1594)</f>
        <v/>
      </c>
      <c r="H3185" s="5">
        <f>IF('Journal'!I1594="","",'Journal'!I1594)</f>
        <v/>
      </c>
    </row>
    <row r="3186">
      <c r="A3186" s="18">
        <f>IF('Journal'!A1594="","",'Journal'!A1594)</f>
        <v/>
      </c>
      <c r="B3186" s="21">
        <f>IF('Journal'!B1594="","",'Journal'!B1594)</f>
        <v/>
      </c>
      <c r="C3186" s="5">
        <f>IF('Journal'!C1594="","",'Journal'!C1594)</f>
        <v/>
      </c>
      <c r="D3186" s="5">
        <f>IF('Journal'!E1594="","",IFERROR(LEFT('Journal'!E1594,FIND(" ",'Journal'!E1594)-1),'Journal'!E1594))</f>
        <v/>
      </c>
      <c r="E3186" s="5">
        <f>IF('Journal'!E1594="","",IFERROR(INDEX('Kontoplan'!$B$3:$B$302,MATCH('Journal'!E1594,'Kontoplan'!$H$3:$H$302,0)),""))</f>
        <v/>
      </c>
      <c r="F3186" s="20">
        <f>IF('Journal'!F1594="","",'Journal'!F1594)</f>
        <v/>
      </c>
      <c r="G3186" s="20">
        <f>IF('Journal'!G1594="","",'Journal'!G1594)</f>
        <v/>
      </c>
      <c r="H3186" s="5">
        <f>IF('Journal'!I1594="","",'Journal'!I1594)</f>
        <v/>
      </c>
    </row>
    <row r="3187">
      <c r="A3187" s="18">
        <f>IF('Journal'!A1595="","",'Journal'!A1595)</f>
        <v/>
      </c>
      <c r="B3187" s="21">
        <f>IF('Journal'!B1595="","",'Journal'!B1595)</f>
        <v/>
      </c>
      <c r="C3187" s="5">
        <f>IF('Journal'!C1595="","",'Journal'!C1595)</f>
        <v/>
      </c>
      <c r="D3187" s="5">
        <f>IF('Journal'!D1595="","",IFERROR(LEFT('Journal'!D1595,FIND(" ",'Journal'!D1595)-1),'Journal'!D1595))</f>
        <v/>
      </c>
      <c r="E3187" s="5">
        <f>IF('Journal'!D1595="","",IFERROR(INDEX('Kontoplan'!$B$3:$B$302,MATCH('Journal'!D1595,'Kontoplan'!$H$3:$H$302,0)),""))</f>
        <v/>
      </c>
      <c r="F3187" s="20">
        <f>IF('Journal'!G1595="","",'Journal'!G1595)</f>
        <v/>
      </c>
      <c r="G3187" s="20">
        <f>IF('Journal'!F1595="","",'Journal'!F1595)</f>
        <v/>
      </c>
      <c r="H3187" s="5">
        <f>IF('Journal'!I1595="","",'Journal'!I1595)</f>
        <v/>
      </c>
    </row>
    <row r="3188">
      <c r="A3188" s="18">
        <f>IF('Journal'!A1595="","",'Journal'!A1595)</f>
        <v/>
      </c>
      <c r="B3188" s="21">
        <f>IF('Journal'!B1595="","",'Journal'!B1595)</f>
        <v/>
      </c>
      <c r="C3188" s="5">
        <f>IF('Journal'!C1595="","",'Journal'!C1595)</f>
        <v/>
      </c>
      <c r="D3188" s="5">
        <f>IF('Journal'!E1595="","",IFERROR(LEFT('Journal'!E1595,FIND(" ",'Journal'!E1595)-1),'Journal'!E1595))</f>
        <v/>
      </c>
      <c r="E3188" s="5">
        <f>IF('Journal'!E1595="","",IFERROR(INDEX('Kontoplan'!$B$3:$B$302,MATCH('Journal'!E1595,'Kontoplan'!$H$3:$H$302,0)),""))</f>
        <v/>
      </c>
      <c r="F3188" s="20">
        <f>IF('Journal'!F1595="","",'Journal'!F1595)</f>
        <v/>
      </c>
      <c r="G3188" s="20">
        <f>IF('Journal'!G1595="","",'Journal'!G1595)</f>
        <v/>
      </c>
      <c r="H3188" s="5">
        <f>IF('Journal'!I1595="","",'Journal'!I1595)</f>
        <v/>
      </c>
    </row>
    <row r="3189">
      <c r="A3189" s="18">
        <f>IF('Journal'!A1596="","",'Journal'!A1596)</f>
        <v/>
      </c>
      <c r="B3189" s="21">
        <f>IF('Journal'!B1596="","",'Journal'!B1596)</f>
        <v/>
      </c>
      <c r="C3189" s="5">
        <f>IF('Journal'!C1596="","",'Journal'!C1596)</f>
        <v/>
      </c>
      <c r="D3189" s="5">
        <f>IF('Journal'!D1596="","",IFERROR(LEFT('Journal'!D1596,FIND(" ",'Journal'!D1596)-1),'Journal'!D1596))</f>
        <v/>
      </c>
      <c r="E3189" s="5">
        <f>IF('Journal'!D1596="","",IFERROR(INDEX('Kontoplan'!$B$3:$B$302,MATCH('Journal'!D1596,'Kontoplan'!$H$3:$H$302,0)),""))</f>
        <v/>
      </c>
      <c r="F3189" s="20">
        <f>IF('Journal'!G1596="","",'Journal'!G1596)</f>
        <v/>
      </c>
      <c r="G3189" s="20">
        <f>IF('Journal'!F1596="","",'Journal'!F1596)</f>
        <v/>
      </c>
      <c r="H3189" s="5">
        <f>IF('Journal'!I1596="","",'Journal'!I1596)</f>
        <v/>
      </c>
    </row>
    <row r="3190">
      <c r="A3190" s="18">
        <f>IF('Journal'!A1596="","",'Journal'!A1596)</f>
        <v/>
      </c>
      <c r="B3190" s="21">
        <f>IF('Journal'!B1596="","",'Journal'!B1596)</f>
        <v/>
      </c>
      <c r="C3190" s="5">
        <f>IF('Journal'!C1596="","",'Journal'!C1596)</f>
        <v/>
      </c>
      <c r="D3190" s="5">
        <f>IF('Journal'!E1596="","",IFERROR(LEFT('Journal'!E1596,FIND(" ",'Journal'!E1596)-1),'Journal'!E1596))</f>
        <v/>
      </c>
      <c r="E3190" s="5">
        <f>IF('Journal'!E1596="","",IFERROR(INDEX('Kontoplan'!$B$3:$B$302,MATCH('Journal'!E1596,'Kontoplan'!$H$3:$H$302,0)),""))</f>
        <v/>
      </c>
      <c r="F3190" s="20">
        <f>IF('Journal'!F1596="","",'Journal'!F1596)</f>
        <v/>
      </c>
      <c r="G3190" s="20">
        <f>IF('Journal'!G1596="","",'Journal'!G1596)</f>
        <v/>
      </c>
      <c r="H3190" s="5">
        <f>IF('Journal'!I1596="","",'Journal'!I1596)</f>
        <v/>
      </c>
    </row>
    <row r="3191">
      <c r="A3191" s="18">
        <f>IF('Journal'!A1597="","",'Journal'!A1597)</f>
        <v/>
      </c>
      <c r="B3191" s="21">
        <f>IF('Journal'!B1597="","",'Journal'!B1597)</f>
        <v/>
      </c>
      <c r="C3191" s="5">
        <f>IF('Journal'!C1597="","",'Journal'!C1597)</f>
        <v/>
      </c>
      <c r="D3191" s="5">
        <f>IF('Journal'!D1597="","",IFERROR(LEFT('Journal'!D1597,FIND(" ",'Journal'!D1597)-1),'Journal'!D1597))</f>
        <v/>
      </c>
      <c r="E3191" s="5">
        <f>IF('Journal'!D1597="","",IFERROR(INDEX('Kontoplan'!$B$3:$B$302,MATCH('Journal'!D1597,'Kontoplan'!$H$3:$H$302,0)),""))</f>
        <v/>
      </c>
      <c r="F3191" s="20">
        <f>IF('Journal'!G1597="","",'Journal'!G1597)</f>
        <v/>
      </c>
      <c r="G3191" s="20">
        <f>IF('Journal'!F1597="","",'Journal'!F1597)</f>
        <v/>
      </c>
      <c r="H3191" s="5">
        <f>IF('Journal'!I1597="","",'Journal'!I1597)</f>
        <v/>
      </c>
    </row>
    <row r="3192">
      <c r="A3192" s="18">
        <f>IF('Journal'!A1597="","",'Journal'!A1597)</f>
        <v/>
      </c>
      <c r="B3192" s="21">
        <f>IF('Journal'!B1597="","",'Journal'!B1597)</f>
        <v/>
      </c>
      <c r="C3192" s="5">
        <f>IF('Journal'!C1597="","",'Journal'!C1597)</f>
        <v/>
      </c>
      <c r="D3192" s="5">
        <f>IF('Journal'!E1597="","",IFERROR(LEFT('Journal'!E1597,FIND(" ",'Journal'!E1597)-1),'Journal'!E1597))</f>
        <v/>
      </c>
      <c r="E3192" s="5">
        <f>IF('Journal'!E1597="","",IFERROR(INDEX('Kontoplan'!$B$3:$B$302,MATCH('Journal'!E1597,'Kontoplan'!$H$3:$H$302,0)),""))</f>
        <v/>
      </c>
      <c r="F3192" s="20">
        <f>IF('Journal'!F1597="","",'Journal'!F1597)</f>
        <v/>
      </c>
      <c r="G3192" s="20">
        <f>IF('Journal'!G1597="","",'Journal'!G1597)</f>
        <v/>
      </c>
      <c r="H3192" s="5">
        <f>IF('Journal'!I1597="","",'Journal'!I1597)</f>
        <v/>
      </c>
    </row>
    <row r="3193">
      <c r="A3193" s="18">
        <f>IF('Journal'!A1598="","",'Journal'!A1598)</f>
        <v/>
      </c>
      <c r="B3193" s="21">
        <f>IF('Journal'!B1598="","",'Journal'!B1598)</f>
        <v/>
      </c>
      <c r="C3193" s="5">
        <f>IF('Journal'!C1598="","",'Journal'!C1598)</f>
        <v/>
      </c>
      <c r="D3193" s="5">
        <f>IF('Journal'!D1598="","",IFERROR(LEFT('Journal'!D1598,FIND(" ",'Journal'!D1598)-1),'Journal'!D1598))</f>
        <v/>
      </c>
      <c r="E3193" s="5">
        <f>IF('Journal'!D1598="","",IFERROR(INDEX('Kontoplan'!$B$3:$B$302,MATCH('Journal'!D1598,'Kontoplan'!$H$3:$H$302,0)),""))</f>
        <v/>
      </c>
      <c r="F3193" s="20">
        <f>IF('Journal'!G1598="","",'Journal'!G1598)</f>
        <v/>
      </c>
      <c r="G3193" s="20">
        <f>IF('Journal'!F1598="","",'Journal'!F1598)</f>
        <v/>
      </c>
      <c r="H3193" s="5">
        <f>IF('Journal'!I1598="","",'Journal'!I1598)</f>
        <v/>
      </c>
    </row>
    <row r="3194">
      <c r="A3194" s="18">
        <f>IF('Journal'!A1598="","",'Journal'!A1598)</f>
        <v/>
      </c>
      <c r="B3194" s="21">
        <f>IF('Journal'!B1598="","",'Journal'!B1598)</f>
        <v/>
      </c>
      <c r="C3194" s="5">
        <f>IF('Journal'!C1598="","",'Journal'!C1598)</f>
        <v/>
      </c>
      <c r="D3194" s="5">
        <f>IF('Journal'!E1598="","",IFERROR(LEFT('Journal'!E1598,FIND(" ",'Journal'!E1598)-1),'Journal'!E1598))</f>
        <v/>
      </c>
      <c r="E3194" s="5">
        <f>IF('Journal'!E1598="","",IFERROR(INDEX('Kontoplan'!$B$3:$B$302,MATCH('Journal'!E1598,'Kontoplan'!$H$3:$H$302,0)),""))</f>
        <v/>
      </c>
      <c r="F3194" s="20">
        <f>IF('Journal'!F1598="","",'Journal'!F1598)</f>
        <v/>
      </c>
      <c r="G3194" s="20">
        <f>IF('Journal'!G1598="","",'Journal'!G1598)</f>
        <v/>
      </c>
      <c r="H3194" s="5">
        <f>IF('Journal'!I1598="","",'Journal'!I1598)</f>
        <v/>
      </c>
    </row>
    <row r="3195">
      <c r="A3195" s="18">
        <f>IF('Journal'!A1599="","",'Journal'!A1599)</f>
        <v/>
      </c>
      <c r="B3195" s="21">
        <f>IF('Journal'!B1599="","",'Journal'!B1599)</f>
        <v/>
      </c>
      <c r="C3195" s="5">
        <f>IF('Journal'!C1599="","",'Journal'!C1599)</f>
        <v/>
      </c>
      <c r="D3195" s="5">
        <f>IF('Journal'!D1599="","",IFERROR(LEFT('Journal'!D1599,FIND(" ",'Journal'!D1599)-1),'Journal'!D1599))</f>
        <v/>
      </c>
      <c r="E3195" s="5">
        <f>IF('Journal'!D1599="","",IFERROR(INDEX('Kontoplan'!$B$3:$B$302,MATCH('Journal'!D1599,'Kontoplan'!$H$3:$H$302,0)),""))</f>
        <v/>
      </c>
      <c r="F3195" s="20">
        <f>IF('Journal'!G1599="","",'Journal'!G1599)</f>
        <v/>
      </c>
      <c r="G3195" s="20">
        <f>IF('Journal'!F1599="","",'Journal'!F1599)</f>
        <v/>
      </c>
      <c r="H3195" s="5">
        <f>IF('Journal'!I1599="","",'Journal'!I1599)</f>
        <v/>
      </c>
    </row>
    <row r="3196">
      <c r="A3196" s="18">
        <f>IF('Journal'!A1599="","",'Journal'!A1599)</f>
        <v/>
      </c>
      <c r="B3196" s="21">
        <f>IF('Journal'!B1599="","",'Journal'!B1599)</f>
        <v/>
      </c>
      <c r="C3196" s="5">
        <f>IF('Journal'!C1599="","",'Journal'!C1599)</f>
        <v/>
      </c>
      <c r="D3196" s="5">
        <f>IF('Journal'!E1599="","",IFERROR(LEFT('Journal'!E1599,FIND(" ",'Journal'!E1599)-1),'Journal'!E1599))</f>
        <v/>
      </c>
      <c r="E3196" s="5">
        <f>IF('Journal'!E1599="","",IFERROR(INDEX('Kontoplan'!$B$3:$B$302,MATCH('Journal'!E1599,'Kontoplan'!$H$3:$H$302,0)),""))</f>
        <v/>
      </c>
      <c r="F3196" s="20">
        <f>IF('Journal'!F1599="","",'Journal'!F1599)</f>
        <v/>
      </c>
      <c r="G3196" s="20">
        <f>IF('Journal'!G1599="","",'Journal'!G1599)</f>
        <v/>
      </c>
      <c r="H3196" s="5">
        <f>IF('Journal'!I1599="","",'Journal'!I1599)</f>
        <v/>
      </c>
    </row>
    <row r="3197">
      <c r="A3197" s="18">
        <f>IF('Journal'!A1600="","",'Journal'!A1600)</f>
        <v/>
      </c>
      <c r="B3197" s="21">
        <f>IF('Journal'!B1600="","",'Journal'!B1600)</f>
        <v/>
      </c>
      <c r="C3197" s="5">
        <f>IF('Journal'!C1600="","",'Journal'!C1600)</f>
        <v/>
      </c>
      <c r="D3197" s="5">
        <f>IF('Journal'!D1600="","",IFERROR(LEFT('Journal'!D1600,FIND(" ",'Journal'!D1600)-1),'Journal'!D1600))</f>
        <v/>
      </c>
      <c r="E3197" s="5">
        <f>IF('Journal'!D1600="","",IFERROR(INDEX('Kontoplan'!$B$3:$B$302,MATCH('Journal'!D1600,'Kontoplan'!$H$3:$H$302,0)),""))</f>
        <v/>
      </c>
      <c r="F3197" s="20">
        <f>IF('Journal'!G1600="","",'Journal'!G1600)</f>
        <v/>
      </c>
      <c r="G3197" s="20">
        <f>IF('Journal'!F1600="","",'Journal'!F1600)</f>
        <v/>
      </c>
      <c r="H3197" s="5">
        <f>IF('Journal'!I1600="","",'Journal'!I1600)</f>
        <v/>
      </c>
    </row>
    <row r="3198">
      <c r="A3198" s="18">
        <f>IF('Journal'!A1600="","",'Journal'!A1600)</f>
        <v/>
      </c>
      <c r="B3198" s="21">
        <f>IF('Journal'!B1600="","",'Journal'!B1600)</f>
        <v/>
      </c>
      <c r="C3198" s="5">
        <f>IF('Journal'!C1600="","",'Journal'!C1600)</f>
        <v/>
      </c>
      <c r="D3198" s="5">
        <f>IF('Journal'!E1600="","",IFERROR(LEFT('Journal'!E1600,FIND(" ",'Journal'!E1600)-1),'Journal'!E1600))</f>
        <v/>
      </c>
      <c r="E3198" s="5">
        <f>IF('Journal'!E1600="","",IFERROR(INDEX('Kontoplan'!$B$3:$B$302,MATCH('Journal'!E1600,'Kontoplan'!$H$3:$H$302,0)),""))</f>
        <v/>
      </c>
      <c r="F3198" s="20">
        <f>IF('Journal'!F1600="","",'Journal'!F1600)</f>
        <v/>
      </c>
      <c r="G3198" s="20">
        <f>IF('Journal'!G1600="","",'Journal'!G1600)</f>
        <v/>
      </c>
      <c r="H3198" s="5">
        <f>IF('Journal'!I1600="","",'Journal'!I1600)</f>
        <v/>
      </c>
    </row>
    <row r="3199">
      <c r="A3199" s="18">
        <f>IF('Journal'!A1601="","",'Journal'!A1601)</f>
        <v/>
      </c>
      <c r="B3199" s="21">
        <f>IF('Journal'!B1601="","",'Journal'!B1601)</f>
        <v/>
      </c>
      <c r="C3199" s="5">
        <f>IF('Journal'!C1601="","",'Journal'!C1601)</f>
        <v/>
      </c>
      <c r="D3199" s="5">
        <f>IF('Journal'!D1601="","",IFERROR(LEFT('Journal'!D1601,FIND(" ",'Journal'!D1601)-1),'Journal'!D1601))</f>
        <v/>
      </c>
      <c r="E3199" s="5">
        <f>IF('Journal'!D1601="","",IFERROR(INDEX('Kontoplan'!$B$3:$B$302,MATCH('Journal'!D1601,'Kontoplan'!$H$3:$H$302,0)),""))</f>
        <v/>
      </c>
      <c r="F3199" s="20">
        <f>IF('Journal'!G1601="","",'Journal'!G1601)</f>
        <v/>
      </c>
      <c r="G3199" s="20">
        <f>IF('Journal'!F1601="","",'Journal'!F1601)</f>
        <v/>
      </c>
      <c r="H3199" s="5">
        <f>IF('Journal'!I1601="","",'Journal'!I1601)</f>
        <v/>
      </c>
    </row>
    <row r="3200">
      <c r="A3200" s="18">
        <f>IF('Journal'!A1601="","",'Journal'!A1601)</f>
        <v/>
      </c>
      <c r="B3200" s="21">
        <f>IF('Journal'!B1601="","",'Journal'!B1601)</f>
        <v/>
      </c>
      <c r="C3200" s="5">
        <f>IF('Journal'!C1601="","",'Journal'!C1601)</f>
        <v/>
      </c>
      <c r="D3200" s="5">
        <f>IF('Journal'!E1601="","",IFERROR(LEFT('Journal'!E1601,FIND(" ",'Journal'!E1601)-1),'Journal'!E1601))</f>
        <v/>
      </c>
      <c r="E3200" s="5">
        <f>IF('Journal'!E1601="","",IFERROR(INDEX('Kontoplan'!$B$3:$B$302,MATCH('Journal'!E1601,'Kontoplan'!$H$3:$H$302,0)),""))</f>
        <v/>
      </c>
      <c r="F3200" s="20">
        <f>IF('Journal'!F1601="","",'Journal'!F1601)</f>
        <v/>
      </c>
      <c r="G3200" s="20">
        <f>IF('Journal'!G1601="","",'Journal'!G1601)</f>
        <v/>
      </c>
      <c r="H3200" s="5">
        <f>IF('Journal'!I1601="","",'Journal'!I1601)</f>
        <v/>
      </c>
    </row>
    <row r="3201">
      <c r="A3201" s="18">
        <f>IF('Journal'!A1602="","",'Journal'!A1602)</f>
        <v/>
      </c>
      <c r="B3201" s="21">
        <f>IF('Journal'!B1602="","",'Journal'!B1602)</f>
        <v/>
      </c>
      <c r="C3201" s="5">
        <f>IF('Journal'!C1602="","",'Journal'!C1602)</f>
        <v/>
      </c>
      <c r="D3201" s="5">
        <f>IF('Journal'!D1602="","",IFERROR(LEFT('Journal'!D1602,FIND(" ",'Journal'!D1602)-1),'Journal'!D1602))</f>
        <v/>
      </c>
      <c r="E3201" s="5">
        <f>IF('Journal'!D1602="","",IFERROR(INDEX('Kontoplan'!$B$3:$B$302,MATCH('Journal'!D1602,'Kontoplan'!$H$3:$H$302,0)),""))</f>
        <v/>
      </c>
      <c r="F3201" s="20">
        <f>IF('Journal'!G1602="","",'Journal'!G1602)</f>
        <v/>
      </c>
      <c r="G3201" s="20">
        <f>IF('Journal'!F1602="","",'Journal'!F1602)</f>
        <v/>
      </c>
      <c r="H3201" s="5">
        <f>IF('Journal'!I1602="","",'Journal'!I1602)</f>
        <v/>
      </c>
    </row>
    <row r="3202">
      <c r="A3202" s="18">
        <f>IF('Journal'!A1602="","",'Journal'!A1602)</f>
        <v/>
      </c>
      <c r="B3202" s="21">
        <f>IF('Journal'!B1602="","",'Journal'!B1602)</f>
        <v/>
      </c>
      <c r="C3202" s="5">
        <f>IF('Journal'!C1602="","",'Journal'!C1602)</f>
        <v/>
      </c>
      <c r="D3202" s="5">
        <f>IF('Journal'!E1602="","",IFERROR(LEFT('Journal'!E1602,FIND(" ",'Journal'!E1602)-1),'Journal'!E1602))</f>
        <v/>
      </c>
      <c r="E3202" s="5">
        <f>IF('Journal'!E1602="","",IFERROR(INDEX('Kontoplan'!$B$3:$B$302,MATCH('Journal'!E1602,'Kontoplan'!$H$3:$H$302,0)),""))</f>
        <v/>
      </c>
      <c r="F3202" s="20">
        <f>IF('Journal'!F1602="","",'Journal'!F1602)</f>
        <v/>
      </c>
      <c r="G3202" s="20">
        <f>IF('Journal'!G1602="","",'Journal'!G1602)</f>
        <v/>
      </c>
      <c r="H3202" s="5">
        <f>IF('Journal'!I1602="","",'Journal'!I1602)</f>
        <v/>
      </c>
    </row>
    <row r="3203">
      <c r="A3203" s="18">
        <f>IF('Journal'!A1603="","",'Journal'!A1603)</f>
        <v/>
      </c>
      <c r="B3203" s="21">
        <f>IF('Journal'!B1603="","",'Journal'!B1603)</f>
        <v/>
      </c>
      <c r="C3203" s="5">
        <f>IF('Journal'!C1603="","",'Journal'!C1603)</f>
        <v/>
      </c>
      <c r="D3203" s="5">
        <f>IF('Journal'!D1603="","",IFERROR(LEFT('Journal'!D1603,FIND(" ",'Journal'!D1603)-1),'Journal'!D1603))</f>
        <v/>
      </c>
      <c r="E3203" s="5">
        <f>IF('Journal'!D1603="","",IFERROR(INDEX('Kontoplan'!$B$3:$B$302,MATCH('Journal'!D1603,'Kontoplan'!$H$3:$H$302,0)),""))</f>
        <v/>
      </c>
      <c r="F3203" s="20">
        <f>IF('Journal'!G1603="","",'Journal'!G1603)</f>
        <v/>
      </c>
      <c r="G3203" s="20">
        <f>IF('Journal'!F1603="","",'Journal'!F1603)</f>
        <v/>
      </c>
      <c r="H3203" s="5">
        <f>IF('Journal'!I1603="","",'Journal'!I1603)</f>
        <v/>
      </c>
    </row>
    <row r="3204">
      <c r="A3204" s="18">
        <f>IF('Journal'!A1603="","",'Journal'!A1603)</f>
        <v/>
      </c>
      <c r="B3204" s="21">
        <f>IF('Journal'!B1603="","",'Journal'!B1603)</f>
        <v/>
      </c>
      <c r="C3204" s="5">
        <f>IF('Journal'!C1603="","",'Journal'!C1603)</f>
        <v/>
      </c>
      <c r="D3204" s="5">
        <f>IF('Journal'!E1603="","",IFERROR(LEFT('Journal'!E1603,FIND(" ",'Journal'!E1603)-1),'Journal'!E1603))</f>
        <v/>
      </c>
      <c r="E3204" s="5">
        <f>IF('Journal'!E1603="","",IFERROR(INDEX('Kontoplan'!$B$3:$B$302,MATCH('Journal'!E1603,'Kontoplan'!$H$3:$H$302,0)),""))</f>
        <v/>
      </c>
      <c r="F3204" s="20">
        <f>IF('Journal'!F1603="","",'Journal'!F1603)</f>
        <v/>
      </c>
      <c r="G3204" s="20">
        <f>IF('Journal'!G1603="","",'Journal'!G1603)</f>
        <v/>
      </c>
      <c r="H3204" s="5">
        <f>IF('Journal'!I1603="","",'Journal'!I1603)</f>
        <v/>
      </c>
    </row>
    <row r="3205">
      <c r="A3205" s="18">
        <f>IF('Journal'!A1604="","",'Journal'!A1604)</f>
        <v/>
      </c>
      <c r="B3205" s="21">
        <f>IF('Journal'!B1604="","",'Journal'!B1604)</f>
        <v/>
      </c>
      <c r="C3205" s="5">
        <f>IF('Journal'!C1604="","",'Journal'!C1604)</f>
        <v/>
      </c>
      <c r="D3205" s="5">
        <f>IF('Journal'!D1604="","",IFERROR(LEFT('Journal'!D1604,FIND(" ",'Journal'!D1604)-1),'Journal'!D1604))</f>
        <v/>
      </c>
      <c r="E3205" s="5">
        <f>IF('Journal'!D1604="","",IFERROR(INDEX('Kontoplan'!$B$3:$B$302,MATCH('Journal'!D1604,'Kontoplan'!$H$3:$H$302,0)),""))</f>
        <v/>
      </c>
      <c r="F3205" s="20">
        <f>IF('Journal'!G1604="","",'Journal'!G1604)</f>
        <v/>
      </c>
      <c r="G3205" s="20">
        <f>IF('Journal'!F1604="","",'Journal'!F1604)</f>
        <v/>
      </c>
      <c r="H3205" s="5">
        <f>IF('Journal'!I1604="","",'Journal'!I1604)</f>
        <v/>
      </c>
    </row>
    <row r="3206">
      <c r="A3206" s="18">
        <f>IF('Journal'!A1604="","",'Journal'!A1604)</f>
        <v/>
      </c>
      <c r="B3206" s="21">
        <f>IF('Journal'!B1604="","",'Journal'!B1604)</f>
        <v/>
      </c>
      <c r="C3206" s="5">
        <f>IF('Journal'!C1604="","",'Journal'!C1604)</f>
        <v/>
      </c>
      <c r="D3206" s="5">
        <f>IF('Journal'!E1604="","",IFERROR(LEFT('Journal'!E1604,FIND(" ",'Journal'!E1604)-1),'Journal'!E1604))</f>
        <v/>
      </c>
      <c r="E3206" s="5">
        <f>IF('Journal'!E1604="","",IFERROR(INDEX('Kontoplan'!$B$3:$B$302,MATCH('Journal'!E1604,'Kontoplan'!$H$3:$H$302,0)),""))</f>
        <v/>
      </c>
      <c r="F3206" s="20">
        <f>IF('Journal'!F1604="","",'Journal'!F1604)</f>
        <v/>
      </c>
      <c r="G3206" s="20">
        <f>IF('Journal'!G1604="","",'Journal'!G1604)</f>
        <v/>
      </c>
      <c r="H3206" s="5">
        <f>IF('Journal'!I1604="","",'Journal'!I1604)</f>
        <v/>
      </c>
    </row>
    <row r="3207">
      <c r="A3207" s="18">
        <f>IF('Journal'!A1605="","",'Journal'!A1605)</f>
        <v/>
      </c>
      <c r="B3207" s="21">
        <f>IF('Journal'!B1605="","",'Journal'!B1605)</f>
        <v/>
      </c>
      <c r="C3207" s="5">
        <f>IF('Journal'!C1605="","",'Journal'!C1605)</f>
        <v/>
      </c>
      <c r="D3207" s="5">
        <f>IF('Journal'!D1605="","",IFERROR(LEFT('Journal'!D1605,FIND(" ",'Journal'!D1605)-1),'Journal'!D1605))</f>
        <v/>
      </c>
      <c r="E3207" s="5">
        <f>IF('Journal'!D1605="","",IFERROR(INDEX('Kontoplan'!$B$3:$B$302,MATCH('Journal'!D1605,'Kontoplan'!$H$3:$H$302,0)),""))</f>
        <v/>
      </c>
      <c r="F3207" s="20">
        <f>IF('Journal'!G1605="","",'Journal'!G1605)</f>
        <v/>
      </c>
      <c r="G3207" s="20">
        <f>IF('Journal'!F1605="","",'Journal'!F1605)</f>
        <v/>
      </c>
      <c r="H3207" s="5">
        <f>IF('Journal'!I1605="","",'Journal'!I1605)</f>
        <v/>
      </c>
    </row>
    <row r="3208">
      <c r="A3208" s="18">
        <f>IF('Journal'!A1605="","",'Journal'!A1605)</f>
        <v/>
      </c>
      <c r="B3208" s="21">
        <f>IF('Journal'!B1605="","",'Journal'!B1605)</f>
        <v/>
      </c>
      <c r="C3208" s="5">
        <f>IF('Journal'!C1605="","",'Journal'!C1605)</f>
        <v/>
      </c>
      <c r="D3208" s="5">
        <f>IF('Journal'!E1605="","",IFERROR(LEFT('Journal'!E1605,FIND(" ",'Journal'!E1605)-1),'Journal'!E1605))</f>
        <v/>
      </c>
      <c r="E3208" s="5">
        <f>IF('Journal'!E1605="","",IFERROR(INDEX('Kontoplan'!$B$3:$B$302,MATCH('Journal'!E1605,'Kontoplan'!$H$3:$H$302,0)),""))</f>
        <v/>
      </c>
      <c r="F3208" s="20">
        <f>IF('Journal'!F1605="","",'Journal'!F1605)</f>
        <v/>
      </c>
      <c r="G3208" s="20">
        <f>IF('Journal'!G1605="","",'Journal'!G1605)</f>
        <v/>
      </c>
      <c r="H3208" s="5">
        <f>IF('Journal'!I1605="","",'Journal'!I1605)</f>
        <v/>
      </c>
    </row>
    <row r="3209">
      <c r="A3209" s="18">
        <f>IF('Journal'!A1606="","",'Journal'!A1606)</f>
        <v/>
      </c>
      <c r="B3209" s="21">
        <f>IF('Journal'!B1606="","",'Journal'!B1606)</f>
        <v/>
      </c>
      <c r="C3209" s="5">
        <f>IF('Journal'!C1606="","",'Journal'!C1606)</f>
        <v/>
      </c>
      <c r="D3209" s="5">
        <f>IF('Journal'!D1606="","",IFERROR(LEFT('Journal'!D1606,FIND(" ",'Journal'!D1606)-1),'Journal'!D1606))</f>
        <v/>
      </c>
      <c r="E3209" s="5">
        <f>IF('Journal'!D1606="","",IFERROR(INDEX('Kontoplan'!$B$3:$B$302,MATCH('Journal'!D1606,'Kontoplan'!$H$3:$H$302,0)),""))</f>
        <v/>
      </c>
      <c r="F3209" s="20">
        <f>IF('Journal'!G1606="","",'Journal'!G1606)</f>
        <v/>
      </c>
      <c r="G3209" s="20">
        <f>IF('Journal'!F1606="","",'Journal'!F1606)</f>
        <v/>
      </c>
      <c r="H3209" s="5">
        <f>IF('Journal'!I1606="","",'Journal'!I1606)</f>
        <v/>
      </c>
    </row>
    <row r="3210">
      <c r="A3210" s="18">
        <f>IF('Journal'!A1606="","",'Journal'!A1606)</f>
        <v/>
      </c>
      <c r="B3210" s="21">
        <f>IF('Journal'!B1606="","",'Journal'!B1606)</f>
        <v/>
      </c>
      <c r="C3210" s="5">
        <f>IF('Journal'!C1606="","",'Journal'!C1606)</f>
        <v/>
      </c>
      <c r="D3210" s="5">
        <f>IF('Journal'!E1606="","",IFERROR(LEFT('Journal'!E1606,FIND(" ",'Journal'!E1606)-1),'Journal'!E1606))</f>
        <v/>
      </c>
      <c r="E3210" s="5">
        <f>IF('Journal'!E1606="","",IFERROR(INDEX('Kontoplan'!$B$3:$B$302,MATCH('Journal'!E1606,'Kontoplan'!$H$3:$H$302,0)),""))</f>
        <v/>
      </c>
      <c r="F3210" s="20">
        <f>IF('Journal'!F1606="","",'Journal'!F1606)</f>
        <v/>
      </c>
      <c r="G3210" s="20">
        <f>IF('Journal'!G1606="","",'Journal'!G1606)</f>
        <v/>
      </c>
      <c r="H3210" s="5">
        <f>IF('Journal'!I1606="","",'Journal'!I1606)</f>
        <v/>
      </c>
    </row>
    <row r="3211">
      <c r="A3211" s="18">
        <f>IF('Journal'!A1607="","",'Journal'!A1607)</f>
        <v/>
      </c>
      <c r="B3211" s="21">
        <f>IF('Journal'!B1607="","",'Journal'!B1607)</f>
        <v/>
      </c>
      <c r="C3211" s="5">
        <f>IF('Journal'!C1607="","",'Journal'!C1607)</f>
        <v/>
      </c>
      <c r="D3211" s="5">
        <f>IF('Journal'!D1607="","",IFERROR(LEFT('Journal'!D1607,FIND(" ",'Journal'!D1607)-1),'Journal'!D1607))</f>
        <v/>
      </c>
      <c r="E3211" s="5">
        <f>IF('Journal'!D1607="","",IFERROR(INDEX('Kontoplan'!$B$3:$B$302,MATCH('Journal'!D1607,'Kontoplan'!$H$3:$H$302,0)),""))</f>
        <v/>
      </c>
      <c r="F3211" s="20">
        <f>IF('Journal'!G1607="","",'Journal'!G1607)</f>
        <v/>
      </c>
      <c r="G3211" s="20">
        <f>IF('Journal'!F1607="","",'Journal'!F1607)</f>
        <v/>
      </c>
      <c r="H3211" s="5">
        <f>IF('Journal'!I1607="","",'Journal'!I1607)</f>
        <v/>
      </c>
    </row>
    <row r="3212">
      <c r="A3212" s="18">
        <f>IF('Journal'!A1607="","",'Journal'!A1607)</f>
        <v/>
      </c>
      <c r="B3212" s="21">
        <f>IF('Journal'!B1607="","",'Journal'!B1607)</f>
        <v/>
      </c>
      <c r="C3212" s="5">
        <f>IF('Journal'!C1607="","",'Journal'!C1607)</f>
        <v/>
      </c>
      <c r="D3212" s="5">
        <f>IF('Journal'!E1607="","",IFERROR(LEFT('Journal'!E1607,FIND(" ",'Journal'!E1607)-1),'Journal'!E1607))</f>
        <v/>
      </c>
      <c r="E3212" s="5">
        <f>IF('Journal'!E1607="","",IFERROR(INDEX('Kontoplan'!$B$3:$B$302,MATCH('Journal'!E1607,'Kontoplan'!$H$3:$H$302,0)),""))</f>
        <v/>
      </c>
      <c r="F3212" s="20">
        <f>IF('Journal'!F1607="","",'Journal'!F1607)</f>
        <v/>
      </c>
      <c r="G3212" s="20">
        <f>IF('Journal'!G1607="","",'Journal'!G1607)</f>
        <v/>
      </c>
      <c r="H3212" s="5">
        <f>IF('Journal'!I1607="","",'Journal'!I1607)</f>
        <v/>
      </c>
    </row>
    <row r="3213">
      <c r="A3213" s="18">
        <f>IF('Journal'!A1608="","",'Journal'!A1608)</f>
        <v/>
      </c>
      <c r="B3213" s="21">
        <f>IF('Journal'!B1608="","",'Journal'!B1608)</f>
        <v/>
      </c>
      <c r="C3213" s="5">
        <f>IF('Journal'!C1608="","",'Journal'!C1608)</f>
        <v/>
      </c>
      <c r="D3213" s="5">
        <f>IF('Journal'!D1608="","",IFERROR(LEFT('Journal'!D1608,FIND(" ",'Journal'!D1608)-1),'Journal'!D1608))</f>
        <v/>
      </c>
      <c r="E3213" s="5">
        <f>IF('Journal'!D1608="","",IFERROR(INDEX('Kontoplan'!$B$3:$B$302,MATCH('Journal'!D1608,'Kontoplan'!$H$3:$H$302,0)),""))</f>
        <v/>
      </c>
      <c r="F3213" s="20">
        <f>IF('Journal'!G1608="","",'Journal'!G1608)</f>
        <v/>
      </c>
      <c r="G3213" s="20">
        <f>IF('Journal'!F1608="","",'Journal'!F1608)</f>
        <v/>
      </c>
      <c r="H3213" s="5">
        <f>IF('Journal'!I1608="","",'Journal'!I1608)</f>
        <v/>
      </c>
    </row>
    <row r="3214">
      <c r="A3214" s="18">
        <f>IF('Journal'!A1608="","",'Journal'!A1608)</f>
        <v/>
      </c>
      <c r="B3214" s="21">
        <f>IF('Journal'!B1608="","",'Journal'!B1608)</f>
        <v/>
      </c>
      <c r="C3214" s="5">
        <f>IF('Journal'!C1608="","",'Journal'!C1608)</f>
        <v/>
      </c>
      <c r="D3214" s="5">
        <f>IF('Journal'!E1608="","",IFERROR(LEFT('Journal'!E1608,FIND(" ",'Journal'!E1608)-1),'Journal'!E1608))</f>
        <v/>
      </c>
      <c r="E3214" s="5">
        <f>IF('Journal'!E1608="","",IFERROR(INDEX('Kontoplan'!$B$3:$B$302,MATCH('Journal'!E1608,'Kontoplan'!$H$3:$H$302,0)),""))</f>
        <v/>
      </c>
      <c r="F3214" s="20">
        <f>IF('Journal'!F1608="","",'Journal'!F1608)</f>
        <v/>
      </c>
      <c r="G3214" s="20">
        <f>IF('Journal'!G1608="","",'Journal'!G1608)</f>
        <v/>
      </c>
      <c r="H3214" s="5">
        <f>IF('Journal'!I1608="","",'Journal'!I1608)</f>
        <v/>
      </c>
    </row>
    <row r="3215">
      <c r="A3215" s="18">
        <f>IF('Journal'!A1609="","",'Journal'!A1609)</f>
        <v/>
      </c>
      <c r="B3215" s="21">
        <f>IF('Journal'!B1609="","",'Journal'!B1609)</f>
        <v/>
      </c>
      <c r="C3215" s="5">
        <f>IF('Journal'!C1609="","",'Journal'!C1609)</f>
        <v/>
      </c>
      <c r="D3215" s="5">
        <f>IF('Journal'!D1609="","",IFERROR(LEFT('Journal'!D1609,FIND(" ",'Journal'!D1609)-1),'Journal'!D1609))</f>
        <v/>
      </c>
      <c r="E3215" s="5">
        <f>IF('Journal'!D1609="","",IFERROR(INDEX('Kontoplan'!$B$3:$B$302,MATCH('Journal'!D1609,'Kontoplan'!$H$3:$H$302,0)),""))</f>
        <v/>
      </c>
      <c r="F3215" s="20">
        <f>IF('Journal'!G1609="","",'Journal'!G1609)</f>
        <v/>
      </c>
      <c r="G3215" s="20">
        <f>IF('Journal'!F1609="","",'Journal'!F1609)</f>
        <v/>
      </c>
      <c r="H3215" s="5">
        <f>IF('Journal'!I1609="","",'Journal'!I1609)</f>
        <v/>
      </c>
    </row>
    <row r="3216">
      <c r="A3216" s="18">
        <f>IF('Journal'!A1609="","",'Journal'!A1609)</f>
        <v/>
      </c>
      <c r="B3216" s="21">
        <f>IF('Journal'!B1609="","",'Journal'!B1609)</f>
        <v/>
      </c>
      <c r="C3216" s="5">
        <f>IF('Journal'!C1609="","",'Journal'!C1609)</f>
        <v/>
      </c>
      <c r="D3216" s="5">
        <f>IF('Journal'!E1609="","",IFERROR(LEFT('Journal'!E1609,FIND(" ",'Journal'!E1609)-1),'Journal'!E1609))</f>
        <v/>
      </c>
      <c r="E3216" s="5">
        <f>IF('Journal'!E1609="","",IFERROR(INDEX('Kontoplan'!$B$3:$B$302,MATCH('Journal'!E1609,'Kontoplan'!$H$3:$H$302,0)),""))</f>
        <v/>
      </c>
      <c r="F3216" s="20">
        <f>IF('Journal'!F1609="","",'Journal'!F1609)</f>
        <v/>
      </c>
      <c r="G3216" s="20">
        <f>IF('Journal'!G1609="","",'Journal'!G1609)</f>
        <v/>
      </c>
      <c r="H3216" s="5">
        <f>IF('Journal'!I1609="","",'Journal'!I1609)</f>
        <v/>
      </c>
    </row>
    <row r="3217">
      <c r="A3217" s="18">
        <f>IF('Journal'!A1610="","",'Journal'!A1610)</f>
        <v/>
      </c>
      <c r="B3217" s="21">
        <f>IF('Journal'!B1610="","",'Journal'!B1610)</f>
        <v/>
      </c>
      <c r="C3217" s="5">
        <f>IF('Journal'!C1610="","",'Journal'!C1610)</f>
        <v/>
      </c>
      <c r="D3217" s="5">
        <f>IF('Journal'!D1610="","",IFERROR(LEFT('Journal'!D1610,FIND(" ",'Journal'!D1610)-1),'Journal'!D1610))</f>
        <v/>
      </c>
      <c r="E3217" s="5">
        <f>IF('Journal'!D1610="","",IFERROR(INDEX('Kontoplan'!$B$3:$B$302,MATCH('Journal'!D1610,'Kontoplan'!$H$3:$H$302,0)),""))</f>
        <v/>
      </c>
      <c r="F3217" s="20">
        <f>IF('Journal'!G1610="","",'Journal'!G1610)</f>
        <v/>
      </c>
      <c r="G3217" s="20">
        <f>IF('Journal'!F1610="","",'Journal'!F1610)</f>
        <v/>
      </c>
      <c r="H3217" s="5">
        <f>IF('Journal'!I1610="","",'Journal'!I1610)</f>
        <v/>
      </c>
    </row>
    <row r="3218">
      <c r="A3218" s="18">
        <f>IF('Journal'!A1610="","",'Journal'!A1610)</f>
        <v/>
      </c>
      <c r="B3218" s="21">
        <f>IF('Journal'!B1610="","",'Journal'!B1610)</f>
        <v/>
      </c>
      <c r="C3218" s="5">
        <f>IF('Journal'!C1610="","",'Journal'!C1610)</f>
        <v/>
      </c>
      <c r="D3218" s="5">
        <f>IF('Journal'!E1610="","",IFERROR(LEFT('Journal'!E1610,FIND(" ",'Journal'!E1610)-1),'Journal'!E1610))</f>
        <v/>
      </c>
      <c r="E3218" s="5">
        <f>IF('Journal'!E1610="","",IFERROR(INDEX('Kontoplan'!$B$3:$B$302,MATCH('Journal'!E1610,'Kontoplan'!$H$3:$H$302,0)),""))</f>
        <v/>
      </c>
      <c r="F3218" s="20">
        <f>IF('Journal'!F1610="","",'Journal'!F1610)</f>
        <v/>
      </c>
      <c r="G3218" s="20">
        <f>IF('Journal'!G1610="","",'Journal'!G1610)</f>
        <v/>
      </c>
      <c r="H3218" s="5">
        <f>IF('Journal'!I1610="","",'Journal'!I1610)</f>
        <v/>
      </c>
    </row>
    <row r="3219">
      <c r="A3219" s="18">
        <f>IF('Journal'!A1611="","",'Journal'!A1611)</f>
        <v/>
      </c>
      <c r="B3219" s="21">
        <f>IF('Journal'!B1611="","",'Journal'!B1611)</f>
        <v/>
      </c>
      <c r="C3219" s="5">
        <f>IF('Journal'!C1611="","",'Journal'!C1611)</f>
        <v/>
      </c>
      <c r="D3219" s="5">
        <f>IF('Journal'!D1611="","",IFERROR(LEFT('Journal'!D1611,FIND(" ",'Journal'!D1611)-1),'Journal'!D1611))</f>
        <v/>
      </c>
      <c r="E3219" s="5">
        <f>IF('Journal'!D1611="","",IFERROR(INDEX('Kontoplan'!$B$3:$B$302,MATCH('Journal'!D1611,'Kontoplan'!$H$3:$H$302,0)),""))</f>
        <v/>
      </c>
      <c r="F3219" s="20">
        <f>IF('Journal'!G1611="","",'Journal'!G1611)</f>
        <v/>
      </c>
      <c r="G3219" s="20">
        <f>IF('Journal'!F1611="","",'Journal'!F1611)</f>
        <v/>
      </c>
      <c r="H3219" s="5">
        <f>IF('Journal'!I1611="","",'Journal'!I1611)</f>
        <v/>
      </c>
    </row>
    <row r="3220">
      <c r="A3220" s="18">
        <f>IF('Journal'!A1611="","",'Journal'!A1611)</f>
        <v/>
      </c>
      <c r="B3220" s="21">
        <f>IF('Journal'!B1611="","",'Journal'!B1611)</f>
        <v/>
      </c>
      <c r="C3220" s="5">
        <f>IF('Journal'!C1611="","",'Journal'!C1611)</f>
        <v/>
      </c>
      <c r="D3220" s="5">
        <f>IF('Journal'!E1611="","",IFERROR(LEFT('Journal'!E1611,FIND(" ",'Journal'!E1611)-1),'Journal'!E1611))</f>
        <v/>
      </c>
      <c r="E3220" s="5">
        <f>IF('Journal'!E1611="","",IFERROR(INDEX('Kontoplan'!$B$3:$B$302,MATCH('Journal'!E1611,'Kontoplan'!$H$3:$H$302,0)),""))</f>
        <v/>
      </c>
      <c r="F3220" s="20">
        <f>IF('Journal'!F1611="","",'Journal'!F1611)</f>
        <v/>
      </c>
      <c r="G3220" s="20">
        <f>IF('Journal'!G1611="","",'Journal'!G1611)</f>
        <v/>
      </c>
      <c r="H3220" s="5">
        <f>IF('Journal'!I1611="","",'Journal'!I1611)</f>
        <v/>
      </c>
    </row>
    <row r="3221">
      <c r="A3221" s="18">
        <f>IF('Journal'!A1612="","",'Journal'!A1612)</f>
        <v/>
      </c>
      <c r="B3221" s="21">
        <f>IF('Journal'!B1612="","",'Journal'!B1612)</f>
        <v/>
      </c>
      <c r="C3221" s="5">
        <f>IF('Journal'!C1612="","",'Journal'!C1612)</f>
        <v/>
      </c>
      <c r="D3221" s="5">
        <f>IF('Journal'!D1612="","",IFERROR(LEFT('Journal'!D1612,FIND(" ",'Journal'!D1612)-1),'Journal'!D1612))</f>
        <v/>
      </c>
      <c r="E3221" s="5">
        <f>IF('Journal'!D1612="","",IFERROR(INDEX('Kontoplan'!$B$3:$B$302,MATCH('Journal'!D1612,'Kontoplan'!$H$3:$H$302,0)),""))</f>
        <v/>
      </c>
      <c r="F3221" s="20">
        <f>IF('Journal'!G1612="","",'Journal'!G1612)</f>
        <v/>
      </c>
      <c r="G3221" s="20">
        <f>IF('Journal'!F1612="","",'Journal'!F1612)</f>
        <v/>
      </c>
      <c r="H3221" s="5">
        <f>IF('Journal'!I1612="","",'Journal'!I1612)</f>
        <v/>
      </c>
    </row>
    <row r="3222">
      <c r="A3222" s="18">
        <f>IF('Journal'!A1612="","",'Journal'!A1612)</f>
        <v/>
      </c>
      <c r="B3222" s="21">
        <f>IF('Journal'!B1612="","",'Journal'!B1612)</f>
        <v/>
      </c>
      <c r="C3222" s="5">
        <f>IF('Journal'!C1612="","",'Journal'!C1612)</f>
        <v/>
      </c>
      <c r="D3222" s="5">
        <f>IF('Journal'!E1612="","",IFERROR(LEFT('Journal'!E1612,FIND(" ",'Journal'!E1612)-1),'Journal'!E1612))</f>
        <v/>
      </c>
      <c r="E3222" s="5">
        <f>IF('Journal'!E1612="","",IFERROR(INDEX('Kontoplan'!$B$3:$B$302,MATCH('Journal'!E1612,'Kontoplan'!$H$3:$H$302,0)),""))</f>
        <v/>
      </c>
      <c r="F3222" s="20">
        <f>IF('Journal'!F1612="","",'Journal'!F1612)</f>
        <v/>
      </c>
      <c r="G3222" s="20">
        <f>IF('Journal'!G1612="","",'Journal'!G1612)</f>
        <v/>
      </c>
      <c r="H3222" s="5">
        <f>IF('Journal'!I1612="","",'Journal'!I1612)</f>
        <v/>
      </c>
    </row>
    <row r="3223">
      <c r="A3223" s="18">
        <f>IF('Journal'!A1613="","",'Journal'!A1613)</f>
        <v/>
      </c>
      <c r="B3223" s="21">
        <f>IF('Journal'!B1613="","",'Journal'!B1613)</f>
        <v/>
      </c>
      <c r="C3223" s="5">
        <f>IF('Journal'!C1613="","",'Journal'!C1613)</f>
        <v/>
      </c>
      <c r="D3223" s="5">
        <f>IF('Journal'!D1613="","",IFERROR(LEFT('Journal'!D1613,FIND(" ",'Journal'!D1613)-1),'Journal'!D1613))</f>
        <v/>
      </c>
      <c r="E3223" s="5">
        <f>IF('Journal'!D1613="","",IFERROR(INDEX('Kontoplan'!$B$3:$B$302,MATCH('Journal'!D1613,'Kontoplan'!$H$3:$H$302,0)),""))</f>
        <v/>
      </c>
      <c r="F3223" s="20">
        <f>IF('Journal'!G1613="","",'Journal'!G1613)</f>
        <v/>
      </c>
      <c r="G3223" s="20">
        <f>IF('Journal'!F1613="","",'Journal'!F1613)</f>
        <v/>
      </c>
      <c r="H3223" s="5">
        <f>IF('Journal'!I1613="","",'Journal'!I1613)</f>
        <v/>
      </c>
    </row>
    <row r="3224">
      <c r="A3224" s="18">
        <f>IF('Journal'!A1613="","",'Journal'!A1613)</f>
        <v/>
      </c>
      <c r="B3224" s="21">
        <f>IF('Journal'!B1613="","",'Journal'!B1613)</f>
        <v/>
      </c>
      <c r="C3224" s="5">
        <f>IF('Journal'!C1613="","",'Journal'!C1613)</f>
        <v/>
      </c>
      <c r="D3224" s="5">
        <f>IF('Journal'!E1613="","",IFERROR(LEFT('Journal'!E1613,FIND(" ",'Journal'!E1613)-1),'Journal'!E1613))</f>
        <v/>
      </c>
      <c r="E3224" s="5">
        <f>IF('Journal'!E1613="","",IFERROR(INDEX('Kontoplan'!$B$3:$B$302,MATCH('Journal'!E1613,'Kontoplan'!$H$3:$H$302,0)),""))</f>
        <v/>
      </c>
      <c r="F3224" s="20">
        <f>IF('Journal'!F1613="","",'Journal'!F1613)</f>
        <v/>
      </c>
      <c r="G3224" s="20">
        <f>IF('Journal'!G1613="","",'Journal'!G1613)</f>
        <v/>
      </c>
      <c r="H3224" s="5">
        <f>IF('Journal'!I1613="","",'Journal'!I1613)</f>
        <v/>
      </c>
    </row>
    <row r="3225">
      <c r="A3225" s="18">
        <f>IF('Journal'!A1614="","",'Journal'!A1614)</f>
        <v/>
      </c>
      <c r="B3225" s="21">
        <f>IF('Journal'!B1614="","",'Journal'!B1614)</f>
        <v/>
      </c>
      <c r="C3225" s="5">
        <f>IF('Journal'!C1614="","",'Journal'!C1614)</f>
        <v/>
      </c>
      <c r="D3225" s="5">
        <f>IF('Journal'!D1614="","",IFERROR(LEFT('Journal'!D1614,FIND(" ",'Journal'!D1614)-1),'Journal'!D1614))</f>
        <v/>
      </c>
      <c r="E3225" s="5">
        <f>IF('Journal'!D1614="","",IFERROR(INDEX('Kontoplan'!$B$3:$B$302,MATCH('Journal'!D1614,'Kontoplan'!$H$3:$H$302,0)),""))</f>
        <v/>
      </c>
      <c r="F3225" s="20">
        <f>IF('Journal'!G1614="","",'Journal'!G1614)</f>
        <v/>
      </c>
      <c r="G3225" s="20">
        <f>IF('Journal'!F1614="","",'Journal'!F1614)</f>
        <v/>
      </c>
      <c r="H3225" s="5">
        <f>IF('Journal'!I1614="","",'Journal'!I1614)</f>
        <v/>
      </c>
    </row>
    <row r="3226">
      <c r="A3226" s="18">
        <f>IF('Journal'!A1614="","",'Journal'!A1614)</f>
        <v/>
      </c>
      <c r="B3226" s="21">
        <f>IF('Journal'!B1614="","",'Journal'!B1614)</f>
        <v/>
      </c>
      <c r="C3226" s="5">
        <f>IF('Journal'!C1614="","",'Journal'!C1614)</f>
        <v/>
      </c>
      <c r="D3226" s="5">
        <f>IF('Journal'!E1614="","",IFERROR(LEFT('Journal'!E1614,FIND(" ",'Journal'!E1614)-1),'Journal'!E1614))</f>
        <v/>
      </c>
      <c r="E3226" s="5">
        <f>IF('Journal'!E1614="","",IFERROR(INDEX('Kontoplan'!$B$3:$B$302,MATCH('Journal'!E1614,'Kontoplan'!$H$3:$H$302,0)),""))</f>
        <v/>
      </c>
      <c r="F3226" s="20">
        <f>IF('Journal'!F1614="","",'Journal'!F1614)</f>
        <v/>
      </c>
      <c r="G3226" s="20">
        <f>IF('Journal'!G1614="","",'Journal'!G1614)</f>
        <v/>
      </c>
      <c r="H3226" s="5">
        <f>IF('Journal'!I1614="","",'Journal'!I1614)</f>
        <v/>
      </c>
    </row>
    <row r="3227">
      <c r="A3227" s="18">
        <f>IF('Journal'!A1615="","",'Journal'!A1615)</f>
        <v/>
      </c>
      <c r="B3227" s="21">
        <f>IF('Journal'!B1615="","",'Journal'!B1615)</f>
        <v/>
      </c>
      <c r="C3227" s="5">
        <f>IF('Journal'!C1615="","",'Journal'!C1615)</f>
        <v/>
      </c>
      <c r="D3227" s="5">
        <f>IF('Journal'!D1615="","",IFERROR(LEFT('Journal'!D1615,FIND(" ",'Journal'!D1615)-1),'Journal'!D1615))</f>
        <v/>
      </c>
      <c r="E3227" s="5">
        <f>IF('Journal'!D1615="","",IFERROR(INDEX('Kontoplan'!$B$3:$B$302,MATCH('Journal'!D1615,'Kontoplan'!$H$3:$H$302,0)),""))</f>
        <v/>
      </c>
      <c r="F3227" s="20">
        <f>IF('Journal'!G1615="","",'Journal'!G1615)</f>
        <v/>
      </c>
      <c r="G3227" s="20">
        <f>IF('Journal'!F1615="","",'Journal'!F1615)</f>
        <v/>
      </c>
      <c r="H3227" s="5">
        <f>IF('Journal'!I1615="","",'Journal'!I1615)</f>
        <v/>
      </c>
    </row>
    <row r="3228">
      <c r="A3228" s="18">
        <f>IF('Journal'!A1615="","",'Journal'!A1615)</f>
        <v/>
      </c>
      <c r="B3228" s="21">
        <f>IF('Journal'!B1615="","",'Journal'!B1615)</f>
        <v/>
      </c>
      <c r="C3228" s="5">
        <f>IF('Journal'!C1615="","",'Journal'!C1615)</f>
        <v/>
      </c>
      <c r="D3228" s="5">
        <f>IF('Journal'!E1615="","",IFERROR(LEFT('Journal'!E1615,FIND(" ",'Journal'!E1615)-1),'Journal'!E1615))</f>
        <v/>
      </c>
      <c r="E3228" s="5">
        <f>IF('Journal'!E1615="","",IFERROR(INDEX('Kontoplan'!$B$3:$B$302,MATCH('Journal'!E1615,'Kontoplan'!$H$3:$H$302,0)),""))</f>
        <v/>
      </c>
      <c r="F3228" s="20">
        <f>IF('Journal'!F1615="","",'Journal'!F1615)</f>
        <v/>
      </c>
      <c r="G3228" s="20">
        <f>IF('Journal'!G1615="","",'Journal'!G1615)</f>
        <v/>
      </c>
      <c r="H3228" s="5">
        <f>IF('Journal'!I1615="","",'Journal'!I1615)</f>
        <v/>
      </c>
    </row>
    <row r="3229">
      <c r="A3229" s="18">
        <f>IF('Journal'!A1616="","",'Journal'!A1616)</f>
        <v/>
      </c>
      <c r="B3229" s="21">
        <f>IF('Journal'!B1616="","",'Journal'!B1616)</f>
        <v/>
      </c>
      <c r="C3229" s="5">
        <f>IF('Journal'!C1616="","",'Journal'!C1616)</f>
        <v/>
      </c>
      <c r="D3229" s="5">
        <f>IF('Journal'!D1616="","",IFERROR(LEFT('Journal'!D1616,FIND(" ",'Journal'!D1616)-1),'Journal'!D1616))</f>
        <v/>
      </c>
      <c r="E3229" s="5">
        <f>IF('Journal'!D1616="","",IFERROR(INDEX('Kontoplan'!$B$3:$B$302,MATCH('Journal'!D1616,'Kontoplan'!$H$3:$H$302,0)),""))</f>
        <v/>
      </c>
      <c r="F3229" s="20">
        <f>IF('Journal'!G1616="","",'Journal'!G1616)</f>
        <v/>
      </c>
      <c r="G3229" s="20">
        <f>IF('Journal'!F1616="","",'Journal'!F1616)</f>
        <v/>
      </c>
      <c r="H3229" s="5">
        <f>IF('Journal'!I1616="","",'Journal'!I1616)</f>
        <v/>
      </c>
    </row>
    <row r="3230">
      <c r="A3230" s="18">
        <f>IF('Journal'!A1616="","",'Journal'!A1616)</f>
        <v/>
      </c>
      <c r="B3230" s="21">
        <f>IF('Journal'!B1616="","",'Journal'!B1616)</f>
        <v/>
      </c>
      <c r="C3230" s="5">
        <f>IF('Journal'!C1616="","",'Journal'!C1616)</f>
        <v/>
      </c>
      <c r="D3230" s="5">
        <f>IF('Journal'!E1616="","",IFERROR(LEFT('Journal'!E1616,FIND(" ",'Journal'!E1616)-1),'Journal'!E1616))</f>
        <v/>
      </c>
      <c r="E3230" s="5">
        <f>IF('Journal'!E1616="","",IFERROR(INDEX('Kontoplan'!$B$3:$B$302,MATCH('Journal'!E1616,'Kontoplan'!$H$3:$H$302,0)),""))</f>
        <v/>
      </c>
      <c r="F3230" s="20">
        <f>IF('Journal'!F1616="","",'Journal'!F1616)</f>
        <v/>
      </c>
      <c r="G3230" s="20">
        <f>IF('Journal'!G1616="","",'Journal'!G1616)</f>
        <v/>
      </c>
      <c r="H3230" s="5">
        <f>IF('Journal'!I1616="","",'Journal'!I1616)</f>
        <v/>
      </c>
    </row>
    <row r="3231">
      <c r="A3231" s="18">
        <f>IF('Journal'!A1617="","",'Journal'!A1617)</f>
        <v/>
      </c>
      <c r="B3231" s="21">
        <f>IF('Journal'!B1617="","",'Journal'!B1617)</f>
        <v/>
      </c>
      <c r="C3231" s="5">
        <f>IF('Journal'!C1617="","",'Journal'!C1617)</f>
        <v/>
      </c>
      <c r="D3231" s="5">
        <f>IF('Journal'!D1617="","",IFERROR(LEFT('Journal'!D1617,FIND(" ",'Journal'!D1617)-1),'Journal'!D1617))</f>
        <v/>
      </c>
      <c r="E3231" s="5">
        <f>IF('Journal'!D1617="","",IFERROR(INDEX('Kontoplan'!$B$3:$B$302,MATCH('Journal'!D1617,'Kontoplan'!$H$3:$H$302,0)),""))</f>
        <v/>
      </c>
      <c r="F3231" s="20">
        <f>IF('Journal'!G1617="","",'Journal'!G1617)</f>
        <v/>
      </c>
      <c r="G3231" s="20">
        <f>IF('Journal'!F1617="","",'Journal'!F1617)</f>
        <v/>
      </c>
      <c r="H3231" s="5">
        <f>IF('Journal'!I1617="","",'Journal'!I1617)</f>
        <v/>
      </c>
    </row>
    <row r="3232">
      <c r="A3232" s="18">
        <f>IF('Journal'!A1617="","",'Journal'!A1617)</f>
        <v/>
      </c>
      <c r="B3232" s="21">
        <f>IF('Journal'!B1617="","",'Journal'!B1617)</f>
        <v/>
      </c>
      <c r="C3232" s="5">
        <f>IF('Journal'!C1617="","",'Journal'!C1617)</f>
        <v/>
      </c>
      <c r="D3232" s="5">
        <f>IF('Journal'!E1617="","",IFERROR(LEFT('Journal'!E1617,FIND(" ",'Journal'!E1617)-1),'Journal'!E1617))</f>
        <v/>
      </c>
      <c r="E3232" s="5">
        <f>IF('Journal'!E1617="","",IFERROR(INDEX('Kontoplan'!$B$3:$B$302,MATCH('Journal'!E1617,'Kontoplan'!$H$3:$H$302,0)),""))</f>
        <v/>
      </c>
      <c r="F3232" s="20">
        <f>IF('Journal'!F1617="","",'Journal'!F1617)</f>
        <v/>
      </c>
      <c r="G3232" s="20">
        <f>IF('Journal'!G1617="","",'Journal'!G1617)</f>
        <v/>
      </c>
      <c r="H3232" s="5">
        <f>IF('Journal'!I1617="","",'Journal'!I1617)</f>
        <v/>
      </c>
    </row>
    <row r="3233">
      <c r="A3233" s="18">
        <f>IF('Journal'!A1618="","",'Journal'!A1618)</f>
        <v/>
      </c>
      <c r="B3233" s="21">
        <f>IF('Journal'!B1618="","",'Journal'!B1618)</f>
        <v/>
      </c>
      <c r="C3233" s="5">
        <f>IF('Journal'!C1618="","",'Journal'!C1618)</f>
        <v/>
      </c>
      <c r="D3233" s="5">
        <f>IF('Journal'!D1618="","",IFERROR(LEFT('Journal'!D1618,FIND(" ",'Journal'!D1618)-1),'Journal'!D1618))</f>
        <v/>
      </c>
      <c r="E3233" s="5">
        <f>IF('Journal'!D1618="","",IFERROR(INDEX('Kontoplan'!$B$3:$B$302,MATCH('Journal'!D1618,'Kontoplan'!$H$3:$H$302,0)),""))</f>
        <v/>
      </c>
      <c r="F3233" s="20">
        <f>IF('Journal'!G1618="","",'Journal'!G1618)</f>
        <v/>
      </c>
      <c r="G3233" s="20">
        <f>IF('Journal'!F1618="","",'Journal'!F1618)</f>
        <v/>
      </c>
      <c r="H3233" s="5">
        <f>IF('Journal'!I1618="","",'Journal'!I1618)</f>
        <v/>
      </c>
    </row>
    <row r="3234">
      <c r="A3234" s="18">
        <f>IF('Journal'!A1618="","",'Journal'!A1618)</f>
        <v/>
      </c>
      <c r="B3234" s="21">
        <f>IF('Journal'!B1618="","",'Journal'!B1618)</f>
        <v/>
      </c>
      <c r="C3234" s="5">
        <f>IF('Journal'!C1618="","",'Journal'!C1618)</f>
        <v/>
      </c>
      <c r="D3234" s="5">
        <f>IF('Journal'!E1618="","",IFERROR(LEFT('Journal'!E1618,FIND(" ",'Journal'!E1618)-1),'Journal'!E1618))</f>
        <v/>
      </c>
      <c r="E3234" s="5">
        <f>IF('Journal'!E1618="","",IFERROR(INDEX('Kontoplan'!$B$3:$B$302,MATCH('Journal'!E1618,'Kontoplan'!$H$3:$H$302,0)),""))</f>
        <v/>
      </c>
      <c r="F3234" s="20">
        <f>IF('Journal'!F1618="","",'Journal'!F1618)</f>
        <v/>
      </c>
      <c r="G3234" s="20">
        <f>IF('Journal'!G1618="","",'Journal'!G1618)</f>
        <v/>
      </c>
      <c r="H3234" s="5">
        <f>IF('Journal'!I1618="","",'Journal'!I1618)</f>
        <v/>
      </c>
    </row>
    <row r="3235">
      <c r="A3235" s="18">
        <f>IF('Journal'!A1619="","",'Journal'!A1619)</f>
        <v/>
      </c>
      <c r="B3235" s="21">
        <f>IF('Journal'!B1619="","",'Journal'!B1619)</f>
        <v/>
      </c>
      <c r="C3235" s="5">
        <f>IF('Journal'!C1619="","",'Journal'!C1619)</f>
        <v/>
      </c>
      <c r="D3235" s="5">
        <f>IF('Journal'!D1619="","",IFERROR(LEFT('Journal'!D1619,FIND(" ",'Journal'!D1619)-1),'Journal'!D1619))</f>
        <v/>
      </c>
      <c r="E3235" s="5">
        <f>IF('Journal'!D1619="","",IFERROR(INDEX('Kontoplan'!$B$3:$B$302,MATCH('Journal'!D1619,'Kontoplan'!$H$3:$H$302,0)),""))</f>
        <v/>
      </c>
      <c r="F3235" s="20">
        <f>IF('Journal'!G1619="","",'Journal'!G1619)</f>
        <v/>
      </c>
      <c r="G3235" s="20">
        <f>IF('Journal'!F1619="","",'Journal'!F1619)</f>
        <v/>
      </c>
      <c r="H3235" s="5">
        <f>IF('Journal'!I1619="","",'Journal'!I1619)</f>
        <v/>
      </c>
    </row>
    <row r="3236">
      <c r="A3236" s="18">
        <f>IF('Journal'!A1619="","",'Journal'!A1619)</f>
        <v/>
      </c>
      <c r="B3236" s="21">
        <f>IF('Journal'!B1619="","",'Journal'!B1619)</f>
        <v/>
      </c>
      <c r="C3236" s="5">
        <f>IF('Journal'!C1619="","",'Journal'!C1619)</f>
        <v/>
      </c>
      <c r="D3236" s="5">
        <f>IF('Journal'!E1619="","",IFERROR(LEFT('Journal'!E1619,FIND(" ",'Journal'!E1619)-1),'Journal'!E1619))</f>
        <v/>
      </c>
      <c r="E3236" s="5">
        <f>IF('Journal'!E1619="","",IFERROR(INDEX('Kontoplan'!$B$3:$B$302,MATCH('Journal'!E1619,'Kontoplan'!$H$3:$H$302,0)),""))</f>
        <v/>
      </c>
      <c r="F3236" s="20">
        <f>IF('Journal'!F1619="","",'Journal'!F1619)</f>
        <v/>
      </c>
      <c r="G3236" s="20">
        <f>IF('Journal'!G1619="","",'Journal'!G1619)</f>
        <v/>
      </c>
      <c r="H3236" s="5">
        <f>IF('Journal'!I1619="","",'Journal'!I1619)</f>
        <v/>
      </c>
    </row>
    <row r="3237">
      <c r="A3237" s="18">
        <f>IF('Journal'!A1620="","",'Journal'!A1620)</f>
        <v/>
      </c>
      <c r="B3237" s="21">
        <f>IF('Journal'!B1620="","",'Journal'!B1620)</f>
        <v/>
      </c>
      <c r="C3237" s="5">
        <f>IF('Journal'!C1620="","",'Journal'!C1620)</f>
        <v/>
      </c>
      <c r="D3237" s="5">
        <f>IF('Journal'!D1620="","",IFERROR(LEFT('Journal'!D1620,FIND(" ",'Journal'!D1620)-1),'Journal'!D1620))</f>
        <v/>
      </c>
      <c r="E3237" s="5">
        <f>IF('Journal'!D1620="","",IFERROR(INDEX('Kontoplan'!$B$3:$B$302,MATCH('Journal'!D1620,'Kontoplan'!$H$3:$H$302,0)),""))</f>
        <v/>
      </c>
      <c r="F3237" s="20">
        <f>IF('Journal'!G1620="","",'Journal'!G1620)</f>
        <v/>
      </c>
      <c r="G3237" s="20">
        <f>IF('Journal'!F1620="","",'Journal'!F1620)</f>
        <v/>
      </c>
      <c r="H3237" s="5">
        <f>IF('Journal'!I1620="","",'Journal'!I1620)</f>
        <v/>
      </c>
    </row>
    <row r="3238">
      <c r="A3238" s="18">
        <f>IF('Journal'!A1620="","",'Journal'!A1620)</f>
        <v/>
      </c>
      <c r="B3238" s="21">
        <f>IF('Journal'!B1620="","",'Journal'!B1620)</f>
        <v/>
      </c>
      <c r="C3238" s="5">
        <f>IF('Journal'!C1620="","",'Journal'!C1620)</f>
        <v/>
      </c>
      <c r="D3238" s="5">
        <f>IF('Journal'!E1620="","",IFERROR(LEFT('Journal'!E1620,FIND(" ",'Journal'!E1620)-1),'Journal'!E1620))</f>
        <v/>
      </c>
      <c r="E3238" s="5">
        <f>IF('Journal'!E1620="","",IFERROR(INDEX('Kontoplan'!$B$3:$B$302,MATCH('Journal'!E1620,'Kontoplan'!$H$3:$H$302,0)),""))</f>
        <v/>
      </c>
      <c r="F3238" s="20">
        <f>IF('Journal'!F1620="","",'Journal'!F1620)</f>
        <v/>
      </c>
      <c r="G3238" s="20">
        <f>IF('Journal'!G1620="","",'Journal'!G1620)</f>
        <v/>
      </c>
      <c r="H3238" s="5">
        <f>IF('Journal'!I1620="","",'Journal'!I1620)</f>
        <v/>
      </c>
    </row>
    <row r="3239">
      <c r="A3239" s="18">
        <f>IF('Journal'!A1621="","",'Journal'!A1621)</f>
        <v/>
      </c>
      <c r="B3239" s="21">
        <f>IF('Journal'!B1621="","",'Journal'!B1621)</f>
        <v/>
      </c>
      <c r="C3239" s="5">
        <f>IF('Journal'!C1621="","",'Journal'!C1621)</f>
        <v/>
      </c>
      <c r="D3239" s="5">
        <f>IF('Journal'!D1621="","",IFERROR(LEFT('Journal'!D1621,FIND(" ",'Journal'!D1621)-1),'Journal'!D1621))</f>
        <v/>
      </c>
      <c r="E3239" s="5">
        <f>IF('Journal'!D1621="","",IFERROR(INDEX('Kontoplan'!$B$3:$B$302,MATCH('Journal'!D1621,'Kontoplan'!$H$3:$H$302,0)),""))</f>
        <v/>
      </c>
      <c r="F3239" s="20">
        <f>IF('Journal'!G1621="","",'Journal'!G1621)</f>
        <v/>
      </c>
      <c r="G3239" s="20">
        <f>IF('Journal'!F1621="","",'Journal'!F1621)</f>
        <v/>
      </c>
      <c r="H3239" s="5">
        <f>IF('Journal'!I1621="","",'Journal'!I1621)</f>
        <v/>
      </c>
    </row>
    <row r="3240">
      <c r="A3240" s="18">
        <f>IF('Journal'!A1621="","",'Journal'!A1621)</f>
        <v/>
      </c>
      <c r="B3240" s="21">
        <f>IF('Journal'!B1621="","",'Journal'!B1621)</f>
        <v/>
      </c>
      <c r="C3240" s="5">
        <f>IF('Journal'!C1621="","",'Journal'!C1621)</f>
        <v/>
      </c>
      <c r="D3240" s="5">
        <f>IF('Journal'!E1621="","",IFERROR(LEFT('Journal'!E1621,FIND(" ",'Journal'!E1621)-1),'Journal'!E1621))</f>
        <v/>
      </c>
      <c r="E3240" s="5">
        <f>IF('Journal'!E1621="","",IFERROR(INDEX('Kontoplan'!$B$3:$B$302,MATCH('Journal'!E1621,'Kontoplan'!$H$3:$H$302,0)),""))</f>
        <v/>
      </c>
      <c r="F3240" s="20">
        <f>IF('Journal'!F1621="","",'Journal'!F1621)</f>
        <v/>
      </c>
      <c r="G3240" s="20">
        <f>IF('Journal'!G1621="","",'Journal'!G1621)</f>
        <v/>
      </c>
      <c r="H3240" s="5">
        <f>IF('Journal'!I1621="","",'Journal'!I1621)</f>
        <v/>
      </c>
    </row>
    <row r="3241">
      <c r="A3241" s="18">
        <f>IF('Journal'!A1622="","",'Journal'!A1622)</f>
        <v/>
      </c>
      <c r="B3241" s="21">
        <f>IF('Journal'!B1622="","",'Journal'!B1622)</f>
        <v/>
      </c>
      <c r="C3241" s="5">
        <f>IF('Journal'!C1622="","",'Journal'!C1622)</f>
        <v/>
      </c>
      <c r="D3241" s="5">
        <f>IF('Journal'!D1622="","",IFERROR(LEFT('Journal'!D1622,FIND(" ",'Journal'!D1622)-1),'Journal'!D1622))</f>
        <v/>
      </c>
      <c r="E3241" s="5">
        <f>IF('Journal'!D1622="","",IFERROR(INDEX('Kontoplan'!$B$3:$B$302,MATCH('Journal'!D1622,'Kontoplan'!$H$3:$H$302,0)),""))</f>
        <v/>
      </c>
      <c r="F3241" s="20">
        <f>IF('Journal'!G1622="","",'Journal'!G1622)</f>
        <v/>
      </c>
      <c r="G3241" s="20">
        <f>IF('Journal'!F1622="","",'Journal'!F1622)</f>
        <v/>
      </c>
      <c r="H3241" s="5">
        <f>IF('Journal'!I1622="","",'Journal'!I1622)</f>
        <v/>
      </c>
    </row>
    <row r="3242">
      <c r="A3242" s="18">
        <f>IF('Journal'!A1622="","",'Journal'!A1622)</f>
        <v/>
      </c>
      <c r="B3242" s="21">
        <f>IF('Journal'!B1622="","",'Journal'!B1622)</f>
        <v/>
      </c>
      <c r="C3242" s="5">
        <f>IF('Journal'!C1622="","",'Journal'!C1622)</f>
        <v/>
      </c>
      <c r="D3242" s="5">
        <f>IF('Journal'!E1622="","",IFERROR(LEFT('Journal'!E1622,FIND(" ",'Journal'!E1622)-1),'Journal'!E1622))</f>
        <v/>
      </c>
      <c r="E3242" s="5">
        <f>IF('Journal'!E1622="","",IFERROR(INDEX('Kontoplan'!$B$3:$B$302,MATCH('Journal'!E1622,'Kontoplan'!$H$3:$H$302,0)),""))</f>
        <v/>
      </c>
      <c r="F3242" s="20">
        <f>IF('Journal'!F1622="","",'Journal'!F1622)</f>
        <v/>
      </c>
      <c r="G3242" s="20">
        <f>IF('Journal'!G1622="","",'Journal'!G1622)</f>
        <v/>
      </c>
      <c r="H3242" s="5">
        <f>IF('Journal'!I1622="","",'Journal'!I1622)</f>
        <v/>
      </c>
    </row>
    <row r="3243">
      <c r="A3243" s="18">
        <f>IF('Journal'!A1623="","",'Journal'!A1623)</f>
        <v/>
      </c>
      <c r="B3243" s="21">
        <f>IF('Journal'!B1623="","",'Journal'!B1623)</f>
        <v/>
      </c>
      <c r="C3243" s="5">
        <f>IF('Journal'!C1623="","",'Journal'!C1623)</f>
        <v/>
      </c>
      <c r="D3243" s="5">
        <f>IF('Journal'!D1623="","",IFERROR(LEFT('Journal'!D1623,FIND(" ",'Journal'!D1623)-1),'Journal'!D1623))</f>
        <v/>
      </c>
      <c r="E3243" s="5">
        <f>IF('Journal'!D1623="","",IFERROR(INDEX('Kontoplan'!$B$3:$B$302,MATCH('Journal'!D1623,'Kontoplan'!$H$3:$H$302,0)),""))</f>
        <v/>
      </c>
      <c r="F3243" s="20">
        <f>IF('Journal'!G1623="","",'Journal'!G1623)</f>
        <v/>
      </c>
      <c r="G3243" s="20">
        <f>IF('Journal'!F1623="","",'Journal'!F1623)</f>
        <v/>
      </c>
      <c r="H3243" s="5">
        <f>IF('Journal'!I1623="","",'Journal'!I1623)</f>
        <v/>
      </c>
    </row>
    <row r="3244">
      <c r="A3244" s="18">
        <f>IF('Journal'!A1623="","",'Journal'!A1623)</f>
        <v/>
      </c>
      <c r="B3244" s="21">
        <f>IF('Journal'!B1623="","",'Journal'!B1623)</f>
        <v/>
      </c>
      <c r="C3244" s="5">
        <f>IF('Journal'!C1623="","",'Journal'!C1623)</f>
        <v/>
      </c>
      <c r="D3244" s="5">
        <f>IF('Journal'!E1623="","",IFERROR(LEFT('Journal'!E1623,FIND(" ",'Journal'!E1623)-1),'Journal'!E1623))</f>
        <v/>
      </c>
      <c r="E3244" s="5">
        <f>IF('Journal'!E1623="","",IFERROR(INDEX('Kontoplan'!$B$3:$B$302,MATCH('Journal'!E1623,'Kontoplan'!$H$3:$H$302,0)),""))</f>
        <v/>
      </c>
      <c r="F3244" s="20">
        <f>IF('Journal'!F1623="","",'Journal'!F1623)</f>
        <v/>
      </c>
      <c r="G3244" s="20">
        <f>IF('Journal'!G1623="","",'Journal'!G1623)</f>
        <v/>
      </c>
      <c r="H3244" s="5">
        <f>IF('Journal'!I1623="","",'Journal'!I1623)</f>
        <v/>
      </c>
    </row>
    <row r="3245">
      <c r="A3245" s="18">
        <f>IF('Journal'!A1624="","",'Journal'!A1624)</f>
        <v/>
      </c>
      <c r="B3245" s="21">
        <f>IF('Journal'!B1624="","",'Journal'!B1624)</f>
        <v/>
      </c>
      <c r="C3245" s="5">
        <f>IF('Journal'!C1624="","",'Journal'!C1624)</f>
        <v/>
      </c>
      <c r="D3245" s="5">
        <f>IF('Journal'!D1624="","",IFERROR(LEFT('Journal'!D1624,FIND(" ",'Journal'!D1624)-1),'Journal'!D1624))</f>
        <v/>
      </c>
      <c r="E3245" s="5">
        <f>IF('Journal'!D1624="","",IFERROR(INDEX('Kontoplan'!$B$3:$B$302,MATCH('Journal'!D1624,'Kontoplan'!$H$3:$H$302,0)),""))</f>
        <v/>
      </c>
      <c r="F3245" s="20">
        <f>IF('Journal'!G1624="","",'Journal'!G1624)</f>
        <v/>
      </c>
      <c r="G3245" s="20">
        <f>IF('Journal'!F1624="","",'Journal'!F1624)</f>
        <v/>
      </c>
      <c r="H3245" s="5">
        <f>IF('Journal'!I1624="","",'Journal'!I1624)</f>
        <v/>
      </c>
    </row>
    <row r="3246">
      <c r="A3246" s="18">
        <f>IF('Journal'!A1624="","",'Journal'!A1624)</f>
        <v/>
      </c>
      <c r="B3246" s="21">
        <f>IF('Journal'!B1624="","",'Journal'!B1624)</f>
        <v/>
      </c>
      <c r="C3246" s="5">
        <f>IF('Journal'!C1624="","",'Journal'!C1624)</f>
        <v/>
      </c>
      <c r="D3246" s="5">
        <f>IF('Journal'!E1624="","",IFERROR(LEFT('Journal'!E1624,FIND(" ",'Journal'!E1624)-1),'Journal'!E1624))</f>
        <v/>
      </c>
      <c r="E3246" s="5">
        <f>IF('Journal'!E1624="","",IFERROR(INDEX('Kontoplan'!$B$3:$B$302,MATCH('Journal'!E1624,'Kontoplan'!$H$3:$H$302,0)),""))</f>
        <v/>
      </c>
      <c r="F3246" s="20">
        <f>IF('Journal'!F1624="","",'Journal'!F1624)</f>
        <v/>
      </c>
      <c r="G3246" s="20">
        <f>IF('Journal'!G1624="","",'Journal'!G1624)</f>
        <v/>
      </c>
      <c r="H3246" s="5">
        <f>IF('Journal'!I1624="","",'Journal'!I1624)</f>
        <v/>
      </c>
    </row>
    <row r="3247">
      <c r="A3247" s="18">
        <f>IF('Journal'!A1625="","",'Journal'!A1625)</f>
        <v/>
      </c>
      <c r="B3247" s="21">
        <f>IF('Journal'!B1625="","",'Journal'!B1625)</f>
        <v/>
      </c>
      <c r="C3247" s="5">
        <f>IF('Journal'!C1625="","",'Journal'!C1625)</f>
        <v/>
      </c>
      <c r="D3247" s="5">
        <f>IF('Journal'!D1625="","",IFERROR(LEFT('Journal'!D1625,FIND(" ",'Journal'!D1625)-1),'Journal'!D1625))</f>
        <v/>
      </c>
      <c r="E3247" s="5">
        <f>IF('Journal'!D1625="","",IFERROR(INDEX('Kontoplan'!$B$3:$B$302,MATCH('Journal'!D1625,'Kontoplan'!$H$3:$H$302,0)),""))</f>
        <v/>
      </c>
      <c r="F3247" s="20">
        <f>IF('Journal'!G1625="","",'Journal'!G1625)</f>
        <v/>
      </c>
      <c r="G3247" s="20">
        <f>IF('Journal'!F1625="","",'Journal'!F1625)</f>
        <v/>
      </c>
      <c r="H3247" s="5">
        <f>IF('Journal'!I1625="","",'Journal'!I1625)</f>
        <v/>
      </c>
    </row>
    <row r="3248">
      <c r="A3248" s="18">
        <f>IF('Journal'!A1625="","",'Journal'!A1625)</f>
        <v/>
      </c>
      <c r="B3248" s="21">
        <f>IF('Journal'!B1625="","",'Journal'!B1625)</f>
        <v/>
      </c>
      <c r="C3248" s="5">
        <f>IF('Journal'!C1625="","",'Journal'!C1625)</f>
        <v/>
      </c>
      <c r="D3248" s="5">
        <f>IF('Journal'!E1625="","",IFERROR(LEFT('Journal'!E1625,FIND(" ",'Journal'!E1625)-1),'Journal'!E1625))</f>
        <v/>
      </c>
      <c r="E3248" s="5">
        <f>IF('Journal'!E1625="","",IFERROR(INDEX('Kontoplan'!$B$3:$B$302,MATCH('Journal'!E1625,'Kontoplan'!$H$3:$H$302,0)),""))</f>
        <v/>
      </c>
      <c r="F3248" s="20">
        <f>IF('Journal'!F1625="","",'Journal'!F1625)</f>
        <v/>
      </c>
      <c r="G3248" s="20">
        <f>IF('Journal'!G1625="","",'Journal'!G1625)</f>
        <v/>
      </c>
      <c r="H3248" s="5">
        <f>IF('Journal'!I1625="","",'Journal'!I1625)</f>
        <v/>
      </c>
    </row>
    <row r="3249">
      <c r="A3249" s="18">
        <f>IF('Journal'!A1626="","",'Journal'!A1626)</f>
        <v/>
      </c>
      <c r="B3249" s="21">
        <f>IF('Journal'!B1626="","",'Journal'!B1626)</f>
        <v/>
      </c>
      <c r="C3249" s="5">
        <f>IF('Journal'!C1626="","",'Journal'!C1626)</f>
        <v/>
      </c>
      <c r="D3249" s="5">
        <f>IF('Journal'!D1626="","",IFERROR(LEFT('Journal'!D1626,FIND(" ",'Journal'!D1626)-1),'Journal'!D1626))</f>
        <v/>
      </c>
      <c r="E3249" s="5">
        <f>IF('Journal'!D1626="","",IFERROR(INDEX('Kontoplan'!$B$3:$B$302,MATCH('Journal'!D1626,'Kontoplan'!$H$3:$H$302,0)),""))</f>
        <v/>
      </c>
      <c r="F3249" s="20">
        <f>IF('Journal'!G1626="","",'Journal'!G1626)</f>
        <v/>
      </c>
      <c r="G3249" s="20">
        <f>IF('Journal'!F1626="","",'Journal'!F1626)</f>
        <v/>
      </c>
      <c r="H3249" s="5">
        <f>IF('Journal'!I1626="","",'Journal'!I1626)</f>
        <v/>
      </c>
    </row>
    <row r="3250">
      <c r="A3250" s="18">
        <f>IF('Journal'!A1626="","",'Journal'!A1626)</f>
        <v/>
      </c>
      <c r="B3250" s="21">
        <f>IF('Journal'!B1626="","",'Journal'!B1626)</f>
        <v/>
      </c>
      <c r="C3250" s="5">
        <f>IF('Journal'!C1626="","",'Journal'!C1626)</f>
        <v/>
      </c>
      <c r="D3250" s="5">
        <f>IF('Journal'!E1626="","",IFERROR(LEFT('Journal'!E1626,FIND(" ",'Journal'!E1626)-1),'Journal'!E1626))</f>
        <v/>
      </c>
      <c r="E3250" s="5">
        <f>IF('Journal'!E1626="","",IFERROR(INDEX('Kontoplan'!$B$3:$B$302,MATCH('Journal'!E1626,'Kontoplan'!$H$3:$H$302,0)),""))</f>
        <v/>
      </c>
      <c r="F3250" s="20">
        <f>IF('Journal'!F1626="","",'Journal'!F1626)</f>
        <v/>
      </c>
      <c r="G3250" s="20">
        <f>IF('Journal'!G1626="","",'Journal'!G1626)</f>
        <v/>
      </c>
      <c r="H3250" s="5">
        <f>IF('Journal'!I1626="","",'Journal'!I1626)</f>
        <v/>
      </c>
    </row>
    <row r="3251">
      <c r="A3251" s="18">
        <f>IF('Journal'!A1627="","",'Journal'!A1627)</f>
        <v/>
      </c>
      <c r="B3251" s="21">
        <f>IF('Journal'!B1627="","",'Journal'!B1627)</f>
        <v/>
      </c>
      <c r="C3251" s="5">
        <f>IF('Journal'!C1627="","",'Journal'!C1627)</f>
        <v/>
      </c>
      <c r="D3251" s="5">
        <f>IF('Journal'!D1627="","",IFERROR(LEFT('Journal'!D1627,FIND(" ",'Journal'!D1627)-1),'Journal'!D1627))</f>
        <v/>
      </c>
      <c r="E3251" s="5">
        <f>IF('Journal'!D1627="","",IFERROR(INDEX('Kontoplan'!$B$3:$B$302,MATCH('Journal'!D1627,'Kontoplan'!$H$3:$H$302,0)),""))</f>
        <v/>
      </c>
      <c r="F3251" s="20">
        <f>IF('Journal'!G1627="","",'Journal'!G1627)</f>
        <v/>
      </c>
      <c r="G3251" s="20">
        <f>IF('Journal'!F1627="","",'Journal'!F1627)</f>
        <v/>
      </c>
      <c r="H3251" s="5">
        <f>IF('Journal'!I1627="","",'Journal'!I1627)</f>
        <v/>
      </c>
    </row>
    <row r="3252">
      <c r="A3252" s="18">
        <f>IF('Journal'!A1627="","",'Journal'!A1627)</f>
        <v/>
      </c>
      <c r="B3252" s="21">
        <f>IF('Journal'!B1627="","",'Journal'!B1627)</f>
        <v/>
      </c>
      <c r="C3252" s="5">
        <f>IF('Journal'!C1627="","",'Journal'!C1627)</f>
        <v/>
      </c>
      <c r="D3252" s="5">
        <f>IF('Journal'!E1627="","",IFERROR(LEFT('Journal'!E1627,FIND(" ",'Journal'!E1627)-1),'Journal'!E1627))</f>
        <v/>
      </c>
      <c r="E3252" s="5">
        <f>IF('Journal'!E1627="","",IFERROR(INDEX('Kontoplan'!$B$3:$B$302,MATCH('Journal'!E1627,'Kontoplan'!$H$3:$H$302,0)),""))</f>
        <v/>
      </c>
      <c r="F3252" s="20">
        <f>IF('Journal'!F1627="","",'Journal'!F1627)</f>
        <v/>
      </c>
      <c r="G3252" s="20">
        <f>IF('Journal'!G1627="","",'Journal'!G1627)</f>
        <v/>
      </c>
      <c r="H3252" s="5">
        <f>IF('Journal'!I1627="","",'Journal'!I1627)</f>
        <v/>
      </c>
    </row>
    <row r="3253">
      <c r="A3253" s="18">
        <f>IF('Journal'!A1628="","",'Journal'!A1628)</f>
        <v/>
      </c>
      <c r="B3253" s="21">
        <f>IF('Journal'!B1628="","",'Journal'!B1628)</f>
        <v/>
      </c>
      <c r="C3253" s="5">
        <f>IF('Journal'!C1628="","",'Journal'!C1628)</f>
        <v/>
      </c>
      <c r="D3253" s="5">
        <f>IF('Journal'!D1628="","",IFERROR(LEFT('Journal'!D1628,FIND(" ",'Journal'!D1628)-1),'Journal'!D1628))</f>
        <v/>
      </c>
      <c r="E3253" s="5">
        <f>IF('Journal'!D1628="","",IFERROR(INDEX('Kontoplan'!$B$3:$B$302,MATCH('Journal'!D1628,'Kontoplan'!$H$3:$H$302,0)),""))</f>
        <v/>
      </c>
      <c r="F3253" s="20">
        <f>IF('Journal'!G1628="","",'Journal'!G1628)</f>
        <v/>
      </c>
      <c r="G3253" s="20">
        <f>IF('Journal'!F1628="","",'Journal'!F1628)</f>
        <v/>
      </c>
      <c r="H3253" s="5">
        <f>IF('Journal'!I1628="","",'Journal'!I1628)</f>
        <v/>
      </c>
    </row>
    <row r="3254">
      <c r="A3254" s="18">
        <f>IF('Journal'!A1628="","",'Journal'!A1628)</f>
        <v/>
      </c>
      <c r="B3254" s="21">
        <f>IF('Journal'!B1628="","",'Journal'!B1628)</f>
        <v/>
      </c>
      <c r="C3254" s="5">
        <f>IF('Journal'!C1628="","",'Journal'!C1628)</f>
        <v/>
      </c>
      <c r="D3254" s="5">
        <f>IF('Journal'!E1628="","",IFERROR(LEFT('Journal'!E1628,FIND(" ",'Journal'!E1628)-1),'Journal'!E1628))</f>
        <v/>
      </c>
      <c r="E3254" s="5">
        <f>IF('Journal'!E1628="","",IFERROR(INDEX('Kontoplan'!$B$3:$B$302,MATCH('Journal'!E1628,'Kontoplan'!$H$3:$H$302,0)),""))</f>
        <v/>
      </c>
      <c r="F3254" s="20">
        <f>IF('Journal'!F1628="","",'Journal'!F1628)</f>
        <v/>
      </c>
      <c r="G3254" s="20">
        <f>IF('Journal'!G1628="","",'Journal'!G1628)</f>
        <v/>
      </c>
      <c r="H3254" s="5">
        <f>IF('Journal'!I1628="","",'Journal'!I1628)</f>
        <v/>
      </c>
    </row>
    <row r="3255">
      <c r="A3255" s="18">
        <f>IF('Journal'!A1629="","",'Journal'!A1629)</f>
        <v/>
      </c>
      <c r="B3255" s="21">
        <f>IF('Journal'!B1629="","",'Journal'!B1629)</f>
        <v/>
      </c>
      <c r="C3255" s="5">
        <f>IF('Journal'!C1629="","",'Journal'!C1629)</f>
        <v/>
      </c>
      <c r="D3255" s="5">
        <f>IF('Journal'!D1629="","",IFERROR(LEFT('Journal'!D1629,FIND(" ",'Journal'!D1629)-1),'Journal'!D1629))</f>
        <v/>
      </c>
      <c r="E3255" s="5">
        <f>IF('Journal'!D1629="","",IFERROR(INDEX('Kontoplan'!$B$3:$B$302,MATCH('Journal'!D1629,'Kontoplan'!$H$3:$H$302,0)),""))</f>
        <v/>
      </c>
      <c r="F3255" s="20">
        <f>IF('Journal'!G1629="","",'Journal'!G1629)</f>
        <v/>
      </c>
      <c r="G3255" s="20">
        <f>IF('Journal'!F1629="","",'Journal'!F1629)</f>
        <v/>
      </c>
      <c r="H3255" s="5">
        <f>IF('Journal'!I1629="","",'Journal'!I1629)</f>
        <v/>
      </c>
    </row>
    <row r="3256">
      <c r="A3256" s="18">
        <f>IF('Journal'!A1629="","",'Journal'!A1629)</f>
        <v/>
      </c>
      <c r="B3256" s="21">
        <f>IF('Journal'!B1629="","",'Journal'!B1629)</f>
        <v/>
      </c>
      <c r="C3256" s="5">
        <f>IF('Journal'!C1629="","",'Journal'!C1629)</f>
        <v/>
      </c>
      <c r="D3256" s="5">
        <f>IF('Journal'!E1629="","",IFERROR(LEFT('Journal'!E1629,FIND(" ",'Journal'!E1629)-1),'Journal'!E1629))</f>
        <v/>
      </c>
      <c r="E3256" s="5">
        <f>IF('Journal'!E1629="","",IFERROR(INDEX('Kontoplan'!$B$3:$B$302,MATCH('Journal'!E1629,'Kontoplan'!$H$3:$H$302,0)),""))</f>
        <v/>
      </c>
      <c r="F3256" s="20">
        <f>IF('Journal'!F1629="","",'Journal'!F1629)</f>
        <v/>
      </c>
      <c r="G3256" s="20">
        <f>IF('Journal'!G1629="","",'Journal'!G1629)</f>
        <v/>
      </c>
      <c r="H3256" s="5">
        <f>IF('Journal'!I1629="","",'Journal'!I1629)</f>
        <v/>
      </c>
    </row>
    <row r="3257">
      <c r="A3257" s="18">
        <f>IF('Journal'!A1630="","",'Journal'!A1630)</f>
        <v/>
      </c>
      <c r="B3257" s="21">
        <f>IF('Journal'!B1630="","",'Journal'!B1630)</f>
        <v/>
      </c>
      <c r="C3257" s="5">
        <f>IF('Journal'!C1630="","",'Journal'!C1630)</f>
        <v/>
      </c>
      <c r="D3257" s="5">
        <f>IF('Journal'!D1630="","",IFERROR(LEFT('Journal'!D1630,FIND(" ",'Journal'!D1630)-1),'Journal'!D1630))</f>
        <v/>
      </c>
      <c r="E3257" s="5">
        <f>IF('Journal'!D1630="","",IFERROR(INDEX('Kontoplan'!$B$3:$B$302,MATCH('Journal'!D1630,'Kontoplan'!$H$3:$H$302,0)),""))</f>
        <v/>
      </c>
      <c r="F3257" s="20">
        <f>IF('Journal'!G1630="","",'Journal'!G1630)</f>
        <v/>
      </c>
      <c r="G3257" s="20">
        <f>IF('Journal'!F1630="","",'Journal'!F1630)</f>
        <v/>
      </c>
      <c r="H3257" s="5">
        <f>IF('Journal'!I1630="","",'Journal'!I1630)</f>
        <v/>
      </c>
    </row>
    <row r="3258">
      <c r="A3258" s="18">
        <f>IF('Journal'!A1630="","",'Journal'!A1630)</f>
        <v/>
      </c>
      <c r="B3258" s="21">
        <f>IF('Journal'!B1630="","",'Journal'!B1630)</f>
        <v/>
      </c>
      <c r="C3258" s="5">
        <f>IF('Journal'!C1630="","",'Journal'!C1630)</f>
        <v/>
      </c>
      <c r="D3258" s="5">
        <f>IF('Journal'!E1630="","",IFERROR(LEFT('Journal'!E1630,FIND(" ",'Journal'!E1630)-1),'Journal'!E1630))</f>
        <v/>
      </c>
      <c r="E3258" s="5">
        <f>IF('Journal'!E1630="","",IFERROR(INDEX('Kontoplan'!$B$3:$B$302,MATCH('Journal'!E1630,'Kontoplan'!$H$3:$H$302,0)),""))</f>
        <v/>
      </c>
      <c r="F3258" s="20">
        <f>IF('Journal'!F1630="","",'Journal'!F1630)</f>
        <v/>
      </c>
      <c r="G3258" s="20">
        <f>IF('Journal'!G1630="","",'Journal'!G1630)</f>
        <v/>
      </c>
      <c r="H3258" s="5">
        <f>IF('Journal'!I1630="","",'Journal'!I1630)</f>
        <v/>
      </c>
    </row>
    <row r="3259">
      <c r="A3259" s="18">
        <f>IF('Journal'!A1631="","",'Journal'!A1631)</f>
        <v/>
      </c>
      <c r="B3259" s="21">
        <f>IF('Journal'!B1631="","",'Journal'!B1631)</f>
        <v/>
      </c>
      <c r="C3259" s="5">
        <f>IF('Journal'!C1631="","",'Journal'!C1631)</f>
        <v/>
      </c>
      <c r="D3259" s="5">
        <f>IF('Journal'!D1631="","",IFERROR(LEFT('Journal'!D1631,FIND(" ",'Journal'!D1631)-1),'Journal'!D1631))</f>
        <v/>
      </c>
      <c r="E3259" s="5">
        <f>IF('Journal'!D1631="","",IFERROR(INDEX('Kontoplan'!$B$3:$B$302,MATCH('Journal'!D1631,'Kontoplan'!$H$3:$H$302,0)),""))</f>
        <v/>
      </c>
      <c r="F3259" s="20">
        <f>IF('Journal'!G1631="","",'Journal'!G1631)</f>
        <v/>
      </c>
      <c r="G3259" s="20">
        <f>IF('Journal'!F1631="","",'Journal'!F1631)</f>
        <v/>
      </c>
      <c r="H3259" s="5">
        <f>IF('Journal'!I1631="","",'Journal'!I1631)</f>
        <v/>
      </c>
    </row>
    <row r="3260">
      <c r="A3260" s="18">
        <f>IF('Journal'!A1631="","",'Journal'!A1631)</f>
        <v/>
      </c>
      <c r="B3260" s="21">
        <f>IF('Journal'!B1631="","",'Journal'!B1631)</f>
        <v/>
      </c>
      <c r="C3260" s="5">
        <f>IF('Journal'!C1631="","",'Journal'!C1631)</f>
        <v/>
      </c>
      <c r="D3260" s="5">
        <f>IF('Journal'!E1631="","",IFERROR(LEFT('Journal'!E1631,FIND(" ",'Journal'!E1631)-1),'Journal'!E1631))</f>
        <v/>
      </c>
      <c r="E3260" s="5">
        <f>IF('Journal'!E1631="","",IFERROR(INDEX('Kontoplan'!$B$3:$B$302,MATCH('Journal'!E1631,'Kontoplan'!$H$3:$H$302,0)),""))</f>
        <v/>
      </c>
      <c r="F3260" s="20">
        <f>IF('Journal'!F1631="","",'Journal'!F1631)</f>
        <v/>
      </c>
      <c r="G3260" s="20">
        <f>IF('Journal'!G1631="","",'Journal'!G1631)</f>
        <v/>
      </c>
      <c r="H3260" s="5">
        <f>IF('Journal'!I1631="","",'Journal'!I1631)</f>
        <v/>
      </c>
    </row>
    <row r="3261">
      <c r="A3261" s="18">
        <f>IF('Journal'!A1632="","",'Journal'!A1632)</f>
        <v/>
      </c>
      <c r="B3261" s="21">
        <f>IF('Journal'!B1632="","",'Journal'!B1632)</f>
        <v/>
      </c>
      <c r="C3261" s="5">
        <f>IF('Journal'!C1632="","",'Journal'!C1632)</f>
        <v/>
      </c>
      <c r="D3261" s="5">
        <f>IF('Journal'!D1632="","",IFERROR(LEFT('Journal'!D1632,FIND(" ",'Journal'!D1632)-1),'Journal'!D1632))</f>
        <v/>
      </c>
      <c r="E3261" s="5">
        <f>IF('Journal'!D1632="","",IFERROR(INDEX('Kontoplan'!$B$3:$B$302,MATCH('Journal'!D1632,'Kontoplan'!$H$3:$H$302,0)),""))</f>
        <v/>
      </c>
      <c r="F3261" s="20">
        <f>IF('Journal'!G1632="","",'Journal'!G1632)</f>
        <v/>
      </c>
      <c r="G3261" s="20">
        <f>IF('Journal'!F1632="","",'Journal'!F1632)</f>
        <v/>
      </c>
      <c r="H3261" s="5">
        <f>IF('Journal'!I1632="","",'Journal'!I1632)</f>
        <v/>
      </c>
    </row>
    <row r="3262">
      <c r="A3262" s="18">
        <f>IF('Journal'!A1632="","",'Journal'!A1632)</f>
        <v/>
      </c>
      <c r="B3262" s="21">
        <f>IF('Journal'!B1632="","",'Journal'!B1632)</f>
        <v/>
      </c>
      <c r="C3262" s="5">
        <f>IF('Journal'!C1632="","",'Journal'!C1632)</f>
        <v/>
      </c>
      <c r="D3262" s="5">
        <f>IF('Journal'!E1632="","",IFERROR(LEFT('Journal'!E1632,FIND(" ",'Journal'!E1632)-1),'Journal'!E1632))</f>
        <v/>
      </c>
      <c r="E3262" s="5">
        <f>IF('Journal'!E1632="","",IFERROR(INDEX('Kontoplan'!$B$3:$B$302,MATCH('Journal'!E1632,'Kontoplan'!$H$3:$H$302,0)),""))</f>
        <v/>
      </c>
      <c r="F3262" s="20">
        <f>IF('Journal'!F1632="","",'Journal'!F1632)</f>
        <v/>
      </c>
      <c r="G3262" s="20">
        <f>IF('Journal'!G1632="","",'Journal'!G1632)</f>
        <v/>
      </c>
      <c r="H3262" s="5">
        <f>IF('Journal'!I1632="","",'Journal'!I1632)</f>
        <v/>
      </c>
    </row>
    <row r="3263">
      <c r="A3263" s="18">
        <f>IF('Journal'!A1633="","",'Journal'!A1633)</f>
        <v/>
      </c>
      <c r="B3263" s="21">
        <f>IF('Journal'!B1633="","",'Journal'!B1633)</f>
        <v/>
      </c>
      <c r="C3263" s="5">
        <f>IF('Journal'!C1633="","",'Journal'!C1633)</f>
        <v/>
      </c>
      <c r="D3263" s="5">
        <f>IF('Journal'!D1633="","",IFERROR(LEFT('Journal'!D1633,FIND(" ",'Journal'!D1633)-1),'Journal'!D1633))</f>
        <v/>
      </c>
      <c r="E3263" s="5">
        <f>IF('Journal'!D1633="","",IFERROR(INDEX('Kontoplan'!$B$3:$B$302,MATCH('Journal'!D1633,'Kontoplan'!$H$3:$H$302,0)),""))</f>
        <v/>
      </c>
      <c r="F3263" s="20">
        <f>IF('Journal'!G1633="","",'Journal'!G1633)</f>
        <v/>
      </c>
      <c r="G3263" s="20">
        <f>IF('Journal'!F1633="","",'Journal'!F1633)</f>
        <v/>
      </c>
      <c r="H3263" s="5">
        <f>IF('Journal'!I1633="","",'Journal'!I1633)</f>
        <v/>
      </c>
    </row>
    <row r="3264">
      <c r="A3264" s="18">
        <f>IF('Journal'!A1633="","",'Journal'!A1633)</f>
        <v/>
      </c>
      <c r="B3264" s="21">
        <f>IF('Journal'!B1633="","",'Journal'!B1633)</f>
        <v/>
      </c>
      <c r="C3264" s="5">
        <f>IF('Journal'!C1633="","",'Journal'!C1633)</f>
        <v/>
      </c>
      <c r="D3264" s="5">
        <f>IF('Journal'!E1633="","",IFERROR(LEFT('Journal'!E1633,FIND(" ",'Journal'!E1633)-1),'Journal'!E1633))</f>
        <v/>
      </c>
      <c r="E3264" s="5">
        <f>IF('Journal'!E1633="","",IFERROR(INDEX('Kontoplan'!$B$3:$B$302,MATCH('Journal'!E1633,'Kontoplan'!$H$3:$H$302,0)),""))</f>
        <v/>
      </c>
      <c r="F3264" s="20">
        <f>IF('Journal'!F1633="","",'Journal'!F1633)</f>
        <v/>
      </c>
      <c r="G3264" s="20">
        <f>IF('Journal'!G1633="","",'Journal'!G1633)</f>
        <v/>
      </c>
      <c r="H3264" s="5">
        <f>IF('Journal'!I1633="","",'Journal'!I1633)</f>
        <v/>
      </c>
    </row>
    <row r="3265">
      <c r="A3265" s="18">
        <f>IF('Journal'!A1634="","",'Journal'!A1634)</f>
        <v/>
      </c>
      <c r="B3265" s="21">
        <f>IF('Journal'!B1634="","",'Journal'!B1634)</f>
        <v/>
      </c>
      <c r="C3265" s="5">
        <f>IF('Journal'!C1634="","",'Journal'!C1634)</f>
        <v/>
      </c>
      <c r="D3265" s="5">
        <f>IF('Journal'!D1634="","",IFERROR(LEFT('Journal'!D1634,FIND(" ",'Journal'!D1634)-1),'Journal'!D1634))</f>
        <v/>
      </c>
      <c r="E3265" s="5">
        <f>IF('Journal'!D1634="","",IFERROR(INDEX('Kontoplan'!$B$3:$B$302,MATCH('Journal'!D1634,'Kontoplan'!$H$3:$H$302,0)),""))</f>
        <v/>
      </c>
      <c r="F3265" s="20">
        <f>IF('Journal'!G1634="","",'Journal'!G1634)</f>
        <v/>
      </c>
      <c r="G3265" s="20">
        <f>IF('Journal'!F1634="","",'Journal'!F1634)</f>
        <v/>
      </c>
      <c r="H3265" s="5">
        <f>IF('Journal'!I1634="","",'Journal'!I1634)</f>
        <v/>
      </c>
    </row>
    <row r="3266">
      <c r="A3266" s="18">
        <f>IF('Journal'!A1634="","",'Journal'!A1634)</f>
        <v/>
      </c>
      <c r="B3266" s="21">
        <f>IF('Journal'!B1634="","",'Journal'!B1634)</f>
        <v/>
      </c>
      <c r="C3266" s="5">
        <f>IF('Journal'!C1634="","",'Journal'!C1634)</f>
        <v/>
      </c>
      <c r="D3266" s="5">
        <f>IF('Journal'!E1634="","",IFERROR(LEFT('Journal'!E1634,FIND(" ",'Journal'!E1634)-1),'Journal'!E1634))</f>
        <v/>
      </c>
      <c r="E3266" s="5">
        <f>IF('Journal'!E1634="","",IFERROR(INDEX('Kontoplan'!$B$3:$B$302,MATCH('Journal'!E1634,'Kontoplan'!$H$3:$H$302,0)),""))</f>
        <v/>
      </c>
      <c r="F3266" s="20">
        <f>IF('Journal'!F1634="","",'Journal'!F1634)</f>
        <v/>
      </c>
      <c r="G3266" s="20">
        <f>IF('Journal'!G1634="","",'Journal'!G1634)</f>
        <v/>
      </c>
      <c r="H3266" s="5">
        <f>IF('Journal'!I1634="","",'Journal'!I1634)</f>
        <v/>
      </c>
    </row>
    <row r="3267">
      <c r="A3267" s="18">
        <f>IF('Journal'!A1635="","",'Journal'!A1635)</f>
        <v/>
      </c>
      <c r="B3267" s="21">
        <f>IF('Journal'!B1635="","",'Journal'!B1635)</f>
        <v/>
      </c>
      <c r="C3267" s="5">
        <f>IF('Journal'!C1635="","",'Journal'!C1635)</f>
        <v/>
      </c>
      <c r="D3267" s="5">
        <f>IF('Journal'!D1635="","",IFERROR(LEFT('Journal'!D1635,FIND(" ",'Journal'!D1635)-1),'Journal'!D1635))</f>
        <v/>
      </c>
      <c r="E3267" s="5">
        <f>IF('Journal'!D1635="","",IFERROR(INDEX('Kontoplan'!$B$3:$B$302,MATCH('Journal'!D1635,'Kontoplan'!$H$3:$H$302,0)),""))</f>
        <v/>
      </c>
      <c r="F3267" s="20">
        <f>IF('Journal'!G1635="","",'Journal'!G1635)</f>
        <v/>
      </c>
      <c r="G3267" s="20">
        <f>IF('Journal'!F1635="","",'Journal'!F1635)</f>
        <v/>
      </c>
      <c r="H3267" s="5">
        <f>IF('Journal'!I1635="","",'Journal'!I1635)</f>
        <v/>
      </c>
    </row>
    <row r="3268">
      <c r="A3268" s="18">
        <f>IF('Journal'!A1635="","",'Journal'!A1635)</f>
        <v/>
      </c>
      <c r="B3268" s="21">
        <f>IF('Journal'!B1635="","",'Journal'!B1635)</f>
        <v/>
      </c>
      <c r="C3268" s="5">
        <f>IF('Journal'!C1635="","",'Journal'!C1635)</f>
        <v/>
      </c>
      <c r="D3268" s="5">
        <f>IF('Journal'!E1635="","",IFERROR(LEFT('Journal'!E1635,FIND(" ",'Journal'!E1635)-1),'Journal'!E1635))</f>
        <v/>
      </c>
      <c r="E3268" s="5">
        <f>IF('Journal'!E1635="","",IFERROR(INDEX('Kontoplan'!$B$3:$B$302,MATCH('Journal'!E1635,'Kontoplan'!$H$3:$H$302,0)),""))</f>
        <v/>
      </c>
      <c r="F3268" s="20">
        <f>IF('Journal'!F1635="","",'Journal'!F1635)</f>
        <v/>
      </c>
      <c r="G3268" s="20">
        <f>IF('Journal'!G1635="","",'Journal'!G1635)</f>
        <v/>
      </c>
      <c r="H3268" s="5">
        <f>IF('Journal'!I1635="","",'Journal'!I1635)</f>
        <v/>
      </c>
    </row>
    <row r="3269">
      <c r="A3269" s="18">
        <f>IF('Journal'!A1636="","",'Journal'!A1636)</f>
        <v/>
      </c>
      <c r="B3269" s="21">
        <f>IF('Journal'!B1636="","",'Journal'!B1636)</f>
        <v/>
      </c>
      <c r="C3269" s="5">
        <f>IF('Journal'!C1636="","",'Journal'!C1636)</f>
        <v/>
      </c>
      <c r="D3269" s="5">
        <f>IF('Journal'!D1636="","",IFERROR(LEFT('Journal'!D1636,FIND(" ",'Journal'!D1636)-1),'Journal'!D1636))</f>
        <v/>
      </c>
      <c r="E3269" s="5">
        <f>IF('Journal'!D1636="","",IFERROR(INDEX('Kontoplan'!$B$3:$B$302,MATCH('Journal'!D1636,'Kontoplan'!$H$3:$H$302,0)),""))</f>
        <v/>
      </c>
      <c r="F3269" s="20">
        <f>IF('Journal'!G1636="","",'Journal'!G1636)</f>
        <v/>
      </c>
      <c r="G3269" s="20">
        <f>IF('Journal'!F1636="","",'Journal'!F1636)</f>
        <v/>
      </c>
      <c r="H3269" s="5">
        <f>IF('Journal'!I1636="","",'Journal'!I1636)</f>
        <v/>
      </c>
    </row>
    <row r="3270">
      <c r="A3270" s="18">
        <f>IF('Journal'!A1636="","",'Journal'!A1636)</f>
        <v/>
      </c>
      <c r="B3270" s="21">
        <f>IF('Journal'!B1636="","",'Journal'!B1636)</f>
        <v/>
      </c>
      <c r="C3270" s="5">
        <f>IF('Journal'!C1636="","",'Journal'!C1636)</f>
        <v/>
      </c>
      <c r="D3270" s="5">
        <f>IF('Journal'!E1636="","",IFERROR(LEFT('Journal'!E1636,FIND(" ",'Journal'!E1636)-1),'Journal'!E1636))</f>
        <v/>
      </c>
      <c r="E3270" s="5">
        <f>IF('Journal'!E1636="","",IFERROR(INDEX('Kontoplan'!$B$3:$B$302,MATCH('Journal'!E1636,'Kontoplan'!$H$3:$H$302,0)),""))</f>
        <v/>
      </c>
      <c r="F3270" s="20">
        <f>IF('Journal'!F1636="","",'Journal'!F1636)</f>
        <v/>
      </c>
      <c r="G3270" s="20">
        <f>IF('Journal'!G1636="","",'Journal'!G1636)</f>
        <v/>
      </c>
      <c r="H3270" s="5">
        <f>IF('Journal'!I1636="","",'Journal'!I1636)</f>
        <v/>
      </c>
    </row>
    <row r="3271">
      <c r="A3271" s="18">
        <f>IF('Journal'!A1637="","",'Journal'!A1637)</f>
        <v/>
      </c>
      <c r="B3271" s="21">
        <f>IF('Journal'!B1637="","",'Journal'!B1637)</f>
        <v/>
      </c>
      <c r="C3271" s="5">
        <f>IF('Journal'!C1637="","",'Journal'!C1637)</f>
        <v/>
      </c>
      <c r="D3271" s="5">
        <f>IF('Journal'!D1637="","",IFERROR(LEFT('Journal'!D1637,FIND(" ",'Journal'!D1637)-1),'Journal'!D1637))</f>
        <v/>
      </c>
      <c r="E3271" s="5">
        <f>IF('Journal'!D1637="","",IFERROR(INDEX('Kontoplan'!$B$3:$B$302,MATCH('Journal'!D1637,'Kontoplan'!$H$3:$H$302,0)),""))</f>
        <v/>
      </c>
      <c r="F3271" s="20">
        <f>IF('Journal'!G1637="","",'Journal'!G1637)</f>
        <v/>
      </c>
      <c r="G3271" s="20">
        <f>IF('Journal'!F1637="","",'Journal'!F1637)</f>
        <v/>
      </c>
      <c r="H3271" s="5">
        <f>IF('Journal'!I1637="","",'Journal'!I1637)</f>
        <v/>
      </c>
    </row>
    <row r="3272">
      <c r="A3272" s="18">
        <f>IF('Journal'!A1637="","",'Journal'!A1637)</f>
        <v/>
      </c>
      <c r="B3272" s="21">
        <f>IF('Journal'!B1637="","",'Journal'!B1637)</f>
        <v/>
      </c>
      <c r="C3272" s="5">
        <f>IF('Journal'!C1637="","",'Journal'!C1637)</f>
        <v/>
      </c>
      <c r="D3272" s="5">
        <f>IF('Journal'!E1637="","",IFERROR(LEFT('Journal'!E1637,FIND(" ",'Journal'!E1637)-1),'Journal'!E1637))</f>
        <v/>
      </c>
      <c r="E3272" s="5">
        <f>IF('Journal'!E1637="","",IFERROR(INDEX('Kontoplan'!$B$3:$B$302,MATCH('Journal'!E1637,'Kontoplan'!$H$3:$H$302,0)),""))</f>
        <v/>
      </c>
      <c r="F3272" s="20">
        <f>IF('Journal'!F1637="","",'Journal'!F1637)</f>
        <v/>
      </c>
      <c r="G3272" s="20">
        <f>IF('Journal'!G1637="","",'Journal'!G1637)</f>
        <v/>
      </c>
      <c r="H3272" s="5">
        <f>IF('Journal'!I1637="","",'Journal'!I1637)</f>
        <v/>
      </c>
    </row>
    <row r="3273">
      <c r="A3273" s="18">
        <f>IF('Journal'!A1638="","",'Journal'!A1638)</f>
        <v/>
      </c>
      <c r="B3273" s="21">
        <f>IF('Journal'!B1638="","",'Journal'!B1638)</f>
        <v/>
      </c>
      <c r="C3273" s="5">
        <f>IF('Journal'!C1638="","",'Journal'!C1638)</f>
        <v/>
      </c>
      <c r="D3273" s="5">
        <f>IF('Journal'!D1638="","",IFERROR(LEFT('Journal'!D1638,FIND(" ",'Journal'!D1638)-1),'Journal'!D1638))</f>
        <v/>
      </c>
      <c r="E3273" s="5">
        <f>IF('Journal'!D1638="","",IFERROR(INDEX('Kontoplan'!$B$3:$B$302,MATCH('Journal'!D1638,'Kontoplan'!$H$3:$H$302,0)),""))</f>
        <v/>
      </c>
      <c r="F3273" s="20">
        <f>IF('Journal'!G1638="","",'Journal'!G1638)</f>
        <v/>
      </c>
      <c r="G3273" s="20">
        <f>IF('Journal'!F1638="","",'Journal'!F1638)</f>
        <v/>
      </c>
      <c r="H3273" s="5">
        <f>IF('Journal'!I1638="","",'Journal'!I1638)</f>
        <v/>
      </c>
    </row>
    <row r="3274">
      <c r="A3274" s="18">
        <f>IF('Journal'!A1638="","",'Journal'!A1638)</f>
        <v/>
      </c>
      <c r="B3274" s="21">
        <f>IF('Journal'!B1638="","",'Journal'!B1638)</f>
        <v/>
      </c>
      <c r="C3274" s="5">
        <f>IF('Journal'!C1638="","",'Journal'!C1638)</f>
        <v/>
      </c>
      <c r="D3274" s="5">
        <f>IF('Journal'!E1638="","",IFERROR(LEFT('Journal'!E1638,FIND(" ",'Journal'!E1638)-1),'Journal'!E1638))</f>
        <v/>
      </c>
      <c r="E3274" s="5">
        <f>IF('Journal'!E1638="","",IFERROR(INDEX('Kontoplan'!$B$3:$B$302,MATCH('Journal'!E1638,'Kontoplan'!$H$3:$H$302,0)),""))</f>
        <v/>
      </c>
      <c r="F3274" s="20">
        <f>IF('Journal'!F1638="","",'Journal'!F1638)</f>
        <v/>
      </c>
      <c r="G3274" s="20">
        <f>IF('Journal'!G1638="","",'Journal'!G1638)</f>
        <v/>
      </c>
      <c r="H3274" s="5">
        <f>IF('Journal'!I1638="","",'Journal'!I1638)</f>
        <v/>
      </c>
    </row>
    <row r="3275">
      <c r="A3275" s="18">
        <f>IF('Journal'!A1639="","",'Journal'!A1639)</f>
        <v/>
      </c>
      <c r="B3275" s="21">
        <f>IF('Journal'!B1639="","",'Journal'!B1639)</f>
        <v/>
      </c>
      <c r="C3275" s="5">
        <f>IF('Journal'!C1639="","",'Journal'!C1639)</f>
        <v/>
      </c>
      <c r="D3275" s="5">
        <f>IF('Journal'!D1639="","",IFERROR(LEFT('Journal'!D1639,FIND(" ",'Journal'!D1639)-1),'Journal'!D1639))</f>
        <v/>
      </c>
      <c r="E3275" s="5">
        <f>IF('Journal'!D1639="","",IFERROR(INDEX('Kontoplan'!$B$3:$B$302,MATCH('Journal'!D1639,'Kontoplan'!$H$3:$H$302,0)),""))</f>
        <v/>
      </c>
      <c r="F3275" s="20">
        <f>IF('Journal'!G1639="","",'Journal'!G1639)</f>
        <v/>
      </c>
      <c r="G3275" s="20">
        <f>IF('Journal'!F1639="","",'Journal'!F1639)</f>
        <v/>
      </c>
      <c r="H3275" s="5">
        <f>IF('Journal'!I1639="","",'Journal'!I1639)</f>
        <v/>
      </c>
    </row>
    <row r="3276">
      <c r="A3276" s="18">
        <f>IF('Journal'!A1639="","",'Journal'!A1639)</f>
        <v/>
      </c>
      <c r="B3276" s="21">
        <f>IF('Journal'!B1639="","",'Journal'!B1639)</f>
        <v/>
      </c>
      <c r="C3276" s="5">
        <f>IF('Journal'!C1639="","",'Journal'!C1639)</f>
        <v/>
      </c>
      <c r="D3276" s="5">
        <f>IF('Journal'!E1639="","",IFERROR(LEFT('Journal'!E1639,FIND(" ",'Journal'!E1639)-1),'Journal'!E1639))</f>
        <v/>
      </c>
      <c r="E3276" s="5">
        <f>IF('Journal'!E1639="","",IFERROR(INDEX('Kontoplan'!$B$3:$B$302,MATCH('Journal'!E1639,'Kontoplan'!$H$3:$H$302,0)),""))</f>
        <v/>
      </c>
      <c r="F3276" s="20">
        <f>IF('Journal'!F1639="","",'Journal'!F1639)</f>
        <v/>
      </c>
      <c r="G3276" s="20">
        <f>IF('Journal'!G1639="","",'Journal'!G1639)</f>
        <v/>
      </c>
      <c r="H3276" s="5">
        <f>IF('Journal'!I1639="","",'Journal'!I1639)</f>
        <v/>
      </c>
    </row>
    <row r="3277">
      <c r="A3277" s="18">
        <f>IF('Journal'!A1640="","",'Journal'!A1640)</f>
        <v/>
      </c>
      <c r="B3277" s="21">
        <f>IF('Journal'!B1640="","",'Journal'!B1640)</f>
        <v/>
      </c>
      <c r="C3277" s="5">
        <f>IF('Journal'!C1640="","",'Journal'!C1640)</f>
        <v/>
      </c>
      <c r="D3277" s="5">
        <f>IF('Journal'!D1640="","",IFERROR(LEFT('Journal'!D1640,FIND(" ",'Journal'!D1640)-1),'Journal'!D1640))</f>
        <v/>
      </c>
      <c r="E3277" s="5">
        <f>IF('Journal'!D1640="","",IFERROR(INDEX('Kontoplan'!$B$3:$B$302,MATCH('Journal'!D1640,'Kontoplan'!$H$3:$H$302,0)),""))</f>
        <v/>
      </c>
      <c r="F3277" s="20">
        <f>IF('Journal'!G1640="","",'Journal'!G1640)</f>
        <v/>
      </c>
      <c r="G3277" s="20">
        <f>IF('Journal'!F1640="","",'Journal'!F1640)</f>
        <v/>
      </c>
      <c r="H3277" s="5">
        <f>IF('Journal'!I1640="","",'Journal'!I1640)</f>
        <v/>
      </c>
    </row>
    <row r="3278">
      <c r="A3278" s="18">
        <f>IF('Journal'!A1640="","",'Journal'!A1640)</f>
        <v/>
      </c>
      <c r="B3278" s="21">
        <f>IF('Journal'!B1640="","",'Journal'!B1640)</f>
        <v/>
      </c>
      <c r="C3278" s="5">
        <f>IF('Journal'!C1640="","",'Journal'!C1640)</f>
        <v/>
      </c>
      <c r="D3278" s="5">
        <f>IF('Journal'!E1640="","",IFERROR(LEFT('Journal'!E1640,FIND(" ",'Journal'!E1640)-1),'Journal'!E1640))</f>
        <v/>
      </c>
      <c r="E3278" s="5">
        <f>IF('Journal'!E1640="","",IFERROR(INDEX('Kontoplan'!$B$3:$B$302,MATCH('Journal'!E1640,'Kontoplan'!$H$3:$H$302,0)),""))</f>
        <v/>
      </c>
      <c r="F3278" s="20">
        <f>IF('Journal'!F1640="","",'Journal'!F1640)</f>
        <v/>
      </c>
      <c r="G3278" s="20">
        <f>IF('Journal'!G1640="","",'Journal'!G1640)</f>
        <v/>
      </c>
      <c r="H3278" s="5">
        <f>IF('Journal'!I1640="","",'Journal'!I1640)</f>
        <v/>
      </c>
    </row>
    <row r="3279">
      <c r="A3279" s="18">
        <f>IF('Journal'!A1641="","",'Journal'!A1641)</f>
        <v/>
      </c>
      <c r="B3279" s="21">
        <f>IF('Journal'!B1641="","",'Journal'!B1641)</f>
        <v/>
      </c>
      <c r="C3279" s="5">
        <f>IF('Journal'!C1641="","",'Journal'!C1641)</f>
        <v/>
      </c>
      <c r="D3279" s="5">
        <f>IF('Journal'!D1641="","",IFERROR(LEFT('Journal'!D1641,FIND(" ",'Journal'!D1641)-1),'Journal'!D1641))</f>
        <v/>
      </c>
      <c r="E3279" s="5">
        <f>IF('Journal'!D1641="","",IFERROR(INDEX('Kontoplan'!$B$3:$B$302,MATCH('Journal'!D1641,'Kontoplan'!$H$3:$H$302,0)),""))</f>
        <v/>
      </c>
      <c r="F3279" s="20">
        <f>IF('Journal'!G1641="","",'Journal'!G1641)</f>
        <v/>
      </c>
      <c r="G3279" s="20">
        <f>IF('Journal'!F1641="","",'Journal'!F1641)</f>
        <v/>
      </c>
      <c r="H3279" s="5">
        <f>IF('Journal'!I1641="","",'Journal'!I1641)</f>
        <v/>
      </c>
    </row>
    <row r="3280">
      <c r="A3280" s="18">
        <f>IF('Journal'!A1641="","",'Journal'!A1641)</f>
        <v/>
      </c>
      <c r="B3280" s="21">
        <f>IF('Journal'!B1641="","",'Journal'!B1641)</f>
        <v/>
      </c>
      <c r="C3280" s="5">
        <f>IF('Journal'!C1641="","",'Journal'!C1641)</f>
        <v/>
      </c>
      <c r="D3280" s="5">
        <f>IF('Journal'!E1641="","",IFERROR(LEFT('Journal'!E1641,FIND(" ",'Journal'!E1641)-1),'Journal'!E1641))</f>
        <v/>
      </c>
      <c r="E3280" s="5">
        <f>IF('Journal'!E1641="","",IFERROR(INDEX('Kontoplan'!$B$3:$B$302,MATCH('Journal'!E1641,'Kontoplan'!$H$3:$H$302,0)),""))</f>
        <v/>
      </c>
      <c r="F3280" s="20">
        <f>IF('Journal'!F1641="","",'Journal'!F1641)</f>
        <v/>
      </c>
      <c r="G3280" s="20">
        <f>IF('Journal'!G1641="","",'Journal'!G1641)</f>
        <v/>
      </c>
      <c r="H3280" s="5">
        <f>IF('Journal'!I1641="","",'Journal'!I1641)</f>
        <v/>
      </c>
    </row>
    <row r="3281">
      <c r="A3281" s="18">
        <f>IF('Journal'!A1642="","",'Journal'!A1642)</f>
        <v/>
      </c>
      <c r="B3281" s="21">
        <f>IF('Journal'!B1642="","",'Journal'!B1642)</f>
        <v/>
      </c>
      <c r="C3281" s="5">
        <f>IF('Journal'!C1642="","",'Journal'!C1642)</f>
        <v/>
      </c>
      <c r="D3281" s="5">
        <f>IF('Journal'!D1642="","",IFERROR(LEFT('Journal'!D1642,FIND(" ",'Journal'!D1642)-1),'Journal'!D1642))</f>
        <v/>
      </c>
      <c r="E3281" s="5">
        <f>IF('Journal'!D1642="","",IFERROR(INDEX('Kontoplan'!$B$3:$B$302,MATCH('Journal'!D1642,'Kontoplan'!$H$3:$H$302,0)),""))</f>
        <v/>
      </c>
      <c r="F3281" s="20">
        <f>IF('Journal'!G1642="","",'Journal'!G1642)</f>
        <v/>
      </c>
      <c r="G3281" s="20">
        <f>IF('Journal'!F1642="","",'Journal'!F1642)</f>
        <v/>
      </c>
      <c r="H3281" s="5">
        <f>IF('Journal'!I1642="","",'Journal'!I1642)</f>
        <v/>
      </c>
    </row>
    <row r="3282">
      <c r="A3282" s="18">
        <f>IF('Journal'!A1642="","",'Journal'!A1642)</f>
        <v/>
      </c>
      <c r="B3282" s="21">
        <f>IF('Journal'!B1642="","",'Journal'!B1642)</f>
        <v/>
      </c>
      <c r="C3282" s="5">
        <f>IF('Journal'!C1642="","",'Journal'!C1642)</f>
        <v/>
      </c>
      <c r="D3282" s="5">
        <f>IF('Journal'!E1642="","",IFERROR(LEFT('Journal'!E1642,FIND(" ",'Journal'!E1642)-1),'Journal'!E1642))</f>
        <v/>
      </c>
      <c r="E3282" s="5">
        <f>IF('Journal'!E1642="","",IFERROR(INDEX('Kontoplan'!$B$3:$B$302,MATCH('Journal'!E1642,'Kontoplan'!$H$3:$H$302,0)),""))</f>
        <v/>
      </c>
      <c r="F3282" s="20">
        <f>IF('Journal'!F1642="","",'Journal'!F1642)</f>
        <v/>
      </c>
      <c r="G3282" s="20">
        <f>IF('Journal'!G1642="","",'Journal'!G1642)</f>
        <v/>
      </c>
      <c r="H3282" s="5">
        <f>IF('Journal'!I1642="","",'Journal'!I1642)</f>
        <v/>
      </c>
    </row>
    <row r="3283">
      <c r="A3283" s="18">
        <f>IF('Journal'!A1643="","",'Journal'!A1643)</f>
        <v/>
      </c>
      <c r="B3283" s="21">
        <f>IF('Journal'!B1643="","",'Journal'!B1643)</f>
        <v/>
      </c>
      <c r="C3283" s="5">
        <f>IF('Journal'!C1643="","",'Journal'!C1643)</f>
        <v/>
      </c>
      <c r="D3283" s="5">
        <f>IF('Journal'!D1643="","",IFERROR(LEFT('Journal'!D1643,FIND(" ",'Journal'!D1643)-1),'Journal'!D1643))</f>
        <v/>
      </c>
      <c r="E3283" s="5">
        <f>IF('Journal'!D1643="","",IFERROR(INDEX('Kontoplan'!$B$3:$B$302,MATCH('Journal'!D1643,'Kontoplan'!$H$3:$H$302,0)),""))</f>
        <v/>
      </c>
      <c r="F3283" s="20">
        <f>IF('Journal'!G1643="","",'Journal'!G1643)</f>
        <v/>
      </c>
      <c r="G3283" s="20">
        <f>IF('Journal'!F1643="","",'Journal'!F1643)</f>
        <v/>
      </c>
      <c r="H3283" s="5">
        <f>IF('Journal'!I1643="","",'Journal'!I1643)</f>
        <v/>
      </c>
    </row>
    <row r="3284">
      <c r="A3284" s="18">
        <f>IF('Journal'!A1643="","",'Journal'!A1643)</f>
        <v/>
      </c>
      <c r="B3284" s="21">
        <f>IF('Journal'!B1643="","",'Journal'!B1643)</f>
        <v/>
      </c>
      <c r="C3284" s="5">
        <f>IF('Journal'!C1643="","",'Journal'!C1643)</f>
        <v/>
      </c>
      <c r="D3284" s="5">
        <f>IF('Journal'!E1643="","",IFERROR(LEFT('Journal'!E1643,FIND(" ",'Journal'!E1643)-1),'Journal'!E1643))</f>
        <v/>
      </c>
      <c r="E3284" s="5">
        <f>IF('Journal'!E1643="","",IFERROR(INDEX('Kontoplan'!$B$3:$B$302,MATCH('Journal'!E1643,'Kontoplan'!$H$3:$H$302,0)),""))</f>
        <v/>
      </c>
      <c r="F3284" s="20">
        <f>IF('Journal'!F1643="","",'Journal'!F1643)</f>
        <v/>
      </c>
      <c r="G3284" s="20">
        <f>IF('Journal'!G1643="","",'Journal'!G1643)</f>
        <v/>
      </c>
      <c r="H3284" s="5">
        <f>IF('Journal'!I1643="","",'Journal'!I1643)</f>
        <v/>
      </c>
    </row>
    <row r="3285">
      <c r="A3285" s="18">
        <f>IF('Journal'!A1644="","",'Journal'!A1644)</f>
        <v/>
      </c>
      <c r="B3285" s="21">
        <f>IF('Journal'!B1644="","",'Journal'!B1644)</f>
        <v/>
      </c>
      <c r="C3285" s="5">
        <f>IF('Journal'!C1644="","",'Journal'!C1644)</f>
        <v/>
      </c>
      <c r="D3285" s="5">
        <f>IF('Journal'!D1644="","",IFERROR(LEFT('Journal'!D1644,FIND(" ",'Journal'!D1644)-1),'Journal'!D1644))</f>
        <v/>
      </c>
      <c r="E3285" s="5">
        <f>IF('Journal'!D1644="","",IFERROR(INDEX('Kontoplan'!$B$3:$B$302,MATCH('Journal'!D1644,'Kontoplan'!$H$3:$H$302,0)),""))</f>
        <v/>
      </c>
      <c r="F3285" s="20">
        <f>IF('Journal'!G1644="","",'Journal'!G1644)</f>
        <v/>
      </c>
      <c r="G3285" s="20">
        <f>IF('Journal'!F1644="","",'Journal'!F1644)</f>
        <v/>
      </c>
      <c r="H3285" s="5">
        <f>IF('Journal'!I1644="","",'Journal'!I1644)</f>
        <v/>
      </c>
    </row>
    <row r="3286">
      <c r="A3286" s="18">
        <f>IF('Journal'!A1644="","",'Journal'!A1644)</f>
        <v/>
      </c>
      <c r="B3286" s="21">
        <f>IF('Journal'!B1644="","",'Journal'!B1644)</f>
        <v/>
      </c>
      <c r="C3286" s="5">
        <f>IF('Journal'!C1644="","",'Journal'!C1644)</f>
        <v/>
      </c>
      <c r="D3286" s="5">
        <f>IF('Journal'!E1644="","",IFERROR(LEFT('Journal'!E1644,FIND(" ",'Journal'!E1644)-1),'Journal'!E1644))</f>
        <v/>
      </c>
      <c r="E3286" s="5">
        <f>IF('Journal'!E1644="","",IFERROR(INDEX('Kontoplan'!$B$3:$B$302,MATCH('Journal'!E1644,'Kontoplan'!$H$3:$H$302,0)),""))</f>
        <v/>
      </c>
      <c r="F3286" s="20">
        <f>IF('Journal'!F1644="","",'Journal'!F1644)</f>
        <v/>
      </c>
      <c r="G3286" s="20">
        <f>IF('Journal'!G1644="","",'Journal'!G1644)</f>
        <v/>
      </c>
      <c r="H3286" s="5">
        <f>IF('Journal'!I1644="","",'Journal'!I1644)</f>
        <v/>
      </c>
    </row>
    <row r="3287">
      <c r="A3287" s="18">
        <f>IF('Journal'!A1645="","",'Journal'!A1645)</f>
        <v/>
      </c>
      <c r="B3287" s="21">
        <f>IF('Journal'!B1645="","",'Journal'!B1645)</f>
        <v/>
      </c>
      <c r="C3287" s="5">
        <f>IF('Journal'!C1645="","",'Journal'!C1645)</f>
        <v/>
      </c>
      <c r="D3287" s="5">
        <f>IF('Journal'!D1645="","",IFERROR(LEFT('Journal'!D1645,FIND(" ",'Journal'!D1645)-1),'Journal'!D1645))</f>
        <v/>
      </c>
      <c r="E3287" s="5">
        <f>IF('Journal'!D1645="","",IFERROR(INDEX('Kontoplan'!$B$3:$B$302,MATCH('Journal'!D1645,'Kontoplan'!$H$3:$H$302,0)),""))</f>
        <v/>
      </c>
      <c r="F3287" s="20">
        <f>IF('Journal'!G1645="","",'Journal'!G1645)</f>
        <v/>
      </c>
      <c r="G3287" s="20">
        <f>IF('Journal'!F1645="","",'Journal'!F1645)</f>
        <v/>
      </c>
      <c r="H3287" s="5">
        <f>IF('Journal'!I1645="","",'Journal'!I1645)</f>
        <v/>
      </c>
    </row>
    <row r="3288">
      <c r="A3288" s="18">
        <f>IF('Journal'!A1645="","",'Journal'!A1645)</f>
        <v/>
      </c>
      <c r="B3288" s="21">
        <f>IF('Journal'!B1645="","",'Journal'!B1645)</f>
        <v/>
      </c>
      <c r="C3288" s="5">
        <f>IF('Journal'!C1645="","",'Journal'!C1645)</f>
        <v/>
      </c>
      <c r="D3288" s="5">
        <f>IF('Journal'!E1645="","",IFERROR(LEFT('Journal'!E1645,FIND(" ",'Journal'!E1645)-1),'Journal'!E1645))</f>
        <v/>
      </c>
      <c r="E3288" s="5">
        <f>IF('Journal'!E1645="","",IFERROR(INDEX('Kontoplan'!$B$3:$B$302,MATCH('Journal'!E1645,'Kontoplan'!$H$3:$H$302,0)),""))</f>
        <v/>
      </c>
      <c r="F3288" s="20">
        <f>IF('Journal'!F1645="","",'Journal'!F1645)</f>
        <v/>
      </c>
      <c r="G3288" s="20">
        <f>IF('Journal'!G1645="","",'Journal'!G1645)</f>
        <v/>
      </c>
      <c r="H3288" s="5">
        <f>IF('Journal'!I1645="","",'Journal'!I1645)</f>
        <v/>
      </c>
    </row>
    <row r="3289">
      <c r="A3289" s="18">
        <f>IF('Journal'!A1646="","",'Journal'!A1646)</f>
        <v/>
      </c>
      <c r="B3289" s="21">
        <f>IF('Journal'!B1646="","",'Journal'!B1646)</f>
        <v/>
      </c>
      <c r="C3289" s="5">
        <f>IF('Journal'!C1646="","",'Journal'!C1646)</f>
        <v/>
      </c>
      <c r="D3289" s="5">
        <f>IF('Journal'!D1646="","",IFERROR(LEFT('Journal'!D1646,FIND(" ",'Journal'!D1646)-1),'Journal'!D1646))</f>
        <v/>
      </c>
      <c r="E3289" s="5">
        <f>IF('Journal'!D1646="","",IFERROR(INDEX('Kontoplan'!$B$3:$B$302,MATCH('Journal'!D1646,'Kontoplan'!$H$3:$H$302,0)),""))</f>
        <v/>
      </c>
      <c r="F3289" s="20">
        <f>IF('Journal'!G1646="","",'Journal'!G1646)</f>
        <v/>
      </c>
      <c r="G3289" s="20">
        <f>IF('Journal'!F1646="","",'Journal'!F1646)</f>
        <v/>
      </c>
      <c r="H3289" s="5">
        <f>IF('Journal'!I1646="","",'Journal'!I1646)</f>
        <v/>
      </c>
    </row>
    <row r="3290">
      <c r="A3290" s="18">
        <f>IF('Journal'!A1646="","",'Journal'!A1646)</f>
        <v/>
      </c>
      <c r="B3290" s="21">
        <f>IF('Journal'!B1646="","",'Journal'!B1646)</f>
        <v/>
      </c>
      <c r="C3290" s="5">
        <f>IF('Journal'!C1646="","",'Journal'!C1646)</f>
        <v/>
      </c>
      <c r="D3290" s="5">
        <f>IF('Journal'!E1646="","",IFERROR(LEFT('Journal'!E1646,FIND(" ",'Journal'!E1646)-1),'Journal'!E1646))</f>
        <v/>
      </c>
      <c r="E3290" s="5">
        <f>IF('Journal'!E1646="","",IFERROR(INDEX('Kontoplan'!$B$3:$B$302,MATCH('Journal'!E1646,'Kontoplan'!$H$3:$H$302,0)),""))</f>
        <v/>
      </c>
      <c r="F3290" s="20">
        <f>IF('Journal'!F1646="","",'Journal'!F1646)</f>
        <v/>
      </c>
      <c r="G3290" s="20">
        <f>IF('Journal'!G1646="","",'Journal'!G1646)</f>
        <v/>
      </c>
      <c r="H3290" s="5">
        <f>IF('Journal'!I1646="","",'Journal'!I1646)</f>
        <v/>
      </c>
    </row>
    <row r="3291">
      <c r="A3291" s="18">
        <f>IF('Journal'!A1647="","",'Journal'!A1647)</f>
        <v/>
      </c>
      <c r="B3291" s="21">
        <f>IF('Journal'!B1647="","",'Journal'!B1647)</f>
        <v/>
      </c>
      <c r="C3291" s="5">
        <f>IF('Journal'!C1647="","",'Journal'!C1647)</f>
        <v/>
      </c>
      <c r="D3291" s="5">
        <f>IF('Journal'!D1647="","",IFERROR(LEFT('Journal'!D1647,FIND(" ",'Journal'!D1647)-1),'Journal'!D1647))</f>
        <v/>
      </c>
      <c r="E3291" s="5">
        <f>IF('Journal'!D1647="","",IFERROR(INDEX('Kontoplan'!$B$3:$B$302,MATCH('Journal'!D1647,'Kontoplan'!$H$3:$H$302,0)),""))</f>
        <v/>
      </c>
      <c r="F3291" s="20">
        <f>IF('Journal'!G1647="","",'Journal'!G1647)</f>
        <v/>
      </c>
      <c r="G3291" s="20">
        <f>IF('Journal'!F1647="","",'Journal'!F1647)</f>
        <v/>
      </c>
      <c r="H3291" s="5">
        <f>IF('Journal'!I1647="","",'Journal'!I1647)</f>
        <v/>
      </c>
    </row>
    <row r="3292">
      <c r="A3292" s="18">
        <f>IF('Journal'!A1647="","",'Journal'!A1647)</f>
        <v/>
      </c>
      <c r="B3292" s="21">
        <f>IF('Journal'!B1647="","",'Journal'!B1647)</f>
        <v/>
      </c>
      <c r="C3292" s="5">
        <f>IF('Journal'!C1647="","",'Journal'!C1647)</f>
        <v/>
      </c>
      <c r="D3292" s="5">
        <f>IF('Journal'!E1647="","",IFERROR(LEFT('Journal'!E1647,FIND(" ",'Journal'!E1647)-1),'Journal'!E1647))</f>
        <v/>
      </c>
      <c r="E3292" s="5">
        <f>IF('Journal'!E1647="","",IFERROR(INDEX('Kontoplan'!$B$3:$B$302,MATCH('Journal'!E1647,'Kontoplan'!$H$3:$H$302,0)),""))</f>
        <v/>
      </c>
      <c r="F3292" s="20">
        <f>IF('Journal'!F1647="","",'Journal'!F1647)</f>
        <v/>
      </c>
      <c r="G3292" s="20">
        <f>IF('Journal'!G1647="","",'Journal'!G1647)</f>
        <v/>
      </c>
      <c r="H3292" s="5">
        <f>IF('Journal'!I1647="","",'Journal'!I1647)</f>
        <v/>
      </c>
    </row>
    <row r="3293">
      <c r="A3293" s="18">
        <f>IF('Journal'!A1648="","",'Journal'!A1648)</f>
        <v/>
      </c>
      <c r="B3293" s="21">
        <f>IF('Journal'!B1648="","",'Journal'!B1648)</f>
        <v/>
      </c>
      <c r="C3293" s="5">
        <f>IF('Journal'!C1648="","",'Journal'!C1648)</f>
        <v/>
      </c>
      <c r="D3293" s="5">
        <f>IF('Journal'!D1648="","",IFERROR(LEFT('Journal'!D1648,FIND(" ",'Journal'!D1648)-1),'Journal'!D1648))</f>
        <v/>
      </c>
      <c r="E3293" s="5">
        <f>IF('Journal'!D1648="","",IFERROR(INDEX('Kontoplan'!$B$3:$B$302,MATCH('Journal'!D1648,'Kontoplan'!$H$3:$H$302,0)),""))</f>
        <v/>
      </c>
      <c r="F3293" s="20">
        <f>IF('Journal'!G1648="","",'Journal'!G1648)</f>
        <v/>
      </c>
      <c r="G3293" s="20">
        <f>IF('Journal'!F1648="","",'Journal'!F1648)</f>
        <v/>
      </c>
      <c r="H3293" s="5">
        <f>IF('Journal'!I1648="","",'Journal'!I1648)</f>
        <v/>
      </c>
    </row>
    <row r="3294">
      <c r="A3294" s="18">
        <f>IF('Journal'!A1648="","",'Journal'!A1648)</f>
        <v/>
      </c>
      <c r="B3294" s="21">
        <f>IF('Journal'!B1648="","",'Journal'!B1648)</f>
        <v/>
      </c>
      <c r="C3294" s="5">
        <f>IF('Journal'!C1648="","",'Journal'!C1648)</f>
        <v/>
      </c>
      <c r="D3294" s="5">
        <f>IF('Journal'!E1648="","",IFERROR(LEFT('Journal'!E1648,FIND(" ",'Journal'!E1648)-1),'Journal'!E1648))</f>
        <v/>
      </c>
      <c r="E3294" s="5">
        <f>IF('Journal'!E1648="","",IFERROR(INDEX('Kontoplan'!$B$3:$B$302,MATCH('Journal'!E1648,'Kontoplan'!$H$3:$H$302,0)),""))</f>
        <v/>
      </c>
      <c r="F3294" s="20">
        <f>IF('Journal'!F1648="","",'Journal'!F1648)</f>
        <v/>
      </c>
      <c r="G3294" s="20">
        <f>IF('Journal'!G1648="","",'Journal'!G1648)</f>
        <v/>
      </c>
      <c r="H3294" s="5">
        <f>IF('Journal'!I1648="","",'Journal'!I1648)</f>
        <v/>
      </c>
    </row>
    <row r="3295">
      <c r="A3295" s="18">
        <f>IF('Journal'!A1649="","",'Journal'!A1649)</f>
        <v/>
      </c>
      <c r="B3295" s="21">
        <f>IF('Journal'!B1649="","",'Journal'!B1649)</f>
        <v/>
      </c>
      <c r="C3295" s="5">
        <f>IF('Journal'!C1649="","",'Journal'!C1649)</f>
        <v/>
      </c>
      <c r="D3295" s="5">
        <f>IF('Journal'!D1649="","",IFERROR(LEFT('Journal'!D1649,FIND(" ",'Journal'!D1649)-1),'Journal'!D1649))</f>
        <v/>
      </c>
      <c r="E3295" s="5">
        <f>IF('Journal'!D1649="","",IFERROR(INDEX('Kontoplan'!$B$3:$B$302,MATCH('Journal'!D1649,'Kontoplan'!$H$3:$H$302,0)),""))</f>
        <v/>
      </c>
      <c r="F3295" s="20">
        <f>IF('Journal'!G1649="","",'Journal'!G1649)</f>
        <v/>
      </c>
      <c r="G3295" s="20">
        <f>IF('Journal'!F1649="","",'Journal'!F1649)</f>
        <v/>
      </c>
      <c r="H3295" s="5">
        <f>IF('Journal'!I1649="","",'Journal'!I1649)</f>
        <v/>
      </c>
    </row>
    <row r="3296">
      <c r="A3296" s="18">
        <f>IF('Journal'!A1649="","",'Journal'!A1649)</f>
        <v/>
      </c>
      <c r="B3296" s="21">
        <f>IF('Journal'!B1649="","",'Journal'!B1649)</f>
        <v/>
      </c>
      <c r="C3296" s="5">
        <f>IF('Journal'!C1649="","",'Journal'!C1649)</f>
        <v/>
      </c>
      <c r="D3296" s="5">
        <f>IF('Journal'!E1649="","",IFERROR(LEFT('Journal'!E1649,FIND(" ",'Journal'!E1649)-1),'Journal'!E1649))</f>
        <v/>
      </c>
      <c r="E3296" s="5">
        <f>IF('Journal'!E1649="","",IFERROR(INDEX('Kontoplan'!$B$3:$B$302,MATCH('Journal'!E1649,'Kontoplan'!$H$3:$H$302,0)),""))</f>
        <v/>
      </c>
      <c r="F3296" s="20">
        <f>IF('Journal'!F1649="","",'Journal'!F1649)</f>
        <v/>
      </c>
      <c r="G3296" s="20">
        <f>IF('Journal'!G1649="","",'Journal'!G1649)</f>
        <v/>
      </c>
      <c r="H3296" s="5">
        <f>IF('Journal'!I1649="","",'Journal'!I1649)</f>
        <v/>
      </c>
    </row>
    <row r="3297">
      <c r="A3297" s="18">
        <f>IF('Journal'!A1650="","",'Journal'!A1650)</f>
        <v/>
      </c>
      <c r="B3297" s="21">
        <f>IF('Journal'!B1650="","",'Journal'!B1650)</f>
        <v/>
      </c>
      <c r="C3297" s="5">
        <f>IF('Journal'!C1650="","",'Journal'!C1650)</f>
        <v/>
      </c>
      <c r="D3297" s="5">
        <f>IF('Journal'!D1650="","",IFERROR(LEFT('Journal'!D1650,FIND(" ",'Journal'!D1650)-1),'Journal'!D1650))</f>
        <v/>
      </c>
      <c r="E3297" s="5">
        <f>IF('Journal'!D1650="","",IFERROR(INDEX('Kontoplan'!$B$3:$B$302,MATCH('Journal'!D1650,'Kontoplan'!$H$3:$H$302,0)),""))</f>
        <v/>
      </c>
      <c r="F3297" s="20">
        <f>IF('Journal'!G1650="","",'Journal'!G1650)</f>
        <v/>
      </c>
      <c r="G3297" s="20">
        <f>IF('Journal'!F1650="","",'Journal'!F1650)</f>
        <v/>
      </c>
      <c r="H3297" s="5">
        <f>IF('Journal'!I1650="","",'Journal'!I1650)</f>
        <v/>
      </c>
    </row>
    <row r="3298">
      <c r="A3298" s="18">
        <f>IF('Journal'!A1650="","",'Journal'!A1650)</f>
        <v/>
      </c>
      <c r="B3298" s="21">
        <f>IF('Journal'!B1650="","",'Journal'!B1650)</f>
        <v/>
      </c>
      <c r="C3298" s="5">
        <f>IF('Journal'!C1650="","",'Journal'!C1650)</f>
        <v/>
      </c>
      <c r="D3298" s="5">
        <f>IF('Journal'!E1650="","",IFERROR(LEFT('Journal'!E1650,FIND(" ",'Journal'!E1650)-1),'Journal'!E1650))</f>
        <v/>
      </c>
      <c r="E3298" s="5">
        <f>IF('Journal'!E1650="","",IFERROR(INDEX('Kontoplan'!$B$3:$B$302,MATCH('Journal'!E1650,'Kontoplan'!$H$3:$H$302,0)),""))</f>
        <v/>
      </c>
      <c r="F3298" s="20">
        <f>IF('Journal'!F1650="","",'Journal'!F1650)</f>
        <v/>
      </c>
      <c r="G3298" s="20">
        <f>IF('Journal'!G1650="","",'Journal'!G1650)</f>
        <v/>
      </c>
      <c r="H3298" s="5">
        <f>IF('Journal'!I1650="","",'Journal'!I1650)</f>
        <v/>
      </c>
    </row>
    <row r="3299">
      <c r="A3299" s="18">
        <f>IF('Journal'!A1651="","",'Journal'!A1651)</f>
        <v/>
      </c>
      <c r="B3299" s="21">
        <f>IF('Journal'!B1651="","",'Journal'!B1651)</f>
        <v/>
      </c>
      <c r="C3299" s="5">
        <f>IF('Journal'!C1651="","",'Journal'!C1651)</f>
        <v/>
      </c>
      <c r="D3299" s="5">
        <f>IF('Journal'!D1651="","",IFERROR(LEFT('Journal'!D1651,FIND(" ",'Journal'!D1651)-1),'Journal'!D1651))</f>
        <v/>
      </c>
      <c r="E3299" s="5">
        <f>IF('Journal'!D1651="","",IFERROR(INDEX('Kontoplan'!$B$3:$B$302,MATCH('Journal'!D1651,'Kontoplan'!$H$3:$H$302,0)),""))</f>
        <v/>
      </c>
      <c r="F3299" s="20">
        <f>IF('Journal'!G1651="","",'Journal'!G1651)</f>
        <v/>
      </c>
      <c r="G3299" s="20">
        <f>IF('Journal'!F1651="","",'Journal'!F1651)</f>
        <v/>
      </c>
      <c r="H3299" s="5">
        <f>IF('Journal'!I1651="","",'Journal'!I1651)</f>
        <v/>
      </c>
    </row>
    <row r="3300">
      <c r="A3300" s="18">
        <f>IF('Journal'!A1651="","",'Journal'!A1651)</f>
        <v/>
      </c>
      <c r="B3300" s="21">
        <f>IF('Journal'!B1651="","",'Journal'!B1651)</f>
        <v/>
      </c>
      <c r="C3300" s="5">
        <f>IF('Journal'!C1651="","",'Journal'!C1651)</f>
        <v/>
      </c>
      <c r="D3300" s="5">
        <f>IF('Journal'!E1651="","",IFERROR(LEFT('Journal'!E1651,FIND(" ",'Journal'!E1651)-1),'Journal'!E1651))</f>
        <v/>
      </c>
      <c r="E3300" s="5">
        <f>IF('Journal'!E1651="","",IFERROR(INDEX('Kontoplan'!$B$3:$B$302,MATCH('Journal'!E1651,'Kontoplan'!$H$3:$H$302,0)),""))</f>
        <v/>
      </c>
      <c r="F3300" s="20">
        <f>IF('Journal'!F1651="","",'Journal'!F1651)</f>
        <v/>
      </c>
      <c r="G3300" s="20">
        <f>IF('Journal'!G1651="","",'Journal'!G1651)</f>
        <v/>
      </c>
      <c r="H3300" s="5">
        <f>IF('Journal'!I1651="","",'Journal'!I1651)</f>
        <v/>
      </c>
    </row>
    <row r="3301">
      <c r="A3301" s="18">
        <f>IF('Journal'!A1652="","",'Journal'!A1652)</f>
        <v/>
      </c>
      <c r="B3301" s="21">
        <f>IF('Journal'!B1652="","",'Journal'!B1652)</f>
        <v/>
      </c>
      <c r="C3301" s="5">
        <f>IF('Journal'!C1652="","",'Journal'!C1652)</f>
        <v/>
      </c>
      <c r="D3301" s="5">
        <f>IF('Journal'!D1652="","",IFERROR(LEFT('Journal'!D1652,FIND(" ",'Journal'!D1652)-1),'Journal'!D1652))</f>
        <v/>
      </c>
      <c r="E3301" s="5">
        <f>IF('Journal'!D1652="","",IFERROR(INDEX('Kontoplan'!$B$3:$B$302,MATCH('Journal'!D1652,'Kontoplan'!$H$3:$H$302,0)),""))</f>
        <v/>
      </c>
      <c r="F3301" s="20">
        <f>IF('Journal'!G1652="","",'Journal'!G1652)</f>
        <v/>
      </c>
      <c r="G3301" s="20">
        <f>IF('Journal'!F1652="","",'Journal'!F1652)</f>
        <v/>
      </c>
      <c r="H3301" s="5">
        <f>IF('Journal'!I1652="","",'Journal'!I1652)</f>
        <v/>
      </c>
    </row>
    <row r="3302">
      <c r="A3302" s="18">
        <f>IF('Journal'!A1652="","",'Journal'!A1652)</f>
        <v/>
      </c>
      <c r="B3302" s="21">
        <f>IF('Journal'!B1652="","",'Journal'!B1652)</f>
        <v/>
      </c>
      <c r="C3302" s="5">
        <f>IF('Journal'!C1652="","",'Journal'!C1652)</f>
        <v/>
      </c>
      <c r="D3302" s="5">
        <f>IF('Journal'!E1652="","",IFERROR(LEFT('Journal'!E1652,FIND(" ",'Journal'!E1652)-1),'Journal'!E1652))</f>
        <v/>
      </c>
      <c r="E3302" s="5">
        <f>IF('Journal'!E1652="","",IFERROR(INDEX('Kontoplan'!$B$3:$B$302,MATCH('Journal'!E1652,'Kontoplan'!$H$3:$H$302,0)),""))</f>
        <v/>
      </c>
      <c r="F3302" s="20">
        <f>IF('Journal'!F1652="","",'Journal'!F1652)</f>
        <v/>
      </c>
      <c r="G3302" s="20">
        <f>IF('Journal'!G1652="","",'Journal'!G1652)</f>
        <v/>
      </c>
      <c r="H3302" s="5">
        <f>IF('Journal'!I1652="","",'Journal'!I1652)</f>
        <v/>
      </c>
    </row>
    <row r="3303">
      <c r="A3303" s="18">
        <f>IF('Journal'!A1653="","",'Journal'!A1653)</f>
        <v/>
      </c>
      <c r="B3303" s="21">
        <f>IF('Journal'!B1653="","",'Journal'!B1653)</f>
        <v/>
      </c>
      <c r="C3303" s="5">
        <f>IF('Journal'!C1653="","",'Journal'!C1653)</f>
        <v/>
      </c>
      <c r="D3303" s="5">
        <f>IF('Journal'!D1653="","",IFERROR(LEFT('Journal'!D1653,FIND(" ",'Journal'!D1653)-1),'Journal'!D1653))</f>
        <v/>
      </c>
      <c r="E3303" s="5">
        <f>IF('Journal'!D1653="","",IFERROR(INDEX('Kontoplan'!$B$3:$B$302,MATCH('Journal'!D1653,'Kontoplan'!$H$3:$H$302,0)),""))</f>
        <v/>
      </c>
      <c r="F3303" s="20">
        <f>IF('Journal'!G1653="","",'Journal'!G1653)</f>
        <v/>
      </c>
      <c r="G3303" s="20">
        <f>IF('Journal'!F1653="","",'Journal'!F1653)</f>
        <v/>
      </c>
      <c r="H3303" s="5">
        <f>IF('Journal'!I1653="","",'Journal'!I1653)</f>
        <v/>
      </c>
    </row>
    <row r="3304">
      <c r="A3304" s="18">
        <f>IF('Journal'!A1653="","",'Journal'!A1653)</f>
        <v/>
      </c>
      <c r="B3304" s="21">
        <f>IF('Journal'!B1653="","",'Journal'!B1653)</f>
        <v/>
      </c>
      <c r="C3304" s="5">
        <f>IF('Journal'!C1653="","",'Journal'!C1653)</f>
        <v/>
      </c>
      <c r="D3304" s="5">
        <f>IF('Journal'!E1653="","",IFERROR(LEFT('Journal'!E1653,FIND(" ",'Journal'!E1653)-1),'Journal'!E1653))</f>
        <v/>
      </c>
      <c r="E3304" s="5">
        <f>IF('Journal'!E1653="","",IFERROR(INDEX('Kontoplan'!$B$3:$B$302,MATCH('Journal'!E1653,'Kontoplan'!$H$3:$H$302,0)),""))</f>
        <v/>
      </c>
      <c r="F3304" s="20">
        <f>IF('Journal'!F1653="","",'Journal'!F1653)</f>
        <v/>
      </c>
      <c r="G3304" s="20">
        <f>IF('Journal'!G1653="","",'Journal'!G1653)</f>
        <v/>
      </c>
      <c r="H3304" s="5">
        <f>IF('Journal'!I1653="","",'Journal'!I1653)</f>
        <v/>
      </c>
    </row>
    <row r="3305">
      <c r="A3305" s="18">
        <f>IF('Journal'!A1654="","",'Journal'!A1654)</f>
        <v/>
      </c>
      <c r="B3305" s="21">
        <f>IF('Journal'!B1654="","",'Journal'!B1654)</f>
        <v/>
      </c>
      <c r="C3305" s="5">
        <f>IF('Journal'!C1654="","",'Journal'!C1654)</f>
        <v/>
      </c>
      <c r="D3305" s="5">
        <f>IF('Journal'!D1654="","",IFERROR(LEFT('Journal'!D1654,FIND(" ",'Journal'!D1654)-1),'Journal'!D1654))</f>
        <v/>
      </c>
      <c r="E3305" s="5">
        <f>IF('Journal'!D1654="","",IFERROR(INDEX('Kontoplan'!$B$3:$B$302,MATCH('Journal'!D1654,'Kontoplan'!$H$3:$H$302,0)),""))</f>
        <v/>
      </c>
      <c r="F3305" s="20">
        <f>IF('Journal'!G1654="","",'Journal'!G1654)</f>
        <v/>
      </c>
      <c r="G3305" s="20">
        <f>IF('Journal'!F1654="","",'Journal'!F1654)</f>
        <v/>
      </c>
      <c r="H3305" s="5">
        <f>IF('Journal'!I1654="","",'Journal'!I1654)</f>
        <v/>
      </c>
    </row>
    <row r="3306">
      <c r="A3306" s="18">
        <f>IF('Journal'!A1654="","",'Journal'!A1654)</f>
        <v/>
      </c>
      <c r="B3306" s="21">
        <f>IF('Journal'!B1654="","",'Journal'!B1654)</f>
        <v/>
      </c>
      <c r="C3306" s="5">
        <f>IF('Journal'!C1654="","",'Journal'!C1654)</f>
        <v/>
      </c>
      <c r="D3306" s="5">
        <f>IF('Journal'!E1654="","",IFERROR(LEFT('Journal'!E1654,FIND(" ",'Journal'!E1654)-1),'Journal'!E1654))</f>
        <v/>
      </c>
      <c r="E3306" s="5">
        <f>IF('Journal'!E1654="","",IFERROR(INDEX('Kontoplan'!$B$3:$B$302,MATCH('Journal'!E1654,'Kontoplan'!$H$3:$H$302,0)),""))</f>
        <v/>
      </c>
      <c r="F3306" s="20">
        <f>IF('Journal'!F1654="","",'Journal'!F1654)</f>
        <v/>
      </c>
      <c r="G3306" s="20">
        <f>IF('Journal'!G1654="","",'Journal'!G1654)</f>
        <v/>
      </c>
      <c r="H3306" s="5">
        <f>IF('Journal'!I1654="","",'Journal'!I1654)</f>
        <v/>
      </c>
    </row>
    <row r="3307">
      <c r="A3307" s="18">
        <f>IF('Journal'!A1655="","",'Journal'!A1655)</f>
        <v/>
      </c>
      <c r="B3307" s="21">
        <f>IF('Journal'!B1655="","",'Journal'!B1655)</f>
        <v/>
      </c>
      <c r="C3307" s="5">
        <f>IF('Journal'!C1655="","",'Journal'!C1655)</f>
        <v/>
      </c>
      <c r="D3307" s="5">
        <f>IF('Journal'!D1655="","",IFERROR(LEFT('Journal'!D1655,FIND(" ",'Journal'!D1655)-1),'Journal'!D1655))</f>
        <v/>
      </c>
      <c r="E3307" s="5">
        <f>IF('Journal'!D1655="","",IFERROR(INDEX('Kontoplan'!$B$3:$B$302,MATCH('Journal'!D1655,'Kontoplan'!$H$3:$H$302,0)),""))</f>
        <v/>
      </c>
      <c r="F3307" s="20">
        <f>IF('Journal'!G1655="","",'Journal'!G1655)</f>
        <v/>
      </c>
      <c r="G3307" s="20">
        <f>IF('Journal'!F1655="","",'Journal'!F1655)</f>
        <v/>
      </c>
      <c r="H3307" s="5">
        <f>IF('Journal'!I1655="","",'Journal'!I1655)</f>
        <v/>
      </c>
    </row>
    <row r="3308">
      <c r="A3308" s="18">
        <f>IF('Journal'!A1655="","",'Journal'!A1655)</f>
        <v/>
      </c>
      <c r="B3308" s="21">
        <f>IF('Journal'!B1655="","",'Journal'!B1655)</f>
        <v/>
      </c>
      <c r="C3308" s="5">
        <f>IF('Journal'!C1655="","",'Journal'!C1655)</f>
        <v/>
      </c>
      <c r="D3308" s="5">
        <f>IF('Journal'!E1655="","",IFERROR(LEFT('Journal'!E1655,FIND(" ",'Journal'!E1655)-1),'Journal'!E1655))</f>
        <v/>
      </c>
      <c r="E3308" s="5">
        <f>IF('Journal'!E1655="","",IFERROR(INDEX('Kontoplan'!$B$3:$B$302,MATCH('Journal'!E1655,'Kontoplan'!$H$3:$H$302,0)),""))</f>
        <v/>
      </c>
      <c r="F3308" s="20">
        <f>IF('Journal'!F1655="","",'Journal'!F1655)</f>
        <v/>
      </c>
      <c r="G3308" s="20">
        <f>IF('Journal'!G1655="","",'Journal'!G1655)</f>
        <v/>
      </c>
      <c r="H3308" s="5">
        <f>IF('Journal'!I1655="","",'Journal'!I1655)</f>
        <v/>
      </c>
    </row>
    <row r="3309">
      <c r="A3309" s="18">
        <f>IF('Journal'!A1656="","",'Journal'!A1656)</f>
        <v/>
      </c>
      <c r="B3309" s="21">
        <f>IF('Journal'!B1656="","",'Journal'!B1656)</f>
        <v/>
      </c>
      <c r="C3309" s="5">
        <f>IF('Journal'!C1656="","",'Journal'!C1656)</f>
        <v/>
      </c>
      <c r="D3309" s="5">
        <f>IF('Journal'!D1656="","",IFERROR(LEFT('Journal'!D1656,FIND(" ",'Journal'!D1656)-1),'Journal'!D1656))</f>
        <v/>
      </c>
      <c r="E3309" s="5">
        <f>IF('Journal'!D1656="","",IFERROR(INDEX('Kontoplan'!$B$3:$B$302,MATCH('Journal'!D1656,'Kontoplan'!$H$3:$H$302,0)),""))</f>
        <v/>
      </c>
      <c r="F3309" s="20">
        <f>IF('Journal'!G1656="","",'Journal'!G1656)</f>
        <v/>
      </c>
      <c r="G3309" s="20">
        <f>IF('Journal'!F1656="","",'Journal'!F1656)</f>
        <v/>
      </c>
      <c r="H3309" s="5">
        <f>IF('Journal'!I1656="","",'Journal'!I1656)</f>
        <v/>
      </c>
    </row>
    <row r="3310">
      <c r="A3310" s="18">
        <f>IF('Journal'!A1656="","",'Journal'!A1656)</f>
        <v/>
      </c>
      <c r="B3310" s="21">
        <f>IF('Journal'!B1656="","",'Journal'!B1656)</f>
        <v/>
      </c>
      <c r="C3310" s="5">
        <f>IF('Journal'!C1656="","",'Journal'!C1656)</f>
        <v/>
      </c>
      <c r="D3310" s="5">
        <f>IF('Journal'!E1656="","",IFERROR(LEFT('Journal'!E1656,FIND(" ",'Journal'!E1656)-1),'Journal'!E1656))</f>
        <v/>
      </c>
      <c r="E3310" s="5">
        <f>IF('Journal'!E1656="","",IFERROR(INDEX('Kontoplan'!$B$3:$B$302,MATCH('Journal'!E1656,'Kontoplan'!$H$3:$H$302,0)),""))</f>
        <v/>
      </c>
      <c r="F3310" s="20">
        <f>IF('Journal'!F1656="","",'Journal'!F1656)</f>
        <v/>
      </c>
      <c r="G3310" s="20">
        <f>IF('Journal'!G1656="","",'Journal'!G1656)</f>
        <v/>
      </c>
      <c r="H3310" s="5">
        <f>IF('Journal'!I1656="","",'Journal'!I1656)</f>
        <v/>
      </c>
    </row>
    <row r="3311">
      <c r="A3311" s="18">
        <f>IF('Journal'!A1657="","",'Journal'!A1657)</f>
        <v/>
      </c>
      <c r="B3311" s="21">
        <f>IF('Journal'!B1657="","",'Journal'!B1657)</f>
        <v/>
      </c>
      <c r="C3311" s="5">
        <f>IF('Journal'!C1657="","",'Journal'!C1657)</f>
        <v/>
      </c>
      <c r="D3311" s="5">
        <f>IF('Journal'!D1657="","",IFERROR(LEFT('Journal'!D1657,FIND(" ",'Journal'!D1657)-1),'Journal'!D1657))</f>
        <v/>
      </c>
      <c r="E3311" s="5">
        <f>IF('Journal'!D1657="","",IFERROR(INDEX('Kontoplan'!$B$3:$B$302,MATCH('Journal'!D1657,'Kontoplan'!$H$3:$H$302,0)),""))</f>
        <v/>
      </c>
      <c r="F3311" s="20">
        <f>IF('Journal'!G1657="","",'Journal'!G1657)</f>
        <v/>
      </c>
      <c r="G3311" s="20">
        <f>IF('Journal'!F1657="","",'Journal'!F1657)</f>
        <v/>
      </c>
      <c r="H3311" s="5">
        <f>IF('Journal'!I1657="","",'Journal'!I1657)</f>
        <v/>
      </c>
    </row>
    <row r="3312">
      <c r="A3312" s="18">
        <f>IF('Journal'!A1657="","",'Journal'!A1657)</f>
        <v/>
      </c>
      <c r="B3312" s="21">
        <f>IF('Journal'!B1657="","",'Journal'!B1657)</f>
        <v/>
      </c>
      <c r="C3312" s="5">
        <f>IF('Journal'!C1657="","",'Journal'!C1657)</f>
        <v/>
      </c>
      <c r="D3312" s="5">
        <f>IF('Journal'!E1657="","",IFERROR(LEFT('Journal'!E1657,FIND(" ",'Journal'!E1657)-1),'Journal'!E1657))</f>
        <v/>
      </c>
      <c r="E3312" s="5">
        <f>IF('Journal'!E1657="","",IFERROR(INDEX('Kontoplan'!$B$3:$B$302,MATCH('Journal'!E1657,'Kontoplan'!$H$3:$H$302,0)),""))</f>
        <v/>
      </c>
      <c r="F3312" s="20">
        <f>IF('Journal'!F1657="","",'Journal'!F1657)</f>
        <v/>
      </c>
      <c r="G3312" s="20">
        <f>IF('Journal'!G1657="","",'Journal'!G1657)</f>
        <v/>
      </c>
      <c r="H3312" s="5">
        <f>IF('Journal'!I1657="","",'Journal'!I1657)</f>
        <v/>
      </c>
    </row>
    <row r="3313">
      <c r="A3313" s="18">
        <f>IF('Journal'!A1658="","",'Journal'!A1658)</f>
        <v/>
      </c>
      <c r="B3313" s="21">
        <f>IF('Journal'!B1658="","",'Journal'!B1658)</f>
        <v/>
      </c>
      <c r="C3313" s="5">
        <f>IF('Journal'!C1658="","",'Journal'!C1658)</f>
        <v/>
      </c>
      <c r="D3313" s="5">
        <f>IF('Journal'!D1658="","",IFERROR(LEFT('Journal'!D1658,FIND(" ",'Journal'!D1658)-1),'Journal'!D1658))</f>
        <v/>
      </c>
      <c r="E3313" s="5">
        <f>IF('Journal'!D1658="","",IFERROR(INDEX('Kontoplan'!$B$3:$B$302,MATCH('Journal'!D1658,'Kontoplan'!$H$3:$H$302,0)),""))</f>
        <v/>
      </c>
      <c r="F3313" s="20">
        <f>IF('Journal'!G1658="","",'Journal'!G1658)</f>
        <v/>
      </c>
      <c r="G3313" s="20">
        <f>IF('Journal'!F1658="","",'Journal'!F1658)</f>
        <v/>
      </c>
      <c r="H3313" s="5">
        <f>IF('Journal'!I1658="","",'Journal'!I1658)</f>
        <v/>
      </c>
    </row>
    <row r="3314">
      <c r="A3314" s="18">
        <f>IF('Journal'!A1658="","",'Journal'!A1658)</f>
        <v/>
      </c>
      <c r="B3314" s="21">
        <f>IF('Journal'!B1658="","",'Journal'!B1658)</f>
        <v/>
      </c>
      <c r="C3314" s="5">
        <f>IF('Journal'!C1658="","",'Journal'!C1658)</f>
        <v/>
      </c>
      <c r="D3314" s="5">
        <f>IF('Journal'!E1658="","",IFERROR(LEFT('Journal'!E1658,FIND(" ",'Journal'!E1658)-1),'Journal'!E1658))</f>
        <v/>
      </c>
      <c r="E3314" s="5">
        <f>IF('Journal'!E1658="","",IFERROR(INDEX('Kontoplan'!$B$3:$B$302,MATCH('Journal'!E1658,'Kontoplan'!$H$3:$H$302,0)),""))</f>
        <v/>
      </c>
      <c r="F3314" s="20">
        <f>IF('Journal'!F1658="","",'Journal'!F1658)</f>
        <v/>
      </c>
      <c r="G3314" s="20">
        <f>IF('Journal'!G1658="","",'Journal'!G1658)</f>
        <v/>
      </c>
      <c r="H3314" s="5">
        <f>IF('Journal'!I1658="","",'Journal'!I1658)</f>
        <v/>
      </c>
    </row>
    <row r="3315">
      <c r="A3315" s="18">
        <f>IF('Journal'!A1659="","",'Journal'!A1659)</f>
        <v/>
      </c>
      <c r="B3315" s="21">
        <f>IF('Journal'!B1659="","",'Journal'!B1659)</f>
        <v/>
      </c>
      <c r="C3315" s="5">
        <f>IF('Journal'!C1659="","",'Journal'!C1659)</f>
        <v/>
      </c>
      <c r="D3315" s="5">
        <f>IF('Journal'!D1659="","",IFERROR(LEFT('Journal'!D1659,FIND(" ",'Journal'!D1659)-1),'Journal'!D1659))</f>
        <v/>
      </c>
      <c r="E3315" s="5">
        <f>IF('Journal'!D1659="","",IFERROR(INDEX('Kontoplan'!$B$3:$B$302,MATCH('Journal'!D1659,'Kontoplan'!$H$3:$H$302,0)),""))</f>
        <v/>
      </c>
      <c r="F3315" s="20">
        <f>IF('Journal'!G1659="","",'Journal'!G1659)</f>
        <v/>
      </c>
      <c r="G3315" s="20">
        <f>IF('Journal'!F1659="","",'Journal'!F1659)</f>
        <v/>
      </c>
      <c r="H3315" s="5">
        <f>IF('Journal'!I1659="","",'Journal'!I1659)</f>
        <v/>
      </c>
    </row>
    <row r="3316">
      <c r="A3316" s="18">
        <f>IF('Journal'!A1659="","",'Journal'!A1659)</f>
        <v/>
      </c>
      <c r="B3316" s="21">
        <f>IF('Journal'!B1659="","",'Journal'!B1659)</f>
        <v/>
      </c>
      <c r="C3316" s="5">
        <f>IF('Journal'!C1659="","",'Journal'!C1659)</f>
        <v/>
      </c>
      <c r="D3316" s="5">
        <f>IF('Journal'!E1659="","",IFERROR(LEFT('Journal'!E1659,FIND(" ",'Journal'!E1659)-1),'Journal'!E1659))</f>
        <v/>
      </c>
      <c r="E3316" s="5">
        <f>IF('Journal'!E1659="","",IFERROR(INDEX('Kontoplan'!$B$3:$B$302,MATCH('Journal'!E1659,'Kontoplan'!$H$3:$H$302,0)),""))</f>
        <v/>
      </c>
      <c r="F3316" s="20">
        <f>IF('Journal'!F1659="","",'Journal'!F1659)</f>
        <v/>
      </c>
      <c r="G3316" s="20">
        <f>IF('Journal'!G1659="","",'Journal'!G1659)</f>
        <v/>
      </c>
      <c r="H3316" s="5">
        <f>IF('Journal'!I1659="","",'Journal'!I1659)</f>
        <v/>
      </c>
    </row>
    <row r="3317">
      <c r="A3317" s="18">
        <f>IF('Journal'!A1660="","",'Journal'!A1660)</f>
        <v/>
      </c>
      <c r="B3317" s="21">
        <f>IF('Journal'!B1660="","",'Journal'!B1660)</f>
        <v/>
      </c>
      <c r="C3317" s="5">
        <f>IF('Journal'!C1660="","",'Journal'!C1660)</f>
        <v/>
      </c>
      <c r="D3317" s="5">
        <f>IF('Journal'!D1660="","",IFERROR(LEFT('Journal'!D1660,FIND(" ",'Journal'!D1660)-1),'Journal'!D1660))</f>
        <v/>
      </c>
      <c r="E3317" s="5">
        <f>IF('Journal'!D1660="","",IFERROR(INDEX('Kontoplan'!$B$3:$B$302,MATCH('Journal'!D1660,'Kontoplan'!$H$3:$H$302,0)),""))</f>
        <v/>
      </c>
      <c r="F3317" s="20">
        <f>IF('Journal'!G1660="","",'Journal'!G1660)</f>
        <v/>
      </c>
      <c r="G3317" s="20">
        <f>IF('Journal'!F1660="","",'Journal'!F1660)</f>
        <v/>
      </c>
      <c r="H3317" s="5">
        <f>IF('Journal'!I1660="","",'Journal'!I1660)</f>
        <v/>
      </c>
    </row>
    <row r="3318">
      <c r="A3318" s="18">
        <f>IF('Journal'!A1660="","",'Journal'!A1660)</f>
        <v/>
      </c>
      <c r="B3318" s="21">
        <f>IF('Journal'!B1660="","",'Journal'!B1660)</f>
        <v/>
      </c>
      <c r="C3318" s="5">
        <f>IF('Journal'!C1660="","",'Journal'!C1660)</f>
        <v/>
      </c>
      <c r="D3318" s="5">
        <f>IF('Journal'!E1660="","",IFERROR(LEFT('Journal'!E1660,FIND(" ",'Journal'!E1660)-1),'Journal'!E1660))</f>
        <v/>
      </c>
      <c r="E3318" s="5">
        <f>IF('Journal'!E1660="","",IFERROR(INDEX('Kontoplan'!$B$3:$B$302,MATCH('Journal'!E1660,'Kontoplan'!$H$3:$H$302,0)),""))</f>
        <v/>
      </c>
      <c r="F3318" s="20">
        <f>IF('Journal'!F1660="","",'Journal'!F1660)</f>
        <v/>
      </c>
      <c r="G3318" s="20">
        <f>IF('Journal'!G1660="","",'Journal'!G1660)</f>
        <v/>
      </c>
      <c r="H3318" s="5">
        <f>IF('Journal'!I1660="","",'Journal'!I1660)</f>
        <v/>
      </c>
    </row>
    <row r="3319">
      <c r="A3319" s="18">
        <f>IF('Journal'!A1661="","",'Journal'!A1661)</f>
        <v/>
      </c>
      <c r="B3319" s="21">
        <f>IF('Journal'!B1661="","",'Journal'!B1661)</f>
        <v/>
      </c>
      <c r="C3319" s="5">
        <f>IF('Journal'!C1661="","",'Journal'!C1661)</f>
        <v/>
      </c>
      <c r="D3319" s="5">
        <f>IF('Journal'!D1661="","",IFERROR(LEFT('Journal'!D1661,FIND(" ",'Journal'!D1661)-1),'Journal'!D1661))</f>
        <v/>
      </c>
      <c r="E3319" s="5">
        <f>IF('Journal'!D1661="","",IFERROR(INDEX('Kontoplan'!$B$3:$B$302,MATCH('Journal'!D1661,'Kontoplan'!$H$3:$H$302,0)),""))</f>
        <v/>
      </c>
      <c r="F3319" s="20">
        <f>IF('Journal'!G1661="","",'Journal'!G1661)</f>
        <v/>
      </c>
      <c r="G3319" s="20">
        <f>IF('Journal'!F1661="","",'Journal'!F1661)</f>
        <v/>
      </c>
      <c r="H3319" s="5">
        <f>IF('Journal'!I1661="","",'Journal'!I1661)</f>
        <v/>
      </c>
    </row>
    <row r="3320">
      <c r="A3320" s="18">
        <f>IF('Journal'!A1661="","",'Journal'!A1661)</f>
        <v/>
      </c>
      <c r="B3320" s="21">
        <f>IF('Journal'!B1661="","",'Journal'!B1661)</f>
        <v/>
      </c>
      <c r="C3320" s="5">
        <f>IF('Journal'!C1661="","",'Journal'!C1661)</f>
        <v/>
      </c>
      <c r="D3320" s="5">
        <f>IF('Journal'!E1661="","",IFERROR(LEFT('Journal'!E1661,FIND(" ",'Journal'!E1661)-1),'Journal'!E1661))</f>
        <v/>
      </c>
      <c r="E3320" s="5">
        <f>IF('Journal'!E1661="","",IFERROR(INDEX('Kontoplan'!$B$3:$B$302,MATCH('Journal'!E1661,'Kontoplan'!$H$3:$H$302,0)),""))</f>
        <v/>
      </c>
      <c r="F3320" s="20">
        <f>IF('Journal'!F1661="","",'Journal'!F1661)</f>
        <v/>
      </c>
      <c r="G3320" s="20">
        <f>IF('Journal'!G1661="","",'Journal'!G1661)</f>
        <v/>
      </c>
      <c r="H3320" s="5">
        <f>IF('Journal'!I1661="","",'Journal'!I1661)</f>
        <v/>
      </c>
    </row>
    <row r="3321">
      <c r="A3321" s="18">
        <f>IF('Journal'!A1662="","",'Journal'!A1662)</f>
        <v/>
      </c>
      <c r="B3321" s="21">
        <f>IF('Journal'!B1662="","",'Journal'!B1662)</f>
        <v/>
      </c>
      <c r="C3321" s="5">
        <f>IF('Journal'!C1662="","",'Journal'!C1662)</f>
        <v/>
      </c>
      <c r="D3321" s="5">
        <f>IF('Journal'!D1662="","",IFERROR(LEFT('Journal'!D1662,FIND(" ",'Journal'!D1662)-1),'Journal'!D1662))</f>
        <v/>
      </c>
      <c r="E3321" s="5">
        <f>IF('Journal'!D1662="","",IFERROR(INDEX('Kontoplan'!$B$3:$B$302,MATCH('Journal'!D1662,'Kontoplan'!$H$3:$H$302,0)),""))</f>
        <v/>
      </c>
      <c r="F3321" s="20">
        <f>IF('Journal'!G1662="","",'Journal'!G1662)</f>
        <v/>
      </c>
      <c r="G3321" s="20">
        <f>IF('Journal'!F1662="","",'Journal'!F1662)</f>
        <v/>
      </c>
      <c r="H3321" s="5">
        <f>IF('Journal'!I1662="","",'Journal'!I1662)</f>
        <v/>
      </c>
    </row>
    <row r="3322">
      <c r="A3322" s="18">
        <f>IF('Journal'!A1662="","",'Journal'!A1662)</f>
        <v/>
      </c>
      <c r="B3322" s="21">
        <f>IF('Journal'!B1662="","",'Journal'!B1662)</f>
        <v/>
      </c>
      <c r="C3322" s="5">
        <f>IF('Journal'!C1662="","",'Journal'!C1662)</f>
        <v/>
      </c>
      <c r="D3322" s="5">
        <f>IF('Journal'!E1662="","",IFERROR(LEFT('Journal'!E1662,FIND(" ",'Journal'!E1662)-1),'Journal'!E1662))</f>
        <v/>
      </c>
      <c r="E3322" s="5">
        <f>IF('Journal'!E1662="","",IFERROR(INDEX('Kontoplan'!$B$3:$B$302,MATCH('Journal'!E1662,'Kontoplan'!$H$3:$H$302,0)),""))</f>
        <v/>
      </c>
      <c r="F3322" s="20">
        <f>IF('Journal'!F1662="","",'Journal'!F1662)</f>
        <v/>
      </c>
      <c r="G3322" s="20">
        <f>IF('Journal'!G1662="","",'Journal'!G1662)</f>
        <v/>
      </c>
      <c r="H3322" s="5">
        <f>IF('Journal'!I1662="","",'Journal'!I1662)</f>
        <v/>
      </c>
    </row>
    <row r="3323">
      <c r="A3323" s="18">
        <f>IF('Journal'!A1663="","",'Journal'!A1663)</f>
        <v/>
      </c>
      <c r="B3323" s="21">
        <f>IF('Journal'!B1663="","",'Journal'!B1663)</f>
        <v/>
      </c>
      <c r="C3323" s="5">
        <f>IF('Journal'!C1663="","",'Journal'!C1663)</f>
        <v/>
      </c>
      <c r="D3323" s="5">
        <f>IF('Journal'!D1663="","",IFERROR(LEFT('Journal'!D1663,FIND(" ",'Journal'!D1663)-1),'Journal'!D1663))</f>
        <v/>
      </c>
      <c r="E3323" s="5">
        <f>IF('Journal'!D1663="","",IFERROR(INDEX('Kontoplan'!$B$3:$B$302,MATCH('Journal'!D1663,'Kontoplan'!$H$3:$H$302,0)),""))</f>
        <v/>
      </c>
      <c r="F3323" s="20">
        <f>IF('Journal'!G1663="","",'Journal'!G1663)</f>
        <v/>
      </c>
      <c r="G3323" s="20">
        <f>IF('Journal'!F1663="","",'Journal'!F1663)</f>
        <v/>
      </c>
      <c r="H3323" s="5">
        <f>IF('Journal'!I1663="","",'Journal'!I1663)</f>
        <v/>
      </c>
    </row>
    <row r="3324">
      <c r="A3324" s="18">
        <f>IF('Journal'!A1663="","",'Journal'!A1663)</f>
        <v/>
      </c>
      <c r="B3324" s="21">
        <f>IF('Journal'!B1663="","",'Journal'!B1663)</f>
        <v/>
      </c>
      <c r="C3324" s="5">
        <f>IF('Journal'!C1663="","",'Journal'!C1663)</f>
        <v/>
      </c>
      <c r="D3324" s="5">
        <f>IF('Journal'!E1663="","",IFERROR(LEFT('Journal'!E1663,FIND(" ",'Journal'!E1663)-1),'Journal'!E1663))</f>
        <v/>
      </c>
      <c r="E3324" s="5">
        <f>IF('Journal'!E1663="","",IFERROR(INDEX('Kontoplan'!$B$3:$B$302,MATCH('Journal'!E1663,'Kontoplan'!$H$3:$H$302,0)),""))</f>
        <v/>
      </c>
      <c r="F3324" s="20">
        <f>IF('Journal'!F1663="","",'Journal'!F1663)</f>
        <v/>
      </c>
      <c r="G3324" s="20">
        <f>IF('Journal'!G1663="","",'Journal'!G1663)</f>
        <v/>
      </c>
      <c r="H3324" s="5">
        <f>IF('Journal'!I1663="","",'Journal'!I1663)</f>
        <v/>
      </c>
    </row>
    <row r="3325">
      <c r="A3325" s="18">
        <f>IF('Journal'!A1664="","",'Journal'!A1664)</f>
        <v/>
      </c>
      <c r="B3325" s="21">
        <f>IF('Journal'!B1664="","",'Journal'!B1664)</f>
        <v/>
      </c>
      <c r="C3325" s="5">
        <f>IF('Journal'!C1664="","",'Journal'!C1664)</f>
        <v/>
      </c>
      <c r="D3325" s="5">
        <f>IF('Journal'!D1664="","",IFERROR(LEFT('Journal'!D1664,FIND(" ",'Journal'!D1664)-1),'Journal'!D1664))</f>
        <v/>
      </c>
      <c r="E3325" s="5">
        <f>IF('Journal'!D1664="","",IFERROR(INDEX('Kontoplan'!$B$3:$B$302,MATCH('Journal'!D1664,'Kontoplan'!$H$3:$H$302,0)),""))</f>
        <v/>
      </c>
      <c r="F3325" s="20">
        <f>IF('Journal'!G1664="","",'Journal'!G1664)</f>
        <v/>
      </c>
      <c r="G3325" s="20">
        <f>IF('Journal'!F1664="","",'Journal'!F1664)</f>
        <v/>
      </c>
      <c r="H3325" s="5">
        <f>IF('Journal'!I1664="","",'Journal'!I1664)</f>
        <v/>
      </c>
    </row>
    <row r="3326">
      <c r="A3326" s="18">
        <f>IF('Journal'!A1664="","",'Journal'!A1664)</f>
        <v/>
      </c>
      <c r="B3326" s="21">
        <f>IF('Journal'!B1664="","",'Journal'!B1664)</f>
        <v/>
      </c>
      <c r="C3326" s="5">
        <f>IF('Journal'!C1664="","",'Journal'!C1664)</f>
        <v/>
      </c>
      <c r="D3326" s="5">
        <f>IF('Journal'!E1664="","",IFERROR(LEFT('Journal'!E1664,FIND(" ",'Journal'!E1664)-1),'Journal'!E1664))</f>
        <v/>
      </c>
      <c r="E3326" s="5">
        <f>IF('Journal'!E1664="","",IFERROR(INDEX('Kontoplan'!$B$3:$B$302,MATCH('Journal'!E1664,'Kontoplan'!$H$3:$H$302,0)),""))</f>
        <v/>
      </c>
      <c r="F3326" s="20">
        <f>IF('Journal'!F1664="","",'Journal'!F1664)</f>
        <v/>
      </c>
      <c r="G3326" s="20">
        <f>IF('Journal'!G1664="","",'Journal'!G1664)</f>
        <v/>
      </c>
      <c r="H3326" s="5">
        <f>IF('Journal'!I1664="","",'Journal'!I1664)</f>
        <v/>
      </c>
    </row>
    <row r="3327">
      <c r="A3327" s="18">
        <f>IF('Journal'!A1665="","",'Journal'!A1665)</f>
        <v/>
      </c>
      <c r="B3327" s="21">
        <f>IF('Journal'!B1665="","",'Journal'!B1665)</f>
        <v/>
      </c>
      <c r="C3327" s="5">
        <f>IF('Journal'!C1665="","",'Journal'!C1665)</f>
        <v/>
      </c>
      <c r="D3327" s="5">
        <f>IF('Journal'!D1665="","",IFERROR(LEFT('Journal'!D1665,FIND(" ",'Journal'!D1665)-1),'Journal'!D1665))</f>
        <v/>
      </c>
      <c r="E3327" s="5">
        <f>IF('Journal'!D1665="","",IFERROR(INDEX('Kontoplan'!$B$3:$B$302,MATCH('Journal'!D1665,'Kontoplan'!$H$3:$H$302,0)),""))</f>
        <v/>
      </c>
      <c r="F3327" s="20">
        <f>IF('Journal'!G1665="","",'Journal'!G1665)</f>
        <v/>
      </c>
      <c r="G3327" s="20">
        <f>IF('Journal'!F1665="","",'Journal'!F1665)</f>
        <v/>
      </c>
      <c r="H3327" s="5">
        <f>IF('Journal'!I1665="","",'Journal'!I1665)</f>
        <v/>
      </c>
    </row>
    <row r="3328">
      <c r="A3328" s="18">
        <f>IF('Journal'!A1665="","",'Journal'!A1665)</f>
        <v/>
      </c>
      <c r="B3328" s="21">
        <f>IF('Journal'!B1665="","",'Journal'!B1665)</f>
        <v/>
      </c>
      <c r="C3328" s="5">
        <f>IF('Journal'!C1665="","",'Journal'!C1665)</f>
        <v/>
      </c>
      <c r="D3328" s="5">
        <f>IF('Journal'!E1665="","",IFERROR(LEFT('Journal'!E1665,FIND(" ",'Journal'!E1665)-1),'Journal'!E1665))</f>
        <v/>
      </c>
      <c r="E3328" s="5">
        <f>IF('Journal'!E1665="","",IFERROR(INDEX('Kontoplan'!$B$3:$B$302,MATCH('Journal'!E1665,'Kontoplan'!$H$3:$H$302,0)),""))</f>
        <v/>
      </c>
      <c r="F3328" s="20">
        <f>IF('Journal'!F1665="","",'Journal'!F1665)</f>
        <v/>
      </c>
      <c r="G3328" s="20">
        <f>IF('Journal'!G1665="","",'Journal'!G1665)</f>
        <v/>
      </c>
      <c r="H3328" s="5">
        <f>IF('Journal'!I1665="","",'Journal'!I1665)</f>
        <v/>
      </c>
    </row>
    <row r="3329">
      <c r="A3329" s="18">
        <f>IF('Journal'!A1666="","",'Journal'!A1666)</f>
        <v/>
      </c>
      <c r="B3329" s="21">
        <f>IF('Journal'!B1666="","",'Journal'!B1666)</f>
        <v/>
      </c>
      <c r="C3329" s="5">
        <f>IF('Journal'!C1666="","",'Journal'!C1666)</f>
        <v/>
      </c>
      <c r="D3329" s="5">
        <f>IF('Journal'!D1666="","",IFERROR(LEFT('Journal'!D1666,FIND(" ",'Journal'!D1666)-1),'Journal'!D1666))</f>
        <v/>
      </c>
      <c r="E3329" s="5">
        <f>IF('Journal'!D1666="","",IFERROR(INDEX('Kontoplan'!$B$3:$B$302,MATCH('Journal'!D1666,'Kontoplan'!$H$3:$H$302,0)),""))</f>
        <v/>
      </c>
      <c r="F3329" s="20">
        <f>IF('Journal'!G1666="","",'Journal'!G1666)</f>
        <v/>
      </c>
      <c r="G3329" s="20">
        <f>IF('Journal'!F1666="","",'Journal'!F1666)</f>
        <v/>
      </c>
      <c r="H3329" s="5">
        <f>IF('Journal'!I1666="","",'Journal'!I1666)</f>
        <v/>
      </c>
    </row>
    <row r="3330">
      <c r="A3330" s="18">
        <f>IF('Journal'!A1666="","",'Journal'!A1666)</f>
        <v/>
      </c>
      <c r="B3330" s="21">
        <f>IF('Journal'!B1666="","",'Journal'!B1666)</f>
        <v/>
      </c>
      <c r="C3330" s="5">
        <f>IF('Journal'!C1666="","",'Journal'!C1666)</f>
        <v/>
      </c>
      <c r="D3330" s="5">
        <f>IF('Journal'!E1666="","",IFERROR(LEFT('Journal'!E1666,FIND(" ",'Journal'!E1666)-1),'Journal'!E1666))</f>
        <v/>
      </c>
      <c r="E3330" s="5">
        <f>IF('Journal'!E1666="","",IFERROR(INDEX('Kontoplan'!$B$3:$B$302,MATCH('Journal'!E1666,'Kontoplan'!$H$3:$H$302,0)),""))</f>
        <v/>
      </c>
      <c r="F3330" s="20">
        <f>IF('Journal'!F1666="","",'Journal'!F1666)</f>
        <v/>
      </c>
      <c r="G3330" s="20">
        <f>IF('Journal'!G1666="","",'Journal'!G1666)</f>
        <v/>
      </c>
      <c r="H3330" s="5">
        <f>IF('Journal'!I1666="","",'Journal'!I1666)</f>
        <v/>
      </c>
    </row>
    <row r="3331">
      <c r="A3331" s="18">
        <f>IF('Journal'!A1667="","",'Journal'!A1667)</f>
        <v/>
      </c>
      <c r="B3331" s="21">
        <f>IF('Journal'!B1667="","",'Journal'!B1667)</f>
        <v/>
      </c>
      <c r="C3331" s="5">
        <f>IF('Journal'!C1667="","",'Journal'!C1667)</f>
        <v/>
      </c>
      <c r="D3331" s="5">
        <f>IF('Journal'!D1667="","",IFERROR(LEFT('Journal'!D1667,FIND(" ",'Journal'!D1667)-1),'Journal'!D1667))</f>
        <v/>
      </c>
      <c r="E3331" s="5">
        <f>IF('Journal'!D1667="","",IFERROR(INDEX('Kontoplan'!$B$3:$B$302,MATCH('Journal'!D1667,'Kontoplan'!$H$3:$H$302,0)),""))</f>
        <v/>
      </c>
      <c r="F3331" s="20">
        <f>IF('Journal'!G1667="","",'Journal'!G1667)</f>
        <v/>
      </c>
      <c r="G3331" s="20">
        <f>IF('Journal'!F1667="","",'Journal'!F1667)</f>
        <v/>
      </c>
      <c r="H3331" s="5">
        <f>IF('Journal'!I1667="","",'Journal'!I1667)</f>
        <v/>
      </c>
    </row>
    <row r="3332">
      <c r="A3332" s="18">
        <f>IF('Journal'!A1667="","",'Journal'!A1667)</f>
        <v/>
      </c>
      <c r="B3332" s="21">
        <f>IF('Journal'!B1667="","",'Journal'!B1667)</f>
        <v/>
      </c>
      <c r="C3332" s="5">
        <f>IF('Journal'!C1667="","",'Journal'!C1667)</f>
        <v/>
      </c>
      <c r="D3332" s="5">
        <f>IF('Journal'!E1667="","",IFERROR(LEFT('Journal'!E1667,FIND(" ",'Journal'!E1667)-1),'Journal'!E1667))</f>
        <v/>
      </c>
      <c r="E3332" s="5">
        <f>IF('Journal'!E1667="","",IFERROR(INDEX('Kontoplan'!$B$3:$B$302,MATCH('Journal'!E1667,'Kontoplan'!$H$3:$H$302,0)),""))</f>
        <v/>
      </c>
      <c r="F3332" s="20">
        <f>IF('Journal'!F1667="","",'Journal'!F1667)</f>
        <v/>
      </c>
      <c r="G3332" s="20">
        <f>IF('Journal'!G1667="","",'Journal'!G1667)</f>
        <v/>
      </c>
      <c r="H3332" s="5">
        <f>IF('Journal'!I1667="","",'Journal'!I1667)</f>
        <v/>
      </c>
    </row>
    <row r="3333">
      <c r="A3333" s="18">
        <f>IF('Journal'!A1668="","",'Journal'!A1668)</f>
        <v/>
      </c>
      <c r="B3333" s="21">
        <f>IF('Journal'!B1668="","",'Journal'!B1668)</f>
        <v/>
      </c>
      <c r="C3333" s="5">
        <f>IF('Journal'!C1668="","",'Journal'!C1668)</f>
        <v/>
      </c>
      <c r="D3333" s="5">
        <f>IF('Journal'!D1668="","",IFERROR(LEFT('Journal'!D1668,FIND(" ",'Journal'!D1668)-1),'Journal'!D1668))</f>
        <v/>
      </c>
      <c r="E3333" s="5">
        <f>IF('Journal'!D1668="","",IFERROR(INDEX('Kontoplan'!$B$3:$B$302,MATCH('Journal'!D1668,'Kontoplan'!$H$3:$H$302,0)),""))</f>
        <v/>
      </c>
      <c r="F3333" s="20">
        <f>IF('Journal'!G1668="","",'Journal'!G1668)</f>
        <v/>
      </c>
      <c r="G3333" s="20">
        <f>IF('Journal'!F1668="","",'Journal'!F1668)</f>
        <v/>
      </c>
      <c r="H3333" s="5">
        <f>IF('Journal'!I1668="","",'Journal'!I1668)</f>
        <v/>
      </c>
    </row>
    <row r="3334">
      <c r="A3334" s="18">
        <f>IF('Journal'!A1668="","",'Journal'!A1668)</f>
        <v/>
      </c>
      <c r="B3334" s="21">
        <f>IF('Journal'!B1668="","",'Journal'!B1668)</f>
        <v/>
      </c>
      <c r="C3334" s="5">
        <f>IF('Journal'!C1668="","",'Journal'!C1668)</f>
        <v/>
      </c>
      <c r="D3334" s="5">
        <f>IF('Journal'!E1668="","",IFERROR(LEFT('Journal'!E1668,FIND(" ",'Journal'!E1668)-1),'Journal'!E1668))</f>
        <v/>
      </c>
      <c r="E3334" s="5">
        <f>IF('Journal'!E1668="","",IFERROR(INDEX('Kontoplan'!$B$3:$B$302,MATCH('Journal'!E1668,'Kontoplan'!$H$3:$H$302,0)),""))</f>
        <v/>
      </c>
      <c r="F3334" s="20">
        <f>IF('Journal'!F1668="","",'Journal'!F1668)</f>
        <v/>
      </c>
      <c r="G3334" s="20">
        <f>IF('Journal'!G1668="","",'Journal'!G1668)</f>
        <v/>
      </c>
      <c r="H3334" s="5">
        <f>IF('Journal'!I1668="","",'Journal'!I1668)</f>
        <v/>
      </c>
    </row>
    <row r="3335">
      <c r="A3335" s="18">
        <f>IF('Journal'!A1669="","",'Journal'!A1669)</f>
        <v/>
      </c>
      <c r="B3335" s="21">
        <f>IF('Journal'!B1669="","",'Journal'!B1669)</f>
        <v/>
      </c>
      <c r="C3335" s="5">
        <f>IF('Journal'!C1669="","",'Journal'!C1669)</f>
        <v/>
      </c>
      <c r="D3335" s="5">
        <f>IF('Journal'!D1669="","",IFERROR(LEFT('Journal'!D1669,FIND(" ",'Journal'!D1669)-1),'Journal'!D1669))</f>
        <v/>
      </c>
      <c r="E3335" s="5">
        <f>IF('Journal'!D1669="","",IFERROR(INDEX('Kontoplan'!$B$3:$B$302,MATCH('Journal'!D1669,'Kontoplan'!$H$3:$H$302,0)),""))</f>
        <v/>
      </c>
      <c r="F3335" s="20">
        <f>IF('Journal'!G1669="","",'Journal'!G1669)</f>
        <v/>
      </c>
      <c r="G3335" s="20">
        <f>IF('Journal'!F1669="","",'Journal'!F1669)</f>
        <v/>
      </c>
      <c r="H3335" s="5">
        <f>IF('Journal'!I1669="","",'Journal'!I1669)</f>
        <v/>
      </c>
    </row>
    <row r="3336">
      <c r="A3336" s="18">
        <f>IF('Journal'!A1669="","",'Journal'!A1669)</f>
        <v/>
      </c>
      <c r="B3336" s="21">
        <f>IF('Journal'!B1669="","",'Journal'!B1669)</f>
        <v/>
      </c>
      <c r="C3336" s="5">
        <f>IF('Journal'!C1669="","",'Journal'!C1669)</f>
        <v/>
      </c>
      <c r="D3336" s="5">
        <f>IF('Journal'!E1669="","",IFERROR(LEFT('Journal'!E1669,FIND(" ",'Journal'!E1669)-1),'Journal'!E1669))</f>
        <v/>
      </c>
      <c r="E3336" s="5">
        <f>IF('Journal'!E1669="","",IFERROR(INDEX('Kontoplan'!$B$3:$B$302,MATCH('Journal'!E1669,'Kontoplan'!$H$3:$H$302,0)),""))</f>
        <v/>
      </c>
      <c r="F3336" s="20">
        <f>IF('Journal'!F1669="","",'Journal'!F1669)</f>
        <v/>
      </c>
      <c r="G3336" s="20">
        <f>IF('Journal'!G1669="","",'Journal'!G1669)</f>
        <v/>
      </c>
      <c r="H3336" s="5">
        <f>IF('Journal'!I1669="","",'Journal'!I1669)</f>
        <v/>
      </c>
    </row>
    <row r="3337">
      <c r="A3337" s="18">
        <f>IF('Journal'!A1670="","",'Journal'!A1670)</f>
        <v/>
      </c>
      <c r="B3337" s="21">
        <f>IF('Journal'!B1670="","",'Journal'!B1670)</f>
        <v/>
      </c>
      <c r="C3337" s="5">
        <f>IF('Journal'!C1670="","",'Journal'!C1670)</f>
        <v/>
      </c>
      <c r="D3337" s="5">
        <f>IF('Journal'!D1670="","",IFERROR(LEFT('Journal'!D1670,FIND(" ",'Journal'!D1670)-1),'Journal'!D1670))</f>
        <v/>
      </c>
      <c r="E3337" s="5">
        <f>IF('Journal'!D1670="","",IFERROR(INDEX('Kontoplan'!$B$3:$B$302,MATCH('Journal'!D1670,'Kontoplan'!$H$3:$H$302,0)),""))</f>
        <v/>
      </c>
      <c r="F3337" s="20">
        <f>IF('Journal'!G1670="","",'Journal'!G1670)</f>
        <v/>
      </c>
      <c r="G3337" s="20">
        <f>IF('Journal'!F1670="","",'Journal'!F1670)</f>
        <v/>
      </c>
      <c r="H3337" s="5">
        <f>IF('Journal'!I1670="","",'Journal'!I1670)</f>
        <v/>
      </c>
    </row>
    <row r="3338">
      <c r="A3338" s="18">
        <f>IF('Journal'!A1670="","",'Journal'!A1670)</f>
        <v/>
      </c>
      <c r="B3338" s="21">
        <f>IF('Journal'!B1670="","",'Journal'!B1670)</f>
        <v/>
      </c>
      <c r="C3338" s="5">
        <f>IF('Journal'!C1670="","",'Journal'!C1670)</f>
        <v/>
      </c>
      <c r="D3338" s="5">
        <f>IF('Journal'!E1670="","",IFERROR(LEFT('Journal'!E1670,FIND(" ",'Journal'!E1670)-1),'Journal'!E1670))</f>
        <v/>
      </c>
      <c r="E3338" s="5">
        <f>IF('Journal'!E1670="","",IFERROR(INDEX('Kontoplan'!$B$3:$B$302,MATCH('Journal'!E1670,'Kontoplan'!$H$3:$H$302,0)),""))</f>
        <v/>
      </c>
      <c r="F3338" s="20">
        <f>IF('Journal'!F1670="","",'Journal'!F1670)</f>
        <v/>
      </c>
      <c r="G3338" s="20">
        <f>IF('Journal'!G1670="","",'Journal'!G1670)</f>
        <v/>
      </c>
      <c r="H3338" s="5">
        <f>IF('Journal'!I1670="","",'Journal'!I1670)</f>
        <v/>
      </c>
    </row>
    <row r="3339">
      <c r="A3339" s="18">
        <f>IF('Journal'!A1671="","",'Journal'!A1671)</f>
        <v/>
      </c>
      <c r="B3339" s="21">
        <f>IF('Journal'!B1671="","",'Journal'!B1671)</f>
        <v/>
      </c>
      <c r="C3339" s="5">
        <f>IF('Journal'!C1671="","",'Journal'!C1671)</f>
        <v/>
      </c>
      <c r="D3339" s="5">
        <f>IF('Journal'!D1671="","",IFERROR(LEFT('Journal'!D1671,FIND(" ",'Journal'!D1671)-1),'Journal'!D1671))</f>
        <v/>
      </c>
      <c r="E3339" s="5">
        <f>IF('Journal'!D1671="","",IFERROR(INDEX('Kontoplan'!$B$3:$B$302,MATCH('Journal'!D1671,'Kontoplan'!$H$3:$H$302,0)),""))</f>
        <v/>
      </c>
      <c r="F3339" s="20">
        <f>IF('Journal'!G1671="","",'Journal'!G1671)</f>
        <v/>
      </c>
      <c r="G3339" s="20">
        <f>IF('Journal'!F1671="","",'Journal'!F1671)</f>
        <v/>
      </c>
      <c r="H3339" s="5">
        <f>IF('Journal'!I1671="","",'Journal'!I1671)</f>
        <v/>
      </c>
    </row>
    <row r="3340">
      <c r="A3340" s="18">
        <f>IF('Journal'!A1671="","",'Journal'!A1671)</f>
        <v/>
      </c>
      <c r="B3340" s="21">
        <f>IF('Journal'!B1671="","",'Journal'!B1671)</f>
        <v/>
      </c>
      <c r="C3340" s="5">
        <f>IF('Journal'!C1671="","",'Journal'!C1671)</f>
        <v/>
      </c>
      <c r="D3340" s="5">
        <f>IF('Journal'!E1671="","",IFERROR(LEFT('Journal'!E1671,FIND(" ",'Journal'!E1671)-1),'Journal'!E1671))</f>
        <v/>
      </c>
      <c r="E3340" s="5">
        <f>IF('Journal'!E1671="","",IFERROR(INDEX('Kontoplan'!$B$3:$B$302,MATCH('Journal'!E1671,'Kontoplan'!$H$3:$H$302,0)),""))</f>
        <v/>
      </c>
      <c r="F3340" s="20">
        <f>IF('Journal'!F1671="","",'Journal'!F1671)</f>
        <v/>
      </c>
      <c r="G3340" s="20">
        <f>IF('Journal'!G1671="","",'Journal'!G1671)</f>
        <v/>
      </c>
      <c r="H3340" s="5">
        <f>IF('Journal'!I1671="","",'Journal'!I1671)</f>
        <v/>
      </c>
    </row>
    <row r="3341">
      <c r="A3341" s="18">
        <f>IF('Journal'!A1672="","",'Journal'!A1672)</f>
        <v/>
      </c>
      <c r="B3341" s="21">
        <f>IF('Journal'!B1672="","",'Journal'!B1672)</f>
        <v/>
      </c>
      <c r="C3341" s="5">
        <f>IF('Journal'!C1672="","",'Journal'!C1672)</f>
        <v/>
      </c>
      <c r="D3341" s="5">
        <f>IF('Journal'!D1672="","",IFERROR(LEFT('Journal'!D1672,FIND(" ",'Journal'!D1672)-1),'Journal'!D1672))</f>
        <v/>
      </c>
      <c r="E3341" s="5">
        <f>IF('Journal'!D1672="","",IFERROR(INDEX('Kontoplan'!$B$3:$B$302,MATCH('Journal'!D1672,'Kontoplan'!$H$3:$H$302,0)),""))</f>
        <v/>
      </c>
      <c r="F3341" s="20">
        <f>IF('Journal'!G1672="","",'Journal'!G1672)</f>
        <v/>
      </c>
      <c r="G3341" s="20">
        <f>IF('Journal'!F1672="","",'Journal'!F1672)</f>
        <v/>
      </c>
      <c r="H3341" s="5">
        <f>IF('Journal'!I1672="","",'Journal'!I1672)</f>
        <v/>
      </c>
    </row>
    <row r="3342">
      <c r="A3342" s="18">
        <f>IF('Journal'!A1672="","",'Journal'!A1672)</f>
        <v/>
      </c>
      <c r="B3342" s="21">
        <f>IF('Journal'!B1672="","",'Journal'!B1672)</f>
        <v/>
      </c>
      <c r="C3342" s="5">
        <f>IF('Journal'!C1672="","",'Journal'!C1672)</f>
        <v/>
      </c>
      <c r="D3342" s="5">
        <f>IF('Journal'!E1672="","",IFERROR(LEFT('Journal'!E1672,FIND(" ",'Journal'!E1672)-1),'Journal'!E1672))</f>
        <v/>
      </c>
      <c r="E3342" s="5">
        <f>IF('Journal'!E1672="","",IFERROR(INDEX('Kontoplan'!$B$3:$B$302,MATCH('Journal'!E1672,'Kontoplan'!$H$3:$H$302,0)),""))</f>
        <v/>
      </c>
      <c r="F3342" s="20">
        <f>IF('Journal'!F1672="","",'Journal'!F1672)</f>
        <v/>
      </c>
      <c r="G3342" s="20">
        <f>IF('Journal'!G1672="","",'Journal'!G1672)</f>
        <v/>
      </c>
      <c r="H3342" s="5">
        <f>IF('Journal'!I1672="","",'Journal'!I1672)</f>
        <v/>
      </c>
    </row>
    <row r="3343">
      <c r="A3343" s="18">
        <f>IF('Journal'!A1673="","",'Journal'!A1673)</f>
        <v/>
      </c>
      <c r="B3343" s="21">
        <f>IF('Journal'!B1673="","",'Journal'!B1673)</f>
        <v/>
      </c>
      <c r="C3343" s="5">
        <f>IF('Journal'!C1673="","",'Journal'!C1673)</f>
        <v/>
      </c>
      <c r="D3343" s="5">
        <f>IF('Journal'!D1673="","",IFERROR(LEFT('Journal'!D1673,FIND(" ",'Journal'!D1673)-1),'Journal'!D1673))</f>
        <v/>
      </c>
      <c r="E3343" s="5">
        <f>IF('Journal'!D1673="","",IFERROR(INDEX('Kontoplan'!$B$3:$B$302,MATCH('Journal'!D1673,'Kontoplan'!$H$3:$H$302,0)),""))</f>
        <v/>
      </c>
      <c r="F3343" s="20">
        <f>IF('Journal'!G1673="","",'Journal'!G1673)</f>
        <v/>
      </c>
      <c r="G3343" s="20">
        <f>IF('Journal'!F1673="","",'Journal'!F1673)</f>
        <v/>
      </c>
      <c r="H3343" s="5">
        <f>IF('Journal'!I1673="","",'Journal'!I1673)</f>
        <v/>
      </c>
    </row>
    <row r="3344">
      <c r="A3344" s="18">
        <f>IF('Journal'!A1673="","",'Journal'!A1673)</f>
        <v/>
      </c>
      <c r="B3344" s="21">
        <f>IF('Journal'!B1673="","",'Journal'!B1673)</f>
        <v/>
      </c>
      <c r="C3344" s="5">
        <f>IF('Journal'!C1673="","",'Journal'!C1673)</f>
        <v/>
      </c>
      <c r="D3344" s="5">
        <f>IF('Journal'!E1673="","",IFERROR(LEFT('Journal'!E1673,FIND(" ",'Journal'!E1673)-1),'Journal'!E1673))</f>
        <v/>
      </c>
      <c r="E3344" s="5">
        <f>IF('Journal'!E1673="","",IFERROR(INDEX('Kontoplan'!$B$3:$B$302,MATCH('Journal'!E1673,'Kontoplan'!$H$3:$H$302,0)),""))</f>
        <v/>
      </c>
      <c r="F3344" s="20">
        <f>IF('Journal'!F1673="","",'Journal'!F1673)</f>
        <v/>
      </c>
      <c r="G3344" s="20">
        <f>IF('Journal'!G1673="","",'Journal'!G1673)</f>
        <v/>
      </c>
      <c r="H3344" s="5">
        <f>IF('Journal'!I1673="","",'Journal'!I1673)</f>
        <v/>
      </c>
    </row>
    <row r="3345">
      <c r="A3345" s="18">
        <f>IF('Journal'!A1674="","",'Journal'!A1674)</f>
        <v/>
      </c>
      <c r="B3345" s="21">
        <f>IF('Journal'!B1674="","",'Journal'!B1674)</f>
        <v/>
      </c>
      <c r="C3345" s="5">
        <f>IF('Journal'!C1674="","",'Journal'!C1674)</f>
        <v/>
      </c>
      <c r="D3345" s="5">
        <f>IF('Journal'!D1674="","",IFERROR(LEFT('Journal'!D1674,FIND(" ",'Journal'!D1674)-1),'Journal'!D1674))</f>
        <v/>
      </c>
      <c r="E3345" s="5">
        <f>IF('Journal'!D1674="","",IFERROR(INDEX('Kontoplan'!$B$3:$B$302,MATCH('Journal'!D1674,'Kontoplan'!$H$3:$H$302,0)),""))</f>
        <v/>
      </c>
      <c r="F3345" s="20">
        <f>IF('Journal'!G1674="","",'Journal'!G1674)</f>
        <v/>
      </c>
      <c r="G3345" s="20">
        <f>IF('Journal'!F1674="","",'Journal'!F1674)</f>
        <v/>
      </c>
      <c r="H3345" s="5">
        <f>IF('Journal'!I1674="","",'Journal'!I1674)</f>
        <v/>
      </c>
    </row>
    <row r="3346">
      <c r="A3346" s="18">
        <f>IF('Journal'!A1674="","",'Journal'!A1674)</f>
        <v/>
      </c>
      <c r="B3346" s="21">
        <f>IF('Journal'!B1674="","",'Journal'!B1674)</f>
        <v/>
      </c>
      <c r="C3346" s="5">
        <f>IF('Journal'!C1674="","",'Journal'!C1674)</f>
        <v/>
      </c>
      <c r="D3346" s="5">
        <f>IF('Journal'!E1674="","",IFERROR(LEFT('Journal'!E1674,FIND(" ",'Journal'!E1674)-1),'Journal'!E1674))</f>
        <v/>
      </c>
      <c r="E3346" s="5">
        <f>IF('Journal'!E1674="","",IFERROR(INDEX('Kontoplan'!$B$3:$B$302,MATCH('Journal'!E1674,'Kontoplan'!$H$3:$H$302,0)),""))</f>
        <v/>
      </c>
      <c r="F3346" s="20">
        <f>IF('Journal'!F1674="","",'Journal'!F1674)</f>
        <v/>
      </c>
      <c r="G3346" s="20">
        <f>IF('Journal'!G1674="","",'Journal'!G1674)</f>
        <v/>
      </c>
      <c r="H3346" s="5">
        <f>IF('Journal'!I1674="","",'Journal'!I1674)</f>
        <v/>
      </c>
    </row>
    <row r="3347">
      <c r="A3347" s="18">
        <f>IF('Journal'!A1675="","",'Journal'!A1675)</f>
        <v/>
      </c>
      <c r="B3347" s="21">
        <f>IF('Journal'!B1675="","",'Journal'!B1675)</f>
        <v/>
      </c>
      <c r="C3347" s="5">
        <f>IF('Journal'!C1675="","",'Journal'!C1675)</f>
        <v/>
      </c>
      <c r="D3347" s="5">
        <f>IF('Journal'!D1675="","",IFERROR(LEFT('Journal'!D1675,FIND(" ",'Journal'!D1675)-1),'Journal'!D1675))</f>
        <v/>
      </c>
      <c r="E3347" s="5">
        <f>IF('Journal'!D1675="","",IFERROR(INDEX('Kontoplan'!$B$3:$B$302,MATCH('Journal'!D1675,'Kontoplan'!$H$3:$H$302,0)),""))</f>
        <v/>
      </c>
      <c r="F3347" s="20">
        <f>IF('Journal'!G1675="","",'Journal'!G1675)</f>
        <v/>
      </c>
      <c r="G3347" s="20">
        <f>IF('Journal'!F1675="","",'Journal'!F1675)</f>
        <v/>
      </c>
      <c r="H3347" s="5">
        <f>IF('Journal'!I1675="","",'Journal'!I1675)</f>
        <v/>
      </c>
    </row>
    <row r="3348">
      <c r="A3348" s="18">
        <f>IF('Journal'!A1675="","",'Journal'!A1675)</f>
        <v/>
      </c>
      <c r="B3348" s="21">
        <f>IF('Journal'!B1675="","",'Journal'!B1675)</f>
        <v/>
      </c>
      <c r="C3348" s="5">
        <f>IF('Journal'!C1675="","",'Journal'!C1675)</f>
        <v/>
      </c>
      <c r="D3348" s="5">
        <f>IF('Journal'!E1675="","",IFERROR(LEFT('Journal'!E1675,FIND(" ",'Journal'!E1675)-1),'Journal'!E1675))</f>
        <v/>
      </c>
      <c r="E3348" s="5">
        <f>IF('Journal'!E1675="","",IFERROR(INDEX('Kontoplan'!$B$3:$B$302,MATCH('Journal'!E1675,'Kontoplan'!$H$3:$H$302,0)),""))</f>
        <v/>
      </c>
      <c r="F3348" s="20">
        <f>IF('Journal'!F1675="","",'Journal'!F1675)</f>
        <v/>
      </c>
      <c r="G3348" s="20">
        <f>IF('Journal'!G1675="","",'Journal'!G1675)</f>
        <v/>
      </c>
      <c r="H3348" s="5">
        <f>IF('Journal'!I1675="","",'Journal'!I1675)</f>
        <v/>
      </c>
    </row>
    <row r="3349">
      <c r="A3349" s="18">
        <f>IF('Journal'!A1676="","",'Journal'!A1676)</f>
        <v/>
      </c>
      <c r="B3349" s="21">
        <f>IF('Journal'!B1676="","",'Journal'!B1676)</f>
        <v/>
      </c>
      <c r="C3349" s="5">
        <f>IF('Journal'!C1676="","",'Journal'!C1676)</f>
        <v/>
      </c>
      <c r="D3349" s="5">
        <f>IF('Journal'!D1676="","",IFERROR(LEFT('Journal'!D1676,FIND(" ",'Journal'!D1676)-1),'Journal'!D1676))</f>
        <v/>
      </c>
      <c r="E3349" s="5">
        <f>IF('Journal'!D1676="","",IFERROR(INDEX('Kontoplan'!$B$3:$B$302,MATCH('Journal'!D1676,'Kontoplan'!$H$3:$H$302,0)),""))</f>
        <v/>
      </c>
      <c r="F3349" s="20">
        <f>IF('Journal'!G1676="","",'Journal'!G1676)</f>
        <v/>
      </c>
      <c r="G3349" s="20">
        <f>IF('Journal'!F1676="","",'Journal'!F1676)</f>
        <v/>
      </c>
      <c r="H3349" s="5">
        <f>IF('Journal'!I1676="","",'Journal'!I1676)</f>
        <v/>
      </c>
    </row>
    <row r="3350">
      <c r="A3350" s="18">
        <f>IF('Journal'!A1676="","",'Journal'!A1676)</f>
        <v/>
      </c>
      <c r="B3350" s="21">
        <f>IF('Journal'!B1676="","",'Journal'!B1676)</f>
        <v/>
      </c>
      <c r="C3350" s="5">
        <f>IF('Journal'!C1676="","",'Journal'!C1676)</f>
        <v/>
      </c>
      <c r="D3350" s="5">
        <f>IF('Journal'!E1676="","",IFERROR(LEFT('Journal'!E1676,FIND(" ",'Journal'!E1676)-1),'Journal'!E1676))</f>
        <v/>
      </c>
      <c r="E3350" s="5">
        <f>IF('Journal'!E1676="","",IFERROR(INDEX('Kontoplan'!$B$3:$B$302,MATCH('Journal'!E1676,'Kontoplan'!$H$3:$H$302,0)),""))</f>
        <v/>
      </c>
      <c r="F3350" s="20">
        <f>IF('Journal'!F1676="","",'Journal'!F1676)</f>
        <v/>
      </c>
      <c r="G3350" s="20">
        <f>IF('Journal'!G1676="","",'Journal'!G1676)</f>
        <v/>
      </c>
      <c r="H3350" s="5">
        <f>IF('Journal'!I1676="","",'Journal'!I1676)</f>
        <v/>
      </c>
    </row>
    <row r="3351">
      <c r="A3351" s="18">
        <f>IF('Journal'!A1677="","",'Journal'!A1677)</f>
        <v/>
      </c>
      <c r="B3351" s="21">
        <f>IF('Journal'!B1677="","",'Journal'!B1677)</f>
        <v/>
      </c>
      <c r="C3351" s="5">
        <f>IF('Journal'!C1677="","",'Journal'!C1677)</f>
        <v/>
      </c>
      <c r="D3351" s="5">
        <f>IF('Journal'!D1677="","",IFERROR(LEFT('Journal'!D1677,FIND(" ",'Journal'!D1677)-1),'Journal'!D1677))</f>
        <v/>
      </c>
      <c r="E3351" s="5">
        <f>IF('Journal'!D1677="","",IFERROR(INDEX('Kontoplan'!$B$3:$B$302,MATCH('Journal'!D1677,'Kontoplan'!$H$3:$H$302,0)),""))</f>
        <v/>
      </c>
      <c r="F3351" s="20">
        <f>IF('Journal'!G1677="","",'Journal'!G1677)</f>
        <v/>
      </c>
      <c r="G3351" s="20">
        <f>IF('Journal'!F1677="","",'Journal'!F1677)</f>
        <v/>
      </c>
      <c r="H3351" s="5">
        <f>IF('Journal'!I1677="","",'Journal'!I1677)</f>
        <v/>
      </c>
    </row>
    <row r="3352">
      <c r="A3352" s="18">
        <f>IF('Journal'!A1677="","",'Journal'!A1677)</f>
        <v/>
      </c>
      <c r="B3352" s="21">
        <f>IF('Journal'!B1677="","",'Journal'!B1677)</f>
        <v/>
      </c>
      <c r="C3352" s="5">
        <f>IF('Journal'!C1677="","",'Journal'!C1677)</f>
        <v/>
      </c>
      <c r="D3352" s="5">
        <f>IF('Journal'!E1677="","",IFERROR(LEFT('Journal'!E1677,FIND(" ",'Journal'!E1677)-1),'Journal'!E1677))</f>
        <v/>
      </c>
      <c r="E3352" s="5">
        <f>IF('Journal'!E1677="","",IFERROR(INDEX('Kontoplan'!$B$3:$B$302,MATCH('Journal'!E1677,'Kontoplan'!$H$3:$H$302,0)),""))</f>
        <v/>
      </c>
      <c r="F3352" s="20">
        <f>IF('Journal'!F1677="","",'Journal'!F1677)</f>
        <v/>
      </c>
      <c r="G3352" s="20">
        <f>IF('Journal'!G1677="","",'Journal'!G1677)</f>
        <v/>
      </c>
      <c r="H3352" s="5">
        <f>IF('Journal'!I1677="","",'Journal'!I1677)</f>
        <v/>
      </c>
    </row>
    <row r="3353">
      <c r="A3353" s="18">
        <f>IF('Journal'!A1678="","",'Journal'!A1678)</f>
        <v/>
      </c>
      <c r="B3353" s="21">
        <f>IF('Journal'!B1678="","",'Journal'!B1678)</f>
        <v/>
      </c>
      <c r="C3353" s="5">
        <f>IF('Journal'!C1678="","",'Journal'!C1678)</f>
        <v/>
      </c>
      <c r="D3353" s="5">
        <f>IF('Journal'!D1678="","",IFERROR(LEFT('Journal'!D1678,FIND(" ",'Journal'!D1678)-1),'Journal'!D1678))</f>
        <v/>
      </c>
      <c r="E3353" s="5">
        <f>IF('Journal'!D1678="","",IFERROR(INDEX('Kontoplan'!$B$3:$B$302,MATCH('Journal'!D1678,'Kontoplan'!$H$3:$H$302,0)),""))</f>
        <v/>
      </c>
      <c r="F3353" s="20">
        <f>IF('Journal'!G1678="","",'Journal'!G1678)</f>
        <v/>
      </c>
      <c r="G3353" s="20">
        <f>IF('Journal'!F1678="","",'Journal'!F1678)</f>
        <v/>
      </c>
      <c r="H3353" s="5">
        <f>IF('Journal'!I1678="","",'Journal'!I1678)</f>
        <v/>
      </c>
    </row>
    <row r="3354">
      <c r="A3354" s="18">
        <f>IF('Journal'!A1678="","",'Journal'!A1678)</f>
        <v/>
      </c>
      <c r="B3354" s="21">
        <f>IF('Journal'!B1678="","",'Journal'!B1678)</f>
        <v/>
      </c>
      <c r="C3354" s="5">
        <f>IF('Journal'!C1678="","",'Journal'!C1678)</f>
        <v/>
      </c>
      <c r="D3354" s="5">
        <f>IF('Journal'!E1678="","",IFERROR(LEFT('Journal'!E1678,FIND(" ",'Journal'!E1678)-1),'Journal'!E1678))</f>
        <v/>
      </c>
      <c r="E3354" s="5">
        <f>IF('Journal'!E1678="","",IFERROR(INDEX('Kontoplan'!$B$3:$B$302,MATCH('Journal'!E1678,'Kontoplan'!$H$3:$H$302,0)),""))</f>
        <v/>
      </c>
      <c r="F3354" s="20">
        <f>IF('Journal'!F1678="","",'Journal'!F1678)</f>
        <v/>
      </c>
      <c r="G3354" s="20">
        <f>IF('Journal'!G1678="","",'Journal'!G1678)</f>
        <v/>
      </c>
      <c r="H3354" s="5">
        <f>IF('Journal'!I1678="","",'Journal'!I1678)</f>
        <v/>
      </c>
    </row>
    <row r="3355">
      <c r="A3355" s="18">
        <f>IF('Journal'!A1679="","",'Journal'!A1679)</f>
        <v/>
      </c>
      <c r="B3355" s="21">
        <f>IF('Journal'!B1679="","",'Journal'!B1679)</f>
        <v/>
      </c>
      <c r="C3355" s="5">
        <f>IF('Journal'!C1679="","",'Journal'!C1679)</f>
        <v/>
      </c>
      <c r="D3355" s="5">
        <f>IF('Journal'!D1679="","",IFERROR(LEFT('Journal'!D1679,FIND(" ",'Journal'!D1679)-1),'Journal'!D1679))</f>
        <v/>
      </c>
      <c r="E3355" s="5">
        <f>IF('Journal'!D1679="","",IFERROR(INDEX('Kontoplan'!$B$3:$B$302,MATCH('Journal'!D1679,'Kontoplan'!$H$3:$H$302,0)),""))</f>
        <v/>
      </c>
      <c r="F3355" s="20">
        <f>IF('Journal'!G1679="","",'Journal'!G1679)</f>
        <v/>
      </c>
      <c r="G3355" s="20">
        <f>IF('Journal'!F1679="","",'Journal'!F1679)</f>
        <v/>
      </c>
      <c r="H3355" s="5">
        <f>IF('Journal'!I1679="","",'Journal'!I1679)</f>
        <v/>
      </c>
    </row>
    <row r="3356">
      <c r="A3356" s="18">
        <f>IF('Journal'!A1679="","",'Journal'!A1679)</f>
        <v/>
      </c>
      <c r="B3356" s="21">
        <f>IF('Journal'!B1679="","",'Journal'!B1679)</f>
        <v/>
      </c>
      <c r="C3356" s="5">
        <f>IF('Journal'!C1679="","",'Journal'!C1679)</f>
        <v/>
      </c>
      <c r="D3356" s="5">
        <f>IF('Journal'!E1679="","",IFERROR(LEFT('Journal'!E1679,FIND(" ",'Journal'!E1679)-1),'Journal'!E1679))</f>
        <v/>
      </c>
      <c r="E3356" s="5">
        <f>IF('Journal'!E1679="","",IFERROR(INDEX('Kontoplan'!$B$3:$B$302,MATCH('Journal'!E1679,'Kontoplan'!$H$3:$H$302,0)),""))</f>
        <v/>
      </c>
      <c r="F3356" s="20">
        <f>IF('Journal'!F1679="","",'Journal'!F1679)</f>
        <v/>
      </c>
      <c r="G3356" s="20">
        <f>IF('Journal'!G1679="","",'Journal'!G1679)</f>
        <v/>
      </c>
      <c r="H3356" s="5">
        <f>IF('Journal'!I1679="","",'Journal'!I1679)</f>
        <v/>
      </c>
    </row>
    <row r="3357">
      <c r="A3357" s="18">
        <f>IF('Journal'!A1680="","",'Journal'!A1680)</f>
        <v/>
      </c>
      <c r="B3357" s="21">
        <f>IF('Journal'!B1680="","",'Journal'!B1680)</f>
        <v/>
      </c>
      <c r="C3357" s="5">
        <f>IF('Journal'!C1680="","",'Journal'!C1680)</f>
        <v/>
      </c>
      <c r="D3357" s="5">
        <f>IF('Journal'!D1680="","",IFERROR(LEFT('Journal'!D1680,FIND(" ",'Journal'!D1680)-1),'Journal'!D1680))</f>
        <v/>
      </c>
      <c r="E3357" s="5">
        <f>IF('Journal'!D1680="","",IFERROR(INDEX('Kontoplan'!$B$3:$B$302,MATCH('Journal'!D1680,'Kontoplan'!$H$3:$H$302,0)),""))</f>
        <v/>
      </c>
      <c r="F3357" s="20">
        <f>IF('Journal'!G1680="","",'Journal'!G1680)</f>
        <v/>
      </c>
      <c r="G3357" s="20">
        <f>IF('Journal'!F1680="","",'Journal'!F1680)</f>
        <v/>
      </c>
      <c r="H3357" s="5">
        <f>IF('Journal'!I1680="","",'Journal'!I1680)</f>
        <v/>
      </c>
    </row>
    <row r="3358">
      <c r="A3358" s="18">
        <f>IF('Journal'!A1680="","",'Journal'!A1680)</f>
        <v/>
      </c>
      <c r="B3358" s="21">
        <f>IF('Journal'!B1680="","",'Journal'!B1680)</f>
        <v/>
      </c>
      <c r="C3358" s="5">
        <f>IF('Journal'!C1680="","",'Journal'!C1680)</f>
        <v/>
      </c>
      <c r="D3358" s="5">
        <f>IF('Journal'!E1680="","",IFERROR(LEFT('Journal'!E1680,FIND(" ",'Journal'!E1680)-1),'Journal'!E1680))</f>
        <v/>
      </c>
      <c r="E3358" s="5">
        <f>IF('Journal'!E1680="","",IFERROR(INDEX('Kontoplan'!$B$3:$B$302,MATCH('Journal'!E1680,'Kontoplan'!$H$3:$H$302,0)),""))</f>
        <v/>
      </c>
      <c r="F3358" s="20">
        <f>IF('Journal'!F1680="","",'Journal'!F1680)</f>
        <v/>
      </c>
      <c r="G3358" s="20">
        <f>IF('Journal'!G1680="","",'Journal'!G1680)</f>
        <v/>
      </c>
      <c r="H3358" s="5">
        <f>IF('Journal'!I1680="","",'Journal'!I1680)</f>
        <v/>
      </c>
    </row>
    <row r="3359">
      <c r="A3359" s="18">
        <f>IF('Journal'!A1681="","",'Journal'!A1681)</f>
        <v/>
      </c>
      <c r="B3359" s="21">
        <f>IF('Journal'!B1681="","",'Journal'!B1681)</f>
        <v/>
      </c>
      <c r="C3359" s="5">
        <f>IF('Journal'!C1681="","",'Journal'!C1681)</f>
        <v/>
      </c>
      <c r="D3359" s="5">
        <f>IF('Journal'!D1681="","",IFERROR(LEFT('Journal'!D1681,FIND(" ",'Journal'!D1681)-1),'Journal'!D1681))</f>
        <v/>
      </c>
      <c r="E3359" s="5">
        <f>IF('Journal'!D1681="","",IFERROR(INDEX('Kontoplan'!$B$3:$B$302,MATCH('Journal'!D1681,'Kontoplan'!$H$3:$H$302,0)),""))</f>
        <v/>
      </c>
      <c r="F3359" s="20">
        <f>IF('Journal'!G1681="","",'Journal'!G1681)</f>
        <v/>
      </c>
      <c r="G3359" s="20">
        <f>IF('Journal'!F1681="","",'Journal'!F1681)</f>
        <v/>
      </c>
      <c r="H3359" s="5">
        <f>IF('Journal'!I1681="","",'Journal'!I1681)</f>
        <v/>
      </c>
    </row>
    <row r="3360">
      <c r="A3360" s="18">
        <f>IF('Journal'!A1681="","",'Journal'!A1681)</f>
        <v/>
      </c>
      <c r="B3360" s="21">
        <f>IF('Journal'!B1681="","",'Journal'!B1681)</f>
        <v/>
      </c>
      <c r="C3360" s="5">
        <f>IF('Journal'!C1681="","",'Journal'!C1681)</f>
        <v/>
      </c>
      <c r="D3360" s="5">
        <f>IF('Journal'!E1681="","",IFERROR(LEFT('Journal'!E1681,FIND(" ",'Journal'!E1681)-1),'Journal'!E1681))</f>
        <v/>
      </c>
      <c r="E3360" s="5">
        <f>IF('Journal'!E1681="","",IFERROR(INDEX('Kontoplan'!$B$3:$B$302,MATCH('Journal'!E1681,'Kontoplan'!$H$3:$H$302,0)),""))</f>
        <v/>
      </c>
      <c r="F3360" s="20">
        <f>IF('Journal'!F1681="","",'Journal'!F1681)</f>
        <v/>
      </c>
      <c r="G3360" s="20">
        <f>IF('Journal'!G1681="","",'Journal'!G1681)</f>
        <v/>
      </c>
      <c r="H3360" s="5">
        <f>IF('Journal'!I1681="","",'Journal'!I1681)</f>
        <v/>
      </c>
    </row>
    <row r="3361">
      <c r="A3361" s="18">
        <f>IF('Journal'!A1682="","",'Journal'!A1682)</f>
        <v/>
      </c>
      <c r="B3361" s="21">
        <f>IF('Journal'!B1682="","",'Journal'!B1682)</f>
        <v/>
      </c>
      <c r="C3361" s="5">
        <f>IF('Journal'!C1682="","",'Journal'!C1682)</f>
        <v/>
      </c>
      <c r="D3361" s="5">
        <f>IF('Journal'!D1682="","",IFERROR(LEFT('Journal'!D1682,FIND(" ",'Journal'!D1682)-1),'Journal'!D1682))</f>
        <v/>
      </c>
      <c r="E3361" s="5">
        <f>IF('Journal'!D1682="","",IFERROR(INDEX('Kontoplan'!$B$3:$B$302,MATCH('Journal'!D1682,'Kontoplan'!$H$3:$H$302,0)),""))</f>
        <v/>
      </c>
      <c r="F3361" s="20">
        <f>IF('Journal'!G1682="","",'Journal'!G1682)</f>
        <v/>
      </c>
      <c r="G3361" s="20">
        <f>IF('Journal'!F1682="","",'Journal'!F1682)</f>
        <v/>
      </c>
      <c r="H3361" s="5">
        <f>IF('Journal'!I1682="","",'Journal'!I1682)</f>
        <v/>
      </c>
    </row>
    <row r="3362">
      <c r="A3362" s="18">
        <f>IF('Journal'!A1682="","",'Journal'!A1682)</f>
        <v/>
      </c>
      <c r="B3362" s="21">
        <f>IF('Journal'!B1682="","",'Journal'!B1682)</f>
        <v/>
      </c>
      <c r="C3362" s="5">
        <f>IF('Journal'!C1682="","",'Journal'!C1682)</f>
        <v/>
      </c>
      <c r="D3362" s="5">
        <f>IF('Journal'!E1682="","",IFERROR(LEFT('Journal'!E1682,FIND(" ",'Journal'!E1682)-1),'Journal'!E1682))</f>
        <v/>
      </c>
      <c r="E3362" s="5">
        <f>IF('Journal'!E1682="","",IFERROR(INDEX('Kontoplan'!$B$3:$B$302,MATCH('Journal'!E1682,'Kontoplan'!$H$3:$H$302,0)),""))</f>
        <v/>
      </c>
      <c r="F3362" s="20">
        <f>IF('Journal'!F1682="","",'Journal'!F1682)</f>
        <v/>
      </c>
      <c r="G3362" s="20">
        <f>IF('Journal'!G1682="","",'Journal'!G1682)</f>
        <v/>
      </c>
      <c r="H3362" s="5">
        <f>IF('Journal'!I1682="","",'Journal'!I1682)</f>
        <v/>
      </c>
    </row>
    <row r="3363">
      <c r="A3363" s="18">
        <f>IF('Journal'!A1683="","",'Journal'!A1683)</f>
        <v/>
      </c>
      <c r="B3363" s="21">
        <f>IF('Journal'!B1683="","",'Journal'!B1683)</f>
        <v/>
      </c>
      <c r="C3363" s="5">
        <f>IF('Journal'!C1683="","",'Journal'!C1683)</f>
        <v/>
      </c>
      <c r="D3363" s="5">
        <f>IF('Journal'!D1683="","",IFERROR(LEFT('Journal'!D1683,FIND(" ",'Journal'!D1683)-1),'Journal'!D1683))</f>
        <v/>
      </c>
      <c r="E3363" s="5">
        <f>IF('Journal'!D1683="","",IFERROR(INDEX('Kontoplan'!$B$3:$B$302,MATCH('Journal'!D1683,'Kontoplan'!$H$3:$H$302,0)),""))</f>
        <v/>
      </c>
      <c r="F3363" s="20">
        <f>IF('Journal'!G1683="","",'Journal'!G1683)</f>
        <v/>
      </c>
      <c r="G3363" s="20">
        <f>IF('Journal'!F1683="","",'Journal'!F1683)</f>
        <v/>
      </c>
      <c r="H3363" s="5">
        <f>IF('Journal'!I1683="","",'Journal'!I1683)</f>
        <v/>
      </c>
    </row>
    <row r="3364">
      <c r="A3364" s="18">
        <f>IF('Journal'!A1683="","",'Journal'!A1683)</f>
        <v/>
      </c>
      <c r="B3364" s="21">
        <f>IF('Journal'!B1683="","",'Journal'!B1683)</f>
        <v/>
      </c>
      <c r="C3364" s="5">
        <f>IF('Journal'!C1683="","",'Journal'!C1683)</f>
        <v/>
      </c>
      <c r="D3364" s="5">
        <f>IF('Journal'!E1683="","",IFERROR(LEFT('Journal'!E1683,FIND(" ",'Journal'!E1683)-1),'Journal'!E1683))</f>
        <v/>
      </c>
      <c r="E3364" s="5">
        <f>IF('Journal'!E1683="","",IFERROR(INDEX('Kontoplan'!$B$3:$B$302,MATCH('Journal'!E1683,'Kontoplan'!$H$3:$H$302,0)),""))</f>
        <v/>
      </c>
      <c r="F3364" s="20">
        <f>IF('Journal'!F1683="","",'Journal'!F1683)</f>
        <v/>
      </c>
      <c r="G3364" s="20">
        <f>IF('Journal'!G1683="","",'Journal'!G1683)</f>
        <v/>
      </c>
      <c r="H3364" s="5">
        <f>IF('Journal'!I1683="","",'Journal'!I1683)</f>
        <v/>
      </c>
    </row>
    <row r="3365">
      <c r="A3365" s="18">
        <f>IF('Journal'!A1684="","",'Journal'!A1684)</f>
        <v/>
      </c>
      <c r="B3365" s="21">
        <f>IF('Journal'!B1684="","",'Journal'!B1684)</f>
        <v/>
      </c>
      <c r="C3365" s="5">
        <f>IF('Journal'!C1684="","",'Journal'!C1684)</f>
        <v/>
      </c>
      <c r="D3365" s="5">
        <f>IF('Journal'!D1684="","",IFERROR(LEFT('Journal'!D1684,FIND(" ",'Journal'!D1684)-1),'Journal'!D1684))</f>
        <v/>
      </c>
      <c r="E3365" s="5">
        <f>IF('Journal'!D1684="","",IFERROR(INDEX('Kontoplan'!$B$3:$B$302,MATCH('Journal'!D1684,'Kontoplan'!$H$3:$H$302,0)),""))</f>
        <v/>
      </c>
      <c r="F3365" s="20">
        <f>IF('Journal'!G1684="","",'Journal'!G1684)</f>
        <v/>
      </c>
      <c r="G3365" s="20">
        <f>IF('Journal'!F1684="","",'Journal'!F1684)</f>
        <v/>
      </c>
      <c r="H3365" s="5">
        <f>IF('Journal'!I1684="","",'Journal'!I1684)</f>
        <v/>
      </c>
    </row>
    <row r="3366">
      <c r="A3366" s="18">
        <f>IF('Journal'!A1684="","",'Journal'!A1684)</f>
        <v/>
      </c>
      <c r="B3366" s="21">
        <f>IF('Journal'!B1684="","",'Journal'!B1684)</f>
        <v/>
      </c>
      <c r="C3366" s="5">
        <f>IF('Journal'!C1684="","",'Journal'!C1684)</f>
        <v/>
      </c>
      <c r="D3366" s="5">
        <f>IF('Journal'!E1684="","",IFERROR(LEFT('Journal'!E1684,FIND(" ",'Journal'!E1684)-1),'Journal'!E1684))</f>
        <v/>
      </c>
      <c r="E3366" s="5">
        <f>IF('Journal'!E1684="","",IFERROR(INDEX('Kontoplan'!$B$3:$B$302,MATCH('Journal'!E1684,'Kontoplan'!$H$3:$H$302,0)),""))</f>
        <v/>
      </c>
      <c r="F3366" s="20">
        <f>IF('Journal'!F1684="","",'Journal'!F1684)</f>
        <v/>
      </c>
      <c r="G3366" s="20">
        <f>IF('Journal'!G1684="","",'Journal'!G1684)</f>
        <v/>
      </c>
      <c r="H3366" s="5">
        <f>IF('Journal'!I1684="","",'Journal'!I1684)</f>
        <v/>
      </c>
    </row>
    <row r="3367">
      <c r="A3367" s="18">
        <f>IF('Journal'!A1685="","",'Journal'!A1685)</f>
        <v/>
      </c>
      <c r="B3367" s="21">
        <f>IF('Journal'!B1685="","",'Journal'!B1685)</f>
        <v/>
      </c>
      <c r="C3367" s="5">
        <f>IF('Journal'!C1685="","",'Journal'!C1685)</f>
        <v/>
      </c>
      <c r="D3367" s="5">
        <f>IF('Journal'!D1685="","",IFERROR(LEFT('Journal'!D1685,FIND(" ",'Journal'!D1685)-1),'Journal'!D1685))</f>
        <v/>
      </c>
      <c r="E3367" s="5">
        <f>IF('Journal'!D1685="","",IFERROR(INDEX('Kontoplan'!$B$3:$B$302,MATCH('Journal'!D1685,'Kontoplan'!$H$3:$H$302,0)),""))</f>
        <v/>
      </c>
      <c r="F3367" s="20">
        <f>IF('Journal'!G1685="","",'Journal'!G1685)</f>
        <v/>
      </c>
      <c r="G3367" s="20">
        <f>IF('Journal'!F1685="","",'Journal'!F1685)</f>
        <v/>
      </c>
      <c r="H3367" s="5">
        <f>IF('Journal'!I1685="","",'Journal'!I1685)</f>
        <v/>
      </c>
    </row>
    <row r="3368">
      <c r="A3368" s="18">
        <f>IF('Journal'!A1685="","",'Journal'!A1685)</f>
        <v/>
      </c>
      <c r="B3368" s="21">
        <f>IF('Journal'!B1685="","",'Journal'!B1685)</f>
        <v/>
      </c>
      <c r="C3368" s="5">
        <f>IF('Journal'!C1685="","",'Journal'!C1685)</f>
        <v/>
      </c>
      <c r="D3368" s="5">
        <f>IF('Journal'!E1685="","",IFERROR(LEFT('Journal'!E1685,FIND(" ",'Journal'!E1685)-1),'Journal'!E1685))</f>
        <v/>
      </c>
      <c r="E3368" s="5">
        <f>IF('Journal'!E1685="","",IFERROR(INDEX('Kontoplan'!$B$3:$B$302,MATCH('Journal'!E1685,'Kontoplan'!$H$3:$H$302,0)),""))</f>
        <v/>
      </c>
      <c r="F3368" s="20">
        <f>IF('Journal'!F1685="","",'Journal'!F1685)</f>
        <v/>
      </c>
      <c r="G3368" s="20">
        <f>IF('Journal'!G1685="","",'Journal'!G1685)</f>
        <v/>
      </c>
      <c r="H3368" s="5">
        <f>IF('Journal'!I1685="","",'Journal'!I1685)</f>
        <v/>
      </c>
    </row>
    <row r="3369">
      <c r="A3369" s="18">
        <f>IF('Journal'!A1686="","",'Journal'!A1686)</f>
        <v/>
      </c>
      <c r="B3369" s="21">
        <f>IF('Journal'!B1686="","",'Journal'!B1686)</f>
        <v/>
      </c>
      <c r="C3369" s="5">
        <f>IF('Journal'!C1686="","",'Journal'!C1686)</f>
        <v/>
      </c>
      <c r="D3369" s="5">
        <f>IF('Journal'!D1686="","",IFERROR(LEFT('Journal'!D1686,FIND(" ",'Journal'!D1686)-1),'Journal'!D1686))</f>
        <v/>
      </c>
      <c r="E3369" s="5">
        <f>IF('Journal'!D1686="","",IFERROR(INDEX('Kontoplan'!$B$3:$B$302,MATCH('Journal'!D1686,'Kontoplan'!$H$3:$H$302,0)),""))</f>
        <v/>
      </c>
      <c r="F3369" s="20">
        <f>IF('Journal'!G1686="","",'Journal'!G1686)</f>
        <v/>
      </c>
      <c r="G3369" s="20">
        <f>IF('Journal'!F1686="","",'Journal'!F1686)</f>
        <v/>
      </c>
      <c r="H3369" s="5">
        <f>IF('Journal'!I1686="","",'Journal'!I1686)</f>
        <v/>
      </c>
    </row>
    <row r="3370">
      <c r="A3370" s="18">
        <f>IF('Journal'!A1686="","",'Journal'!A1686)</f>
        <v/>
      </c>
      <c r="B3370" s="21">
        <f>IF('Journal'!B1686="","",'Journal'!B1686)</f>
        <v/>
      </c>
      <c r="C3370" s="5">
        <f>IF('Journal'!C1686="","",'Journal'!C1686)</f>
        <v/>
      </c>
      <c r="D3370" s="5">
        <f>IF('Journal'!E1686="","",IFERROR(LEFT('Journal'!E1686,FIND(" ",'Journal'!E1686)-1),'Journal'!E1686))</f>
        <v/>
      </c>
      <c r="E3370" s="5">
        <f>IF('Journal'!E1686="","",IFERROR(INDEX('Kontoplan'!$B$3:$B$302,MATCH('Journal'!E1686,'Kontoplan'!$H$3:$H$302,0)),""))</f>
        <v/>
      </c>
      <c r="F3370" s="20">
        <f>IF('Journal'!F1686="","",'Journal'!F1686)</f>
        <v/>
      </c>
      <c r="G3370" s="20">
        <f>IF('Journal'!G1686="","",'Journal'!G1686)</f>
        <v/>
      </c>
      <c r="H3370" s="5">
        <f>IF('Journal'!I1686="","",'Journal'!I1686)</f>
        <v/>
      </c>
    </row>
    <row r="3371">
      <c r="A3371" s="18">
        <f>IF('Journal'!A1687="","",'Journal'!A1687)</f>
        <v/>
      </c>
      <c r="B3371" s="21">
        <f>IF('Journal'!B1687="","",'Journal'!B1687)</f>
        <v/>
      </c>
      <c r="C3371" s="5">
        <f>IF('Journal'!C1687="","",'Journal'!C1687)</f>
        <v/>
      </c>
      <c r="D3371" s="5">
        <f>IF('Journal'!D1687="","",IFERROR(LEFT('Journal'!D1687,FIND(" ",'Journal'!D1687)-1),'Journal'!D1687))</f>
        <v/>
      </c>
      <c r="E3371" s="5">
        <f>IF('Journal'!D1687="","",IFERROR(INDEX('Kontoplan'!$B$3:$B$302,MATCH('Journal'!D1687,'Kontoplan'!$H$3:$H$302,0)),""))</f>
        <v/>
      </c>
      <c r="F3371" s="20">
        <f>IF('Journal'!G1687="","",'Journal'!G1687)</f>
        <v/>
      </c>
      <c r="G3371" s="20">
        <f>IF('Journal'!F1687="","",'Journal'!F1687)</f>
        <v/>
      </c>
      <c r="H3371" s="5">
        <f>IF('Journal'!I1687="","",'Journal'!I1687)</f>
        <v/>
      </c>
    </row>
    <row r="3372">
      <c r="A3372" s="18">
        <f>IF('Journal'!A1687="","",'Journal'!A1687)</f>
        <v/>
      </c>
      <c r="B3372" s="21">
        <f>IF('Journal'!B1687="","",'Journal'!B1687)</f>
        <v/>
      </c>
      <c r="C3372" s="5">
        <f>IF('Journal'!C1687="","",'Journal'!C1687)</f>
        <v/>
      </c>
      <c r="D3372" s="5">
        <f>IF('Journal'!E1687="","",IFERROR(LEFT('Journal'!E1687,FIND(" ",'Journal'!E1687)-1),'Journal'!E1687))</f>
        <v/>
      </c>
      <c r="E3372" s="5">
        <f>IF('Journal'!E1687="","",IFERROR(INDEX('Kontoplan'!$B$3:$B$302,MATCH('Journal'!E1687,'Kontoplan'!$H$3:$H$302,0)),""))</f>
        <v/>
      </c>
      <c r="F3372" s="20">
        <f>IF('Journal'!F1687="","",'Journal'!F1687)</f>
        <v/>
      </c>
      <c r="G3372" s="20">
        <f>IF('Journal'!G1687="","",'Journal'!G1687)</f>
        <v/>
      </c>
      <c r="H3372" s="5">
        <f>IF('Journal'!I1687="","",'Journal'!I1687)</f>
        <v/>
      </c>
    </row>
    <row r="3373">
      <c r="A3373" s="18">
        <f>IF('Journal'!A1688="","",'Journal'!A1688)</f>
        <v/>
      </c>
      <c r="B3373" s="21">
        <f>IF('Journal'!B1688="","",'Journal'!B1688)</f>
        <v/>
      </c>
      <c r="C3373" s="5">
        <f>IF('Journal'!C1688="","",'Journal'!C1688)</f>
        <v/>
      </c>
      <c r="D3373" s="5">
        <f>IF('Journal'!D1688="","",IFERROR(LEFT('Journal'!D1688,FIND(" ",'Journal'!D1688)-1),'Journal'!D1688))</f>
        <v/>
      </c>
      <c r="E3373" s="5">
        <f>IF('Journal'!D1688="","",IFERROR(INDEX('Kontoplan'!$B$3:$B$302,MATCH('Journal'!D1688,'Kontoplan'!$H$3:$H$302,0)),""))</f>
        <v/>
      </c>
      <c r="F3373" s="20">
        <f>IF('Journal'!G1688="","",'Journal'!G1688)</f>
        <v/>
      </c>
      <c r="G3373" s="20">
        <f>IF('Journal'!F1688="","",'Journal'!F1688)</f>
        <v/>
      </c>
      <c r="H3373" s="5">
        <f>IF('Journal'!I1688="","",'Journal'!I1688)</f>
        <v/>
      </c>
    </row>
    <row r="3374">
      <c r="A3374" s="18">
        <f>IF('Journal'!A1688="","",'Journal'!A1688)</f>
        <v/>
      </c>
      <c r="B3374" s="21">
        <f>IF('Journal'!B1688="","",'Journal'!B1688)</f>
        <v/>
      </c>
      <c r="C3374" s="5">
        <f>IF('Journal'!C1688="","",'Journal'!C1688)</f>
        <v/>
      </c>
      <c r="D3374" s="5">
        <f>IF('Journal'!E1688="","",IFERROR(LEFT('Journal'!E1688,FIND(" ",'Journal'!E1688)-1),'Journal'!E1688))</f>
        <v/>
      </c>
      <c r="E3374" s="5">
        <f>IF('Journal'!E1688="","",IFERROR(INDEX('Kontoplan'!$B$3:$B$302,MATCH('Journal'!E1688,'Kontoplan'!$H$3:$H$302,0)),""))</f>
        <v/>
      </c>
      <c r="F3374" s="20">
        <f>IF('Journal'!F1688="","",'Journal'!F1688)</f>
        <v/>
      </c>
      <c r="G3374" s="20">
        <f>IF('Journal'!G1688="","",'Journal'!G1688)</f>
        <v/>
      </c>
      <c r="H3374" s="5">
        <f>IF('Journal'!I1688="","",'Journal'!I1688)</f>
        <v/>
      </c>
    </row>
    <row r="3375">
      <c r="A3375" s="18">
        <f>IF('Journal'!A1689="","",'Journal'!A1689)</f>
        <v/>
      </c>
      <c r="B3375" s="21">
        <f>IF('Journal'!B1689="","",'Journal'!B1689)</f>
        <v/>
      </c>
      <c r="C3375" s="5">
        <f>IF('Journal'!C1689="","",'Journal'!C1689)</f>
        <v/>
      </c>
      <c r="D3375" s="5">
        <f>IF('Journal'!D1689="","",IFERROR(LEFT('Journal'!D1689,FIND(" ",'Journal'!D1689)-1),'Journal'!D1689))</f>
        <v/>
      </c>
      <c r="E3375" s="5">
        <f>IF('Journal'!D1689="","",IFERROR(INDEX('Kontoplan'!$B$3:$B$302,MATCH('Journal'!D1689,'Kontoplan'!$H$3:$H$302,0)),""))</f>
        <v/>
      </c>
      <c r="F3375" s="20">
        <f>IF('Journal'!G1689="","",'Journal'!G1689)</f>
        <v/>
      </c>
      <c r="G3375" s="20">
        <f>IF('Journal'!F1689="","",'Journal'!F1689)</f>
        <v/>
      </c>
      <c r="H3375" s="5">
        <f>IF('Journal'!I1689="","",'Journal'!I1689)</f>
        <v/>
      </c>
    </row>
    <row r="3376">
      <c r="A3376" s="18">
        <f>IF('Journal'!A1689="","",'Journal'!A1689)</f>
        <v/>
      </c>
      <c r="B3376" s="21">
        <f>IF('Journal'!B1689="","",'Journal'!B1689)</f>
        <v/>
      </c>
      <c r="C3376" s="5">
        <f>IF('Journal'!C1689="","",'Journal'!C1689)</f>
        <v/>
      </c>
      <c r="D3376" s="5">
        <f>IF('Journal'!E1689="","",IFERROR(LEFT('Journal'!E1689,FIND(" ",'Journal'!E1689)-1),'Journal'!E1689))</f>
        <v/>
      </c>
      <c r="E3376" s="5">
        <f>IF('Journal'!E1689="","",IFERROR(INDEX('Kontoplan'!$B$3:$B$302,MATCH('Journal'!E1689,'Kontoplan'!$H$3:$H$302,0)),""))</f>
        <v/>
      </c>
      <c r="F3376" s="20">
        <f>IF('Journal'!F1689="","",'Journal'!F1689)</f>
        <v/>
      </c>
      <c r="G3376" s="20">
        <f>IF('Journal'!G1689="","",'Journal'!G1689)</f>
        <v/>
      </c>
      <c r="H3376" s="5">
        <f>IF('Journal'!I1689="","",'Journal'!I1689)</f>
        <v/>
      </c>
    </row>
    <row r="3377">
      <c r="A3377" s="18">
        <f>IF('Journal'!A1690="","",'Journal'!A1690)</f>
        <v/>
      </c>
      <c r="B3377" s="21">
        <f>IF('Journal'!B1690="","",'Journal'!B1690)</f>
        <v/>
      </c>
      <c r="C3377" s="5">
        <f>IF('Journal'!C1690="","",'Journal'!C1690)</f>
        <v/>
      </c>
      <c r="D3377" s="5">
        <f>IF('Journal'!D1690="","",IFERROR(LEFT('Journal'!D1690,FIND(" ",'Journal'!D1690)-1),'Journal'!D1690))</f>
        <v/>
      </c>
      <c r="E3377" s="5">
        <f>IF('Journal'!D1690="","",IFERROR(INDEX('Kontoplan'!$B$3:$B$302,MATCH('Journal'!D1690,'Kontoplan'!$H$3:$H$302,0)),""))</f>
        <v/>
      </c>
      <c r="F3377" s="20">
        <f>IF('Journal'!G1690="","",'Journal'!G1690)</f>
        <v/>
      </c>
      <c r="G3377" s="20">
        <f>IF('Journal'!F1690="","",'Journal'!F1690)</f>
        <v/>
      </c>
      <c r="H3377" s="5">
        <f>IF('Journal'!I1690="","",'Journal'!I1690)</f>
        <v/>
      </c>
    </row>
    <row r="3378">
      <c r="A3378" s="18">
        <f>IF('Journal'!A1690="","",'Journal'!A1690)</f>
        <v/>
      </c>
      <c r="B3378" s="21">
        <f>IF('Journal'!B1690="","",'Journal'!B1690)</f>
        <v/>
      </c>
      <c r="C3378" s="5">
        <f>IF('Journal'!C1690="","",'Journal'!C1690)</f>
        <v/>
      </c>
      <c r="D3378" s="5">
        <f>IF('Journal'!E1690="","",IFERROR(LEFT('Journal'!E1690,FIND(" ",'Journal'!E1690)-1),'Journal'!E1690))</f>
        <v/>
      </c>
      <c r="E3378" s="5">
        <f>IF('Journal'!E1690="","",IFERROR(INDEX('Kontoplan'!$B$3:$B$302,MATCH('Journal'!E1690,'Kontoplan'!$H$3:$H$302,0)),""))</f>
        <v/>
      </c>
      <c r="F3378" s="20">
        <f>IF('Journal'!F1690="","",'Journal'!F1690)</f>
        <v/>
      </c>
      <c r="G3378" s="20">
        <f>IF('Journal'!G1690="","",'Journal'!G1690)</f>
        <v/>
      </c>
      <c r="H3378" s="5">
        <f>IF('Journal'!I1690="","",'Journal'!I1690)</f>
        <v/>
      </c>
    </row>
    <row r="3379">
      <c r="A3379" s="18">
        <f>IF('Journal'!A1691="","",'Journal'!A1691)</f>
        <v/>
      </c>
      <c r="B3379" s="21">
        <f>IF('Journal'!B1691="","",'Journal'!B1691)</f>
        <v/>
      </c>
      <c r="C3379" s="5">
        <f>IF('Journal'!C1691="","",'Journal'!C1691)</f>
        <v/>
      </c>
      <c r="D3379" s="5">
        <f>IF('Journal'!D1691="","",IFERROR(LEFT('Journal'!D1691,FIND(" ",'Journal'!D1691)-1),'Journal'!D1691))</f>
        <v/>
      </c>
      <c r="E3379" s="5">
        <f>IF('Journal'!D1691="","",IFERROR(INDEX('Kontoplan'!$B$3:$B$302,MATCH('Journal'!D1691,'Kontoplan'!$H$3:$H$302,0)),""))</f>
        <v/>
      </c>
      <c r="F3379" s="20">
        <f>IF('Journal'!G1691="","",'Journal'!G1691)</f>
        <v/>
      </c>
      <c r="G3379" s="20">
        <f>IF('Journal'!F1691="","",'Journal'!F1691)</f>
        <v/>
      </c>
      <c r="H3379" s="5">
        <f>IF('Journal'!I1691="","",'Journal'!I1691)</f>
        <v/>
      </c>
    </row>
    <row r="3380">
      <c r="A3380" s="18">
        <f>IF('Journal'!A1691="","",'Journal'!A1691)</f>
        <v/>
      </c>
      <c r="B3380" s="21">
        <f>IF('Journal'!B1691="","",'Journal'!B1691)</f>
        <v/>
      </c>
      <c r="C3380" s="5">
        <f>IF('Journal'!C1691="","",'Journal'!C1691)</f>
        <v/>
      </c>
      <c r="D3380" s="5">
        <f>IF('Journal'!E1691="","",IFERROR(LEFT('Journal'!E1691,FIND(" ",'Journal'!E1691)-1),'Journal'!E1691))</f>
        <v/>
      </c>
      <c r="E3380" s="5">
        <f>IF('Journal'!E1691="","",IFERROR(INDEX('Kontoplan'!$B$3:$B$302,MATCH('Journal'!E1691,'Kontoplan'!$H$3:$H$302,0)),""))</f>
        <v/>
      </c>
      <c r="F3380" s="20">
        <f>IF('Journal'!F1691="","",'Journal'!F1691)</f>
        <v/>
      </c>
      <c r="G3380" s="20">
        <f>IF('Journal'!G1691="","",'Journal'!G1691)</f>
        <v/>
      </c>
      <c r="H3380" s="5">
        <f>IF('Journal'!I1691="","",'Journal'!I1691)</f>
        <v/>
      </c>
    </row>
    <row r="3381">
      <c r="A3381" s="18">
        <f>IF('Journal'!A1692="","",'Journal'!A1692)</f>
        <v/>
      </c>
      <c r="B3381" s="21">
        <f>IF('Journal'!B1692="","",'Journal'!B1692)</f>
        <v/>
      </c>
      <c r="C3381" s="5">
        <f>IF('Journal'!C1692="","",'Journal'!C1692)</f>
        <v/>
      </c>
      <c r="D3381" s="5">
        <f>IF('Journal'!D1692="","",IFERROR(LEFT('Journal'!D1692,FIND(" ",'Journal'!D1692)-1),'Journal'!D1692))</f>
        <v/>
      </c>
      <c r="E3381" s="5">
        <f>IF('Journal'!D1692="","",IFERROR(INDEX('Kontoplan'!$B$3:$B$302,MATCH('Journal'!D1692,'Kontoplan'!$H$3:$H$302,0)),""))</f>
        <v/>
      </c>
      <c r="F3381" s="20">
        <f>IF('Journal'!G1692="","",'Journal'!G1692)</f>
        <v/>
      </c>
      <c r="G3381" s="20">
        <f>IF('Journal'!F1692="","",'Journal'!F1692)</f>
        <v/>
      </c>
      <c r="H3381" s="5">
        <f>IF('Journal'!I1692="","",'Journal'!I1692)</f>
        <v/>
      </c>
    </row>
    <row r="3382">
      <c r="A3382" s="18">
        <f>IF('Journal'!A1692="","",'Journal'!A1692)</f>
        <v/>
      </c>
      <c r="B3382" s="21">
        <f>IF('Journal'!B1692="","",'Journal'!B1692)</f>
        <v/>
      </c>
      <c r="C3382" s="5">
        <f>IF('Journal'!C1692="","",'Journal'!C1692)</f>
        <v/>
      </c>
      <c r="D3382" s="5">
        <f>IF('Journal'!E1692="","",IFERROR(LEFT('Journal'!E1692,FIND(" ",'Journal'!E1692)-1),'Journal'!E1692))</f>
        <v/>
      </c>
      <c r="E3382" s="5">
        <f>IF('Journal'!E1692="","",IFERROR(INDEX('Kontoplan'!$B$3:$B$302,MATCH('Journal'!E1692,'Kontoplan'!$H$3:$H$302,0)),""))</f>
        <v/>
      </c>
      <c r="F3382" s="20">
        <f>IF('Journal'!F1692="","",'Journal'!F1692)</f>
        <v/>
      </c>
      <c r="G3382" s="20">
        <f>IF('Journal'!G1692="","",'Journal'!G1692)</f>
        <v/>
      </c>
      <c r="H3382" s="5">
        <f>IF('Journal'!I1692="","",'Journal'!I1692)</f>
        <v/>
      </c>
    </row>
    <row r="3383">
      <c r="A3383" s="18">
        <f>IF('Journal'!A1693="","",'Journal'!A1693)</f>
        <v/>
      </c>
      <c r="B3383" s="21">
        <f>IF('Journal'!B1693="","",'Journal'!B1693)</f>
        <v/>
      </c>
      <c r="C3383" s="5">
        <f>IF('Journal'!C1693="","",'Journal'!C1693)</f>
        <v/>
      </c>
      <c r="D3383" s="5">
        <f>IF('Journal'!D1693="","",IFERROR(LEFT('Journal'!D1693,FIND(" ",'Journal'!D1693)-1),'Journal'!D1693))</f>
        <v/>
      </c>
      <c r="E3383" s="5">
        <f>IF('Journal'!D1693="","",IFERROR(INDEX('Kontoplan'!$B$3:$B$302,MATCH('Journal'!D1693,'Kontoplan'!$H$3:$H$302,0)),""))</f>
        <v/>
      </c>
      <c r="F3383" s="20">
        <f>IF('Journal'!G1693="","",'Journal'!G1693)</f>
        <v/>
      </c>
      <c r="G3383" s="20">
        <f>IF('Journal'!F1693="","",'Journal'!F1693)</f>
        <v/>
      </c>
      <c r="H3383" s="5">
        <f>IF('Journal'!I1693="","",'Journal'!I1693)</f>
        <v/>
      </c>
    </row>
    <row r="3384">
      <c r="A3384" s="18">
        <f>IF('Journal'!A1693="","",'Journal'!A1693)</f>
        <v/>
      </c>
      <c r="B3384" s="21">
        <f>IF('Journal'!B1693="","",'Journal'!B1693)</f>
        <v/>
      </c>
      <c r="C3384" s="5">
        <f>IF('Journal'!C1693="","",'Journal'!C1693)</f>
        <v/>
      </c>
      <c r="D3384" s="5">
        <f>IF('Journal'!E1693="","",IFERROR(LEFT('Journal'!E1693,FIND(" ",'Journal'!E1693)-1),'Journal'!E1693))</f>
        <v/>
      </c>
      <c r="E3384" s="5">
        <f>IF('Journal'!E1693="","",IFERROR(INDEX('Kontoplan'!$B$3:$B$302,MATCH('Journal'!E1693,'Kontoplan'!$H$3:$H$302,0)),""))</f>
        <v/>
      </c>
      <c r="F3384" s="20">
        <f>IF('Journal'!F1693="","",'Journal'!F1693)</f>
        <v/>
      </c>
      <c r="G3384" s="20">
        <f>IF('Journal'!G1693="","",'Journal'!G1693)</f>
        <v/>
      </c>
      <c r="H3384" s="5">
        <f>IF('Journal'!I1693="","",'Journal'!I1693)</f>
        <v/>
      </c>
    </row>
    <row r="3385">
      <c r="A3385" s="18">
        <f>IF('Journal'!A1694="","",'Journal'!A1694)</f>
        <v/>
      </c>
      <c r="B3385" s="21">
        <f>IF('Journal'!B1694="","",'Journal'!B1694)</f>
        <v/>
      </c>
      <c r="C3385" s="5">
        <f>IF('Journal'!C1694="","",'Journal'!C1694)</f>
        <v/>
      </c>
      <c r="D3385" s="5">
        <f>IF('Journal'!D1694="","",IFERROR(LEFT('Journal'!D1694,FIND(" ",'Journal'!D1694)-1),'Journal'!D1694))</f>
        <v/>
      </c>
      <c r="E3385" s="5">
        <f>IF('Journal'!D1694="","",IFERROR(INDEX('Kontoplan'!$B$3:$B$302,MATCH('Journal'!D1694,'Kontoplan'!$H$3:$H$302,0)),""))</f>
        <v/>
      </c>
      <c r="F3385" s="20">
        <f>IF('Journal'!G1694="","",'Journal'!G1694)</f>
        <v/>
      </c>
      <c r="G3385" s="20">
        <f>IF('Journal'!F1694="","",'Journal'!F1694)</f>
        <v/>
      </c>
      <c r="H3385" s="5">
        <f>IF('Journal'!I1694="","",'Journal'!I1694)</f>
        <v/>
      </c>
    </row>
    <row r="3386">
      <c r="A3386" s="18">
        <f>IF('Journal'!A1694="","",'Journal'!A1694)</f>
        <v/>
      </c>
      <c r="B3386" s="21">
        <f>IF('Journal'!B1694="","",'Journal'!B1694)</f>
        <v/>
      </c>
      <c r="C3386" s="5">
        <f>IF('Journal'!C1694="","",'Journal'!C1694)</f>
        <v/>
      </c>
      <c r="D3386" s="5">
        <f>IF('Journal'!E1694="","",IFERROR(LEFT('Journal'!E1694,FIND(" ",'Journal'!E1694)-1),'Journal'!E1694))</f>
        <v/>
      </c>
      <c r="E3386" s="5">
        <f>IF('Journal'!E1694="","",IFERROR(INDEX('Kontoplan'!$B$3:$B$302,MATCH('Journal'!E1694,'Kontoplan'!$H$3:$H$302,0)),""))</f>
        <v/>
      </c>
      <c r="F3386" s="20">
        <f>IF('Journal'!F1694="","",'Journal'!F1694)</f>
        <v/>
      </c>
      <c r="G3386" s="20">
        <f>IF('Journal'!G1694="","",'Journal'!G1694)</f>
        <v/>
      </c>
      <c r="H3386" s="5">
        <f>IF('Journal'!I1694="","",'Journal'!I1694)</f>
        <v/>
      </c>
    </row>
    <row r="3387">
      <c r="A3387" s="18">
        <f>IF('Journal'!A1695="","",'Journal'!A1695)</f>
        <v/>
      </c>
      <c r="B3387" s="21">
        <f>IF('Journal'!B1695="","",'Journal'!B1695)</f>
        <v/>
      </c>
      <c r="C3387" s="5">
        <f>IF('Journal'!C1695="","",'Journal'!C1695)</f>
        <v/>
      </c>
      <c r="D3387" s="5">
        <f>IF('Journal'!D1695="","",IFERROR(LEFT('Journal'!D1695,FIND(" ",'Journal'!D1695)-1),'Journal'!D1695))</f>
        <v/>
      </c>
      <c r="E3387" s="5">
        <f>IF('Journal'!D1695="","",IFERROR(INDEX('Kontoplan'!$B$3:$B$302,MATCH('Journal'!D1695,'Kontoplan'!$H$3:$H$302,0)),""))</f>
        <v/>
      </c>
      <c r="F3387" s="20">
        <f>IF('Journal'!G1695="","",'Journal'!G1695)</f>
        <v/>
      </c>
      <c r="G3387" s="20">
        <f>IF('Journal'!F1695="","",'Journal'!F1695)</f>
        <v/>
      </c>
      <c r="H3387" s="5">
        <f>IF('Journal'!I1695="","",'Journal'!I1695)</f>
        <v/>
      </c>
    </row>
    <row r="3388">
      <c r="A3388" s="18">
        <f>IF('Journal'!A1695="","",'Journal'!A1695)</f>
        <v/>
      </c>
      <c r="B3388" s="21">
        <f>IF('Journal'!B1695="","",'Journal'!B1695)</f>
        <v/>
      </c>
      <c r="C3388" s="5">
        <f>IF('Journal'!C1695="","",'Journal'!C1695)</f>
        <v/>
      </c>
      <c r="D3388" s="5">
        <f>IF('Journal'!E1695="","",IFERROR(LEFT('Journal'!E1695,FIND(" ",'Journal'!E1695)-1),'Journal'!E1695))</f>
        <v/>
      </c>
      <c r="E3388" s="5">
        <f>IF('Journal'!E1695="","",IFERROR(INDEX('Kontoplan'!$B$3:$B$302,MATCH('Journal'!E1695,'Kontoplan'!$H$3:$H$302,0)),""))</f>
        <v/>
      </c>
      <c r="F3388" s="20">
        <f>IF('Journal'!F1695="","",'Journal'!F1695)</f>
        <v/>
      </c>
      <c r="G3388" s="20">
        <f>IF('Journal'!G1695="","",'Journal'!G1695)</f>
        <v/>
      </c>
      <c r="H3388" s="5">
        <f>IF('Journal'!I1695="","",'Journal'!I1695)</f>
        <v/>
      </c>
    </row>
    <row r="3389">
      <c r="A3389" s="18">
        <f>IF('Journal'!A1696="","",'Journal'!A1696)</f>
        <v/>
      </c>
      <c r="B3389" s="21">
        <f>IF('Journal'!B1696="","",'Journal'!B1696)</f>
        <v/>
      </c>
      <c r="C3389" s="5">
        <f>IF('Journal'!C1696="","",'Journal'!C1696)</f>
        <v/>
      </c>
      <c r="D3389" s="5">
        <f>IF('Journal'!D1696="","",IFERROR(LEFT('Journal'!D1696,FIND(" ",'Journal'!D1696)-1),'Journal'!D1696))</f>
        <v/>
      </c>
      <c r="E3389" s="5">
        <f>IF('Journal'!D1696="","",IFERROR(INDEX('Kontoplan'!$B$3:$B$302,MATCH('Journal'!D1696,'Kontoplan'!$H$3:$H$302,0)),""))</f>
        <v/>
      </c>
      <c r="F3389" s="20">
        <f>IF('Journal'!G1696="","",'Journal'!G1696)</f>
        <v/>
      </c>
      <c r="G3389" s="20">
        <f>IF('Journal'!F1696="","",'Journal'!F1696)</f>
        <v/>
      </c>
      <c r="H3389" s="5">
        <f>IF('Journal'!I1696="","",'Journal'!I1696)</f>
        <v/>
      </c>
    </row>
    <row r="3390">
      <c r="A3390" s="18">
        <f>IF('Journal'!A1696="","",'Journal'!A1696)</f>
        <v/>
      </c>
      <c r="B3390" s="21">
        <f>IF('Journal'!B1696="","",'Journal'!B1696)</f>
        <v/>
      </c>
      <c r="C3390" s="5">
        <f>IF('Journal'!C1696="","",'Journal'!C1696)</f>
        <v/>
      </c>
      <c r="D3390" s="5">
        <f>IF('Journal'!E1696="","",IFERROR(LEFT('Journal'!E1696,FIND(" ",'Journal'!E1696)-1),'Journal'!E1696))</f>
        <v/>
      </c>
      <c r="E3390" s="5">
        <f>IF('Journal'!E1696="","",IFERROR(INDEX('Kontoplan'!$B$3:$B$302,MATCH('Journal'!E1696,'Kontoplan'!$H$3:$H$302,0)),""))</f>
        <v/>
      </c>
      <c r="F3390" s="20">
        <f>IF('Journal'!F1696="","",'Journal'!F1696)</f>
        <v/>
      </c>
      <c r="G3390" s="20">
        <f>IF('Journal'!G1696="","",'Journal'!G1696)</f>
        <v/>
      </c>
      <c r="H3390" s="5">
        <f>IF('Journal'!I1696="","",'Journal'!I1696)</f>
        <v/>
      </c>
    </row>
    <row r="3391">
      <c r="A3391" s="18">
        <f>IF('Journal'!A1697="","",'Journal'!A1697)</f>
        <v/>
      </c>
      <c r="B3391" s="21">
        <f>IF('Journal'!B1697="","",'Journal'!B1697)</f>
        <v/>
      </c>
      <c r="C3391" s="5">
        <f>IF('Journal'!C1697="","",'Journal'!C1697)</f>
        <v/>
      </c>
      <c r="D3391" s="5">
        <f>IF('Journal'!D1697="","",IFERROR(LEFT('Journal'!D1697,FIND(" ",'Journal'!D1697)-1),'Journal'!D1697))</f>
        <v/>
      </c>
      <c r="E3391" s="5">
        <f>IF('Journal'!D1697="","",IFERROR(INDEX('Kontoplan'!$B$3:$B$302,MATCH('Journal'!D1697,'Kontoplan'!$H$3:$H$302,0)),""))</f>
        <v/>
      </c>
      <c r="F3391" s="20">
        <f>IF('Journal'!G1697="","",'Journal'!G1697)</f>
        <v/>
      </c>
      <c r="G3391" s="20">
        <f>IF('Journal'!F1697="","",'Journal'!F1697)</f>
        <v/>
      </c>
      <c r="H3391" s="5">
        <f>IF('Journal'!I1697="","",'Journal'!I1697)</f>
        <v/>
      </c>
    </row>
    <row r="3392">
      <c r="A3392" s="18">
        <f>IF('Journal'!A1697="","",'Journal'!A1697)</f>
        <v/>
      </c>
      <c r="B3392" s="21">
        <f>IF('Journal'!B1697="","",'Journal'!B1697)</f>
        <v/>
      </c>
      <c r="C3392" s="5">
        <f>IF('Journal'!C1697="","",'Journal'!C1697)</f>
        <v/>
      </c>
      <c r="D3392" s="5">
        <f>IF('Journal'!E1697="","",IFERROR(LEFT('Journal'!E1697,FIND(" ",'Journal'!E1697)-1),'Journal'!E1697))</f>
        <v/>
      </c>
      <c r="E3392" s="5">
        <f>IF('Journal'!E1697="","",IFERROR(INDEX('Kontoplan'!$B$3:$B$302,MATCH('Journal'!E1697,'Kontoplan'!$H$3:$H$302,0)),""))</f>
        <v/>
      </c>
      <c r="F3392" s="20">
        <f>IF('Journal'!F1697="","",'Journal'!F1697)</f>
        <v/>
      </c>
      <c r="G3392" s="20">
        <f>IF('Journal'!G1697="","",'Journal'!G1697)</f>
        <v/>
      </c>
      <c r="H3392" s="5">
        <f>IF('Journal'!I1697="","",'Journal'!I1697)</f>
        <v/>
      </c>
    </row>
    <row r="3393">
      <c r="A3393" s="18">
        <f>IF('Journal'!A1698="","",'Journal'!A1698)</f>
        <v/>
      </c>
      <c r="B3393" s="21">
        <f>IF('Journal'!B1698="","",'Journal'!B1698)</f>
        <v/>
      </c>
      <c r="C3393" s="5">
        <f>IF('Journal'!C1698="","",'Journal'!C1698)</f>
        <v/>
      </c>
      <c r="D3393" s="5">
        <f>IF('Journal'!D1698="","",IFERROR(LEFT('Journal'!D1698,FIND(" ",'Journal'!D1698)-1),'Journal'!D1698))</f>
        <v/>
      </c>
      <c r="E3393" s="5">
        <f>IF('Journal'!D1698="","",IFERROR(INDEX('Kontoplan'!$B$3:$B$302,MATCH('Journal'!D1698,'Kontoplan'!$H$3:$H$302,0)),""))</f>
        <v/>
      </c>
      <c r="F3393" s="20">
        <f>IF('Journal'!G1698="","",'Journal'!G1698)</f>
        <v/>
      </c>
      <c r="G3393" s="20">
        <f>IF('Journal'!F1698="","",'Journal'!F1698)</f>
        <v/>
      </c>
      <c r="H3393" s="5">
        <f>IF('Journal'!I1698="","",'Journal'!I1698)</f>
        <v/>
      </c>
    </row>
    <row r="3394">
      <c r="A3394" s="18">
        <f>IF('Journal'!A1698="","",'Journal'!A1698)</f>
        <v/>
      </c>
      <c r="B3394" s="21">
        <f>IF('Journal'!B1698="","",'Journal'!B1698)</f>
        <v/>
      </c>
      <c r="C3394" s="5">
        <f>IF('Journal'!C1698="","",'Journal'!C1698)</f>
        <v/>
      </c>
      <c r="D3394" s="5">
        <f>IF('Journal'!E1698="","",IFERROR(LEFT('Journal'!E1698,FIND(" ",'Journal'!E1698)-1),'Journal'!E1698))</f>
        <v/>
      </c>
      <c r="E3394" s="5">
        <f>IF('Journal'!E1698="","",IFERROR(INDEX('Kontoplan'!$B$3:$B$302,MATCH('Journal'!E1698,'Kontoplan'!$H$3:$H$302,0)),""))</f>
        <v/>
      </c>
      <c r="F3394" s="20">
        <f>IF('Journal'!F1698="","",'Journal'!F1698)</f>
        <v/>
      </c>
      <c r="G3394" s="20">
        <f>IF('Journal'!G1698="","",'Journal'!G1698)</f>
        <v/>
      </c>
      <c r="H3394" s="5">
        <f>IF('Journal'!I1698="","",'Journal'!I1698)</f>
        <v/>
      </c>
    </row>
    <row r="3395">
      <c r="A3395" s="18">
        <f>IF('Journal'!A1699="","",'Journal'!A1699)</f>
        <v/>
      </c>
      <c r="B3395" s="21">
        <f>IF('Journal'!B1699="","",'Journal'!B1699)</f>
        <v/>
      </c>
      <c r="C3395" s="5">
        <f>IF('Journal'!C1699="","",'Journal'!C1699)</f>
        <v/>
      </c>
      <c r="D3395" s="5">
        <f>IF('Journal'!D1699="","",IFERROR(LEFT('Journal'!D1699,FIND(" ",'Journal'!D1699)-1),'Journal'!D1699))</f>
        <v/>
      </c>
      <c r="E3395" s="5">
        <f>IF('Journal'!D1699="","",IFERROR(INDEX('Kontoplan'!$B$3:$B$302,MATCH('Journal'!D1699,'Kontoplan'!$H$3:$H$302,0)),""))</f>
        <v/>
      </c>
      <c r="F3395" s="20">
        <f>IF('Journal'!G1699="","",'Journal'!G1699)</f>
        <v/>
      </c>
      <c r="G3395" s="20">
        <f>IF('Journal'!F1699="","",'Journal'!F1699)</f>
        <v/>
      </c>
      <c r="H3395" s="5">
        <f>IF('Journal'!I1699="","",'Journal'!I1699)</f>
        <v/>
      </c>
    </row>
    <row r="3396">
      <c r="A3396" s="18">
        <f>IF('Journal'!A1699="","",'Journal'!A1699)</f>
        <v/>
      </c>
      <c r="B3396" s="21">
        <f>IF('Journal'!B1699="","",'Journal'!B1699)</f>
        <v/>
      </c>
      <c r="C3396" s="5">
        <f>IF('Journal'!C1699="","",'Journal'!C1699)</f>
        <v/>
      </c>
      <c r="D3396" s="5">
        <f>IF('Journal'!E1699="","",IFERROR(LEFT('Journal'!E1699,FIND(" ",'Journal'!E1699)-1),'Journal'!E1699))</f>
        <v/>
      </c>
      <c r="E3396" s="5">
        <f>IF('Journal'!E1699="","",IFERROR(INDEX('Kontoplan'!$B$3:$B$302,MATCH('Journal'!E1699,'Kontoplan'!$H$3:$H$302,0)),""))</f>
        <v/>
      </c>
      <c r="F3396" s="20">
        <f>IF('Journal'!F1699="","",'Journal'!F1699)</f>
        <v/>
      </c>
      <c r="G3396" s="20">
        <f>IF('Journal'!G1699="","",'Journal'!G1699)</f>
        <v/>
      </c>
      <c r="H3396" s="5">
        <f>IF('Journal'!I1699="","",'Journal'!I1699)</f>
        <v/>
      </c>
    </row>
    <row r="3397">
      <c r="A3397" s="18">
        <f>IF('Journal'!A1700="","",'Journal'!A1700)</f>
        <v/>
      </c>
      <c r="B3397" s="21">
        <f>IF('Journal'!B1700="","",'Journal'!B1700)</f>
        <v/>
      </c>
      <c r="C3397" s="5">
        <f>IF('Journal'!C1700="","",'Journal'!C1700)</f>
        <v/>
      </c>
      <c r="D3397" s="5">
        <f>IF('Journal'!D1700="","",IFERROR(LEFT('Journal'!D1700,FIND(" ",'Journal'!D1700)-1),'Journal'!D1700))</f>
        <v/>
      </c>
      <c r="E3397" s="5">
        <f>IF('Journal'!D1700="","",IFERROR(INDEX('Kontoplan'!$B$3:$B$302,MATCH('Journal'!D1700,'Kontoplan'!$H$3:$H$302,0)),""))</f>
        <v/>
      </c>
      <c r="F3397" s="20">
        <f>IF('Journal'!G1700="","",'Journal'!G1700)</f>
        <v/>
      </c>
      <c r="G3397" s="20">
        <f>IF('Journal'!F1700="","",'Journal'!F1700)</f>
        <v/>
      </c>
      <c r="H3397" s="5">
        <f>IF('Journal'!I1700="","",'Journal'!I1700)</f>
        <v/>
      </c>
    </row>
    <row r="3398">
      <c r="A3398" s="18">
        <f>IF('Journal'!A1700="","",'Journal'!A1700)</f>
        <v/>
      </c>
      <c r="B3398" s="21">
        <f>IF('Journal'!B1700="","",'Journal'!B1700)</f>
        <v/>
      </c>
      <c r="C3398" s="5">
        <f>IF('Journal'!C1700="","",'Journal'!C1700)</f>
        <v/>
      </c>
      <c r="D3398" s="5">
        <f>IF('Journal'!E1700="","",IFERROR(LEFT('Journal'!E1700,FIND(" ",'Journal'!E1700)-1),'Journal'!E1700))</f>
        <v/>
      </c>
      <c r="E3398" s="5">
        <f>IF('Journal'!E1700="","",IFERROR(INDEX('Kontoplan'!$B$3:$B$302,MATCH('Journal'!E1700,'Kontoplan'!$H$3:$H$302,0)),""))</f>
        <v/>
      </c>
      <c r="F3398" s="20">
        <f>IF('Journal'!F1700="","",'Journal'!F1700)</f>
        <v/>
      </c>
      <c r="G3398" s="20">
        <f>IF('Journal'!G1700="","",'Journal'!G1700)</f>
        <v/>
      </c>
      <c r="H3398" s="5">
        <f>IF('Journal'!I1700="","",'Journal'!I1700)</f>
        <v/>
      </c>
    </row>
    <row r="3399">
      <c r="A3399" s="18">
        <f>IF('Journal'!A1701="","",'Journal'!A1701)</f>
        <v/>
      </c>
      <c r="B3399" s="21">
        <f>IF('Journal'!B1701="","",'Journal'!B1701)</f>
        <v/>
      </c>
      <c r="C3399" s="5">
        <f>IF('Journal'!C1701="","",'Journal'!C1701)</f>
        <v/>
      </c>
      <c r="D3399" s="5">
        <f>IF('Journal'!D1701="","",IFERROR(LEFT('Journal'!D1701,FIND(" ",'Journal'!D1701)-1),'Journal'!D1701))</f>
        <v/>
      </c>
      <c r="E3399" s="5">
        <f>IF('Journal'!D1701="","",IFERROR(INDEX('Kontoplan'!$B$3:$B$302,MATCH('Journal'!D1701,'Kontoplan'!$H$3:$H$302,0)),""))</f>
        <v/>
      </c>
      <c r="F3399" s="20">
        <f>IF('Journal'!G1701="","",'Journal'!G1701)</f>
        <v/>
      </c>
      <c r="G3399" s="20">
        <f>IF('Journal'!F1701="","",'Journal'!F1701)</f>
        <v/>
      </c>
      <c r="H3399" s="5">
        <f>IF('Journal'!I1701="","",'Journal'!I1701)</f>
        <v/>
      </c>
    </row>
    <row r="3400">
      <c r="A3400" s="18">
        <f>IF('Journal'!A1701="","",'Journal'!A1701)</f>
        <v/>
      </c>
      <c r="B3400" s="21">
        <f>IF('Journal'!B1701="","",'Journal'!B1701)</f>
        <v/>
      </c>
      <c r="C3400" s="5">
        <f>IF('Journal'!C1701="","",'Journal'!C1701)</f>
        <v/>
      </c>
      <c r="D3400" s="5">
        <f>IF('Journal'!E1701="","",IFERROR(LEFT('Journal'!E1701,FIND(" ",'Journal'!E1701)-1),'Journal'!E1701))</f>
        <v/>
      </c>
      <c r="E3400" s="5">
        <f>IF('Journal'!E1701="","",IFERROR(INDEX('Kontoplan'!$B$3:$B$302,MATCH('Journal'!E1701,'Kontoplan'!$H$3:$H$302,0)),""))</f>
        <v/>
      </c>
      <c r="F3400" s="20">
        <f>IF('Journal'!F1701="","",'Journal'!F1701)</f>
        <v/>
      </c>
      <c r="G3400" s="20">
        <f>IF('Journal'!G1701="","",'Journal'!G1701)</f>
        <v/>
      </c>
      <c r="H3400" s="5">
        <f>IF('Journal'!I1701="","",'Journal'!I1701)</f>
        <v/>
      </c>
    </row>
    <row r="3401">
      <c r="A3401" s="18">
        <f>IF('Journal'!A1702="","",'Journal'!A1702)</f>
        <v/>
      </c>
      <c r="B3401" s="21">
        <f>IF('Journal'!B1702="","",'Journal'!B1702)</f>
        <v/>
      </c>
      <c r="C3401" s="5">
        <f>IF('Journal'!C1702="","",'Journal'!C1702)</f>
        <v/>
      </c>
      <c r="D3401" s="5">
        <f>IF('Journal'!D1702="","",IFERROR(LEFT('Journal'!D1702,FIND(" ",'Journal'!D1702)-1),'Journal'!D1702))</f>
        <v/>
      </c>
      <c r="E3401" s="5">
        <f>IF('Journal'!D1702="","",IFERROR(INDEX('Kontoplan'!$B$3:$B$302,MATCH('Journal'!D1702,'Kontoplan'!$H$3:$H$302,0)),""))</f>
        <v/>
      </c>
      <c r="F3401" s="20">
        <f>IF('Journal'!G1702="","",'Journal'!G1702)</f>
        <v/>
      </c>
      <c r="G3401" s="20">
        <f>IF('Journal'!F1702="","",'Journal'!F1702)</f>
        <v/>
      </c>
      <c r="H3401" s="5">
        <f>IF('Journal'!I1702="","",'Journal'!I1702)</f>
        <v/>
      </c>
    </row>
    <row r="3402">
      <c r="A3402" s="18">
        <f>IF('Journal'!A1702="","",'Journal'!A1702)</f>
        <v/>
      </c>
      <c r="B3402" s="21">
        <f>IF('Journal'!B1702="","",'Journal'!B1702)</f>
        <v/>
      </c>
      <c r="C3402" s="5">
        <f>IF('Journal'!C1702="","",'Journal'!C1702)</f>
        <v/>
      </c>
      <c r="D3402" s="5">
        <f>IF('Journal'!E1702="","",IFERROR(LEFT('Journal'!E1702,FIND(" ",'Journal'!E1702)-1),'Journal'!E1702))</f>
        <v/>
      </c>
      <c r="E3402" s="5">
        <f>IF('Journal'!E1702="","",IFERROR(INDEX('Kontoplan'!$B$3:$B$302,MATCH('Journal'!E1702,'Kontoplan'!$H$3:$H$302,0)),""))</f>
        <v/>
      </c>
      <c r="F3402" s="20">
        <f>IF('Journal'!F1702="","",'Journal'!F1702)</f>
        <v/>
      </c>
      <c r="G3402" s="20">
        <f>IF('Journal'!G1702="","",'Journal'!G1702)</f>
        <v/>
      </c>
      <c r="H3402" s="5">
        <f>IF('Journal'!I1702="","",'Journal'!I1702)</f>
        <v/>
      </c>
    </row>
    <row r="3403">
      <c r="A3403" s="18">
        <f>IF('Journal'!A1703="","",'Journal'!A1703)</f>
        <v/>
      </c>
      <c r="B3403" s="21">
        <f>IF('Journal'!B1703="","",'Journal'!B1703)</f>
        <v/>
      </c>
      <c r="C3403" s="5">
        <f>IF('Journal'!C1703="","",'Journal'!C1703)</f>
        <v/>
      </c>
      <c r="D3403" s="5">
        <f>IF('Journal'!D1703="","",IFERROR(LEFT('Journal'!D1703,FIND(" ",'Journal'!D1703)-1),'Journal'!D1703))</f>
        <v/>
      </c>
      <c r="E3403" s="5">
        <f>IF('Journal'!D1703="","",IFERROR(INDEX('Kontoplan'!$B$3:$B$302,MATCH('Journal'!D1703,'Kontoplan'!$H$3:$H$302,0)),""))</f>
        <v/>
      </c>
      <c r="F3403" s="20">
        <f>IF('Journal'!G1703="","",'Journal'!G1703)</f>
        <v/>
      </c>
      <c r="G3403" s="20">
        <f>IF('Journal'!F1703="","",'Journal'!F1703)</f>
        <v/>
      </c>
      <c r="H3403" s="5">
        <f>IF('Journal'!I1703="","",'Journal'!I1703)</f>
        <v/>
      </c>
    </row>
    <row r="3404">
      <c r="A3404" s="18">
        <f>IF('Journal'!A1703="","",'Journal'!A1703)</f>
        <v/>
      </c>
      <c r="B3404" s="21">
        <f>IF('Journal'!B1703="","",'Journal'!B1703)</f>
        <v/>
      </c>
      <c r="C3404" s="5">
        <f>IF('Journal'!C1703="","",'Journal'!C1703)</f>
        <v/>
      </c>
      <c r="D3404" s="5">
        <f>IF('Journal'!E1703="","",IFERROR(LEFT('Journal'!E1703,FIND(" ",'Journal'!E1703)-1),'Journal'!E1703))</f>
        <v/>
      </c>
      <c r="E3404" s="5">
        <f>IF('Journal'!E1703="","",IFERROR(INDEX('Kontoplan'!$B$3:$B$302,MATCH('Journal'!E1703,'Kontoplan'!$H$3:$H$302,0)),""))</f>
        <v/>
      </c>
      <c r="F3404" s="20">
        <f>IF('Journal'!F1703="","",'Journal'!F1703)</f>
        <v/>
      </c>
      <c r="G3404" s="20">
        <f>IF('Journal'!G1703="","",'Journal'!G1703)</f>
        <v/>
      </c>
      <c r="H3404" s="5">
        <f>IF('Journal'!I1703="","",'Journal'!I1703)</f>
        <v/>
      </c>
    </row>
    <row r="3405">
      <c r="A3405" s="18">
        <f>IF('Journal'!A1704="","",'Journal'!A1704)</f>
        <v/>
      </c>
      <c r="B3405" s="21">
        <f>IF('Journal'!B1704="","",'Journal'!B1704)</f>
        <v/>
      </c>
      <c r="C3405" s="5">
        <f>IF('Journal'!C1704="","",'Journal'!C1704)</f>
        <v/>
      </c>
      <c r="D3405" s="5">
        <f>IF('Journal'!D1704="","",IFERROR(LEFT('Journal'!D1704,FIND(" ",'Journal'!D1704)-1),'Journal'!D1704))</f>
        <v/>
      </c>
      <c r="E3405" s="5">
        <f>IF('Journal'!D1704="","",IFERROR(INDEX('Kontoplan'!$B$3:$B$302,MATCH('Journal'!D1704,'Kontoplan'!$H$3:$H$302,0)),""))</f>
        <v/>
      </c>
      <c r="F3405" s="20">
        <f>IF('Journal'!G1704="","",'Journal'!G1704)</f>
        <v/>
      </c>
      <c r="G3405" s="20">
        <f>IF('Journal'!F1704="","",'Journal'!F1704)</f>
        <v/>
      </c>
      <c r="H3405" s="5">
        <f>IF('Journal'!I1704="","",'Journal'!I1704)</f>
        <v/>
      </c>
    </row>
    <row r="3406">
      <c r="A3406" s="18">
        <f>IF('Journal'!A1704="","",'Journal'!A1704)</f>
        <v/>
      </c>
      <c r="B3406" s="21">
        <f>IF('Journal'!B1704="","",'Journal'!B1704)</f>
        <v/>
      </c>
      <c r="C3406" s="5">
        <f>IF('Journal'!C1704="","",'Journal'!C1704)</f>
        <v/>
      </c>
      <c r="D3406" s="5">
        <f>IF('Journal'!E1704="","",IFERROR(LEFT('Journal'!E1704,FIND(" ",'Journal'!E1704)-1),'Journal'!E1704))</f>
        <v/>
      </c>
      <c r="E3406" s="5">
        <f>IF('Journal'!E1704="","",IFERROR(INDEX('Kontoplan'!$B$3:$B$302,MATCH('Journal'!E1704,'Kontoplan'!$H$3:$H$302,0)),""))</f>
        <v/>
      </c>
      <c r="F3406" s="20">
        <f>IF('Journal'!F1704="","",'Journal'!F1704)</f>
        <v/>
      </c>
      <c r="G3406" s="20">
        <f>IF('Journal'!G1704="","",'Journal'!G1704)</f>
        <v/>
      </c>
      <c r="H3406" s="5">
        <f>IF('Journal'!I1704="","",'Journal'!I1704)</f>
        <v/>
      </c>
    </row>
    <row r="3407">
      <c r="A3407" s="18">
        <f>IF('Journal'!A1705="","",'Journal'!A1705)</f>
        <v/>
      </c>
      <c r="B3407" s="21">
        <f>IF('Journal'!B1705="","",'Journal'!B1705)</f>
        <v/>
      </c>
      <c r="C3407" s="5">
        <f>IF('Journal'!C1705="","",'Journal'!C1705)</f>
        <v/>
      </c>
      <c r="D3407" s="5">
        <f>IF('Journal'!D1705="","",IFERROR(LEFT('Journal'!D1705,FIND(" ",'Journal'!D1705)-1),'Journal'!D1705))</f>
        <v/>
      </c>
      <c r="E3407" s="5">
        <f>IF('Journal'!D1705="","",IFERROR(INDEX('Kontoplan'!$B$3:$B$302,MATCH('Journal'!D1705,'Kontoplan'!$H$3:$H$302,0)),""))</f>
        <v/>
      </c>
      <c r="F3407" s="20">
        <f>IF('Journal'!G1705="","",'Journal'!G1705)</f>
        <v/>
      </c>
      <c r="G3407" s="20">
        <f>IF('Journal'!F1705="","",'Journal'!F1705)</f>
        <v/>
      </c>
      <c r="H3407" s="5">
        <f>IF('Journal'!I1705="","",'Journal'!I1705)</f>
        <v/>
      </c>
    </row>
    <row r="3408">
      <c r="A3408" s="18">
        <f>IF('Journal'!A1705="","",'Journal'!A1705)</f>
        <v/>
      </c>
      <c r="B3408" s="21">
        <f>IF('Journal'!B1705="","",'Journal'!B1705)</f>
        <v/>
      </c>
      <c r="C3408" s="5">
        <f>IF('Journal'!C1705="","",'Journal'!C1705)</f>
        <v/>
      </c>
      <c r="D3408" s="5">
        <f>IF('Journal'!E1705="","",IFERROR(LEFT('Journal'!E1705,FIND(" ",'Journal'!E1705)-1),'Journal'!E1705))</f>
        <v/>
      </c>
      <c r="E3408" s="5">
        <f>IF('Journal'!E1705="","",IFERROR(INDEX('Kontoplan'!$B$3:$B$302,MATCH('Journal'!E1705,'Kontoplan'!$H$3:$H$302,0)),""))</f>
        <v/>
      </c>
      <c r="F3408" s="20">
        <f>IF('Journal'!F1705="","",'Journal'!F1705)</f>
        <v/>
      </c>
      <c r="G3408" s="20">
        <f>IF('Journal'!G1705="","",'Journal'!G1705)</f>
        <v/>
      </c>
      <c r="H3408" s="5">
        <f>IF('Journal'!I1705="","",'Journal'!I1705)</f>
        <v/>
      </c>
    </row>
    <row r="3409">
      <c r="A3409" s="18">
        <f>IF('Journal'!A1706="","",'Journal'!A1706)</f>
        <v/>
      </c>
      <c r="B3409" s="21">
        <f>IF('Journal'!B1706="","",'Journal'!B1706)</f>
        <v/>
      </c>
      <c r="C3409" s="5">
        <f>IF('Journal'!C1706="","",'Journal'!C1706)</f>
        <v/>
      </c>
      <c r="D3409" s="5">
        <f>IF('Journal'!D1706="","",IFERROR(LEFT('Journal'!D1706,FIND(" ",'Journal'!D1706)-1),'Journal'!D1706))</f>
        <v/>
      </c>
      <c r="E3409" s="5">
        <f>IF('Journal'!D1706="","",IFERROR(INDEX('Kontoplan'!$B$3:$B$302,MATCH('Journal'!D1706,'Kontoplan'!$H$3:$H$302,0)),""))</f>
        <v/>
      </c>
      <c r="F3409" s="20">
        <f>IF('Journal'!G1706="","",'Journal'!G1706)</f>
        <v/>
      </c>
      <c r="G3409" s="20">
        <f>IF('Journal'!F1706="","",'Journal'!F1706)</f>
        <v/>
      </c>
      <c r="H3409" s="5">
        <f>IF('Journal'!I1706="","",'Journal'!I1706)</f>
        <v/>
      </c>
    </row>
    <row r="3410">
      <c r="A3410" s="18">
        <f>IF('Journal'!A1706="","",'Journal'!A1706)</f>
        <v/>
      </c>
      <c r="B3410" s="21">
        <f>IF('Journal'!B1706="","",'Journal'!B1706)</f>
        <v/>
      </c>
      <c r="C3410" s="5">
        <f>IF('Journal'!C1706="","",'Journal'!C1706)</f>
        <v/>
      </c>
      <c r="D3410" s="5">
        <f>IF('Journal'!E1706="","",IFERROR(LEFT('Journal'!E1706,FIND(" ",'Journal'!E1706)-1),'Journal'!E1706))</f>
        <v/>
      </c>
      <c r="E3410" s="5">
        <f>IF('Journal'!E1706="","",IFERROR(INDEX('Kontoplan'!$B$3:$B$302,MATCH('Journal'!E1706,'Kontoplan'!$H$3:$H$302,0)),""))</f>
        <v/>
      </c>
      <c r="F3410" s="20">
        <f>IF('Journal'!F1706="","",'Journal'!F1706)</f>
        <v/>
      </c>
      <c r="G3410" s="20">
        <f>IF('Journal'!G1706="","",'Journal'!G1706)</f>
        <v/>
      </c>
      <c r="H3410" s="5">
        <f>IF('Journal'!I1706="","",'Journal'!I1706)</f>
        <v/>
      </c>
    </row>
    <row r="3411">
      <c r="A3411" s="18">
        <f>IF('Journal'!A1707="","",'Journal'!A1707)</f>
        <v/>
      </c>
      <c r="B3411" s="21">
        <f>IF('Journal'!B1707="","",'Journal'!B1707)</f>
        <v/>
      </c>
      <c r="C3411" s="5">
        <f>IF('Journal'!C1707="","",'Journal'!C1707)</f>
        <v/>
      </c>
      <c r="D3411" s="5">
        <f>IF('Journal'!D1707="","",IFERROR(LEFT('Journal'!D1707,FIND(" ",'Journal'!D1707)-1),'Journal'!D1707))</f>
        <v/>
      </c>
      <c r="E3411" s="5">
        <f>IF('Journal'!D1707="","",IFERROR(INDEX('Kontoplan'!$B$3:$B$302,MATCH('Journal'!D1707,'Kontoplan'!$H$3:$H$302,0)),""))</f>
        <v/>
      </c>
      <c r="F3411" s="20">
        <f>IF('Journal'!G1707="","",'Journal'!G1707)</f>
        <v/>
      </c>
      <c r="G3411" s="20">
        <f>IF('Journal'!F1707="","",'Journal'!F1707)</f>
        <v/>
      </c>
      <c r="H3411" s="5">
        <f>IF('Journal'!I1707="","",'Journal'!I1707)</f>
        <v/>
      </c>
    </row>
    <row r="3412">
      <c r="A3412" s="18">
        <f>IF('Journal'!A1707="","",'Journal'!A1707)</f>
        <v/>
      </c>
      <c r="B3412" s="21">
        <f>IF('Journal'!B1707="","",'Journal'!B1707)</f>
        <v/>
      </c>
      <c r="C3412" s="5">
        <f>IF('Journal'!C1707="","",'Journal'!C1707)</f>
        <v/>
      </c>
      <c r="D3412" s="5">
        <f>IF('Journal'!E1707="","",IFERROR(LEFT('Journal'!E1707,FIND(" ",'Journal'!E1707)-1),'Journal'!E1707))</f>
        <v/>
      </c>
      <c r="E3412" s="5">
        <f>IF('Journal'!E1707="","",IFERROR(INDEX('Kontoplan'!$B$3:$B$302,MATCH('Journal'!E1707,'Kontoplan'!$H$3:$H$302,0)),""))</f>
        <v/>
      </c>
      <c r="F3412" s="20">
        <f>IF('Journal'!F1707="","",'Journal'!F1707)</f>
        <v/>
      </c>
      <c r="G3412" s="20">
        <f>IF('Journal'!G1707="","",'Journal'!G1707)</f>
        <v/>
      </c>
      <c r="H3412" s="5">
        <f>IF('Journal'!I1707="","",'Journal'!I1707)</f>
        <v/>
      </c>
    </row>
    <row r="3413">
      <c r="A3413" s="18">
        <f>IF('Journal'!A1708="","",'Journal'!A1708)</f>
        <v/>
      </c>
      <c r="B3413" s="21">
        <f>IF('Journal'!B1708="","",'Journal'!B1708)</f>
        <v/>
      </c>
      <c r="C3413" s="5">
        <f>IF('Journal'!C1708="","",'Journal'!C1708)</f>
        <v/>
      </c>
      <c r="D3413" s="5">
        <f>IF('Journal'!D1708="","",IFERROR(LEFT('Journal'!D1708,FIND(" ",'Journal'!D1708)-1),'Journal'!D1708))</f>
        <v/>
      </c>
      <c r="E3413" s="5">
        <f>IF('Journal'!D1708="","",IFERROR(INDEX('Kontoplan'!$B$3:$B$302,MATCH('Journal'!D1708,'Kontoplan'!$H$3:$H$302,0)),""))</f>
        <v/>
      </c>
      <c r="F3413" s="20">
        <f>IF('Journal'!G1708="","",'Journal'!G1708)</f>
        <v/>
      </c>
      <c r="G3413" s="20">
        <f>IF('Journal'!F1708="","",'Journal'!F1708)</f>
        <v/>
      </c>
      <c r="H3413" s="5">
        <f>IF('Journal'!I1708="","",'Journal'!I1708)</f>
        <v/>
      </c>
    </row>
    <row r="3414">
      <c r="A3414" s="18">
        <f>IF('Journal'!A1708="","",'Journal'!A1708)</f>
        <v/>
      </c>
      <c r="B3414" s="21">
        <f>IF('Journal'!B1708="","",'Journal'!B1708)</f>
        <v/>
      </c>
      <c r="C3414" s="5">
        <f>IF('Journal'!C1708="","",'Journal'!C1708)</f>
        <v/>
      </c>
      <c r="D3414" s="5">
        <f>IF('Journal'!E1708="","",IFERROR(LEFT('Journal'!E1708,FIND(" ",'Journal'!E1708)-1),'Journal'!E1708))</f>
        <v/>
      </c>
      <c r="E3414" s="5">
        <f>IF('Journal'!E1708="","",IFERROR(INDEX('Kontoplan'!$B$3:$B$302,MATCH('Journal'!E1708,'Kontoplan'!$H$3:$H$302,0)),""))</f>
        <v/>
      </c>
      <c r="F3414" s="20">
        <f>IF('Journal'!F1708="","",'Journal'!F1708)</f>
        <v/>
      </c>
      <c r="G3414" s="20">
        <f>IF('Journal'!G1708="","",'Journal'!G1708)</f>
        <v/>
      </c>
      <c r="H3414" s="5">
        <f>IF('Journal'!I1708="","",'Journal'!I1708)</f>
        <v/>
      </c>
    </row>
    <row r="3415">
      <c r="A3415" s="18">
        <f>IF('Journal'!A1709="","",'Journal'!A1709)</f>
        <v/>
      </c>
      <c r="B3415" s="21">
        <f>IF('Journal'!B1709="","",'Journal'!B1709)</f>
        <v/>
      </c>
      <c r="C3415" s="5">
        <f>IF('Journal'!C1709="","",'Journal'!C1709)</f>
        <v/>
      </c>
      <c r="D3415" s="5">
        <f>IF('Journal'!D1709="","",IFERROR(LEFT('Journal'!D1709,FIND(" ",'Journal'!D1709)-1),'Journal'!D1709))</f>
        <v/>
      </c>
      <c r="E3415" s="5">
        <f>IF('Journal'!D1709="","",IFERROR(INDEX('Kontoplan'!$B$3:$B$302,MATCH('Journal'!D1709,'Kontoplan'!$H$3:$H$302,0)),""))</f>
        <v/>
      </c>
      <c r="F3415" s="20">
        <f>IF('Journal'!G1709="","",'Journal'!G1709)</f>
        <v/>
      </c>
      <c r="G3415" s="20">
        <f>IF('Journal'!F1709="","",'Journal'!F1709)</f>
        <v/>
      </c>
      <c r="H3415" s="5">
        <f>IF('Journal'!I1709="","",'Journal'!I1709)</f>
        <v/>
      </c>
    </row>
    <row r="3416">
      <c r="A3416" s="18">
        <f>IF('Journal'!A1709="","",'Journal'!A1709)</f>
        <v/>
      </c>
      <c r="B3416" s="21">
        <f>IF('Journal'!B1709="","",'Journal'!B1709)</f>
        <v/>
      </c>
      <c r="C3416" s="5">
        <f>IF('Journal'!C1709="","",'Journal'!C1709)</f>
        <v/>
      </c>
      <c r="D3416" s="5">
        <f>IF('Journal'!E1709="","",IFERROR(LEFT('Journal'!E1709,FIND(" ",'Journal'!E1709)-1),'Journal'!E1709))</f>
        <v/>
      </c>
      <c r="E3416" s="5">
        <f>IF('Journal'!E1709="","",IFERROR(INDEX('Kontoplan'!$B$3:$B$302,MATCH('Journal'!E1709,'Kontoplan'!$H$3:$H$302,0)),""))</f>
        <v/>
      </c>
      <c r="F3416" s="20">
        <f>IF('Journal'!F1709="","",'Journal'!F1709)</f>
        <v/>
      </c>
      <c r="G3416" s="20">
        <f>IF('Journal'!G1709="","",'Journal'!G1709)</f>
        <v/>
      </c>
      <c r="H3416" s="5">
        <f>IF('Journal'!I1709="","",'Journal'!I1709)</f>
        <v/>
      </c>
    </row>
    <row r="3417">
      <c r="A3417" s="18">
        <f>IF('Journal'!A1710="","",'Journal'!A1710)</f>
        <v/>
      </c>
      <c r="B3417" s="21">
        <f>IF('Journal'!B1710="","",'Journal'!B1710)</f>
        <v/>
      </c>
      <c r="C3417" s="5">
        <f>IF('Journal'!C1710="","",'Journal'!C1710)</f>
        <v/>
      </c>
      <c r="D3417" s="5">
        <f>IF('Journal'!D1710="","",IFERROR(LEFT('Journal'!D1710,FIND(" ",'Journal'!D1710)-1),'Journal'!D1710))</f>
        <v/>
      </c>
      <c r="E3417" s="5">
        <f>IF('Journal'!D1710="","",IFERROR(INDEX('Kontoplan'!$B$3:$B$302,MATCH('Journal'!D1710,'Kontoplan'!$H$3:$H$302,0)),""))</f>
        <v/>
      </c>
      <c r="F3417" s="20">
        <f>IF('Journal'!G1710="","",'Journal'!G1710)</f>
        <v/>
      </c>
      <c r="G3417" s="20">
        <f>IF('Journal'!F1710="","",'Journal'!F1710)</f>
        <v/>
      </c>
      <c r="H3417" s="5">
        <f>IF('Journal'!I1710="","",'Journal'!I1710)</f>
        <v/>
      </c>
    </row>
    <row r="3418">
      <c r="A3418" s="18">
        <f>IF('Journal'!A1710="","",'Journal'!A1710)</f>
        <v/>
      </c>
      <c r="B3418" s="21">
        <f>IF('Journal'!B1710="","",'Journal'!B1710)</f>
        <v/>
      </c>
      <c r="C3418" s="5">
        <f>IF('Journal'!C1710="","",'Journal'!C1710)</f>
        <v/>
      </c>
      <c r="D3418" s="5">
        <f>IF('Journal'!E1710="","",IFERROR(LEFT('Journal'!E1710,FIND(" ",'Journal'!E1710)-1),'Journal'!E1710))</f>
        <v/>
      </c>
      <c r="E3418" s="5">
        <f>IF('Journal'!E1710="","",IFERROR(INDEX('Kontoplan'!$B$3:$B$302,MATCH('Journal'!E1710,'Kontoplan'!$H$3:$H$302,0)),""))</f>
        <v/>
      </c>
      <c r="F3418" s="20">
        <f>IF('Journal'!F1710="","",'Journal'!F1710)</f>
        <v/>
      </c>
      <c r="G3418" s="20">
        <f>IF('Journal'!G1710="","",'Journal'!G1710)</f>
        <v/>
      </c>
      <c r="H3418" s="5">
        <f>IF('Journal'!I1710="","",'Journal'!I1710)</f>
        <v/>
      </c>
    </row>
    <row r="3419">
      <c r="A3419" s="18">
        <f>IF('Journal'!A1711="","",'Journal'!A1711)</f>
        <v/>
      </c>
      <c r="B3419" s="21">
        <f>IF('Journal'!B1711="","",'Journal'!B1711)</f>
        <v/>
      </c>
      <c r="C3419" s="5">
        <f>IF('Journal'!C1711="","",'Journal'!C1711)</f>
        <v/>
      </c>
      <c r="D3419" s="5">
        <f>IF('Journal'!D1711="","",IFERROR(LEFT('Journal'!D1711,FIND(" ",'Journal'!D1711)-1),'Journal'!D1711))</f>
        <v/>
      </c>
      <c r="E3419" s="5">
        <f>IF('Journal'!D1711="","",IFERROR(INDEX('Kontoplan'!$B$3:$B$302,MATCH('Journal'!D1711,'Kontoplan'!$H$3:$H$302,0)),""))</f>
        <v/>
      </c>
      <c r="F3419" s="20">
        <f>IF('Journal'!G1711="","",'Journal'!G1711)</f>
        <v/>
      </c>
      <c r="G3419" s="20">
        <f>IF('Journal'!F1711="","",'Journal'!F1711)</f>
        <v/>
      </c>
      <c r="H3419" s="5">
        <f>IF('Journal'!I1711="","",'Journal'!I1711)</f>
        <v/>
      </c>
    </row>
    <row r="3420">
      <c r="A3420" s="18">
        <f>IF('Journal'!A1711="","",'Journal'!A1711)</f>
        <v/>
      </c>
      <c r="B3420" s="21">
        <f>IF('Journal'!B1711="","",'Journal'!B1711)</f>
        <v/>
      </c>
      <c r="C3420" s="5">
        <f>IF('Journal'!C1711="","",'Journal'!C1711)</f>
        <v/>
      </c>
      <c r="D3420" s="5">
        <f>IF('Journal'!E1711="","",IFERROR(LEFT('Journal'!E1711,FIND(" ",'Journal'!E1711)-1),'Journal'!E1711))</f>
        <v/>
      </c>
      <c r="E3420" s="5">
        <f>IF('Journal'!E1711="","",IFERROR(INDEX('Kontoplan'!$B$3:$B$302,MATCH('Journal'!E1711,'Kontoplan'!$H$3:$H$302,0)),""))</f>
        <v/>
      </c>
      <c r="F3420" s="20">
        <f>IF('Journal'!F1711="","",'Journal'!F1711)</f>
        <v/>
      </c>
      <c r="G3420" s="20">
        <f>IF('Journal'!G1711="","",'Journal'!G1711)</f>
        <v/>
      </c>
      <c r="H3420" s="5">
        <f>IF('Journal'!I1711="","",'Journal'!I1711)</f>
        <v/>
      </c>
    </row>
    <row r="3421">
      <c r="A3421" s="18">
        <f>IF('Journal'!A1712="","",'Journal'!A1712)</f>
        <v/>
      </c>
      <c r="B3421" s="21">
        <f>IF('Journal'!B1712="","",'Journal'!B1712)</f>
        <v/>
      </c>
      <c r="C3421" s="5">
        <f>IF('Journal'!C1712="","",'Journal'!C1712)</f>
        <v/>
      </c>
      <c r="D3421" s="5">
        <f>IF('Journal'!D1712="","",IFERROR(LEFT('Journal'!D1712,FIND(" ",'Journal'!D1712)-1),'Journal'!D1712))</f>
        <v/>
      </c>
      <c r="E3421" s="5">
        <f>IF('Journal'!D1712="","",IFERROR(INDEX('Kontoplan'!$B$3:$B$302,MATCH('Journal'!D1712,'Kontoplan'!$H$3:$H$302,0)),""))</f>
        <v/>
      </c>
      <c r="F3421" s="20">
        <f>IF('Journal'!G1712="","",'Journal'!G1712)</f>
        <v/>
      </c>
      <c r="G3421" s="20">
        <f>IF('Journal'!F1712="","",'Journal'!F1712)</f>
        <v/>
      </c>
      <c r="H3421" s="5">
        <f>IF('Journal'!I1712="","",'Journal'!I1712)</f>
        <v/>
      </c>
    </row>
    <row r="3422">
      <c r="A3422" s="18">
        <f>IF('Journal'!A1712="","",'Journal'!A1712)</f>
        <v/>
      </c>
      <c r="B3422" s="21">
        <f>IF('Journal'!B1712="","",'Journal'!B1712)</f>
        <v/>
      </c>
      <c r="C3422" s="5">
        <f>IF('Journal'!C1712="","",'Journal'!C1712)</f>
        <v/>
      </c>
      <c r="D3422" s="5">
        <f>IF('Journal'!E1712="","",IFERROR(LEFT('Journal'!E1712,FIND(" ",'Journal'!E1712)-1),'Journal'!E1712))</f>
        <v/>
      </c>
      <c r="E3422" s="5">
        <f>IF('Journal'!E1712="","",IFERROR(INDEX('Kontoplan'!$B$3:$B$302,MATCH('Journal'!E1712,'Kontoplan'!$H$3:$H$302,0)),""))</f>
        <v/>
      </c>
      <c r="F3422" s="20">
        <f>IF('Journal'!F1712="","",'Journal'!F1712)</f>
        <v/>
      </c>
      <c r="G3422" s="20">
        <f>IF('Journal'!G1712="","",'Journal'!G1712)</f>
        <v/>
      </c>
      <c r="H3422" s="5">
        <f>IF('Journal'!I1712="","",'Journal'!I1712)</f>
        <v/>
      </c>
    </row>
    <row r="3423">
      <c r="A3423" s="18">
        <f>IF('Journal'!A1713="","",'Journal'!A1713)</f>
        <v/>
      </c>
      <c r="B3423" s="21">
        <f>IF('Journal'!B1713="","",'Journal'!B1713)</f>
        <v/>
      </c>
      <c r="C3423" s="5">
        <f>IF('Journal'!C1713="","",'Journal'!C1713)</f>
        <v/>
      </c>
      <c r="D3423" s="5">
        <f>IF('Journal'!D1713="","",IFERROR(LEFT('Journal'!D1713,FIND(" ",'Journal'!D1713)-1),'Journal'!D1713))</f>
        <v/>
      </c>
      <c r="E3423" s="5">
        <f>IF('Journal'!D1713="","",IFERROR(INDEX('Kontoplan'!$B$3:$B$302,MATCH('Journal'!D1713,'Kontoplan'!$H$3:$H$302,0)),""))</f>
        <v/>
      </c>
      <c r="F3423" s="20">
        <f>IF('Journal'!G1713="","",'Journal'!G1713)</f>
        <v/>
      </c>
      <c r="G3423" s="20">
        <f>IF('Journal'!F1713="","",'Journal'!F1713)</f>
        <v/>
      </c>
      <c r="H3423" s="5">
        <f>IF('Journal'!I1713="","",'Journal'!I1713)</f>
        <v/>
      </c>
    </row>
    <row r="3424">
      <c r="A3424" s="18">
        <f>IF('Journal'!A1713="","",'Journal'!A1713)</f>
        <v/>
      </c>
      <c r="B3424" s="21">
        <f>IF('Journal'!B1713="","",'Journal'!B1713)</f>
        <v/>
      </c>
      <c r="C3424" s="5">
        <f>IF('Journal'!C1713="","",'Journal'!C1713)</f>
        <v/>
      </c>
      <c r="D3424" s="5">
        <f>IF('Journal'!E1713="","",IFERROR(LEFT('Journal'!E1713,FIND(" ",'Journal'!E1713)-1),'Journal'!E1713))</f>
        <v/>
      </c>
      <c r="E3424" s="5">
        <f>IF('Journal'!E1713="","",IFERROR(INDEX('Kontoplan'!$B$3:$B$302,MATCH('Journal'!E1713,'Kontoplan'!$H$3:$H$302,0)),""))</f>
        <v/>
      </c>
      <c r="F3424" s="20">
        <f>IF('Journal'!F1713="","",'Journal'!F1713)</f>
        <v/>
      </c>
      <c r="G3424" s="20">
        <f>IF('Journal'!G1713="","",'Journal'!G1713)</f>
        <v/>
      </c>
      <c r="H3424" s="5">
        <f>IF('Journal'!I1713="","",'Journal'!I1713)</f>
        <v/>
      </c>
    </row>
    <row r="3425">
      <c r="A3425" s="18">
        <f>IF('Journal'!A1714="","",'Journal'!A1714)</f>
        <v/>
      </c>
      <c r="B3425" s="21">
        <f>IF('Journal'!B1714="","",'Journal'!B1714)</f>
        <v/>
      </c>
      <c r="C3425" s="5">
        <f>IF('Journal'!C1714="","",'Journal'!C1714)</f>
        <v/>
      </c>
      <c r="D3425" s="5">
        <f>IF('Journal'!D1714="","",IFERROR(LEFT('Journal'!D1714,FIND(" ",'Journal'!D1714)-1),'Journal'!D1714))</f>
        <v/>
      </c>
      <c r="E3425" s="5">
        <f>IF('Journal'!D1714="","",IFERROR(INDEX('Kontoplan'!$B$3:$B$302,MATCH('Journal'!D1714,'Kontoplan'!$H$3:$H$302,0)),""))</f>
        <v/>
      </c>
      <c r="F3425" s="20">
        <f>IF('Journal'!G1714="","",'Journal'!G1714)</f>
        <v/>
      </c>
      <c r="G3425" s="20">
        <f>IF('Journal'!F1714="","",'Journal'!F1714)</f>
        <v/>
      </c>
      <c r="H3425" s="5">
        <f>IF('Journal'!I1714="","",'Journal'!I1714)</f>
        <v/>
      </c>
    </row>
    <row r="3426">
      <c r="A3426" s="18">
        <f>IF('Journal'!A1714="","",'Journal'!A1714)</f>
        <v/>
      </c>
      <c r="B3426" s="21">
        <f>IF('Journal'!B1714="","",'Journal'!B1714)</f>
        <v/>
      </c>
      <c r="C3426" s="5">
        <f>IF('Journal'!C1714="","",'Journal'!C1714)</f>
        <v/>
      </c>
      <c r="D3426" s="5">
        <f>IF('Journal'!E1714="","",IFERROR(LEFT('Journal'!E1714,FIND(" ",'Journal'!E1714)-1),'Journal'!E1714))</f>
        <v/>
      </c>
      <c r="E3426" s="5">
        <f>IF('Journal'!E1714="","",IFERROR(INDEX('Kontoplan'!$B$3:$B$302,MATCH('Journal'!E1714,'Kontoplan'!$H$3:$H$302,0)),""))</f>
        <v/>
      </c>
      <c r="F3426" s="20">
        <f>IF('Journal'!F1714="","",'Journal'!F1714)</f>
        <v/>
      </c>
      <c r="G3426" s="20">
        <f>IF('Journal'!G1714="","",'Journal'!G1714)</f>
        <v/>
      </c>
      <c r="H3426" s="5">
        <f>IF('Journal'!I1714="","",'Journal'!I1714)</f>
        <v/>
      </c>
    </row>
    <row r="3427">
      <c r="A3427" s="18">
        <f>IF('Journal'!A1715="","",'Journal'!A1715)</f>
        <v/>
      </c>
      <c r="B3427" s="21">
        <f>IF('Journal'!B1715="","",'Journal'!B1715)</f>
        <v/>
      </c>
      <c r="C3427" s="5">
        <f>IF('Journal'!C1715="","",'Journal'!C1715)</f>
        <v/>
      </c>
      <c r="D3427" s="5">
        <f>IF('Journal'!D1715="","",IFERROR(LEFT('Journal'!D1715,FIND(" ",'Journal'!D1715)-1),'Journal'!D1715))</f>
        <v/>
      </c>
      <c r="E3427" s="5">
        <f>IF('Journal'!D1715="","",IFERROR(INDEX('Kontoplan'!$B$3:$B$302,MATCH('Journal'!D1715,'Kontoplan'!$H$3:$H$302,0)),""))</f>
        <v/>
      </c>
      <c r="F3427" s="20">
        <f>IF('Journal'!G1715="","",'Journal'!G1715)</f>
        <v/>
      </c>
      <c r="G3427" s="20">
        <f>IF('Journal'!F1715="","",'Journal'!F1715)</f>
        <v/>
      </c>
      <c r="H3427" s="5">
        <f>IF('Journal'!I1715="","",'Journal'!I1715)</f>
        <v/>
      </c>
    </row>
    <row r="3428">
      <c r="A3428" s="18">
        <f>IF('Journal'!A1715="","",'Journal'!A1715)</f>
        <v/>
      </c>
      <c r="B3428" s="21">
        <f>IF('Journal'!B1715="","",'Journal'!B1715)</f>
        <v/>
      </c>
      <c r="C3428" s="5">
        <f>IF('Journal'!C1715="","",'Journal'!C1715)</f>
        <v/>
      </c>
      <c r="D3428" s="5">
        <f>IF('Journal'!E1715="","",IFERROR(LEFT('Journal'!E1715,FIND(" ",'Journal'!E1715)-1),'Journal'!E1715))</f>
        <v/>
      </c>
      <c r="E3428" s="5">
        <f>IF('Journal'!E1715="","",IFERROR(INDEX('Kontoplan'!$B$3:$B$302,MATCH('Journal'!E1715,'Kontoplan'!$H$3:$H$302,0)),""))</f>
        <v/>
      </c>
      <c r="F3428" s="20">
        <f>IF('Journal'!F1715="","",'Journal'!F1715)</f>
        <v/>
      </c>
      <c r="G3428" s="20">
        <f>IF('Journal'!G1715="","",'Journal'!G1715)</f>
        <v/>
      </c>
      <c r="H3428" s="5">
        <f>IF('Journal'!I1715="","",'Journal'!I1715)</f>
        <v/>
      </c>
    </row>
    <row r="3429">
      <c r="A3429" s="18">
        <f>IF('Journal'!A1716="","",'Journal'!A1716)</f>
        <v/>
      </c>
      <c r="B3429" s="21">
        <f>IF('Journal'!B1716="","",'Journal'!B1716)</f>
        <v/>
      </c>
      <c r="C3429" s="5">
        <f>IF('Journal'!C1716="","",'Journal'!C1716)</f>
        <v/>
      </c>
      <c r="D3429" s="5">
        <f>IF('Journal'!D1716="","",IFERROR(LEFT('Journal'!D1716,FIND(" ",'Journal'!D1716)-1),'Journal'!D1716))</f>
        <v/>
      </c>
      <c r="E3429" s="5">
        <f>IF('Journal'!D1716="","",IFERROR(INDEX('Kontoplan'!$B$3:$B$302,MATCH('Journal'!D1716,'Kontoplan'!$H$3:$H$302,0)),""))</f>
        <v/>
      </c>
      <c r="F3429" s="20">
        <f>IF('Journal'!G1716="","",'Journal'!G1716)</f>
        <v/>
      </c>
      <c r="G3429" s="20">
        <f>IF('Journal'!F1716="","",'Journal'!F1716)</f>
        <v/>
      </c>
      <c r="H3429" s="5">
        <f>IF('Journal'!I1716="","",'Journal'!I1716)</f>
        <v/>
      </c>
    </row>
    <row r="3430">
      <c r="A3430" s="18">
        <f>IF('Journal'!A1716="","",'Journal'!A1716)</f>
        <v/>
      </c>
      <c r="B3430" s="21">
        <f>IF('Journal'!B1716="","",'Journal'!B1716)</f>
        <v/>
      </c>
      <c r="C3430" s="5">
        <f>IF('Journal'!C1716="","",'Journal'!C1716)</f>
        <v/>
      </c>
      <c r="D3430" s="5">
        <f>IF('Journal'!E1716="","",IFERROR(LEFT('Journal'!E1716,FIND(" ",'Journal'!E1716)-1),'Journal'!E1716))</f>
        <v/>
      </c>
      <c r="E3430" s="5">
        <f>IF('Journal'!E1716="","",IFERROR(INDEX('Kontoplan'!$B$3:$B$302,MATCH('Journal'!E1716,'Kontoplan'!$H$3:$H$302,0)),""))</f>
        <v/>
      </c>
      <c r="F3430" s="20">
        <f>IF('Journal'!F1716="","",'Journal'!F1716)</f>
        <v/>
      </c>
      <c r="G3430" s="20">
        <f>IF('Journal'!G1716="","",'Journal'!G1716)</f>
        <v/>
      </c>
      <c r="H3430" s="5">
        <f>IF('Journal'!I1716="","",'Journal'!I1716)</f>
        <v/>
      </c>
    </row>
    <row r="3431">
      <c r="A3431" s="18">
        <f>IF('Journal'!A1717="","",'Journal'!A1717)</f>
        <v/>
      </c>
      <c r="B3431" s="21">
        <f>IF('Journal'!B1717="","",'Journal'!B1717)</f>
        <v/>
      </c>
      <c r="C3431" s="5">
        <f>IF('Journal'!C1717="","",'Journal'!C1717)</f>
        <v/>
      </c>
      <c r="D3431" s="5">
        <f>IF('Journal'!D1717="","",IFERROR(LEFT('Journal'!D1717,FIND(" ",'Journal'!D1717)-1),'Journal'!D1717))</f>
        <v/>
      </c>
      <c r="E3431" s="5">
        <f>IF('Journal'!D1717="","",IFERROR(INDEX('Kontoplan'!$B$3:$B$302,MATCH('Journal'!D1717,'Kontoplan'!$H$3:$H$302,0)),""))</f>
        <v/>
      </c>
      <c r="F3431" s="20">
        <f>IF('Journal'!G1717="","",'Journal'!G1717)</f>
        <v/>
      </c>
      <c r="G3431" s="20">
        <f>IF('Journal'!F1717="","",'Journal'!F1717)</f>
        <v/>
      </c>
      <c r="H3431" s="5">
        <f>IF('Journal'!I1717="","",'Journal'!I1717)</f>
        <v/>
      </c>
    </row>
    <row r="3432">
      <c r="A3432" s="18">
        <f>IF('Journal'!A1717="","",'Journal'!A1717)</f>
        <v/>
      </c>
      <c r="B3432" s="21">
        <f>IF('Journal'!B1717="","",'Journal'!B1717)</f>
        <v/>
      </c>
      <c r="C3432" s="5">
        <f>IF('Journal'!C1717="","",'Journal'!C1717)</f>
        <v/>
      </c>
      <c r="D3432" s="5">
        <f>IF('Journal'!E1717="","",IFERROR(LEFT('Journal'!E1717,FIND(" ",'Journal'!E1717)-1),'Journal'!E1717))</f>
        <v/>
      </c>
      <c r="E3432" s="5">
        <f>IF('Journal'!E1717="","",IFERROR(INDEX('Kontoplan'!$B$3:$B$302,MATCH('Journal'!E1717,'Kontoplan'!$H$3:$H$302,0)),""))</f>
        <v/>
      </c>
      <c r="F3432" s="20">
        <f>IF('Journal'!F1717="","",'Journal'!F1717)</f>
        <v/>
      </c>
      <c r="G3432" s="20">
        <f>IF('Journal'!G1717="","",'Journal'!G1717)</f>
        <v/>
      </c>
      <c r="H3432" s="5">
        <f>IF('Journal'!I1717="","",'Journal'!I1717)</f>
        <v/>
      </c>
    </row>
    <row r="3433">
      <c r="A3433" s="18">
        <f>IF('Journal'!A1718="","",'Journal'!A1718)</f>
        <v/>
      </c>
      <c r="B3433" s="21">
        <f>IF('Journal'!B1718="","",'Journal'!B1718)</f>
        <v/>
      </c>
      <c r="C3433" s="5">
        <f>IF('Journal'!C1718="","",'Journal'!C1718)</f>
        <v/>
      </c>
      <c r="D3433" s="5">
        <f>IF('Journal'!D1718="","",IFERROR(LEFT('Journal'!D1718,FIND(" ",'Journal'!D1718)-1),'Journal'!D1718))</f>
        <v/>
      </c>
      <c r="E3433" s="5">
        <f>IF('Journal'!D1718="","",IFERROR(INDEX('Kontoplan'!$B$3:$B$302,MATCH('Journal'!D1718,'Kontoplan'!$H$3:$H$302,0)),""))</f>
        <v/>
      </c>
      <c r="F3433" s="20">
        <f>IF('Journal'!G1718="","",'Journal'!G1718)</f>
        <v/>
      </c>
      <c r="G3433" s="20">
        <f>IF('Journal'!F1718="","",'Journal'!F1718)</f>
        <v/>
      </c>
      <c r="H3433" s="5">
        <f>IF('Journal'!I1718="","",'Journal'!I1718)</f>
        <v/>
      </c>
    </row>
    <row r="3434">
      <c r="A3434" s="18">
        <f>IF('Journal'!A1718="","",'Journal'!A1718)</f>
        <v/>
      </c>
      <c r="B3434" s="21">
        <f>IF('Journal'!B1718="","",'Journal'!B1718)</f>
        <v/>
      </c>
      <c r="C3434" s="5">
        <f>IF('Journal'!C1718="","",'Journal'!C1718)</f>
        <v/>
      </c>
      <c r="D3434" s="5">
        <f>IF('Journal'!E1718="","",IFERROR(LEFT('Journal'!E1718,FIND(" ",'Journal'!E1718)-1),'Journal'!E1718))</f>
        <v/>
      </c>
      <c r="E3434" s="5">
        <f>IF('Journal'!E1718="","",IFERROR(INDEX('Kontoplan'!$B$3:$B$302,MATCH('Journal'!E1718,'Kontoplan'!$H$3:$H$302,0)),""))</f>
        <v/>
      </c>
      <c r="F3434" s="20">
        <f>IF('Journal'!F1718="","",'Journal'!F1718)</f>
        <v/>
      </c>
      <c r="G3434" s="20">
        <f>IF('Journal'!G1718="","",'Journal'!G1718)</f>
        <v/>
      </c>
      <c r="H3434" s="5">
        <f>IF('Journal'!I1718="","",'Journal'!I1718)</f>
        <v/>
      </c>
    </row>
    <row r="3435">
      <c r="A3435" s="18">
        <f>IF('Journal'!A1719="","",'Journal'!A1719)</f>
        <v/>
      </c>
      <c r="B3435" s="21">
        <f>IF('Journal'!B1719="","",'Journal'!B1719)</f>
        <v/>
      </c>
      <c r="C3435" s="5">
        <f>IF('Journal'!C1719="","",'Journal'!C1719)</f>
        <v/>
      </c>
      <c r="D3435" s="5">
        <f>IF('Journal'!D1719="","",IFERROR(LEFT('Journal'!D1719,FIND(" ",'Journal'!D1719)-1),'Journal'!D1719))</f>
        <v/>
      </c>
      <c r="E3435" s="5">
        <f>IF('Journal'!D1719="","",IFERROR(INDEX('Kontoplan'!$B$3:$B$302,MATCH('Journal'!D1719,'Kontoplan'!$H$3:$H$302,0)),""))</f>
        <v/>
      </c>
      <c r="F3435" s="20">
        <f>IF('Journal'!G1719="","",'Journal'!G1719)</f>
        <v/>
      </c>
      <c r="G3435" s="20">
        <f>IF('Journal'!F1719="","",'Journal'!F1719)</f>
        <v/>
      </c>
      <c r="H3435" s="5">
        <f>IF('Journal'!I1719="","",'Journal'!I1719)</f>
        <v/>
      </c>
    </row>
    <row r="3436">
      <c r="A3436" s="18">
        <f>IF('Journal'!A1719="","",'Journal'!A1719)</f>
        <v/>
      </c>
      <c r="B3436" s="21">
        <f>IF('Journal'!B1719="","",'Journal'!B1719)</f>
        <v/>
      </c>
      <c r="C3436" s="5">
        <f>IF('Journal'!C1719="","",'Journal'!C1719)</f>
        <v/>
      </c>
      <c r="D3436" s="5">
        <f>IF('Journal'!E1719="","",IFERROR(LEFT('Journal'!E1719,FIND(" ",'Journal'!E1719)-1),'Journal'!E1719))</f>
        <v/>
      </c>
      <c r="E3436" s="5">
        <f>IF('Journal'!E1719="","",IFERROR(INDEX('Kontoplan'!$B$3:$B$302,MATCH('Journal'!E1719,'Kontoplan'!$H$3:$H$302,0)),""))</f>
        <v/>
      </c>
      <c r="F3436" s="20">
        <f>IF('Journal'!F1719="","",'Journal'!F1719)</f>
        <v/>
      </c>
      <c r="G3436" s="20">
        <f>IF('Journal'!G1719="","",'Journal'!G1719)</f>
        <v/>
      </c>
      <c r="H3436" s="5">
        <f>IF('Journal'!I1719="","",'Journal'!I1719)</f>
        <v/>
      </c>
    </row>
    <row r="3437">
      <c r="A3437" s="18">
        <f>IF('Journal'!A1720="","",'Journal'!A1720)</f>
        <v/>
      </c>
      <c r="B3437" s="21">
        <f>IF('Journal'!B1720="","",'Journal'!B1720)</f>
        <v/>
      </c>
      <c r="C3437" s="5">
        <f>IF('Journal'!C1720="","",'Journal'!C1720)</f>
        <v/>
      </c>
      <c r="D3437" s="5">
        <f>IF('Journal'!D1720="","",IFERROR(LEFT('Journal'!D1720,FIND(" ",'Journal'!D1720)-1),'Journal'!D1720))</f>
        <v/>
      </c>
      <c r="E3437" s="5">
        <f>IF('Journal'!D1720="","",IFERROR(INDEX('Kontoplan'!$B$3:$B$302,MATCH('Journal'!D1720,'Kontoplan'!$H$3:$H$302,0)),""))</f>
        <v/>
      </c>
      <c r="F3437" s="20">
        <f>IF('Journal'!G1720="","",'Journal'!G1720)</f>
        <v/>
      </c>
      <c r="G3437" s="20">
        <f>IF('Journal'!F1720="","",'Journal'!F1720)</f>
        <v/>
      </c>
      <c r="H3437" s="5">
        <f>IF('Journal'!I1720="","",'Journal'!I1720)</f>
        <v/>
      </c>
    </row>
    <row r="3438">
      <c r="A3438" s="18">
        <f>IF('Journal'!A1720="","",'Journal'!A1720)</f>
        <v/>
      </c>
      <c r="B3438" s="21">
        <f>IF('Journal'!B1720="","",'Journal'!B1720)</f>
        <v/>
      </c>
      <c r="C3438" s="5">
        <f>IF('Journal'!C1720="","",'Journal'!C1720)</f>
        <v/>
      </c>
      <c r="D3438" s="5">
        <f>IF('Journal'!E1720="","",IFERROR(LEFT('Journal'!E1720,FIND(" ",'Journal'!E1720)-1),'Journal'!E1720))</f>
        <v/>
      </c>
      <c r="E3438" s="5">
        <f>IF('Journal'!E1720="","",IFERROR(INDEX('Kontoplan'!$B$3:$B$302,MATCH('Journal'!E1720,'Kontoplan'!$H$3:$H$302,0)),""))</f>
        <v/>
      </c>
      <c r="F3438" s="20">
        <f>IF('Journal'!F1720="","",'Journal'!F1720)</f>
        <v/>
      </c>
      <c r="G3438" s="20">
        <f>IF('Journal'!G1720="","",'Journal'!G1720)</f>
        <v/>
      </c>
      <c r="H3438" s="5">
        <f>IF('Journal'!I1720="","",'Journal'!I1720)</f>
        <v/>
      </c>
    </row>
    <row r="3439">
      <c r="A3439" s="18">
        <f>IF('Journal'!A1721="","",'Journal'!A1721)</f>
        <v/>
      </c>
      <c r="B3439" s="21">
        <f>IF('Journal'!B1721="","",'Journal'!B1721)</f>
        <v/>
      </c>
      <c r="C3439" s="5">
        <f>IF('Journal'!C1721="","",'Journal'!C1721)</f>
        <v/>
      </c>
      <c r="D3439" s="5">
        <f>IF('Journal'!D1721="","",IFERROR(LEFT('Journal'!D1721,FIND(" ",'Journal'!D1721)-1),'Journal'!D1721))</f>
        <v/>
      </c>
      <c r="E3439" s="5">
        <f>IF('Journal'!D1721="","",IFERROR(INDEX('Kontoplan'!$B$3:$B$302,MATCH('Journal'!D1721,'Kontoplan'!$H$3:$H$302,0)),""))</f>
        <v/>
      </c>
      <c r="F3439" s="20">
        <f>IF('Journal'!G1721="","",'Journal'!G1721)</f>
        <v/>
      </c>
      <c r="G3439" s="20">
        <f>IF('Journal'!F1721="","",'Journal'!F1721)</f>
        <v/>
      </c>
      <c r="H3439" s="5">
        <f>IF('Journal'!I1721="","",'Journal'!I1721)</f>
        <v/>
      </c>
    </row>
    <row r="3440">
      <c r="A3440" s="18">
        <f>IF('Journal'!A1721="","",'Journal'!A1721)</f>
        <v/>
      </c>
      <c r="B3440" s="21">
        <f>IF('Journal'!B1721="","",'Journal'!B1721)</f>
        <v/>
      </c>
      <c r="C3440" s="5">
        <f>IF('Journal'!C1721="","",'Journal'!C1721)</f>
        <v/>
      </c>
      <c r="D3440" s="5">
        <f>IF('Journal'!E1721="","",IFERROR(LEFT('Journal'!E1721,FIND(" ",'Journal'!E1721)-1),'Journal'!E1721))</f>
        <v/>
      </c>
      <c r="E3440" s="5">
        <f>IF('Journal'!E1721="","",IFERROR(INDEX('Kontoplan'!$B$3:$B$302,MATCH('Journal'!E1721,'Kontoplan'!$H$3:$H$302,0)),""))</f>
        <v/>
      </c>
      <c r="F3440" s="20">
        <f>IF('Journal'!F1721="","",'Journal'!F1721)</f>
        <v/>
      </c>
      <c r="G3440" s="20">
        <f>IF('Journal'!G1721="","",'Journal'!G1721)</f>
        <v/>
      </c>
      <c r="H3440" s="5">
        <f>IF('Journal'!I1721="","",'Journal'!I1721)</f>
        <v/>
      </c>
    </row>
    <row r="3441">
      <c r="A3441" s="18">
        <f>IF('Journal'!A1722="","",'Journal'!A1722)</f>
        <v/>
      </c>
      <c r="B3441" s="21">
        <f>IF('Journal'!B1722="","",'Journal'!B1722)</f>
        <v/>
      </c>
      <c r="C3441" s="5">
        <f>IF('Journal'!C1722="","",'Journal'!C1722)</f>
        <v/>
      </c>
      <c r="D3441" s="5">
        <f>IF('Journal'!D1722="","",IFERROR(LEFT('Journal'!D1722,FIND(" ",'Journal'!D1722)-1),'Journal'!D1722))</f>
        <v/>
      </c>
      <c r="E3441" s="5">
        <f>IF('Journal'!D1722="","",IFERROR(INDEX('Kontoplan'!$B$3:$B$302,MATCH('Journal'!D1722,'Kontoplan'!$H$3:$H$302,0)),""))</f>
        <v/>
      </c>
      <c r="F3441" s="20">
        <f>IF('Journal'!G1722="","",'Journal'!G1722)</f>
        <v/>
      </c>
      <c r="G3441" s="20">
        <f>IF('Journal'!F1722="","",'Journal'!F1722)</f>
        <v/>
      </c>
      <c r="H3441" s="5">
        <f>IF('Journal'!I1722="","",'Journal'!I1722)</f>
        <v/>
      </c>
    </row>
    <row r="3442">
      <c r="A3442" s="18">
        <f>IF('Journal'!A1722="","",'Journal'!A1722)</f>
        <v/>
      </c>
      <c r="B3442" s="21">
        <f>IF('Journal'!B1722="","",'Journal'!B1722)</f>
        <v/>
      </c>
      <c r="C3442" s="5">
        <f>IF('Journal'!C1722="","",'Journal'!C1722)</f>
        <v/>
      </c>
      <c r="D3442" s="5">
        <f>IF('Journal'!E1722="","",IFERROR(LEFT('Journal'!E1722,FIND(" ",'Journal'!E1722)-1),'Journal'!E1722))</f>
        <v/>
      </c>
      <c r="E3442" s="5">
        <f>IF('Journal'!E1722="","",IFERROR(INDEX('Kontoplan'!$B$3:$B$302,MATCH('Journal'!E1722,'Kontoplan'!$H$3:$H$302,0)),""))</f>
        <v/>
      </c>
      <c r="F3442" s="20">
        <f>IF('Journal'!F1722="","",'Journal'!F1722)</f>
        <v/>
      </c>
      <c r="G3442" s="20">
        <f>IF('Journal'!G1722="","",'Journal'!G1722)</f>
        <v/>
      </c>
      <c r="H3442" s="5">
        <f>IF('Journal'!I1722="","",'Journal'!I1722)</f>
        <v/>
      </c>
    </row>
    <row r="3443">
      <c r="A3443" s="18">
        <f>IF('Journal'!A1723="","",'Journal'!A1723)</f>
        <v/>
      </c>
      <c r="B3443" s="21">
        <f>IF('Journal'!B1723="","",'Journal'!B1723)</f>
        <v/>
      </c>
      <c r="C3443" s="5">
        <f>IF('Journal'!C1723="","",'Journal'!C1723)</f>
        <v/>
      </c>
      <c r="D3443" s="5">
        <f>IF('Journal'!D1723="","",IFERROR(LEFT('Journal'!D1723,FIND(" ",'Journal'!D1723)-1),'Journal'!D1723))</f>
        <v/>
      </c>
      <c r="E3443" s="5">
        <f>IF('Journal'!D1723="","",IFERROR(INDEX('Kontoplan'!$B$3:$B$302,MATCH('Journal'!D1723,'Kontoplan'!$H$3:$H$302,0)),""))</f>
        <v/>
      </c>
      <c r="F3443" s="20">
        <f>IF('Journal'!G1723="","",'Journal'!G1723)</f>
        <v/>
      </c>
      <c r="G3443" s="20">
        <f>IF('Journal'!F1723="","",'Journal'!F1723)</f>
        <v/>
      </c>
      <c r="H3443" s="5">
        <f>IF('Journal'!I1723="","",'Journal'!I1723)</f>
        <v/>
      </c>
    </row>
    <row r="3444">
      <c r="A3444" s="18">
        <f>IF('Journal'!A1723="","",'Journal'!A1723)</f>
        <v/>
      </c>
      <c r="B3444" s="21">
        <f>IF('Journal'!B1723="","",'Journal'!B1723)</f>
        <v/>
      </c>
      <c r="C3444" s="5">
        <f>IF('Journal'!C1723="","",'Journal'!C1723)</f>
        <v/>
      </c>
      <c r="D3444" s="5">
        <f>IF('Journal'!E1723="","",IFERROR(LEFT('Journal'!E1723,FIND(" ",'Journal'!E1723)-1),'Journal'!E1723))</f>
        <v/>
      </c>
      <c r="E3444" s="5">
        <f>IF('Journal'!E1723="","",IFERROR(INDEX('Kontoplan'!$B$3:$B$302,MATCH('Journal'!E1723,'Kontoplan'!$H$3:$H$302,0)),""))</f>
        <v/>
      </c>
      <c r="F3444" s="20">
        <f>IF('Journal'!F1723="","",'Journal'!F1723)</f>
        <v/>
      </c>
      <c r="G3444" s="20">
        <f>IF('Journal'!G1723="","",'Journal'!G1723)</f>
        <v/>
      </c>
      <c r="H3444" s="5">
        <f>IF('Journal'!I1723="","",'Journal'!I1723)</f>
        <v/>
      </c>
    </row>
    <row r="3445">
      <c r="A3445" s="18">
        <f>IF('Journal'!A1724="","",'Journal'!A1724)</f>
        <v/>
      </c>
      <c r="B3445" s="21">
        <f>IF('Journal'!B1724="","",'Journal'!B1724)</f>
        <v/>
      </c>
      <c r="C3445" s="5">
        <f>IF('Journal'!C1724="","",'Journal'!C1724)</f>
        <v/>
      </c>
      <c r="D3445" s="5">
        <f>IF('Journal'!D1724="","",IFERROR(LEFT('Journal'!D1724,FIND(" ",'Journal'!D1724)-1),'Journal'!D1724))</f>
        <v/>
      </c>
      <c r="E3445" s="5">
        <f>IF('Journal'!D1724="","",IFERROR(INDEX('Kontoplan'!$B$3:$B$302,MATCH('Journal'!D1724,'Kontoplan'!$H$3:$H$302,0)),""))</f>
        <v/>
      </c>
      <c r="F3445" s="20">
        <f>IF('Journal'!G1724="","",'Journal'!G1724)</f>
        <v/>
      </c>
      <c r="G3445" s="20">
        <f>IF('Journal'!F1724="","",'Journal'!F1724)</f>
        <v/>
      </c>
      <c r="H3445" s="5">
        <f>IF('Journal'!I1724="","",'Journal'!I1724)</f>
        <v/>
      </c>
    </row>
    <row r="3446">
      <c r="A3446" s="18">
        <f>IF('Journal'!A1724="","",'Journal'!A1724)</f>
        <v/>
      </c>
      <c r="B3446" s="21">
        <f>IF('Journal'!B1724="","",'Journal'!B1724)</f>
        <v/>
      </c>
      <c r="C3446" s="5">
        <f>IF('Journal'!C1724="","",'Journal'!C1724)</f>
        <v/>
      </c>
      <c r="D3446" s="5">
        <f>IF('Journal'!E1724="","",IFERROR(LEFT('Journal'!E1724,FIND(" ",'Journal'!E1724)-1),'Journal'!E1724))</f>
        <v/>
      </c>
      <c r="E3446" s="5">
        <f>IF('Journal'!E1724="","",IFERROR(INDEX('Kontoplan'!$B$3:$B$302,MATCH('Journal'!E1724,'Kontoplan'!$H$3:$H$302,0)),""))</f>
        <v/>
      </c>
      <c r="F3446" s="20">
        <f>IF('Journal'!F1724="","",'Journal'!F1724)</f>
        <v/>
      </c>
      <c r="G3446" s="20">
        <f>IF('Journal'!G1724="","",'Journal'!G1724)</f>
        <v/>
      </c>
      <c r="H3446" s="5">
        <f>IF('Journal'!I1724="","",'Journal'!I1724)</f>
        <v/>
      </c>
    </row>
    <row r="3447">
      <c r="A3447" s="18">
        <f>IF('Journal'!A1725="","",'Journal'!A1725)</f>
        <v/>
      </c>
      <c r="B3447" s="21">
        <f>IF('Journal'!B1725="","",'Journal'!B1725)</f>
        <v/>
      </c>
      <c r="C3447" s="5">
        <f>IF('Journal'!C1725="","",'Journal'!C1725)</f>
        <v/>
      </c>
      <c r="D3447" s="5">
        <f>IF('Journal'!D1725="","",IFERROR(LEFT('Journal'!D1725,FIND(" ",'Journal'!D1725)-1),'Journal'!D1725))</f>
        <v/>
      </c>
      <c r="E3447" s="5">
        <f>IF('Journal'!D1725="","",IFERROR(INDEX('Kontoplan'!$B$3:$B$302,MATCH('Journal'!D1725,'Kontoplan'!$H$3:$H$302,0)),""))</f>
        <v/>
      </c>
      <c r="F3447" s="20">
        <f>IF('Journal'!G1725="","",'Journal'!G1725)</f>
        <v/>
      </c>
      <c r="G3447" s="20">
        <f>IF('Journal'!F1725="","",'Journal'!F1725)</f>
        <v/>
      </c>
      <c r="H3447" s="5">
        <f>IF('Journal'!I1725="","",'Journal'!I1725)</f>
        <v/>
      </c>
    </row>
    <row r="3448">
      <c r="A3448" s="18">
        <f>IF('Journal'!A1725="","",'Journal'!A1725)</f>
        <v/>
      </c>
      <c r="B3448" s="21">
        <f>IF('Journal'!B1725="","",'Journal'!B1725)</f>
        <v/>
      </c>
      <c r="C3448" s="5">
        <f>IF('Journal'!C1725="","",'Journal'!C1725)</f>
        <v/>
      </c>
      <c r="D3448" s="5">
        <f>IF('Journal'!E1725="","",IFERROR(LEFT('Journal'!E1725,FIND(" ",'Journal'!E1725)-1),'Journal'!E1725))</f>
        <v/>
      </c>
      <c r="E3448" s="5">
        <f>IF('Journal'!E1725="","",IFERROR(INDEX('Kontoplan'!$B$3:$B$302,MATCH('Journal'!E1725,'Kontoplan'!$H$3:$H$302,0)),""))</f>
        <v/>
      </c>
      <c r="F3448" s="20">
        <f>IF('Journal'!F1725="","",'Journal'!F1725)</f>
        <v/>
      </c>
      <c r="G3448" s="20">
        <f>IF('Journal'!G1725="","",'Journal'!G1725)</f>
        <v/>
      </c>
      <c r="H3448" s="5">
        <f>IF('Journal'!I1725="","",'Journal'!I1725)</f>
        <v/>
      </c>
    </row>
    <row r="3449">
      <c r="A3449" s="18">
        <f>IF('Journal'!A1726="","",'Journal'!A1726)</f>
        <v/>
      </c>
      <c r="B3449" s="21">
        <f>IF('Journal'!B1726="","",'Journal'!B1726)</f>
        <v/>
      </c>
      <c r="C3449" s="5">
        <f>IF('Journal'!C1726="","",'Journal'!C1726)</f>
        <v/>
      </c>
      <c r="D3449" s="5">
        <f>IF('Journal'!D1726="","",IFERROR(LEFT('Journal'!D1726,FIND(" ",'Journal'!D1726)-1),'Journal'!D1726))</f>
        <v/>
      </c>
      <c r="E3449" s="5">
        <f>IF('Journal'!D1726="","",IFERROR(INDEX('Kontoplan'!$B$3:$B$302,MATCH('Journal'!D1726,'Kontoplan'!$H$3:$H$302,0)),""))</f>
        <v/>
      </c>
      <c r="F3449" s="20">
        <f>IF('Journal'!G1726="","",'Journal'!G1726)</f>
        <v/>
      </c>
      <c r="G3449" s="20">
        <f>IF('Journal'!F1726="","",'Journal'!F1726)</f>
        <v/>
      </c>
      <c r="H3449" s="5">
        <f>IF('Journal'!I1726="","",'Journal'!I1726)</f>
        <v/>
      </c>
    </row>
    <row r="3450">
      <c r="A3450" s="18">
        <f>IF('Journal'!A1726="","",'Journal'!A1726)</f>
        <v/>
      </c>
      <c r="B3450" s="21">
        <f>IF('Journal'!B1726="","",'Journal'!B1726)</f>
        <v/>
      </c>
      <c r="C3450" s="5">
        <f>IF('Journal'!C1726="","",'Journal'!C1726)</f>
        <v/>
      </c>
      <c r="D3450" s="5">
        <f>IF('Journal'!E1726="","",IFERROR(LEFT('Journal'!E1726,FIND(" ",'Journal'!E1726)-1),'Journal'!E1726))</f>
        <v/>
      </c>
      <c r="E3450" s="5">
        <f>IF('Journal'!E1726="","",IFERROR(INDEX('Kontoplan'!$B$3:$B$302,MATCH('Journal'!E1726,'Kontoplan'!$H$3:$H$302,0)),""))</f>
        <v/>
      </c>
      <c r="F3450" s="20">
        <f>IF('Journal'!F1726="","",'Journal'!F1726)</f>
        <v/>
      </c>
      <c r="G3450" s="20">
        <f>IF('Journal'!G1726="","",'Journal'!G1726)</f>
        <v/>
      </c>
      <c r="H3450" s="5">
        <f>IF('Journal'!I1726="","",'Journal'!I1726)</f>
        <v/>
      </c>
    </row>
    <row r="3451">
      <c r="A3451" s="18">
        <f>IF('Journal'!A1727="","",'Journal'!A1727)</f>
        <v/>
      </c>
      <c r="B3451" s="21">
        <f>IF('Journal'!B1727="","",'Journal'!B1727)</f>
        <v/>
      </c>
      <c r="C3451" s="5">
        <f>IF('Journal'!C1727="","",'Journal'!C1727)</f>
        <v/>
      </c>
      <c r="D3451" s="5">
        <f>IF('Journal'!D1727="","",IFERROR(LEFT('Journal'!D1727,FIND(" ",'Journal'!D1727)-1),'Journal'!D1727))</f>
        <v/>
      </c>
      <c r="E3451" s="5">
        <f>IF('Journal'!D1727="","",IFERROR(INDEX('Kontoplan'!$B$3:$B$302,MATCH('Journal'!D1727,'Kontoplan'!$H$3:$H$302,0)),""))</f>
        <v/>
      </c>
      <c r="F3451" s="20">
        <f>IF('Journal'!G1727="","",'Journal'!G1727)</f>
        <v/>
      </c>
      <c r="G3451" s="20">
        <f>IF('Journal'!F1727="","",'Journal'!F1727)</f>
        <v/>
      </c>
      <c r="H3451" s="5">
        <f>IF('Journal'!I1727="","",'Journal'!I1727)</f>
        <v/>
      </c>
    </row>
    <row r="3452">
      <c r="A3452" s="18">
        <f>IF('Journal'!A1727="","",'Journal'!A1727)</f>
        <v/>
      </c>
      <c r="B3452" s="21">
        <f>IF('Journal'!B1727="","",'Journal'!B1727)</f>
        <v/>
      </c>
      <c r="C3452" s="5">
        <f>IF('Journal'!C1727="","",'Journal'!C1727)</f>
        <v/>
      </c>
      <c r="D3452" s="5">
        <f>IF('Journal'!E1727="","",IFERROR(LEFT('Journal'!E1727,FIND(" ",'Journal'!E1727)-1),'Journal'!E1727))</f>
        <v/>
      </c>
      <c r="E3452" s="5">
        <f>IF('Journal'!E1727="","",IFERROR(INDEX('Kontoplan'!$B$3:$B$302,MATCH('Journal'!E1727,'Kontoplan'!$H$3:$H$302,0)),""))</f>
        <v/>
      </c>
      <c r="F3452" s="20">
        <f>IF('Journal'!F1727="","",'Journal'!F1727)</f>
        <v/>
      </c>
      <c r="G3452" s="20">
        <f>IF('Journal'!G1727="","",'Journal'!G1727)</f>
        <v/>
      </c>
      <c r="H3452" s="5">
        <f>IF('Journal'!I1727="","",'Journal'!I1727)</f>
        <v/>
      </c>
    </row>
    <row r="3453">
      <c r="A3453" s="18">
        <f>IF('Journal'!A1728="","",'Journal'!A1728)</f>
        <v/>
      </c>
      <c r="B3453" s="21">
        <f>IF('Journal'!B1728="","",'Journal'!B1728)</f>
        <v/>
      </c>
      <c r="C3453" s="5">
        <f>IF('Journal'!C1728="","",'Journal'!C1728)</f>
        <v/>
      </c>
      <c r="D3453" s="5">
        <f>IF('Journal'!D1728="","",IFERROR(LEFT('Journal'!D1728,FIND(" ",'Journal'!D1728)-1),'Journal'!D1728))</f>
        <v/>
      </c>
      <c r="E3453" s="5">
        <f>IF('Journal'!D1728="","",IFERROR(INDEX('Kontoplan'!$B$3:$B$302,MATCH('Journal'!D1728,'Kontoplan'!$H$3:$H$302,0)),""))</f>
        <v/>
      </c>
      <c r="F3453" s="20">
        <f>IF('Journal'!G1728="","",'Journal'!G1728)</f>
        <v/>
      </c>
      <c r="G3453" s="20">
        <f>IF('Journal'!F1728="","",'Journal'!F1728)</f>
        <v/>
      </c>
      <c r="H3453" s="5">
        <f>IF('Journal'!I1728="","",'Journal'!I1728)</f>
        <v/>
      </c>
    </row>
    <row r="3454">
      <c r="A3454" s="18">
        <f>IF('Journal'!A1728="","",'Journal'!A1728)</f>
        <v/>
      </c>
      <c r="B3454" s="21">
        <f>IF('Journal'!B1728="","",'Journal'!B1728)</f>
        <v/>
      </c>
      <c r="C3454" s="5">
        <f>IF('Journal'!C1728="","",'Journal'!C1728)</f>
        <v/>
      </c>
      <c r="D3454" s="5">
        <f>IF('Journal'!E1728="","",IFERROR(LEFT('Journal'!E1728,FIND(" ",'Journal'!E1728)-1),'Journal'!E1728))</f>
        <v/>
      </c>
      <c r="E3454" s="5">
        <f>IF('Journal'!E1728="","",IFERROR(INDEX('Kontoplan'!$B$3:$B$302,MATCH('Journal'!E1728,'Kontoplan'!$H$3:$H$302,0)),""))</f>
        <v/>
      </c>
      <c r="F3454" s="20">
        <f>IF('Journal'!F1728="","",'Journal'!F1728)</f>
        <v/>
      </c>
      <c r="G3454" s="20">
        <f>IF('Journal'!G1728="","",'Journal'!G1728)</f>
        <v/>
      </c>
      <c r="H3454" s="5">
        <f>IF('Journal'!I1728="","",'Journal'!I1728)</f>
        <v/>
      </c>
    </row>
    <row r="3455">
      <c r="A3455" s="18">
        <f>IF('Journal'!A1729="","",'Journal'!A1729)</f>
        <v/>
      </c>
      <c r="B3455" s="21">
        <f>IF('Journal'!B1729="","",'Journal'!B1729)</f>
        <v/>
      </c>
      <c r="C3455" s="5">
        <f>IF('Journal'!C1729="","",'Journal'!C1729)</f>
        <v/>
      </c>
      <c r="D3455" s="5">
        <f>IF('Journal'!D1729="","",IFERROR(LEFT('Journal'!D1729,FIND(" ",'Journal'!D1729)-1),'Journal'!D1729))</f>
        <v/>
      </c>
      <c r="E3455" s="5">
        <f>IF('Journal'!D1729="","",IFERROR(INDEX('Kontoplan'!$B$3:$B$302,MATCH('Journal'!D1729,'Kontoplan'!$H$3:$H$302,0)),""))</f>
        <v/>
      </c>
      <c r="F3455" s="20">
        <f>IF('Journal'!G1729="","",'Journal'!G1729)</f>
        <v/>
      </c>
      <c r="G3455" s="20">
        <f>IF('Journal'!F1729="","",'Journal'!F1729)</f>
        <v/>
      </c>
      <c r="H3455" s="5">
        <f>IF('Journal'!I1729="","",'Journal'!I1729)</f>
        <v/>
      </c>
    </row>
    <row r="3456">
      <c r="A3456" s="18">
        <f>IF('Journal'!A1729="","",'Journal'!A1729)</f>
        <v/>
      </c>
      <c r="B3456" s="21">
        <f>IF('Journal'!B1729="","",'Journal'!B1729)</f>
        <v/>
      </c>
      <c r="C3456" s="5">
        <f>IF('Journal'!C1729="","",'Journal'!C1729)</f>
        <v/>
      </c>
      <c r="D3456" s="5">
        <f>IF('Journal'!E1729="","",IFERROR(LEFT('Journal'!E1729,FIND(" ",'Journal'!E1729)-1),'Journal'!E1729))</f>
        <v/>
      </c>
      <c r="E3456" s="5">
        <f>IF('Journal'!E1729="","",IFERROR(INDEX('Kontoplan'!$B$3:$B$302,MATCH('Journal'!E1729,'Kontoplan'!$H$3:$H$302,0)),""))</f>
        <v/>
      </c>
      <c r="F3456" s="20">
        <f>IF('Journal'!F1729="","",'Journal'!F1729)</f>
        <v/>
      </c>
      <c r="G3456" s="20">
        <f>IF('Journal'!G1729="","",'Journal'!G1729)</f>
        <v/>
      </c>
      <c r="H3456" s="5">
        <f>IF('Journal'!I1729="","",'Journal'!I1729)</f>
        <v/>
      </c>
    </row>
    <row r="3457">
      <c r="A3457" s="18">
        <f>IF('Journal'!A1730="","",'Journal'!A1730)</f>
        <v/>
      </c>
      <c r="B3457" s="21">
        <f>IF('Journal'!B1730="","",'Journal'!B1730)</f>
        <v/>
      </c>
      <c r="C3457" s="5">
        <f>IF('Journal'!C1730="","",'Journal'!C1730)</f>
        <v/>
      </c>
      <c r="D3457" s="5">
        <f>IF('Journal'!D1730="","",IFERROR(LEFT('Journal'!D1730,FIND(" ",'Journal'!D1730)-1),'Journal'!D1730))</f>
        <v/>
      </c>
      <c r="E3457" s="5">
        <f>IF('Journal'!D1730="","",IFERROR(INDEX('Kontoplan'!$B$3:$B$302,MATCH('Journal'!D1730,'Kontoplan'!$H$3:$H$302,0)),""))</f>
        <v/>
      </c>
      <c r="F3457" s="20">
        <f>IF('Journal'!G1730="","",'Journal'!G1730)</f>
        <v/>
      </c>
      <c r="G3457" s="20">
        <f>IF('Journal'!F1730="","",'Journal'!F1730)</f>
        <v/>
      </c>
      <c r="H3457" s="5">
        <f>IF('Journal'!I1730="","",'Journal'!I1730)</f>
        <v/>
      </c>
    </row>
    <row r="3458">
      <c r="A3458" s="18">
        <f>IF('Journal'!A1730="","",'Journal'!A1730)</f>
        <v/>
      </c>
      <c r="B3458" s="21">
        <f>IF('Journal'!B1730="","",'Journal'!B1730)</f>
        <v/>
      </c>
      <c r="C3458" s="5">
        <f>IF('Journal'!C1730="","",'Journal'!C1730)</f>
        <v/>
      </c>
      <c r="D3458" s="5">
        <f>IF('Journal'!E1730="","",IFERROR(LEFT('Journal'!E1730,FIND(" ",'Journal'!E1730)-1),'Journal'!E1730))</f>
        <v/>
      </c>
      <c r="E3458" s="5">
        <f>IF('Journal'!E1730="","",IFERROR(INDEX('Kontoplan'!$B$3:$B$302,MATCH('Journal'!E1730,'Kontoplan'!$H$3:$H$302,0)),""))</f>
        <v/>
      </c>
      <c r="F3458" s="20">
        <f>IF('Journal'!F1730="","",'Journal'!F1730)</f>
        <v/>
      </c>
      <c r="G3458" s="20">
        <f>IF('Journal'!G1730="","",'Journal'!G1730)</f>
        <v/>
      </c>
      <c r="H3458" s="5">
        <f>IF('Journal'!I1730="","",'Journal'!I1730)</f>
        <v/>
      </c>
    </row>
    <row r="3459">
      <c r="A3459" s="18">
        <f>IF('Journal'!A1731="","",'Journal'!A1731)</f>
        <v/>
      </c>
      <c r="B3459" s="21">
        <f>IF('Journal'!B1731="","",'Journal'!B1731)</f>
        <v/>
      </c>
      <c r="C3459" s="5">
        <f>IF('Journal'!C1731="","",'Journal'!C1731)</f>
        <v/>
      </c>
      <c r="D3459" s="5">
        <f>IF('Journal'!D1731="","",IFERROR(LEFT('Journal'!D1731,FIND(" ",'Journal'!D1731)-1),'Journal'!D1731))</f>
        <v/>
      </c>
      <c r="E3459" s="5">
        <f>IF('Journal'!D1731="","",IFERROR(INDEX('Kontoplan'!$B$3:$B$302,MATCH('Journal'!D1731,'Kontoplan'!$H$3:$H$302,0)),""))</f>
        <v/>
      </c>
      <c r="F3459" s="20">
        <f>IF('Journal'!G1731="","",'Journal'!G1731)</f>
        <v/>
      </c>
      <c r="G3459" s="20">
        <f>IF('Journal'!F1731="","",'Journal'!F1731)</f>
        <v/>
      </c>
      <c r="H3459" s="5">
        <f>IF('Journal'!I1731="","",'Journal'!I1731)</f>
        <v/>
      </c>
    </row>
    <row r="3460">
      <c r="A3460" s="18">
        <f>IF('Journal'!A1731="","",'Journal'!A1731)</f>
        <v/>
      </c>
      <c r="B3460" s="21">
        <f>IF('Journal'!B1731="","",'Journal'!B1731)</f>
        <v/>
      </c>
      <c r="C3460" s="5">
        <f>IF('Journal'!C1731="","",'Journal'!C1731)</f>
        <v/>
      </c>
      <c r="D3460" s="5">
        <f>IF('Journal'!E1731="","",IFERROR(LEFT('Journal'!E1731,FIND(" ",'Journal'!E1731)-1),'Journal'!E1731))</f>
        <v/>
      </c>
      <c r="E3460" s="5">
        <f>IF('Journal'!E1731="","",IFERROR(INDEX('Kontoplan'!$B$3:$B$302,MATCH('Journal'!E1731,'Kontoplan'!$H$3:$H$302,0)),""))</f>
        <v/>
      </c>
      <c r="F3460" s="20">
        <f>IF('Journal'!F1731="","",'Journal'!F1731)</f>
        <v/>
      </c>
      <c r="G3460" s="20">
        <f>IF('Journal'!G1731="","",'Journal'!G1731)</f>
        <v/>
      </c>
      <c r="H3460" s="5">
        <f>IF('Journal'!I1731="","",'Journal'!I1731)</f>
        <v/>
      </c>
    </row>
    <row r="3461">
      <c r="A3461" s="18">
        <f>IF('Journal'!A1732="","",'Journal'!A1732)</f>
        <v/>
      </c>
      <c r="B3461" s="21">
        <f>IF('Journal'!B1732="","",'Journal'!B1732)</f>
        <v/>
      </c>
      <c r="C3461" s="5">
        <f>IF('Journal'!C1732="","",'Journal'!C1732)</f>
        <v/>
      </c>
      <c r="D3461" s="5">
        <f>IF('Journal'!D1732="","",IFERROR(LEFT('Journal'!D1732,FIND(" ",'Journal'!D1732)-1),'Journal'!D1732))</f>
        <v/>
      </c>
      <c r="E3461" s="5">
        <f>IF('Journal'!D1732="","",IFERROR(INDEX('Kontoplan'!$B$3:$B$302,MATCH('Journal'!D1732,'Kontoplan'!$H$3:$H$302,0)),""))</f>
        <v/>
      </c>
      <c r="F3461" s="20">
        <f>IF('Journal'!G1732="","",'Journal'!G1732)</f>
        <v/>
      </c>
      <c r="G3461" s="20">
        <f>IF('Journal'!F1732="","",'Journal'!F1732)</f>
        <v/>
      </c>
      <c r="H3461" s="5">
        <f>IF('Journal'!I1732="","",'Journal'!I1732)</f>
        <v/>
      </c>
    </row>
    <row r="3462">
      <c r="A3462" s="18">
        <f>IF('Journal'!A1732="","",'Journal'!A1732)</f>
        <v/>
      </c>
      <c r="B3462" s="21">
        <f>IF('Journal'!B1732="","",'Journal'!B1732)</f>
        <v/>
      </c>
      <c r="C3462" s="5">
        <f>IF('Journal'!C1732="","",'Journal'!C1732)</f>
        <v/>
      </c>
      <c r="D3462" s="5">
        <f>IF('Journal'!E1732="","",IFERROR(LEFT('Journal'!E1732,FIND(" ",'Journal'!E1732)-1),'Journal'!E1732))</f>
        <v/>
      </c>
      <c r="E3462" s="5">
        <f>IF('Journal'!E1732="","",IFERROR(INDEX('Kontoplan'!$B$3:$B$302,MATCH('Journal'!E1732,'Kontoplan'!$H$3:$H$302,0)),""))</f>
        <v/>
      </c>
      <c r="F3462" s="20">
        <f>IF('Journal'!F1732="","",'Journal'!F1732)</f>
        <v/>
      </c>
      <c r="G3462" s="20">
        <f>IF('Journal'!G1732="","",'Journal'!G1732)</f>
        <v/>
      </c>
      <c r="H3462" s="5">
        <f>IF('Journal'!I1732="","",'Journal'!I1732)</f>
        <v/>
      </c>
    </row>
    <row r="3463">
      <c r="A3463" s="18">
        <f>IF('Journal'!A1733="","",'Journal'!A1733)</f>
        <v/>
      </c>
      <c r="B3463" s="21">
        <f>IF('Journal'!B1733="","",'Journal'!B1733)</f>
        <v/>
      </c>
      <c r="C3463" s="5">
        <f>IF('Journal'!C1733="","",'Journal'!C1733)</f>
        <v/>
      </c>
      <c r="D3463" s="5">
        <f>IF('Journal'!D1733="","",IFERROR(LEFT('Journal'!D1733,FIND(" ",'Journal'!D1733)-1),'Journal'!D1733))</f>
        <v/>
      </c>
      <c r="E3463" s="5">
        <f>IF('Journal'!D1733="","",IFERROR(INDEX('Kontoplan'!$B$3:$B$302,MATCH('Journal'!D1733,'Kontoplan'!$H$3:$H$302,0)),""))</f>
        <v/>
      </c>
      <c r="F3463" s="20">
        <f>IF('Journal'!G1733="","",'Journal'!G1733)</f>
        <v/>
      </c>
      <c r="G3463" s="20">
        <f>IF('Journal'!F1733="","",'Journal'!F1733)</f>
        <v/>
      </c>
      <c r="H3463" s="5">
        <f>IF('Journal'!I1733="","",'Journal'!I1733)</f>
        <v/>
      </c>
    </row>
    <row r="3464">
      <c r="A3464" s="18">
        <f>IF('Journal'!A1733="","",'Journal'!A1733)</f>
        <v/>
      </c>
      <c r="B3464" s="21">
        <f>IF('Journal'!B1733="","",'Journal'!B1733)</f>
        <v/>
      </c>
      <c r="C3464" s="5">
        <f>IF('Journal'!C1733="","",'Journal'!C1733)</f>
        <v/>
      </c>
      <c r="D3464" s="5">
        <f>IF('Journal'!E1733="","",IFERROR(LEFT('Journal'!E1733,FIND(" ",'Journal'!E1733)-1),'Journal'!E1733))</f>
        <v/>
      </c>
      <c r="E3464" s="5">
        <f>IF('Journal'!E1733="","",IFERROR(INDEX('Kontoplan'!$B$3:$B$302,MATCH('Journal'!E1733,'Kontoplan'!$H$3:$H$302,0)),""))</f>
        <v/>
      </c>
      <c r="F3464" s="20">
        <f>IF('Journal'!F1733="","",'Journal'!F1733)</f>
        <v/>
      </c>
      <c r="G3464" s="20">
        <f>IF('Journal'!G1733="","",'Journal'!G1733)</f>
        <v/>
      </c>
      <c r="H3464" s="5">
        <f>IF('Journal'!I1733="","",'Journal'!I1733)</f>
        <v/>
      </c>
    </row>
    <row r="3465">
      <c r="A3465" s="18">
        <f>IF('Journal'!A1734="","",'Journal'!A1734)</f>
        <v/>
      </c>
      <c r="B3465" s="21">
        <f>IF('Journal'!B1734="","",'Journal'!B1734)</f>
        <v/>
      </c>
      <c r="C3465" s="5">
        <f>IF('Journal'!C1734="","",'Journal'!C1734)</f>
        <v/>
      </c>
      <c r="D3465" s="5">
        <f>IF('Journal'!D1734="","",IFERROR(LEFT('Journal'!D1734,FIND(" ",'Journal'!D1734)-1),'Journal'!D1734))</f>
        <v/>
      </c>
      <c r="E3465" s="5">
        <f>IF('Journal'!D1734="","",IFERROR(INDEX('Kontoplan'!$B$3:$B$302,MATCH('Journal'!D1734,'Kontoplan'!$H$3:$H$302,0)),""))</f>
        <v/>
      </c>
      <c r="F3465" s="20">
        <f>IF('Journal'!G1734="","",'Journal'!G1734)</f>
        <v/>
      </c>
      <c r="G3465" s="20">
        <f>IF('Journal'!F1734="","",'Journal'!F1734)</f>
        <v/>
      </c>
      <c r="H3465" s="5">
        <f>IF('Journal'!I1734="","",'Journal'!I1734)</f>
        <v/>
      </c>
    </row>
    <row r="3466">
      <c r="A3466" s="18">
        <f>IF('Journal'!A1734="","",'Journal'!A1734)</f>
        <v/>
      </c>
      <c r="B3466" s="21">
        <f>IF('Journal'!B1734="","",'Journal'!B1734)</f>
        <v/>
      </c>
      <c r="C3466" s="5">
        <f>IF('Journal'!C1734="","",'Journal'!C1734)</f>
        <v/>
      </c>
      <c r="D3466" s="5">
        <f>IF('Journal'!E1734="","",IFERROR(LEFT('Journal'!E1734,FIND(" ",'Journal'!E1734)-1),'Journal'!E1734))</f>
        <v/>
      </c>
      <c r="E3466" s="5">
        <f>IF('Journal'!E1734="","",IFERROR(INDEX('Kontoplan'!$B$3:$B$302,MATCH('Journal'!E1734,'Kontoplan'!$H$3:$H$302,0)),""))</f>
        <v/>
      </c>
      <c r="F3466" s="20">
        <f>IF('Journal'!F1734="","",'Journal'!F1734)</f>
        <v/>
      </c>
      <c r="G3466" s="20">
        <f>IF('Journal'!G1734="","",'Journal'!G1734)</f>
        <v/>
      </c>
      <c r="H3466" s="5">
        <f>IF('Journal'!I1734="","",'Journal'!I1734)</f>
        <v/>
      </c>
    </row>
    <row r="3467">
      <c r="A3467" s="18">
        <f>IF('Journal'!A1735="","",'Journal'!A1735)</f>
        <v/>
      </c>
      <c r="B3467" s="21">
        <f>IF('Journal'!B1735="","",'Journal'!B1735)</f>
        <v/>
      </c>
      <c r="C3467" s="5">
        <f>IF('Journal'!C1735="","",'Journal'!C1735)</f>
        <v/>
      </c>
      <c r="D3467" s="5">
        <f>IF('Journal'!D1735="","",IFERROR(LEFT('Journal'!D1735,FIND(" ",'Journal'!D1735)-1),'Journal'!D1735))</f>
        <v/>
      </c>
      <c r="E3467" s="5">
        <f>IF('Journal'!D1735="","",IFERROR(INDEX('Kontoplan'!$B$3:$B$302,MATCH('Journal'!D1735,'Kontoplan'!$H$3:$H$302,0)),""))</f>
        <v/>
      </c>
      <c r="F3467" s="20">
        <f>IF('Journal'!G1735="","",'Journal'!G1735)</f>
        <v/>
      </c>
      <c r="G3467" s="20">
        <f>IF('Journal'!F1735="","",'Journal'!F1735)</f>
        <v/>
      </c>
      <c r="H3467" s="5">
        <f>IF('Journal'!I1735="","",'Journal'!I1735)</f>
        <v/>
      </c>
    </row>
    <row r="3468">
      <c r="A3468" s="18">
        <f>IF('Journal'!A1735="","",'Journal'!A1735)</f>
        <v/>
      </c>
      <c r="B3468" s="21">
        <f>IF('Journal'!B1735="","",'Journal'!B1735)</f>
        <v/>
      </c>
      <c r="C3468" s="5">
        <f>IF('Journal'!C1735="","",'Journal'!C1735)</f>
        <v/>
      </c>
      <c r="D3468" s="5">
        <f>IF('Journal'!E1735="","",IFERROR(LEFT('Journal'!E1735,FIND(" ",'Journal'!E1735)-1),'Journal'!E1735))</f>
        <v/>
      </c>
      <c r="E3468" s="5">
        <f>IF('Journal'!E1735="","",IFERROR(INDEX('Kontoplan'!$B$3:$B$302,MATCH('Journal'!E1735,'Kontoplan'!$H$3:$H$302,0)),""))</f>
        <v/>
      </c>
      <c r="F3468" s="20">
        <f>IF('Journal'!F1735="","",'Journal'!F1735)</f>
        <v/>
      </c>
      <c r="G3468" s="20">
        <f>IF('Journal'!G1735="","",'Journal'!G1735)</f>
        <v/>
      </c>
      <c r="H3468" s="5">
        <f>IF('Journal'!I1735="","",'Journal'!I1735)</f>
        <v/>
      </c>
    </row>
    <row r="3469">
      <c r="A3469" s="18">
        <f>IF('Journal'!A1736="","",'Journal'!A1736)</f>
        <v/>
      </c>
      <c r="B3469" s="21">
        <f>IF('Journal'!B1736="","",'Journal'!B1736)</f>
        <v/>
      </c>
      <c r="C3469" s="5">
        <f>IF('Journal'!C1736="","",'Journal'!C1736)</f>
        <v/>
      </c>
      <c r="D3469" s="5">
        <f>IF('Journal'!D1736="","",IFERROR(LEFT('Journal'!D1736,FIND(" ",'Journal'!D1736)-1),'Journal'!D1736))</f>
        <v/>
      </c>
      <c r="E3469" s="5">
        <f>IF('Journal'!D1736="","",IFERROR(INDEX('Kontoplan'!$B$3:$B$302,MATCH('Journal'!D1736,'Kontoplan'!$H$3:$H$302,0)),""))</f>
        <v/>
      </c>
      <c r="F3469" s="20">
        <f>IF('Journal'!G1736="","",'Journal'!G1736)</f>
        <v/>
      </c>
      <c r="G3469" s="20">
        <f>IF('Journal'!F1736="","",'Journal'!F1736)</f>
        <v/>
      </c>
      <c r="H3469" s="5">
        <f>IF('Journal'!I1736="","",'Journal'!I1736)</f>
        <v/>
      </c>
    </row>
    <row r="3470">
      <c r="A3470" s="18">
        <f>IF('Journal'!A1736="","",'Journal'!A1736)</f>
        <v/>
      </c>
      <c r="B3470" s="21">
        <f>IF('Journal'!B1736="","",'Journal'!B1736)</f>
        <v/>
      </c>
      <c r="C3470" s="5">
        <f>IF('Journal'!C1736="","",'Journal'!C1736)</f>
        <v/>
      </c>
      <c r="D3470" s="5">
        <f>IF('Journal'!E1736="","",IFERROR(LEFT('Journal'!E1736,FIND(" ",'Journal'!E1736)-1),'Journal'!E1736))</f>
        <v/>
      </c>
      <c r="E3470" s="5">
        <f>IF('Journal'!E1736="","",IFERROR(INDEX('Kontoplan'!$B$3:$B$302,MATCH('Journal'!E1736,'Kontoplan'!$H$3:$H$302,0)),""))</f>
        <v/>
      </c>
      <c r="F3470" s="20">
        <f>IF('Journal'!F1736="","",'Journal'!F1736)</f>
        <v/>
      </c>
      <c r="G3470" s="20">
        <f>IF('Journal'!G1736="","",'Journal'!G1736)</f>
        <v/>
      </c>
      <c r="H3470" s="5">
        <f>IF('Journal'!I1736="","",'Journal'!I1736)</f>
        <v/>
      </c>
    </row>
    <row r="3471">
      <c r="A3471" s="18">
        <f>IF('Journal'!A1737="","",'Journal'!A1737)</f>
        <v/>
      </c>
      <c r="B3471" s="21">
        <f>IF('Journal'!B1737="","",'Journal'!B1737)</f>
        <v/>
      </c>
      <c r="C3471" s="5">
        <f>IF('Journal'!C1737="","",'Journal'!C1737)</f>
        <v/>
      </c>
      <c r="D3471" s="5">
        <f>IF('Journal'!D1737="","",IFERROR(LEFT('Journal'!D1737,FIND(" ",'Journal'!D1737)-1),'Journal'!D1737))</f>
        <v/>
      </c>
      <c r="E3471" s="5">
        <f>IF('Journal'!D1737="","",IFERROR(INDEX('Kontoplan'!$B$3:$B$302,MATCH('Journal'!D1737,'Kontoplan'!$H$3:$H$302,0)),""))</f>
        <v/>
      </c>
      <c r="F3471" s="20">
        <f>IF('Journal'!G1737="","",'Journal'!G1737)</f>
        <v/>
      </c>
      <c r="G3471" s="20">
        <f>IF('Journal'!F1737="","",'Journal'!F1737)</f>
        <v/>
      </c>
      <c r="H3471" s="5">
        <f>IF('Journal'!I1737="","",'Journal'!I1737)</f>
        <v/>
      </c>
    </row>
    <row r="3472">
      <c r="A3472" s="18">
        <f>IF('Journal'!A1737="","",'Journal'!A1737)</f>
        <v/>
      </c>
      <c r="B3472" s="21">
        <f>IF('Journal'!B1737="","",'Journal'!B1737)</f>
        <v/>
      </c>
      <c r="C3472" s="5">
        <f>IF('Journal'!C1737="","",'Journal'!C1737)</f>
        <v/>
      </c>
      <c r="D3472" s="5">
        <f>IF('Journal'!E1737="","",IFERROR(LEFT('Journal'!E1737,FIND(" ",'Journal'!E1737)-1),'Journal'!E1737))</f>
        <v/>
      </c>
      <c r="E3472" s="5">
        <f>IF('Journal'!E1737="","",IFERROR(INDEX('Kontoplan'!$B$3:$B$302,MATCH('Journal'!E1737,'Kontoplan'!$H$3:$H$302,0)),""))</f>
        <v/>
      </c>
      <c r="F3472" s="20">
        <f>IF('Journal'!F1737="","",'Journal'!F1737)</f>
        <v/>
      </c>
      <c r="G3472" s="20">
        <f>IF('Journal'!G1737="","",'Journal'!G1737)</f>
        <v/>
      </c>
      <c r="H3472" s="5">
        <f>IF('Journal'!I1737="","",'Journal'!I1737)</f>
        <v/>
      </c>
    </row>
    <row r="3473">
      <c r="A3473" s="18">
        <f>IF('Journal'!A1738="","",'Journal'!A1738)</f>
        <v/>
      </c>
      <c r="B3473" s="21">
        <f>IF('Journal'!B1738="","",'Journal'!B1738)</f>
        <v/>
      </c>
      <c r="C3473" s="5">
        <f>IF('Journal'!C1738="","",'Journal'!C1738)</f>
        <v/>
      </c>
      <c r="D3473" s="5">
        <f>IF('Journal'!D1738="","",IFERROR(LEFT('Journal'!D1738,FIND(" ",'Journal'!D1738)-1),'Journal'!D1738))</f>
        <v/>
      </c>
      <c r="E3473" s="5">
        <f>IF('Journal'!D1738="","",IFERROR(INDEX('Kontoplan'!$B$3:$B$302,MATCH('Journal'!D1738,'Kontoplan'!$H$3:$H$302,0)),""))</f>
        <v/>
      </c>
      <c r="F3473" s="20">
        <f>IF('Journal'!G1738="","",'Journal'!G1738)</f>
        <v/>
      </c>
      <c r="G3473" s="20">
        <f>IF('Journal'!F1738="","",'Journal'!F1738)</f>
        <v/>
      </c>
      <c r="H3473" s="5">
        <f>IF('Journal'!I1738="","",'Journal'!I1738)</f>
        <v/>
      </c>
    </row>
    <row r="3474">
      <c r="A3474" s="18">
        <f>IF('Journal'!A1738="","",'Journal'!A1738)</f>
        <v/>
      </c>
      <c r="B3474" s="21">
        <f>IF('Journal'!B1738="","",'Journal'!B1738)</f>
        <v/>
      </c>
      <c r="C3474" s="5">
        <f>IF('Journal'!C1738="","",'Journal'!C1738)</f>
        <v/>
      </c>
      <c r="D3474" s="5">
        <f>IF('Journal'!E1738="","",IFERROR(LEFT('Journal'!E1738,FIND(" ",'Journal'!E1738)-1),'Journal'!E1738))</f>
        <v/>
      </c>
      <c r="E3474" s="5">
        <f>IF('Journal'!E1738="","",IFERROR(INDEX('Kontoplan'!$B$3:$B$302,MATCH('Journal'!E1738,'Kontoplan'!$H$3:$H$302,0)),""))</f>
        <v/>
      </c>
      <c r="F3474" s="20">
        <f>IF('Journal'!F1738="","",'Journal'!F1738)</f>
        <v/>
      </c>
      <c r="G3474" s="20">
        <f>IF('Journal'!G1738="","",'Journal'!G1738)</f>
        <v/>
      </c>
      <c r="H3474" s="5">
        <f>IF('Journal'!I1738="","",'Journal'!I1738)</f>
        <v/>
      </c>
    </row>
    <row r="3475">
      <c r="A3475" s="18">
        <f>IF('Journal'!A1739="","",'Journal'!A1739)</f>
        <v/>
      </c>
      <c r="B3475" s="21">
        <f>IF('Journal'!B1739="","",'Journal'!B1739)</f>
        <v/>
      </c>
      <c r="C3475" s="5">
        <f>IF('Journal'!C1739="","",'Journal'!C1739)</f>
        <v/>
      </c>
      <c r="D3475" s="5">
        <f>IF('Journal'!D1739="","",IFERROR(LEFT('Journal'!D1739,FIND(" ",'Journal'!D1739)-1),'Journal'!D1739))</f>
        <v/>
      </c>
      <c r="E3475" s="5">
        <f>IF('Journal'!D1739="","",IFERROR(INDEX('Kontoplan'!$B$3:$B$302,MATCH('Journal'!D1739,'Kontoplan'!$H$3:$H$302,0)),""))</f>
        <v/>
      </c>
      <c r="F3475" s="20">
        <f>IF('Journal'!G1739="","",'Journal'!G1739)</f>
        <v/>
      </c>
      <c r="G3475" s="20">
        <f>IF('Journal'!F1739="","",'Journal'!F1739)</f>
        <v/>
      </c>
      <c r="H3475" s="5">
        <f>IF('Journal'!I1739="","",'Journal'!I1739)</f>
        <v/>
      </c>
    </row>
    <row r="3476">
      <c r="A3476" s="18">
        <f>IF('Journal'!A1739="","",'Journal'!A1739)</f>
        <v/>
      </c>
      <c r="B3476" s="21">
        <f>IF('Journal'!B1739="","",'Journal'!B1739)</f>
        <v/>
      </c>
      <c r="C3476" s="5">
        <f>IF('Journal'!C1739="","",'Journal'!C1739)</f>
        <v/>
      </c>
      <c r="D3476" s="5">
        <f>IF('Journal'!E1739="","",IFERROR(LEFT('Journal'!E1739,FIND(" ",'Journal'!E1739)-1),'Journal'!E1739))</f>
        <v/>
      </c>
      <c r="E3476" s="5">
        <f>IF('Journal'!E1739="","",IFERROR(INDEX('Kontoplan'!$B$3:$B$302,MATCH('Journal'!E1739,'Kontoplan'!$H$3:$H$302,0)),""))</f>
        <v/>
      </c>
      <c r="F3476" s="20">
        <f>IF('Journal'!F1739="","",'Journal'!F1739)</f>
        <v/>
      </c>
      <c r="G3476" s="20">
        <f>IF('Journal'!G1739="","",'Journal'!G1739)</f>
        <v/>
      </c>
      <c r="H3476" s="5">
        <f>IF('Journal'!I1739="","",'Journal'!I1739)</f>
        <v/>
      </c>
    </row>
    <row r="3477">
      <c r="A3477" s="18">
        <f>IF('Journal'!A1740="","",'Journal'!A1740)</f>
        <v/>
      </c>
      <c r="B3477" s="21">
        <f>IF('Journal'!B1740="","",'Journal'!B1740)</f>
        <v/>
      </c>
      <c r="C3477" s="5">
        <f>IF('Journal'!C1740="","",'Journal'!C1740)</f>
        <v/>
      </c>
      <c r="D3477" s="5">
        <f>IF('Journal'!D1740="","",IFERROR(LEFT('Journal'!D1740,FIND(" ",'Journal'!D1740)-1),'Journal'!D1740))</f>
        <v/>
      </c>
      <c r="E3477" s="5">
        <f>IF('Journal'!D1740="","",IFERROR(INDEX('Kontoplan'!$B$3:$B$302,MATCH('Journal'!D1740,'Kontoplan'!$H$3:$H$302,0)),""))</f>
        <v/>
      </c>
      <c r="F3477" s="20">
        <f>IF('Journal'!G1740="","",'Journal'!G1740)</f>
        <v/>
      </c>
      <c r="G3477" s="20">
        <f>IF('Journal'!F1740="","",'Journal'!F1740)</f>
        <v/>
      </c>
      <c r="H3477" s="5">
        <f>IF('Journal'!I1740="","",'Journal'!I1740)</f>
        <v/>
      </c>
    </row>
    <row r="3478">
      <c r="A3478" s="18">
        <f>IF('Journal'!A1740="","",'Journal'!A1740)</f>
        <v/>
      </c>
      <c r="B3478" s="21">
        <f>IF('Journal'!B1740="","",'Journal'!B1740)</f>
        <v/>
      </c>
      <c r="C3478" s="5">
        <f>IF('Journal'!C1740="","",'Journal'!C1740)</f>
        <v/>
      </c>
      <c r="D3478" s="5">
        <f>IF('Journal'!E1740="","",IFERROR(LEFT('Journal'!E1740,FIND(" ",'Journal'!E1740)-1),'Journal'!E1740))</f>
        <v/>
      </c>
      <c r="E3478" s="5">
        <f>IF('Journal'!E1740="","",IFERROR(INDEX('Kontoplan'!$B$3:$B$302,MATCH('Journal'!E1740,'Kontoplan'!$H$3:$H$302,0)),""))</f>
        <v/>
      </c>
      <c r="F3478" s="20">
        <f>IF('Journal'!F1740="","",'Journal'!F1740)</f>
        <v/>
      </c>
      <c r="G3478" s="20">
        <f>IF('Journal'!G1740="","",'Journal'!G1740)</f>
        <v/>
      </c>
      <c r="H3478" s="5">
        <f>IF('Journal'!I1740="","",'Journal'!I1740)</f>
        <v/>
      </c>
    </row>
    <row r="3479">
      <c r="A3479" s="18">
        <f>IF('Journal'!A1741="","",'Journal'!A1741)</f>
        <v/>
      </c>
      <c r="B3479" s="21">
        <f>IF('Journal'!B1741="","",'Journal'!B1741)</f>
        <v/>
      </c>
      <c r="C3479" s="5">
        <f>IF('Journal'!C1741="","",'Journal'!C1741)</f>
        <v/>
      </c>
      <c r="D3479" s="5">
        <f>IF('Journal'!D1741="","",IFERROR(LEFT('Journal'!D1741,FIND(" ",'Journal'!D1741)-1),'Journal'!D1741))</f>
        <v/>
      </c>
      <c r="E3479" s="5">
        <f>IF('Journal'!D1741="","",IFERROR(INDEX('Kontoplan'!$B$3:$B$302,MATCH('Journal'!D1741,'Kontoplan'!$H$3:$H$302,0)),""))</f>
        <v/>
      </c>
      <c r="F3479" s="20">
        <f>IF('Journal'!G1741="","",'Journal'!G1741)</f>
        <v/>
      </c>
      <c r="G3479" s="20">
        <f>IF('Journal'!F1741="","",'Journal'!F1741)</f>
        <v/>
      </c>
      <c r="H3479" s="5">
        <f>IF('Journal'!I1741="","",'Journal'!I1741)</f>
        <v/>
      </c>
    </row>
    <row r="3480">
      <c r="A3480" s="18">
        <f>IF('Journal'!A1741="","",'Journal'!A1741)</f>
        <v/>
      </c>
      <c r="B3480" s="21">
        <f>IF('Journal'!B1741="","",'Journal'!B1741)</f>
        <v/>
      </c>
      <c r="C3480" s="5">
        <f>IF('Journal'!C1741="","",'Journal'!C1741)</f>
        <v/>
      </c>
      <c r="D3480" s="5">
        <f>IF('Journal'!E1741="","",IFERROR(LEFT('Journal'!E1741,FIND(" ",'Journal'!E1741)-1),'Journal'!E1741))</f>
        <v/>
      </c>
      <c r="E3480" s="5">
        <f>IF('Journal'!E1741="","",IFERROR(INDEX('Kontoplan'!$B$3:$B$302,MATCH('Journal'!E1741,'Kontoplan'!$H$3:$H$302,0)),""))</f>
        <v/>
      </c>
      <c r="F3480" s="20">
        <f>IF('Journal'!F1741="","",'Journal'!F1741)</f>
        <v/>
      </c>
      <c r="G3480" s="20">
        <f>IF('Journal'!G1741="","",'Journal'!G1741)</f>
        <v/>
      </c>
      <c r="H3480" s="5">
        <f>IF('Journal'!I1741="","",'Journal'!I1741)</f>
        <v/>
      </c>
    </row>
    <row r="3481">
      <c r="A3481" s="18">
        <f>IF('Journal'!A1742="","",'Journal'!A1742)</f>
        <v/>
      </c>
      <c r="B3481" s="21">
        <f>IF('Journal'!B1742="","",'Journal'!B1742)</f>
        <v/>
      </c>
      <c r="C3481" s="5">
        <f>IF('Journal'!C1742="","",'Journal'!C1742)</f>
        <v/>
      </c>
      <c r="D3481" s="5">
        <f>IF('Journal'!D1742="","",IFERROR(LEFT('Journal'!D1742,FIND(" ",'Journal'!D1742)-1),'Journal'!D1742))</f>
        <v/>
      </c>
      <c r="E3481" s="5">
        <f>IF('Journal'!D1742="","",IFERROR(INDEX('Kontoplan'!$B$3:$B$302,MATCH('Journal'!D1742,'Kontoplan'!$H$3:$H$302,0)),""))</f>
        <v/>
      </c>
      <c r="F3481" s="20">
        <f>IF('Journal'!G1742="","",'Journal'!G1742)</f>
        <v/>
      </c>
      <c r="G3481" s="20">
        <f>IF('Journal'!F1742="","",'Journal'!F1742)</f>
        <v/>
      </c>
      <c r="H3481" s="5">
        <f>IF('Journal'!I1742="","",'Journal'!I1742)</f>
        <v/>
      </c>
    </row>
    <row r="3482">
      <c r="A3482" s="18">
        <f>IF('Journal'!A1742="","",'Journal'!A1742)</f>
        <v/>
      </c>
      <c r="B3482" s="21">
        <f>IF('Journal'!B1742="","",'Journal'!B1742)</f>
        <v/>
      </c>
      <c r="C3482" s="5">
        <f>IF('Journal'!C1742="","",'Journal'!C1742)</f>
        <v/>
      </c>
      <c r="D3482" s="5">
        <f>IF('Journal'!E1742="","",IFERROR(LEFT('Journal'!E1742,FIND(" ",'Journal'!E1742)-1),'Journal'!E1742))</f>
        <v/>
      </c>
      <c r="E3482" s="5">
        <f>IF('Journal'!E1742="","",IFERROR(INDEX('Kontoplan'!$B$3:$B$302,MATCH('Journal'!E1742,'Kontoplan'!$H$3:$H$302,0)),""))</f>
        <v/>
      </c>
      <c r="F3482" s="20">
        <f>IF('Journal'!F1742="","",'Journal'!F1742)</f>
        <v/>
      </c>
      <c r="G3482" s="20">
        <f>IF('Journal'!G1742="","",'Journal'!G1742)</f>
        <v/>
      </c>
      <c r="H3482" s="5">
        <f>IF('Journal'!I1742="","",'Journal'!I1742)</f>
        <v/>
      </c>
    </row>
    <row r="3483">
      <c r="A3483" s="18">
        <f>IF('Journal'!A1743="","",'Journal'!A1743)</f>
        <v/>
      </c>
      <c r="B3483" s="21">
        <f>IF('Journal'!B1743="","",'Journal'!B1743)</f>
        <v/>
      </c>
      <c r="C3483" s="5">
        <f>IF('Journal'!C1743="","",'Journal'!C1743)</f>
        <v/>
      </c>
      <c r="D3483" s="5">
        <f>IF('Journal'!D1743="","",IFERROR(LEFT('Journal'!D1743,FIND(" ",'Journal'!D1743)-1),'Journal'!D1743))</f>
        <v/>
      </c>
      <c r="E3483" s="5">
        <f>IF('Journal'!D1743="","",IFERROR(INDEX('Kontoplan'!$B$3:$B$302,MATCH('Journal'!D1743,'Kontoplan'!$H$3:$H$302,0)),""))</f>
        <v/>
      </c>
      <c r="F3483" s="20">
        <f>IF('Journal'!G1743="","",'Journal'!G1743)</f>
        <v/>
      </c>
      <c r="G3483" s="20">
        <f>IF('Journal'!F1743="","",'Journal'!F1743)</f>
        <v/>
      </c>
      <c r="H3483" s="5">
        <f>IF('Journal'!I1743="","",'Journal'!I1743)</f>
        <v/>
      </c>
    </row>
    <row r="3484">
      <c r="A3484" s="18">
        <f>IF('Journal'!A1743="","",'Journal'!A1743)</f>
        <v/>
      </c>
      <c r="B3484" s="21">
        <f>IF('Journal'!B1743="","",'Journal'!B1743)</f>
        <v/>
      </c>
      <c r="C3484" s="5">
        <f>IF('Journal'!C1743="","",'Journal'!C1743)</f>
        <v/>
      </c>
      <c r="D3484" s="5">
        <f>IF('Journal'!E1743="","",IFERROR(LEFT('Journal'!E1743,FIND(" ",'Journal'!E1743)-1),'Journal'!E1743))</f>
        <v/>
      </c>
      <c r="E3484" s="5">
        <f>IF('Journal'!E1743="","",IFERROR(INDEX('Kontoplan'!$B$3:$B$302,MATCH('Journal'!E1743,'Kontoplan'!$H$3:$H$302,0)),""))</f>
        <v/>
      </c>
      <c r="F3484" s="20">
        <f>IF('Journal'!F1743="","",'Journal'!F1743)</f>
        <v/>
      </c>
      <c r="G3484" s="20">
        <f>IF('Journal'!G1743="","",'Journal'!G1743)</f>
        <v/>
      </c>
      <c r="H3484" s="5">
        <f>IF('Journal'!I1743="","",'Journal'!I1743)</f>
        <v/>
      </c>
    </row>
    <row r="3485">
      <c r="A3485" s="18">
        <f>IF('Journal'!A1744="","",'Journal'!A1744)</f>
        <v/>
      </c>
      <c r="B3485" s="21">
        <f>IF('Journal'!B1744="","",'Journal'!B1744)</f>
        <v/>
      </c>
      <c r="C3485" s="5">
        <f>IF('Journal'!C1744="","",'Journal'!C1744)</f>
        <v/>
      </c>
      <c r="D3485" s="5">
        <f>IF('Journal'!D1744="","",IFERROR(LEFT('Journal'!D1744,FIND(" ",'Journal'!D1744)-1),'Journal'!D1744))</f>
        <v/>
      </c>
      <c r="E3485" s="5">
        <f>IF('Journal'!D1744="","",IFERROR(INDEX('Kontoplan'!$B$3:$B$302,MATCH('Journal'!D1744,'Kontoplan'!$H$3:$H$302,0)),""))</f>
        <v/>
      </c>
      <c r="F3485" s="20">
        <f>IF('Journal'!G1744="","",'Journal'!G1744)</f>
        <v/>
      </c>
      <c r="G3485" s="20">
        <f>IF('Journal'!F1744="","",'Journal'!F1744)</f>
        <v/>
      </c>
      <c r="H3485" s="5">
        <f>IF('Journal'!I1744="","",'Journal'!I1744)</f>
        <v/>
      </c>
    </row>
    <row r="3486">
      <c r="A3486" s="18">
        <f>IF('Journal'!A1744="","",'Journal'!A1744)</f>
        <v/>
      </c>
      <c r="B3486" s="21">
        <f>IF('Journal'!B1744="","",'Journal'!B1744)</f>
        <v/>
      </c>
      <c r="C3486" s="5">
        <f>IF('Journal'!C1744="","",'Journal'!C1744)</f>
        <v/>
      </c>
      <c r="D3486" s="5">
        <f>IF('Journal'!E1744="","",IFERROR(LEFT('Journal'!E1744,FIND(" ",'Journal'!E1744)-1),'Journal'!E1744))</f>
        <v/>
      </c>
      <c r="E3486" s="5">
        <f>IF('Journal'!E1744="","",IFERROR(INDEX('Kontoplan'!$B$3:$B$302,MATCH('Journal'!E1744,'Kontoplan'!$H$3:$H$302,0)),""))</f>
        <v/>
      </c>
      <c r="F3486" s="20">
        <f>IF('Journal'!F1744="","",'Journal'!F1744)</f>
        <v/>
      </c>
      <c r="G3486" s="20">
        <f>IF('Journal'!G1744="","",'Journal'!G1744)</f>
        <v/>
      </c>
      <c r="H3486" s="5">
        <f>IF('Journal'!I1744="","",'Journal'!I1744)</f>
        <v/>
      </c>
    </row>
    <row r="3487">
      <c r="A3487" s="18">
        <f>IF('Journal'!A1745="","",'Journal'!A1745)</f>
        <v/>
      </c>
      <c r="B3487" s="21">
        <f>IF('Journal'!B1745="","",'Journal'!B1745)</f>
        <v/>
      </c>
      <c r="C3487" s="5">
        <f>IF('Journal'!C1745="","",'Journal'!C1745)</f>
        <v/>
      </c>
      <c r="D3487" s="5">
        <f>IF('Journal'!D1745="","",IFERROR(LEFT('Journal'!D1745,FIND(" ",'Journal'!D1745)-1),'Journal'!D1745))</f>
        <v/>
      </c>
      <c r="E3487" s="5">
        <f>IF('Journal'!D1745="","",IFERROR(INDEX('Kontoplan'!$B$3:$B$302,MATCH('Journal'!D1745,'Kontoplan'!$H$3:$H$302,0)),""))</f>
        <v/>
      </c>
      <c r="F3487" s="20">
        <f>IF('Journal'!G1745="","",'Journal'!G1745)</f>
        <v/>
      </c>
      <c r="G3487" s="20">
        <f>IF('Journal'!F1745="","",'Journal'!F1745)</f>
        <v/>
      </c>
      <c r="H3487" s="5">
        <f>IF('Journal'!I1745="","",'Journal'!I1745)</f>
        <v/>
      </c>
    </row>
    <row r="3488">
      <c r="A3488" s="18">
        <f>IF('Journal'!A1745="","",'Journal'!A1745)</f>
        <v/>
      </c>
      <c r="B3488" s="21">
        <f>IF('Journal'!B1745="","",'Journal'!B1745)</f>
        <v/>
      </c>
      <c r="C3488" s="5">
        <f>IF('Journal'!C1745="","",'Journal'!C1745)</f>
        <v/>
      </c>
      <c r="D3488" s="5">
        <f>IF('Journal'!E1745="","",IFERROR(LEFT('Journal'!E1745,FIND(" ",'Journal'!E1745)-1),'Journal'!E1745))</f>
        <v/>
      </c>
      <c r="E3488" s="5">
        <f>IF('Journal'!E1745="","",IFERROR(INDEX('Kontoplan'!$B$3:$B$302,MATCH('Journal'!E1745,'Kontoplan'!$H$3:$H$302,0)),""))</f>
        <v/>
      </c>
      <c r="F3488" s="20">
        <f>IF('Journal'!F1745="","",'Journal'!F1745)</f>
        <v/>
      </c>
      <c r="G3488" s="20">
        <f>IF('Journal'!G1745="","",'Journal'!G1745)</f>
        <v/>
      </c>
      <c r="H3488" s="5">
        <f>IF('Journal'!I1745="","",'Journal'!I1745)</f>
        <v/>
      </c>
    </row>
    <row r="3489">
      <c r="A3489" s="18">
        <f>IF('Journal'!A1746="","",'Journal'!A1746)</f>
        <v/>
      </c>
      <c r="B3489" s="21">
        <f>IF('Journal'!B1746="","",'Journal'!B1746)</f>
        <v/>
      </c>
      <c r="C3489" s="5">
        <f>IF('Journal'!C1746="","",'Journal'!C1746)</f>
        <v/>
      </c>
      <c r="D3489" s="5">
        <f>IF('Journal'!D1746="","",IFERROR(LEFT('Journal'!D1746,FIND(" ",'Journal'!D1746)-1),'Journal'!D1746))</f>
        <v/>
      </c>
      <c r="E3489" s="5">
        <f>IF('Journal'!D1746="","",IFERROR(INDEX('Kontoplan'!$B$3:$B$302,MATCH('Journal'!D1746,'Kontoplan'!$H$3:$H$302,0)),""))</f>
        <v/>
      </c>
      <c r="F3489" s="20">
        <f>IF('Journal'!G1746="","",'Journal'!G1746)</f>
        <v/>
      </c>
      <c r="G3489" s="20">
        <f>IF('Journal'!F1746="","",'Journal'!F1746)</f>
        <v/>
      </c>
      <c r="H3489" s="5">
        <f>IF('Journal'!I1746="","",'Journal'!I1746)</f>
        <v/>
      </c>
    </row>
    <row r="3490">
      <c r="A3490" s="18">
        <f>IF('Journal'!A1746="","",'Journal'!A1746)</f>
        <v/>
      </c>
      <c r="B3490" s="21">
        <f>IF('Journal'!B1746="","",'Journal'!B1746)</f>
        <v/>
      </c>
      <c r="C3490" s="5">
        <f>IF('Journal'!C1746="","",'Journal'!C1746)</f>
        <v/>
      </c>
      <c r="D3490" s="5">
        <f>IF('Journal'!E1746="","",IFERROR(LEFT('Journal'!E1746,FIND(" ",'Journal'!E1746)-1),'Journal'!E1746))</f>
        <v/>
      </c>
      <c r="E3490" s="5">
        <f>IF('Journal'!E1746="","",IFERROR(INDEX('Kontoplan'!$B$3:$B$302,MATCH('Journal'!E1746,'Kontoplan'!$H$3:$H$302,0)),""))</f>
        <v/>
      </c>
      <c r="F3490" s="20">
        <f>IF('Journal'!F1746="","",'Journal'!F1746)</f>
        <v/>
      </c>
      <c r="G3490" s="20">
        <f>IF('Journal'!G1746="","",'Journal'!G1746)</f>
        <v/>
      </c>
      <c r="H3490" s="5">
        <f>IF('Journal'!I1746="","",'Journal'!I1746)</f>
        <v/>
      </c>
    </row>
    <row r="3491">
      <c r="A3491" s="18">
        <f>IF('Journal'!A1747="","",'Journal'!A1747)</f>
        <v/>
      </c>
      <c r="B3491" s="21">
        <f>IF('Journal'!B1747="","",'Journal'!B1747)</f>
        <v/>
      </c>
      <c r="C3491" s="5">
        <f>IF('Journal'!C1747="","",'Journal'!C1747)</f>
        <v/>
      </c>
      <c r="D3491" s="5">
        <f>IF('Journal'!D1747="","",IFERROR(LEFT('Journal'!D1747,FIND(" ",'Journal'!D1747)-1),'Journal'!D1747))</f>
        <v/>
      </c>
      <c r="E3491" s="5">
        <f>IF('Journal'!D1747="","",IFERROR(INDEX('Kontoplan'!$B$3:$B$302,MATCH('Journal'!D1747,'Kontoplan'!$H$3:$H$302,0)),""))</f>
        <v/>
      </c>
      <c r="F3491" s="20">
        <f>IF('Journal'!G1747="","",'Journal'!G1747)</f>
        <v/>
      </c>
      <c r="G3491" s="20">
        <f>IF('Journal'!F1747="","",'Journal'!F1747)</f>
        <v/>
      </c>
      <c r="H3491" s="5">
        <f>IF('Journal'!I1747="","",'Journal'!I1747)</f>
        <v/>
      </c>
    </row>
    <row r="3492">
      <c r="A3492" s="18">
        <f>IF('Journal'!A1747="","",'Journal'!A1747)</f>
        <v/>
      </c>
      <c r="B3492" s="21">
        <f>IF('Journal'!B1747="","",'Journal'!B1747)</f>
        <v/>
      </c>
      <c r="C3492" s="5">
        <f>IF('Journal'!C1747="","",'Journal'!C1747)</f>
        <v/>
      </c>
      <c r="D3492" s="5">
        <f>IF('Journal'!E1747="","",IFERROR(LEFT('Journal'!E1747,FIND(" ",'Journal'!E1747)-1),'Journal'!E1747))</f>
        <v/>
      </c>
      <c r="E3492" s="5">
        <f>IF('Journal'!E1747="","",IFERROR(INDEX('Kontoplan'!$B$3:$B$302,MATCH('Journal'!E1747,'Kontoplan'!$H$3:$H$302,0)),""))</f>
        <v/>
      </c>
      <c r="F3492" s="20">
        <f>IF('Journal'!F1747="","",'Journal'!F1747)</f>
        <v/>
      </c>
      <c r="G3492" s="20">
        <f>IF('Journal'!G1747="","",'Journal'!G1747)</f>
        <v/>
      </c>
      <c r="H3492" s="5">
        <f>IF('Journal'!I1747="","",'Journal'!I1747)</f>
        <v/>
      </c>
    </row>
    <row r="3493">
      <c r="A3493" s="18">
        <f>IF('Journal'!A1748="","",'Journal'!A1748)</f>
        <v/>
      </c>
      <c r="B3493" s="21">
        <f>IF('Journal'!B1748="","",'Journal'!B1748)</f>
        <v/>
      </c>
      <c r="C3493" s="5">
        <f>IF('Journal'!C1748="","",'Journal'!C1748)</f>
        <v/>
      </c>
      <c r="D3493" s="5">
        <f>IF('Journal'!D1748="","",IFERROR(LEFT('Journal'!D1748,FIND(" ",'Journal'!D1748)-1),'Journal'!D1748))</f>
        <v/>
      </c>
      <c r="E3493" s="5">
        <f>IF('Journal'!D1748="","",IFERROR(INDEX('Kontoplan'!$B$3:$B$302,MATCH('Journal'!D1748,'Kontoplan'!$H$3:$H$302,0)),""))</f>
        <v/>
      </c>
      <c r="F3493" s="20">
        <f>IF('Journal'!G1748="","",'Journal'!G1748)</f>
        <v/>
      </c>
      <c r="G3493" s="20">
        <f>IF('Journal'!F1748="","",'Journal'!F1748)</f>
        <v/>
      </c>
      <c r="H3493" s="5">
        <f>IF('Journal'!I1748="","",'Journal'!I1748)</f>
        <v/>
      </c>
    </row>
    <row r="3494">
      <c r="A3494" s="18">
        <f>IF('Journal'!A1748="","",'Journal'!A1748)</f>
        <v/>
      </c>
      <c r="B3494" s="21">
        <f>IF('Journal'!B1748="","",'Journal'!B1748)</f>
        <v/>
      </c>
      <c r="C3494" s="5">
        <f>IF('Journal'!C1748="","",'Journal'!C1748)</f>
        <v/>
      </c>
      <c r="D3494" s="5">
        <f>IF('Journal'!E1748="","",IFERROR(LEFT('Journal'!E1748,FIND(" ",'Journal'!E1748)-1),'Journal'!E1748))</f>
        <v/>
      </c>
      <c r="E3494" s="5">
        <f>IF('Journal'!E1748="","",IFERROR(INDEX('Kontoplan'!$B$3:$B$302,MATCH('Journal'!E1748,'Kontoplan'!$H$3:$H$302,0)),""))</f>
        <v/>
      </c>
      <c r="F3494" s="20">
        <f>IF('Journal'!F1748="","",'Journal'!F1748)</f>
        <v/>
      </c>
      <c r="G3494" s="20">
        <f>IF('Journal'!G1748="","",'Journal'!G1748)</f>
        <v/>
      </c>
      <c r="H3494" s="5">
        <f>IF('Journal'!I1748="","",'Journal'!I1748)</f>
        <v/>
      </c>
    </row>
    <row r="3495">
      <c r="A3495" s="18">
        <f>IF('Journal'!A1749="","",'Journal'!A1749)</f>
        <v/>
      </c>
      <c r="B3495" s="21">
        <f>IF('Journal'!B1749="","",'Journal'!B1749)</f>
        <v/>
      </c>
      <c r="C3495" s="5">
        <f>IF('Journal'!C1749="","",'Journal'!C1749)</f>
        <v/>
      </c>
      <c r="D3495" s="5">
        <f>IF('Journal'!D1749="","",IFERROR(LEFT('Journal'!D1749,FIND(" ",'Journal'!D1749)-1),'Journal'!D1749))</f>
        <v/>
      </c>
      <c r="E3495" s="5">
        <f>IF('Journal'!D1749="","",IFERROR(INDEX('Kontoplan'!$B$3:$B$302,MATCH('Journal'!D1749,'Kontoplan'!$H$3:$H$302,0)),""))</f>
        <v/>
      </c>
      <c r="F3495" s="20">
        <f>IF('Journal'!G1749="","",'Journal'!G1749)</f>
        <v/>
      </c>
      <c r="G3495" s="20">
        <f>IF('Journal'!F1749="","",'Journal'!F1749)</f>
        <v/>
      </c>
      <c r="H3495" s="5">
        <f>IF('Journal'!I1749="","",'Journal'!I1749)</f>
        <v/>
      </c>
    </row>
    <row r="3496">
      <c r="A3496" s="18">
        <f>IF('Journal'!A1749="","",'Journal'!A1749)</f>
        <v/>
      </c>
      <c r="B3496" s="21">
        <f>IF('Journal'!B1749="","",'Journal'!B1749)</f>
        <v/>
      </c>
      <c r="C3496" s="5">
        <f>IF('Journal'!C1749="","",'Journal'!C1749)</f>
        <v/>
      </c>
      <c r="D3496" s="5">
        <f>IF('Journal'!E1749="","",IFERROR(LEFT('Journal'!E1749,FIND(" ",'Journal'!E1749)-1),'Journal'!E1749))</f>
        <v/>
      </c>
      <c r="E3496" s="5">
        <f>IF('Journal'!E1749="","",IFERROR(INDEX('Kontoplan'!$B$3:$B$302,MATCH('Journal'!E1749,'Kontoplan'!$H$3:$H$302,0)),""))</f>
        <v/>
      </c>
      <c r="F3496" s="20">
        <f>IF('Journal'!F1749="","",'Journal'!F1749)</f>
        <v/>
      </c>
      <c r="G3496" s="20">
        <f>IF('Journal'!G1749="","",'Journal'!G1749)</f>
        <v/>
      </c>
      <c r="H3496" s="5">
        <f>IF('Journal'!I1749="","",'Journal'!I1749)</f>
        <v/>
      </c>
    </row>
    <row r="3497">
      <c r="A3497" s="18">
        <f>IF('Journal'!A1750="","",'Journal'!A1750)</f>
        <v/>
      </c>
      <c r="B3497" s="21">
        <f>IF('Journal'!B1750="","",'Journal'!B1750)</f>
        <v/>
      </c>
      <c r="C3497" s="5">
        <f>IF('Journal'!C1750="","",'Journal'!C1750)</f>
        <v/>
      </c>
      <c r="D3497" s="5">
        <f>IF('Journal'!D1750="","",IFERROR(LEFT('Journal'!D1750,FIND(" ",'Journal'!D1750)-1),'Journal'!D1750))</f>
        <v/>
      </c>
      <c r="E3497" s="5">
        <f>IF('Journal'!D1750="","",IFERROR(INDEX('Kontoplan'!$B$3:$B$302,MATCH('Journal'!D1750,'Kontoplan'!$H$3:$H$302,0)),""))</f>
        <v/>
      </c>
      <c r="F3497" s="20">
        <f>IF('Journal'!G1750="","",'Journal'!G1750)</f>
        <v/>
      </c>
      <c r="G3497" s="20">
        <f>IF('Journal'!F1750="","",'Journal'!F1750)</f>
        <v/>
      </c>
      <c r="H3497" s="5">
        <f>IF('Journal'!I1750="","",'Journal'!I1750)</f>
        <v/>
      </c>
    </row>
    <row r="3498">
      <c r="A3498" s="18">
        <f>IF('Journal'!A1750="","",'Journal'!A1750)</f>
        <v/>
      </c>
      <c r="B3498" s="21">
        <f>IF('Journal'!B1750="","",'Journal'!B1750)</f>
        <v/>
      </c>
      <c r="C3498" s="5">
        <f>IF('Journal'!C1750="","",'Journal'!C1750)</f>
        <v/>
      </c>
      <c r="D3498" s="5">
        <f>IF('Journal'!E1750="","",IFERROR(LEFT('Journal'!E1750,FIND(" ",'Journal'!E1750)-1),'Journal'!E1750))</f>
        <v/>
      </c>
      <c r="E3498" s="5">
        <f>IF('Journal'!E1750="","",IFERROR(INDEX('Kontoplan'!$B$3:$B$302,MATCH('Journal'!E1750,'Kontoplan'!$H$3:$H$302,0)),""))</f>
        <v/>
      </c>
      <c r="F3498" s="20">
        <f>IF('Journal'!F1750="","",'Journal'!F1750)</f>
        <v/>
      </c>
      <c r="G3498" s="20">
        <f>IF('Journal'!G1750="","",'Journal'!G1750)</f>
        <v/>
      </c>
      <c r="H3498" s="5">
        <f>IF('Journal'!I1750="","",'Journal'!I1750)</f>
        <v/>
      </c>
    </row>
    <row r="3499">
      <c r="A3499" s="18">
        <f>IF('Journal'!A1751="","",'Journal'!A1751)</f>
        <v/>
      </c>
      <c r="B3499" s="21">
        <f>IF('Journal'!B1751="","",'Journal'!B1751)</f>
        <v/>
      </c>
      <c r="C3499" s="5">
        <f>IF('Journal'!C1751="","",'Journal'!C1751)</f>
        <v/>
      </c>
      <c r="D3499" s="5">
        <f>IF('Journal'!D1751="","",IFERROR(LEFT('Journal'!D1751,FIND(" ",'Journal'!D1751)-1),'Journal'!D1751))</f>
        <v/>
      </c>
      <c r="E3499" s="5">
        <f>IF('Journal'!D1751="","",IFERROR(INDEX('Kontoplan'!$B$3:$B$302,MATCH('Journal'!D1751,'Kontoplan'!$H$3:$H$302,0)),""))</f>
        <v/>
      </c>
      <c r="F3499" s="20">
        <f>IF('Journal'!G1751="","",'Journal'!G1751)</f>
        <v/>
      </c>
      <c r="G3499" s="20">
        <f>IF('Journal'!F1751="","",'Journal'!F1751)</f>
        <v/>
      </c>
      <c r="H3499" s="5">
        <f>IF('Journal'!I1751="","",'Journal'!I1751)</f>
        <v/>
      </c>
    </row>
    <row r="3500">
      <c r="A3500" s="18">
        <f>IF('Journal'!A1751="","",'Journal'!A1751)</f>
        <v/>
      </c>
      <c r="B3500" s="21">
        <f>IF('Journal'!B1751="","",'Journal'!B1751)</f>
        <v/>
      </c>
      <c r="C3500" s="5">
        <f>IF('Journal'!C1751="","",'Journal'!C1751)</f>
        <v/>
      </c>
      <c r="D3500" s="5">
        <f>IF('Journal'!E1751="","",IFERROR(LEFT('Journal'!E1751,FIND(" ",'Journal'!E1751)-1),'Journal'!E1751))</f>
        <v/>
      </c>
      <c r="E3500" s="5">
        <f>IF('Journal'!E1751="","",IFERROR(INDEX('Kontoplan'!$B$3:$B$302,MATCH('Journal'!E1751,'Kontoplan'!$H$3:$H$302,0)),""))</f>
        <v/>
      </c>
      <c r="F3500" s="20">
        <f>IF('Journal'!F1751="","",'Journal'!F1751)</f>
        <v/>
      </c>
      <c r="G3500" s="20">
        <f>IF('Journal'!G1751="","",'Journal'!G1751)</f>
        <v/>
      </c>
      <c r="H3500" s="5">
        <f>IF('Journal'!I1751="","",'Journal'!I1751)</f>
        <v/>
      </c>
    </row>
    <row r="3501">
      <c r="A3501" s="18">
        <f>IF('Journal'!A1752="","",'Journal'!A1752)</f>
        <v/>
      </c>
      <c r="B3501" s="21">
        <f>IF('Journal'!B1752="","",'Journal'!B1752)</f>
        <v/>
      </c>
      <c r="C3501" s="5">
        <f>IF('Journal'!C1752="","",'Journal'!C1752)</f>
        <v/>
      </c>
      <c r="D3501" s="5">
        <f>IF('Journal'!D1752="","",IFERROR(LEFT('Journal'!D1752,FIND(" ",'Journal'!D1752)-1),'Journal'!D1752))</f>
        <v/>
      </c>
      <c r="E3501" s="5">
        <f>IF('Journal'!D1752="","",IFERROR(INDEX('Kontoplan'!$B$3:$B$302,MATCH('Journal'!D1752,'Kontoplan'!$H$3:$H$302,0)),""))</f>
        <v/>
      </c>
      <c r="F3501" s="20">
        <f>IF('Journal'!G1752="","",'Journal'!G1752)</f>
        <v/>
      </c>
      <c r="G3501" s="20">
        <f>IF('Journal'!F1752="","",'Journal'!F1752)</f>
        <v/>
      </c>
      <c r="H3501" s="5">
        <f>IF('Journal'!I1752="","",'Journal'!I1752)</f>
        <v/>
      </c>
    </row>
    <row r="3502">
      <c r="A3502" s="18">
        <f>IF('Journal'!A1752="","",'Journal'!A1752)</f>
        <v/>
      </c>
      <c r="B3502" s="21">
        <f>IF('Journal'!B1752="","",'Journal'!B1752)</f>
        <v/>
      </c>
      <c r="C3502" s="5">
        <f>IF('Journal'!C1752="","",'Journal'!C1752)</f>
        <v/>
      </c>
      <c r="D3502" s="5">
        <f>IF('Journal'!E1752="","",IFERROR(LEFT('Journal'!E1752,FIND(" ",'Journal'!E1752)-1),'Journal'!E1752))</f>
        <v/>
      </c>
      <c r="E3502" s="5">
        <f>IF('Journal'!E1752="","",IFERROR(INDEX('Kontoplan'!$B$3:$B$302,MATCH('Journal'!E1752,'Kontoplan'!$H$3:$H$302,0)),""))</f>
        <v/>
      </c>
      <c r="F3502" s="20">
        <f>IF('Journal'!F1752="","",'Journal'!F1752)</f>
        <v/>
      </c>
      <c r="G3502" s="20">
        <f>IF('Journal'!G1752="","",'Journal'!G1752)</f>
        <v/>
      </c>
      <c r="H3502" s="5">
        <f>IF('Journal'!I1752="","",'Journal'!I1752)</f>
        <v/>
      </c>
    </row>
    <row r="3503">
      <c r="A3503" s="18">
        <f>IF('Journal'!A1753="","",'Journal'!A1753)</f>
        <v/>
      </c>
      <c r="B3503" s="21">
        <f>IF('Journal'!B1753="","",'Journal'!B1753)</f>
        <v/>
      </c>
      <c r="C3503" s="5">
        <f>IF('Journal'!C1753="","",'Journal'!C1753)</f>
        <v/>
      </c>
      <c r="D3503" s="5">
        <f>IF('Journal'!D1753="","",IFERROR(LEFT('Journal'!D1753,FIND(" ",'Journal'!D1753)-1),'Journal'!D1753))</f>
        <v/>
      </c>
      <c r="E3503" s="5">
        <f>IF('Journal'!D1753="","",IFERROR(INDEX('Kontoplan'!$B$3:$B$302,MATCH('Journal'!D1753,'Kontoplan'!$H$3:$H$302,0)),""))</f>
        <v/>
      </c>
      <c r="F3503" s="20">
        <f>IF('Journal'!G1753="","",'Journal'!G1753)</f>
        <v/>
      </c>
      <c r="G3503" s="20">
        <f>IF('Journal'!F1753="","",'Journal'!F1753)</f>
        <v/>
      </c>
      <c r="H3503" s="5">
        <f>IF('Journal'!I1753="","",'Journal'!I1753)</f>
        <v/>
      </c>
    </row>
    <row r="3504">
      <c r="A3504" s="18">
        <f>IF('Journal'!A1753="","",'Journal'!A1753)</f>
        <v/>
      </c>
      <c r="B3504" s="21">
        <f>IF('Journal'!B1753="","",'Journal'!B1753)</f>
        <v/>
      </c>
      <c r="C3504" s="5">
        <f>IF('Journal'!C1753="","",'Journal'!C1753)</f>
        <v/>
      </c>
      <c r="D3504" s="5">
        <f>IF('Journal'!E1753="","",IFERROR(LEFT('Journal'!E1753,FIND(" ",'Journal'!E1753)-1),'Journal'!E1753))</f>
        <v/>
      </c>
      <c r="E3504" s="5">
        <f>IF('Journal'!E1753="","",IFERROR(INDEX('Kontoplan'!$B$3:$B$302,MATCH('Journal'!E1753,'Kontoplan'!$H$3:$H$302,0)),""))</f>
        <v/>
      </c>
      <c r="F3504" s="20">
        <f>IF('Journal'!F1753="","",'Journal'!F1753)</f>
        <v/>
      </c>
      <c r="G3504" s="20">
        <f>IF('Journal'!G1753="","",'Journal'!G1753)</f>
        <v/>
      </c>
      <c r="H3504" s="5">
        <f>IF('Journal'!I1753="","",'Journal'!I1753)</f>
        <v/>
      </c>
    </row>
    <row r="3505">
      <c r="A3505" s="18">
        <f>IF('Journal'!A1754="","",'Journal'!A1754)</f>
        <v/>
      </c>
      <c r="B3505" s="21">
        <f>IF('Journal'!B1754="","",'Journal'!B1754)</f>
        <v/>
      </c>
      <c r="C3505" s="5">
        <f>IF('Journal'!C1754="","",'Journal'!C1754)</f>
        <v/>
      </c>
      <c r="D3505" s="5">
        <f>IF('Journal'!D1754="","",IFERROR(LEFT('Journal'!D1754,FIND(" ",'Journal'!D1754)-1),'Journal'!D1754))</f>
        <v/>
      </c>
      <c r="E3505" s="5">
        <f>IF('Journal'!D1754="","",IFERROR(INDEX('Kontoplan'!$B$3:$B$302,MATCH('Journal'!D1754,'Kontoplan'!$H$3:$H$302,0)),""))</f>
        <v/>
      </c>
      <c r="F3505" s="20">
        <f>IF('Journal'!G1754="","",'Journal'!G1754)</f>
        <v/>
      </c>
      <c r="G3505" s="20">
        <f>IF('Journal'!F1754="","",'Journal'!F1754)</f>
        <v/>
      </c>
      <c r="H3505" s="5">
        <f>IF('Journal'!I1754="","",'Journal'!I1754)</f>
        <v/>
      </c>
    </row>
    <row r="3506">
      <c r="A3506" s="18">
        <f>IF('Journal'!A1754="","",'Journal'!A1754)</f>
        <v/>
      </c>
      <c r="B3506" s="21">
        <f>IF('Journal'!B1754="","",'Journal'!B1754)</f>
        <v/>
      </c>
      <c r="C3506" s="5">
        <f>IF('Journal'!C1754="","",'Journal'!C1754)</f>
        <v/>
      </c>
      <c r="D3506" s="5">
        <f>IF('Journal'!E1754="","",IFERROR(LEFT('Journal'!E1754,FIND(" ",'Journal'!E1754)-1),'Journal'!E1754))</f>
        <v/>
      </c>
      <c r="E3506" s="5">
        <f>IF('Journal'!E1754="","",IFERROR(INDEX('Kontoplan'!$B$3:$B$302,MATCH('Journal'!E1754,'Kontoplan'!$H$3:$H$302,0)),""))</f>
        <v/>
      </c>
      <c r="F3506" s="20">
        <f>IF('Journal'!F1754="","",'Journal'!F1754)</f>
        <v/>
      </c>
      <c r="G3506" s="20">
        <f>IF('Journal'!G1754="","",'Journal'!G1754)</f>
        <v/>
      </c>
      <c r="H3506" s="5">
        <f>IF('Journal'!I1754="","",'Journal'!I1754)</f>
        <v/>
      </c>
    </row>
    <row r="3507">
      <c r="A3507" s="18">
        <f>IF('Journal'!A1755="","",'Journal'!A1755)</f>
        <v/>
      </c>
      <c r="B3507" s="21">
        <f>IF('Journal'!B1755="","",'Journal'!B1755)</f>
        <v/>
      </c>
      <c r="C3507" s="5">
        <f>IF('Journal'!C1755="","",'Journal'!C1755)</f>
        <v/>
      </c>
      <c r="D3507" s="5">
        <f>IF('Journal'!D1755="","",IFERROR(LEFT('Journal'!D1755,FIND(" ",'Journal'!D1755)-1),'Journal'!D1755))</f>
        <v/>
      </c>
      <c r="E3507" s="5">
        <f>IF('Journal'!D1755="","",IFERROR(INDEX('Kontoplan'!$B$3:$B$302,MATCH('Journal'!D1755,'Kontoplan'!$H$3:$H$302,0)),""))</f>
        <v/>
      </c>
      <c r="F3507" s="20">
        <f>IF('Journal'!G1755="","",'Journal'!G1755)</f>
        <v/>
      </c>
      <c r="G3507" s="20">
        <f>IF('Journal'!F1755="","",'Journal'!F1755)</f>
        <v/>
      </c>
      <c r="H3507" s="5">
        <f>IF('Journal'!I1755="","",'Journal'!I1755)</f>
        <v/>
      </c>
    </row>
    <row r="3508">
      <c r="A3508" s="18">
        <f>IF('Journal'!A1755="","",'Journal'!A1755)</f>
        <v/>
      </c>
      <c r="B3508" s="21">
        <f>IF('Journal'!B1755="","",'Journal'!B1755)</f>
        <v/>
      </c>
      <c r="C3508" s="5">
        <f>IF('Journal'!C1755="","",'Journal'!C1755)</f>
        <v/>
      </c>
      <c r="D3508" s="5">
        <f>IF('Journal'!E1755="","",IFERROR(LEFT('Journal'!E1755,FIND(" ",'Journal'!E1755)-1),'Journal'!E1755))</f>
        <v/>
      </c>
      <c r="E3508" s="5">
        <f>IF('Journal'!E1755="","",IFERROR(INDEX('Kontoplan'!$B$3:$B$302,MATCH('Journal'!E1755,'Kontoplan'!$H$3:$H$302,0)),""))</f>
        <v/>
      </c>
      <c r="F3508" s="20">
        <f>IF('Journal'!F1755="","",'Journal'!F1755)</f>
        <v/>
      </c>
      <c r="G3508" s="20">
        <f>IF('Journal'!G1755="","",'Journal'!G1755)</f>
        <v/>
      </c>
      <c r="H3508" s="5">
        <f>IF('Journal'!I1755="","",'Journal'!I1755)</f>
        <v/>
      </c>
    </row>
    <row r="3509">
      <c r="A3509" s="18">
        <f>IF('Journal'!A1756="","",'Journal'!A1756)</f>
        <v/>
      </c>
      <c r="B3509" s="21">
        <f>IF('Journal'!B1756="","",'Journal'!B1756)</f>
        <v/>
      </c>
      <c r="C3509" s="5">
        <f>IF('Journal'!C1756="","",'Journal'!C1756)</f>
        <v/>
      </c>
      <c r="D3509" s="5">
        <f>IF('Journal'!D1756="","",IFERROR(LEFT('Journal'!D1756,FIND(" ",'Journal'!D1756)-1),'Journal'!D1756))</f>
        <v/>
      </c>
      <c r="E3509" s="5">
        <f>IF('Journal'!D1756="","",IFERROR(INDEX('Kontoplan'!$B$3:$B$302,MATCH('Journal'!D1756,'Kontoplan'!$H$3:$H$302,0)),""))</f>
        <v/>
      </c>
      <c r="F3509" s="20">
        <f>IF('Journal'!G1756="","",'Journal'!G1756)</f>
        <v/>
      </c>
      <c r="G3509" s="20">
        <f>IF('Journal'!F1756="","",'Journal'!F1756)</f>
        <v/>
      </c>
      <c r="H3509" s="5">
        <f>IF('Journal'!I1756="","",'Journal'!I1756)</f>
        <v/>
      </c>
    </row>
    <row r="3510">
      <c r="A3510" s="18">
        <f>IF('Journal'!A1756="","",'Journal'!A1756)</f>
        <v/>
      </c>
      <c r="B3510" s="21">
        <f>IF('Journal'!B1756="","",'Journal'!B1756)</f>
        <v/>
      </c>
      <c r="C3510" s="5">
        <f>IF('Journal'!C1756="","",'Journal'!C1756)</f>
        <v/>
      </c>
      <c r="D3510" s="5">
        <f>IF('Journal'!E1756="","",IFERROR(LEFT('Journal'!E1756,FIND(" ",'Journal'!E1756)-1),'Journal'!E1756))</f>
        <v/>
      </c>
      <c r="E3510" s="5">
        <f>IF('Journal'!E1756="","",IFERROR(INDEX('Kontoplan'!$B$3:$B$302,MATCH('Journal'!E1756,'Kontoplan'!$H$3:$H$302,0)),""))</f>
        <v/>
      </c>
      <c r="F3510" s="20">
        <f>IF('Journal'!F1756="","",'Journal'!F1756)</f>
        <v/>
      </c>
      <c r="G3510" s="20">
        <f>IF('Journal'!G1756="","",'Journal'!G1756)</f>
        <v/>
      </c>
      <c r="H3510" s="5">
        <f>IF('Journal'!I1756="","",'Journal'!I1756)</f>
        <v/>
      </c>
    </row>
    <row r="3511">
      <c r="A3511" s="18">
        <f>IF('Journal'!A1757="","",'Journal'!A1757)</f>
        <v/>
      </c>
      <c r="B3511" s="21">
        <f>IF('Journal'!B1757="","",'Journal'!B1757)</f>
        <v/>
      </c>
      <c r="C3511" s="5">
        <f>IF('Journal'!C1757="","",'Journal'!C1757)</f>
        <v/>
      </c>
      <c r="D3511" s="5">
        <f>IF('Journal'!D1757="","",IFERROR(LEFT('Journal'!D1757,FIND(" ",'Journal'!D1757)-1),'Journal'!D1757))</f>
        <v/>
      </c>
      <c r="E3511" s="5">
        <f>IF('Journal'!D1757="","",IFERROR(INDEX('Kontoplan'!$B$3:$B$302,MATCH('Journal'!D1757,'Kontoplan'!$H$3:$H$302,0)),""))</f>
        <v/>
      </c>
      <c r="F3511" s="20">
        <f>IF('Journal'!G1757="","",'Journal'!G1757)</f>
        <v/>
      </c>
      <c r="G3511" s="20">
        <f>IF('Journal'!F1757="","",'Journal'!F1757)</f>
        <v/>
      </c>
      <c r="H3511" s="5">
        <f>IF('Journal'!I1757="","",'Journal'!I1757)</f>
        <v/>
      </c>
    </row>
    <row r="3512">
      <c r="A3512" s="18">
        <f>IF('Journal'!A1757="","",'Journal'!A1757)</f>
        <v/>
      </c>
      <c r="B3512" s="21">
        <f>IF('Journal'!B1757="","",'Journal'!B1757)</f>
        <v/>
      </c>
      <c r="C3512" s="5">
        <f>IF('Journal'!C1757="","",'Journal'!C1757)</f>
        <v/>
      </c>
      <c r="D3512" s="5">
        <f>IF('Journal'!E1757="","",IFERROR(LEFT('Journal'!E1757,FIND(" ",'Journal'!E1757)-1),'Journal'!E1757))</f>
        <v/>
      </c>
      <c r="E3512" s="5">
        <f>IF('Journal'!E1757="","",IFERROR(INDEX('Kontoplan'!$B$3:$B$302,MATCH('Journal'!E1757,'Kontoplan'!$H$3:$H$302,0)),""))</f>
        <v/>
      </c>
      <c r="F3512" s="20">
        <f>IF('Journal'!F1757="","",'Journal'!F1757)</f>
        <v/>
      </c>
      <c r="G3512" s="20">
        <f>IF('Journal'!G1757="","",'Journal'!G1757)</f>
        <v/>
      </c>
      <c r="H3512" s="5">
        <f>IF('Journal'!I1757="","",'Journal'!I1757)</f>
        <v/>
      </c>
    </row>
    <row r="3513">
      <c r="A3513" s="18">
        <f>IF('Journal'!A1758="","",'Journal'!A1758)</f>
        <v/>
      </c>
      <c r="B3513" s="21">
        <f>IF('Journal'!B1758="","",'Journal'!B1758)</f>
        <v/>
      </c>
      <c r="C3513" s="5">
        <f>IF('Journal'!C1758="","",'Journal'!C1758)</f>
        <v/>
      </c>
      <c r="D3513" s="5">
        <f>IF('Journal'!D1758="","",IFERROR(LEFT('Journal'!D1758,FIND(" ",'Journal'!D1758)-1),'Journal'!D1758))</f>
        <v/>
      </c>
      <c r="E3513" s="5">
        <f>IF('Journal'!D1758="","",IFERROR(INDEX('Kontoplan'!$B$3:$B$302,MATCH('Journal'!D1758,'Kontoplan'!$H$3:$H$302,0)),""))</f>
        <v/>
      </c>
      <c r="F3513" s="20">
        <f>IF('Journal'!G1758="","",'Journal'!G1758)</f>
        <v/>
      </c>
      <c r="G3513" s="20">
        <f>IF('Journal'!F1758="","",'Journal'!F1758)</f>
        <v/>
      </c>
      <c r="H3513" s="5">
        <f>IF('Journal'!I1758="","",'Journal'!I1758)</f>
        <v/>
      </c>
    </row>
    <row r="3514">
      <c r="A3514" s="18">
        <f>IF('Journal'!A1758="","",'Journal'!A1758)</f>
        <v/>
      </c>
      <c r="B3514" s="21">
        <f>IF('Journal'!B1758="","",'Journal'!B1758)</f>
        <v/>
      </c>
      <c r="C3514" s="5">
        <f>IF('Journal'!C1758="","",'Journal'!C1758)</f>
        <v/>
      </c>
      <c r="D3514" s="5">
        <f>IF('Journal'!E1758="","",IFERROR(LEFT('Journal'!E1758,FIND(" ",'Journal'!E1758)-1),'Journal'!E1758))</f>
        <v/>
      </c>
      <c r="E3514" s="5">
        <f>IF('Journal'!E1758="","",IFERROR(INDEX('Kontoplan'!$B$3:$B$302,MATCH('Journal'!E1758,'Kontoplan'!$H$3:$H$302,0)),""))</f>
        <v/>
      </c>
      <c r="F3514" s="20">
        <f>IF('Journal'!F1758="","",'Journal'!F1758)</f>
        <v/>
      </c>
      <c r="G3514" s="20">
        <f>IF('Journal'!G1758="","",'Journal'!G1758)</f>
        <v/>
      </c>
      <c r="H3514" s="5">
        <f>IF('Journal'!I1758="","",'Journal'!I1758)</f>
        <v/>
      </c>
    </row>
    <row r="3515">
      <c r="A3515" s="18">
        <f>IF('Journal'!A1759="","",'Journal'!A1759)</f>
        <v/>
      </c>
      <c r="B3515" s="21">
        <f>IF('Journal'!B1759="","",'Journal'!B1759)</f>
        <v/>
      </c>
      <c r="C3515" s="5">
        <f>IF('Journal'!C1759="","",'Journal'!C1759)</f>
        <v/>
      </c>
      <c r="D3515" s="5">
        <f>IF('Journal'!D1759="","",IFERROR(LEFT('Journal'!D1759,FIND(" ",'Journal'!D1759)-1),'Journal'!D1759))</f>
        <v/>
      </c>
      <c r="E3515" s="5">
        <f>IF('Journal'!D1759="","",IFERROR(INDEX('Kontoplan'!$B$3:$B$302,MATCH('Journal'!D1759,'Kontoplan'!$H$3:$H$302,0)),""))</f>
        <v/>
      </c>
      <c r="F3515" s="20">
        <f>IF('Journal'!G1759="","",'Journal'!G1759)</f>
        <v/>
      </c>
      <c r="G3515" s="20">
        <f>IF('Journal'!F1759="","",'Journal'!F1759)</f>
        <v/>
      </c>
      <c r="H3515" s="5">
        <f>IF('Journal'!I1759="","",'Journal'!I1759)</f>
        <v/>
      </c>
    </row>
    <row r="3516">
      <c r="A3516" s="18">
        <f>IF('Journal'!A1759="","",'Journal'!A1759)</f>
        <v/>
      </c>
      <c r="B3516" s="21">
        <f>IF('Journal'!B1759="","",'Journal'!B1759)</f>
        <v/>
      </c>
      <c r="C3516" s="5">
        <f>IF('Journal'!C1759="","",'Journal'!C1759)</f>
        <v/>
      </c>
      <c r="D3516" s="5">
        <f>IF('Journal'!E1759="","",IFERROR(LEFT('Journal'!E1759,FIND(" ",'Journal'!E1759)-1),'Journal'!E1759))</f>
        <v/>
      </c>
      <c r="E3516" s="5">
        <f>IF('Journal'!E1759="","",IFERROR(INDEX('Kontoplan'!$B$3:$B$302,MATCH('Journal'!E1759,'Kontoplan'!$H$3:$H$302,0)),""))</f>
        <v/>
      </c>
      <c r="F3516" s="20">
        <f>IF('Journal'!F1759="","",'Journal'!F1759)</f>
        <v/>
      </c>
      <c r="G3516" s="20">
        <f>IF('Journal'!G1759="","",'Journal'!G1759)</f>
        <v/>
      </c>
      <c r="H3516" s="5">
        <f>IF('Journal'!I1759="","",'Journal'!I1759)</f>
        <v/>
      </c>
    </row>
    <row r="3517">
      <c r="A3517" s="18">
        <f>IF('Journal'!A1760="","",'Journal'!A1760)</f>
        <v/>
      </c>
      <c r="B3517" s="21">
        <f>IF('Journal'!B1760="","",'Journal'!B1760)</f>
        <v/>
      </c>
      <c r="C3517" s="5">
        <f>IF('Journal'!C1760="","",'Journal'!C1760)</f>
        <v/>
      </c>
      <c r="D3517" s="5">
        <f>IF('Journal'!D1760="","",IFERROR(LEFT('Journal'!D1760,FIND(" ",'Journal'!D1760)-1),'Journal'!D1760))</f>
        <v/>
      </c>
      <c r="E3517" s="5">
        <f>IF('Journal'!D1760="","",IFERROR(INDEX('Kontoplan'!$B$3:$B$302,MATCH('Journal'!D1760,'Kontoplan'!$H$3:$H$302,0)),""))</f>
        <v/>
      </c>
      <c r="F3517" s="20">
        <f>IF('Journal'!G1760="","",'Journal'!G1760)</f>
        <v/>
      </c>
      <c r="G3517" s="20">
        <f>IF('Journal'!F1760="","",'Journal'!F1760)</f>
        <v/>
      </c>
      <c r="H3517" s="5">
        <f>IF('Journal'!I1760="","",'Journal'!I1760)</f>
        <v/>
      </c>
    </row>
    <row r="3518">
      <c r="A3518" s="18">
        <f>IF('Journal'!A1760="","",'Journal'!A1760)</f>
        <v/>
      </c>
      <c r="B3518" s="21">
        <f>IF('Journal'!B1760="","",'Journal'!B1760)</f>
        <v/>
      </c>
      <c r="C3518" s="5">
        <f>IF('Journal'!C1760="","",'Journal'!C1760)</f>
        <v/>
      </c>
      <c r="D3518" s="5">
        <f>IF('Journal'!E1760="","",IFERROR(LEFT('Journal'!E1760,FIND(" ",'Journal'!E1760)-1),'Journal'!E1760))</f>
        <v/>
      </c>
      <c r="E3518" s="5">
        <f>IF('Journal'!E1760="","",IFERROR(INDEX('Kontoplan'!$B$3:$B$302,MATCH('Journal'!E1760,'Kontoplan'!$H$3:$H$302,0)),""))</f>
        <v/>
      </c>
      <c r="F3518" s="20">
        <f>IF('Journal'!F1760="","",'Journal'!F1760)</f>
        <v/>
      </c>
      <c r="G3518" s="20">
        <f>IF('Journal'!G1760="","",'Journal'!G1760)</f>
        <v/>
      </c>
      <c r="H3518" s="5">
        <f>IF('Journal'!I1760="","",'Journal'!I1760)</f>
        <v/>
      </c>
    </row>
    <row r="3519">
      <c r="A3519" s="18">
        <f>IF('Journal'!A1761="","",'Journal'!A1761)</f>
        <v/>
      </c>
      <c r="B3519" s="21">
        <f>IF('Journal'!B1761="","",'Journal'!B1761)</f>
        <v/>
      </c>
      <c r="C3519" s="5">
        <f>IF('Journal'!C1761="","",'Journal'!C1761)</f>
        <v/>
      </c>
      <c r="D3519" s="5">
        <f>IF('Journal'!D1761="","",IFERROR(LEFT('Journal'!D1761,FIND(" ",'Journal'!D1761)-1),'Journal'!D1761))</f>
        <v/>
      </c>
      <c r="E3519" s="5">
        <f>IF('Journal'!D1761="","",IFERROR(INDEX('Kontoplan'!$B$3:$B$302,MATCH('Journal'!D1761,'Kontoplan'!$H$3:$H$302,0)),""))</f>
        <v/>
      </c>
      <c r="F3519" s="20">
        <f>IF('Journal'!G1761="","",'Journal'!G1761)</f>
        <v/>
      </c>
      <c r="G3519" s="20">
        <f>IF('Journal'!F1761="","",'Journal'!F1761)</f>
        <v/>
      </c>
      <c r="H3519" s="5">
        <f>IF('Journal'!I1761="","",'Journal'!I1761)</f>
        <v/>
      </c>
    </row>
    <row r="3520">
      <c r="A3520" s="18">
        <f>IF('Journal'!A1761="","",'Journal'!A1761)</f>
        <v/>
      </c>
      <c r="B3520" s="21">
        <f>IF('Journal'!B1761="","",'Journal'!B1761)</f>
        <v/>
      </c>
      <c r="C3520" s="5">
        <f>IF('Journal'!C1761="","",'Journal'!C1761)</f>
        <v/>
      </c>
      <c r="D3520" s="5">
        <f>IF('Journal'!E1761="","",IFERROR(LEFT('Journal'!E1761,FIND(" ",'Journal'!E1761)-1),'Journal'!E1761))</f>
        <v/>
      </c>
      <c r="E3520" s="5">
        <f>IF('Journal'!E1761="","",IFERROR(INDEX('Kontoplan'!$B$3:$B$302,MATCH('Journal'!E1761,'Kontoplan'!$H$3:$H$302,0)),""))</f>
        <v/>
      </c>
      <c r="F3520" s="20">
        <f>IF('Journal'!F1761="","",'Journal'!F1761)</f>
        <v/>
      </c>
      <c r="G3520" s="20">
        <f>IF('Journal'!G1761="","",'Journal'!G1761)</f>
        <v/>
      </c>
      <c r="H3520" s="5">
        <f>IF('Journal'!I1761="","",'Journal'!I1761)</f>
        <v/>
      </c>
    </row>
    <row r="3521">
      <c r="A3521" s="18">
        <f>IF('Journal'!A1762="","",'Journal'!A1762)</f>
        <v/>
      </c>
      <c r="B3521" s="21">
        <f>IF('Journal'!B1762="","",'Journal'!B1762)</f>
        <v/>
      </c>
      <c r="C3521" s="5">
        <f>IF('Journal'!C1762="","",'Journal'!C1762)</f>
        <v/>
      </c>
      <c r="D3521" s="5">
        <f>IF('Journal'!D1762="","",IFERROR(LEFT('Journal'!D1762,FIND(" ",'Journal'!D1762)-1),'Journal'!D1762))</f>
        <v/>
      </c>
      <c r="E3521" s="5">
        <f>IF('Journal'!D1762="","",IFERROR(INDEX('Kontoplan'!$B$3:$B$302,MATCH('Journal'!D1762,'Kontoplan'!$H$3:$H$302,0)),""))</f>
        <v/>
      </c>
      <c r="F3521" s="20">
        <f>IF('Journal'!G1762="","",'Journal'!G1762)</f>
        <v/>
      </c>
      <c r="G3521" s="20">
        <f>IF('Journal'!F1762="","",'Journal'!F1762)</f>
        <v/>
      </c>
      <c r="H3521" s="5">
        <f>IF('Journal'!I1762="","",'Journal'!I1762)</f>
        <v/>
      </c>
    </row>
    <row r="3522">
      <c r="A3522" s="18">
        <f>IF('Journal'!A1762="","",'Journal'!A1762)</f>
        <v/>
      </c>
      <c r="B3522" s="21">
        <f>IF('Journal'!B1762="","",'Journal'!B1762)</f>
        <v/>
      </c>
      <c r="C3522" s="5">
        <f>IF('Journal'!C1762="","",'Journal'!C1762)</f>
        <v/>
      </c>
      <c r="D3522" s="5">
        <f>IF('Journal'!E1762="","",IFERROR(LEFT('Journal'!E1762,FIND(" ",'Journal'!E1762)-1),'Journal'!E1762))</f>
        <v/>
      </c>
      <c r="E3522" s="5">
        <f>IF('Journal'!E1762="","",IFERROR(INDEX('Kontoplan'!$B$3:$B$302,MATCH('Journal'!E1762,'Kontoplan'!$H$3:$H$302,0)),""))</f>
        <v/>
      </c>
      <c r="F3522" s="20">
        <f>IF('Journal'!F1762="","",'Journal'!F1762)</f>
        <v/>
      </c>
      <c r="G3522" s="20">
        <f>IF('Journal'!G1762="","",'Journal'!G1762)</f>
        <v/>
      </c>
      <c r="H3522" s="5">
        <f>IF('Journal'!I1762="","",'Journal'!I1762)</f>
        <v/>
      </c>
    </row>
    <row r="3523">
      <c r="A3523" s="18">
        <f>IF('Journal'!A1763="","",'Journal'!A1763)</f>
        <v/>
      </c>
      <c r="B3523" s="21">
        <f>IF('Journal'!B1763="","",'Journal'!B1763)</f>
        <v/>
      </c>
      <c r="C3523" s="5">
        <f>IF('Journal'!C1763="","",'Journal'!C1763)</f>
        <v/>
      </c>
      <c r="D3523" s="5">
        <f>IF('Journal'!D1763="","",IFERROR(LEFT('Journal'!D1763,FIND(" ",'Journal'!D1763)-1),'Journal'!D1763))</f>
        <v/>
      </c>
      <c r="E3523" s="5">
        <f>IF('Journal'!D1763="","",IFERROR(INDEX('Kontoplan'!$B$3:$B$302,MATCH('Journal'!D1763,'Kontoplan'!$H$3:$H$302,0)),""))</f>
        <v/>
      </c>
      <c r="F3523" s="20">
        <f>IF('Journal'!G1763="","",'Journal'!G1763)</f>
        <v/>
      </c>
      <c r="G3523" s="20">
        <f>IF('Journal'!F1763="","",'Journal'!F1763)</f>
        <v/>
      </c>
      <c r="H3523" s="5">
        <f>IF('Journal'!I1763="","",'Journal'!I1763)</f>
        <v/>
      </c>
    </row>
    <row r="3524">
      <c r="A3524" s="18">
        <f>IF('Journal'!A1763="","",'Journal'!A1763)</f>
        <v/>
      </c>
      <c r="B3524" s="21">
        <f>IF('Journal'!B1763="","",'Journal'!B1763)</f>
        <v/>
      </c>
      <c r="C3524" s="5">
        <f>IF('Journal'!C1763="","",'Journal'!C1763)</f>
        <v/>
      </c>
      <c r="D3524" s="5">
        <f>IF('Journal'!E1763="","",IFERROR(LEFT('Journal'!E1763,FIND(" ",'Journal'!E1763)-1),'Journal'!E1763))</f>
        <v/>
      </c>
      <c r="E3524" s="5">
        <f>IF('Journal'!E1763="","",IFERROR(INDEX('Kontoplan'!$B$3:$B$302,MATCH('Journal'!E1763,'Kontoplan'!$H$3:$H$302,0)),""))</f>
        <v/>
      </c>
      <c r="F3524" s="20">
        <f>IF('Journal'!F1763="","",'Journal'!F1763)</f>
        <v/>
      </c>
      <c r="G3524" s="20">
        <f>IF('Journal'!G1763="","",'Journal'!G1763)</f>
        <v/>
      </c>
      <c r="H3524" s="5">
        <f>IF('Journal'!I1763="","",'Journal'!I1763)</f>
        <v/>
      </c>
    </row>
    <row r="3525">
      <c r="A3525" s="18">
        <f>IF('Journal'!A1764="","",'Journal'!A1764)</f>
        <v/>
      </c>
      <c r="B3525" s="21">
        <f>IF('Journal'!B1764="","",'Journal'!B1764)</f>
        <v/>
      </c>
      <c r="C3525" s="5">
        <f>IF('Journal'!C1764="","",'Journal'!C1764)</f>
        <v/>
      </c>
      <c r="D3525" s="5">
        <f>IF('Journal'!D1764="","",IFERROR(LEFT('Journal'!D1764,FIND(" ",'Journal'!D1764)-1),'Journal'!D1764))</f>
        <v/>
      </c>
      <c r="E3525" s="5">
        <f>IF('Journal'!D1764="","",IFERROR(INDEX('Kontoplan'!$B$3:$B$302,MATCH('Journal'!D1764,'Kontoplan'!$H$3:$H$302,0)),""))</f>
        <v/>
      </c>
      <c r="F3525" s="20">
        <f>IF('Journal'!G1764="","",'Journal'!G1764)</f>
        <v/>
      </c>
      <c r="G3525" s="20">
        <f>IF('Journal'!F1764="","",'Journal'!F1764)</f>
        <v/>
      </c>
      <c r="H3525" s="5">
        <f>IF('Journal'!I1764="","",'Journal'!I1764)</f>
        <v/>
      </c>
    </row>
    <row r="3526">
      <c r="A3526" s="18">
        <f>IF('Journal'!A1764="","",'Journal'!A1764)</f>
        <v/>
      </c>
      <c r="B3526" s="21">
        <f>IF('Journal'!B1764="","",'Journal'!B1764)</f>
        <v/>
      </c>
      <c r="C3526" s="5">
        <f>IF('Journal'!C1764="","",'Journal'!C1764)</f>
        <v/>
      </c>
      <c r="D3526" s="5">
        <f>IF('Journal'!E1764="","",IFERROR(LEFT('Journal'!E1764,FIND(" ",'Journal'!E1764)-1),'Journal'!E1764))</f>
        <v/>
      </c>
      <c r="E3526" s="5">
        <f>IF('Journal'!E1764="","",IFERROR(INDEX('Kontoplan'!$B$3:$B$302,MATCH('Journal'!E1764,'Kontoplan'!$H$3:$H$302,0)),""))</f>
        <v/>
      </c>
      <c r="F3526" s="20">
        <f>IF('Journal'!F1764="","",'Journal'!F1764)</f>
        <v/>
      </c>
      <c r="G3526" s="20">
        <f>IF('Journal'!G1764="","",'Journal'!G1764)</f>
        <v/>
      </c>
      <c r="H3526" s="5">
        <f>IF('Journal'!I1764="","",'Journal'!I1764)</f>
        <v/>
      </c>
    </row>
    <row r="3527">
      <c r="A3527" s="18">
        <f>IF('Journal'!A1765="","",'Journal'!A1765)</f>
        <v/>
      </c>
      <c r="B3527" s="21">
        <f>IF('Journal'!B1765="","",'Journal'!B1765)</f>
        <v/>
      </c>
      <c r="C3527" s="5">
        <f>IF('Journal'!C1765="","",'Journal'!C1765)</f>
        <v/>
      </c>
      <c r="D3527" s="5">
        <f>IF('Journal'!D1765="","",IFERROR(LEFT('Journal'!D1765,FIND(" ",'Journal'!D1765)-1),'Journal'!D1765))</f>
        <v/>
      </c>
      <c r="E3527" s="5">
        <f>IF('Journal'!D1765="","",IFERROR(INDEX('Kontoplan'!$B$3:$B$302,MATCH('Journal'!D1765,'Kontoplan'!$H$3:$H$302,0)),""))</f>
        <v/>
      </c>
      <c r="F3527" s="20">
        <f>IF('Journal'!G1765="","",'Journal'!G1765)</f>
        <v/>
      </c>
      <c r="G3527" s="20">
        <f>IF('Journal'!F1765="","",'Journal'!F1765)</f>
        <v/>
      </c>
      <c r="H3527" s="5">
        <f>IF('Journal'!I1765="","",'Journal'!I1765)</f>
        <v/>
      </c>
    </row>
    <row r="3528">
      <c r="A3528" s="18">
        <f>IF('Journal'!A1765="","",'Journal'!A1765)</f>
        <v/>
      </c>
      <c r="B3528" s="21">
        <f>IF('Journal'!B1765="","",'Journal'!B1765)</f>
        <v/>
      </c>
      <c r="C3528" s="5">
        <f>IF('Journal'!C1765="","",'Journal'!C1765)</f>
        <v/>
      </c>
      <c r="D3528" s="5">
        <f>IF('Journal'!E1765="","",IFERROR(LEFT('Journal'!E1765,FIND(" ",'Journal'!E1765)-1),'Journal'!E1765))</f>
        <v/>
      </c>
      <c r="E3528" s="5">
        <f>IF('Journal'!E1765="","",IFERROR(INDEX('Kontoplan'!$B$3:$B$302,MATCH('Journal'!E1765,'Kontoplan'!$H$3:$H$302,0)),""))</f>
        <v/>
      </c>
      <c r="F3528" s="20">
        <f>IF('Journal'!F1765="","",'Journal'!F1765)</f>
        <v/>
      </c>
      <c r="G3528" s="20">
        <f>IF('Journal'!G1765="","",'Journal'!G1765)</f>
        <v/>
      </c>
      <c r="H3528" s="5">
        <f>IF('Journal'!I1765="","",'Journal'!I1765)</f>
        <v/>
      </c>
    </row>
    <row r="3529">
      <c r="A3529" s="18">
        <f>IF('Journal'!A1766="","",'Journal'!A1766)</f>
        <v/>
      </c>
      <c r="B3529" s="21">
        <f>IF('Journal'!B1766="","",'Journal'!B1766)</f>
        <v/>
      </c>
      <c r="C3529" s="5">
        <f>IF('Journal'!C1766="","",'Journal'!C1766)</f>
        <v/>
      </c>
      <c r="D3529" s="5">
        <f>IF('Journal'!D1766="","",IFERROR(LEFT('Journal'!D1766,FIND(" ",'Journal'!D1766)-1),'Journal'!D1766))</f>
        <v/>
      </c>
      <c r="E3529" s="5">
        <f>IF('Journal'!D1766="","",IFERROR(INDEX('Kontoplan'!$B$3:$B$302,MATCH('Journal'!D1766,'Kontoplan'!$H$3:$H$302,0)),""))</f>
        <v/>
      </c>
      <c r="F3529" s="20">
        <f>IF('Journal'!G1766="","",'Journal'!G1766)</f>
        <v/>
      </c>
      <c r="G3529" s="20">
        <f>IF('Journal'!F1766="","",'Journal'!F1766)</f>
        <v/>
      </c>
      <c r="H3529" s="5">
        <f>IF('Journal'!I1766="","",'Journal'!I1766)</f>
        <v/>
      </c>
    </row>
    <row r="3530">
      <c r="A3530" s="18">
        <f>IF('Journal'!A1766="","",'Journal'!A1766)</f>
        <v/>
      </c>
      <c r="B3530" s="21">
        <f>IF('Journal'!B1766="","",'Journal'!B1766)</f>
        <v/>
      </c>
      <c r="C3530" s="5">
        <f>IF('Journal'!C1766="","",'Journal'!C1766)</f>
        <v/>
      </c>
      <c r="D3530" s="5">
        <f>IF('Journal'!E1766="","",IFERROR(LEFT('Journal'!E1766,FIND(" ",'Journal'!E1766)-1),'Journal'!E1766))</f>
        <v/>
      </c>
      <c r="E3530" s="5">
        <f>IF('Journal'!E1766="","",IFERROR(INDEX('Kontoplan'!$B$3:$B$302,MATCH('Journal'!E1766,'Kontoplan'!$H$3:$H$302,0)),""))</f>
        <v/>
      </c>
      <c r="F3530" s="20">
        <f>IF('Journal'!F1766="","",'Journal'!F1766)</f>
        <v/>
      </c>
      <c r="G3530" s="20">
        <f>IF('Journal'!G1766="","",'Journal'!G1766)</f>
        <v/>
      </c>
      <c r="H3530" s="5">
        <f>IF('Journal'!I1766="","",'Journal'!I1766)</f>
        <v/>
      </c>
    </row>
    <row r="3531">
      <c r="A3531" s="18">
        <f>IF('Journal'!A1767="","",'Journal'!A1767)</f>
        <v/>
      </c>
      <c r="B3531" s="21">
        <f>IF('Journal'!B1767="","",'Journal'!B1767)</f>
        <v/>
      </c>
      <c r="C3531" s="5">
        <f>IF('Journal'!C1767="","",'Journal'!C1767)</f>
        <v/>
      </c>
      <c r="D3531" s="5">
        <f>IF('Journal'!D1767="","",IFERROR(LEFT('Journal'!D1767,FIND(" ",'Journal'!D1767)-1),'Journal'!D1767))</f>
        <v/>
      </c>
      <c r="E3531" s="5">
        <f>IF('Journal'!D1767="","",IFERROR(INDEX('Kontoplan'!$B$3:$B$302,MATCH('Journal'!D1767,'Kontoplan'!$H$3:$H$302,0)),""))</f>
        <v/>
      </c>
      <c r="F3531" s="20">
        <f>IF('Journal'!G1767="","",'Journal'!G1767)</f>
        <v/>
      </c>
      <c r="G3531" s="20">
        <f>IF('Journal'!F1767="","",'Journal'!F1767)</f>
        <v/>
      </c>
      <c r="H3531" s="5">
        <f>IF('Journal'!I1767="","",'Journal'!I1767)</f>
        <v/>
      </c>
    </row>
    <row r="3532">
      <c r="A3532" s="18">
        <f>IF('Journal'!A1767="","",'Journal'!A1767)</f>
        <v/>
      </c>
      <c r="B3532" s="21">
        <f>IF('Journal'!B1767="","",'Journal'!B1767)</f>
        <v/>
      </c>
      <c r="C3532" s="5">
        <f>IF('Journal'!C1767="","",'Journal'!C1767)</f>
        <v/>
      </c>
      <c r="D3532" s="5">
        <f>IF('Journal'!E1767="","",IFERROR(LEFT('Journal'!E1767,FIND(" ",'Journal'!E1767)-1),'Journal'!E1767))</f>
        <v/>
      </c>
      <c r="E3532" s="5">
        <f>IF('Journal'!E1767="","",IFERROR(INDEX('Kontoplan'!$B$3:$B$302,MATCH('Journal'!E1767,'Kontoplan'!$H$3:$H$302,0)),""))</f>
        <v/>
      </c>
      <c r="F3532" s="20">
        <f>IF('Journal'!F1767="","",'Journal'!F1767)</f>
        <v/>
      </c>
      <c r="G3532" s="20">
        <f>IF('Journal'!G1767="","",'Journal'!G1767)</f>
        <v/>
      </c>
      <c r="H3532" s="5">
        <f>IF('Journal'!I1767="","",'Journal'!I1767)</f>
        <v/>
      </c>
    </row>
    <row r="3533">
      <c r="A3533" s="18">
        <f>IF('Journal'!A1768="","",'Journal'!A1768)</f>
        <v/>
      </c>
      <c r="B3533" s="21">
        <f>IF('Journal'!B1768="","",'Journal'!B1768)</f>
        <v/>
      </c>
      <c r="C3533" s="5">
        <f>IF('Journal'!C1768="","",'Journal'!C1768)</f>
        <v/>
      </c>
      <c r="D3533" s="5">
        <f>IF('Journal'!D1768="","",IFERROR(LEFT('Journal'!D1768,FIND(" ",'Journal'!D1768)-1),'Journal'!D1768))</f>
        <v/>
      </c>
      <c r="E3533" s="5">
        <f>IF('Journal'!D1768="","",IFERROR(INDEX('Kontoplan'!$B$3:$B$302,MATCH('Journal'!D1768,'Kontoplan'!$H$3:$H$302,0)),""))</f>
        <v/>
      </c>
      <c r="F3533" s="20">
        <f>IF('Journal'!G1768="","",'Journal'!G1768)</f>
        <v/>
      </c>
      <c r="G3533" s="20">
        <f>IF('Journal'!F1768="","",'Journal'!F1768)</f>
        <v/>
      </c>
      <c r="H3533" s="5">
        <f>IF('Journal'!I1768="","",'Journal'!I1768)</f>
        <v/>
      </c>
    </row>
    <row r="3534">
      <c r="A3534" s="18">
        <f>IF('Journal'!A1768="","",'Journal'!A1768)</f>
        <v/>
      </c>
      <c r="B3534" s="21">
        <f>IF('Journal'!B1768="","",'Journal'!B1768)</f>
        <v/>
      </c>
      <c r="C3534" s="5">
        <f>IF('Journal'!C1768="","",'Journal'!C1768)</f>
        <v/>
      </c>
      <c r="D3534" s="5">
        <f>IF('Journal'!E1768="","",IFERROR(LEFT('Journal'!E1768,FIND(" ",'Journal'!E1768)-1),'Journal'!E1768))</f>
        <v/>
      </c>
      <c r="E3534" s="5">
        <f>IF('Journal'!E1768="","",IFERROR(INDEX('Kontoplan'!$B$3:$B$302,MATCH('Journal'!E1768,'Kontoplan'!$H$3:$H$302,0)),""))</f>
        <v/>
      </c>
      <c r="F3534" s="20">
        <f>IF('Journal'!F1768="","",'Journal'!F1768)</f>
        <v/>
      </c>
      <c r="G3534" s="20">
        <f>IF('Journal'!G1768="","",'Journal'!G1768)</f>
        <v/>
      </c>
      <c r="H3534" s="5">
        <f>IF('Journal'!I1768="","",'Journal'!I1768)</f>
        <v/>
      </c>
    </row>
    <row r="3535">
      <c r="A3535" s="18">
        <f>IF('Journal'!A1769="","",'Journal'!A1769)</f>
        <v/>
      </c>
      <c r="B3535" s="21">
        <f>IF('Journal'!B1769="","",'Journal'!B1769)</f>
        <v/>
      </c>
      <c r="C3535" s="5">
        <f>IF('Journal'!C1769="","",'Journal'!C1769)</f>
        <v/>
      </c>
      <c r="D3535" s="5">
        <f>IF('Journal'!D1769="","",IFERROR(LEFT('Journal'!D1769,FIND(" ",'Journal'!D1769)-1),'Journal'!D1769))</f>
        <v/>
      </c>
      <c r="E3535" s="5">
        <f>IF('Journal'!D1769="","",IFERROR(INDEX('Kontoplan'!$B$3:$B$302,MATCH('Journal'!D1769,'Kontoplan'!$H$3:$H$302,0)),""))</f>
        <v/>
      </c>
      <c r="F3535" s="20">
        <f>IF('Journal'!G1769="","",'Journal'!G1769)</f>
        <v/>
      </c>
      <c r="G3535" s="20">
        <f>IF('Journal'!F1769="","",'Journal'!F1769)</f>
        <v/>
      </c>
      <c r="H3535" s="5">
        <f>IF('Journal'!I1769="","",'Journal'!I1769)</f>
        <v/>
      </c>
    </row>
    <row r="3536">
      <c r="A3536" s="18">
        <f>IF('Journal'!A1769="","",'Journal'!A1769)</f>
        <v/>
      </c>
      <c r="B3536" s="21">
        <f>IF('Journal'!B1769="","",'Journal'!B1769)</f>
        <v/>
      </c>
      <c r="C3536" s="5">
        <f>IF('Journal'!C1769="","",'Journal'!C1769)</f>
        <v/>
      </c>
      <c r="D3536" s="5">
        <f>IF('Journal'!E1769="","",IFERROR(LEFT('Journal'!E1769,FIND(" ",'Journal'!E1769)-1),'Journal'!E1769))</f>
        <v/>
      </c>
      <c r="E3536" s="5">
        <f>IF('Journal'!E1769="","",IFERROR(INDEX('Kontoplan'!$B$3:$B$302,MATCH('Journal'!E1769,'Kontoplan'!$H$3:$H$302,0)),""))</f>
        <v/>
      </c>
      <c r="F3536" s="20">
        <f>IF('Journal'!F1769="","",'Journal'!F1769)</f>
        <v/>
      </c>
      <c r="G3536" s="20">
        <f>IF('Journal'!G1769="","",'Journal'!G1769)</f>
        <v/>
      </c>
      <c r="H3536" s="5">
        <f>IF('Journal'!I1769="","",'Journal'!I1769)</f>
        <v/>
      </c>
    </row>
    <row r="3537">
      <c r="A3537" s="18">
        <f>IF('Journal'!A1770="","",'Journal'!A1770)</f>
        <v/>
      </c>
      <c r="B3537" s="21">
        <f>IF('Journal'!B1770="","",'Journal'!B1770)</f>
        <v/>
      </c>
      <c r="C3537" s="5">
        <f>IF('Journal'!C1770="","",'Journal'!C1770)</f>
        <v/>
      </c>
      <c r="D3537" s="5">
        <f>IF('Journal'!D1770="","",IFERROR(LEFT('Journal'!D1770,FIND(" ",'Journal'!D1770)-1),'Journal'!D1770))</f>
        <v/>
      </c>
      <c r="E3537" s="5">
        <f>IF('Journal'!D1770="","",IFERROR(INDEX('Kontoplan'!$B$3:$B$302,MATCH('Journal'!D1770,'Kontoplan'!$H$3:$H$302,0)),""))</f>
        <v/>
      </c>
      <c r="F3537" s="20">
        <f>IF('Journal'!G1770="","",'Journal'!G1770)</f>
        <v/>
      </c>
      <c r="G3537" s="20">
        <f>IF('Journal'!F1770="","",'Journal'!F1770)</f>
        <v/>
      </c>
      <c r="H3537" s="5">
        <f>IF('Journal'!I1770="","",'Journal'!I1770)</f>
        <v/>
      </c>
    </row>
    <row r="3538">
      <c r="A3538" s="18">
        <f>IF('Journal'!A1770="","",'Journal'!A1770)</f>
        <v/>
      </c>
      <c r="B3538" s="21">
        <f>IF('Journal'!B1770="","",'Journal'!B1770)</f>
        <v/>
      </c>
      <c r="C3538" s="5">
        <f>IF('Journal'!C1770="","",'Journal'!C1770)</f>
        <v/>
      </c>
      <c r="D3538" s="5">
        <f>IF('Journal'!E1770="","",IFERROR(LEFT('Journal'!E1770,FIND(" ",'Journal'!E1770)-1),'Journal'!E1770))</f>
        <v/>
      </c>
      <c r="E3538" s="5">
        <f>IF('Journal'!E1770="","",IFERROR(INDEX('Kontoplan'!$B$3:$B$302,MATCH('Journal'!E1770,'Kontoplan'!$H$3:$H$302,0)),""))</f>
        <v/>
      </c>
      <c r="F3538" s="20">
        <f>IF('Journal'!F1770="","",'Journal'!F1770)</f>
        <v/>
      </c>
      <c r="G3538" s="20">
        <f>IF('Journal'!G1770="","",'Journal'!G1770)</f>
        <v/>
      </c>
      <c r="H3538" s="5">
        <f>IF('Journal'!I1770="","",'Journal'!I1770)</f>
        <v/>
      </c>
    </row>
    <row r="3539">
      <c r="A3539" s="18">
        <f>IF('Journal'!A1771="","",'Journal'!A1771)</f>
        <v/>
      </c>
      <c r="B3539" s="21">
        <f>IF('Journal'!B1771="","",'Journal'!B1771)</f>
        <v/>
      </c>
      <c r="C3539" s="5">
        <f>IF('Journal'!C1771="","",'Journal'!C1771)</f>
        <v/>
      </c>
      <c r="D3539" s="5">
        <f>IF('Journal'!D1771="","",IFERROR(LEFT('Journal'!D1771,FIND(" ",'Journal'!D1771)-1),'Journal'!D1771))</f>
        <v/>
      </c>
      <c r="E3539" s="5">
        <f>IF('Journal'!D1771="","",IFERROR(INDEX('Kontoplan'!$B$3:$B$302,MATCH('Journal'!D1771,'Kontoplan'!$H$3:$H$302,0)),""))</f>
        <v/>
      </c>
      <c r="F3539" s="20">
        <f>IF('Journal'!G1771="","",'Journal'!G1771)</f>
        <v/>
      </c>
      <c r="G3539" s="20">
        <f>IF('Journal'!F1771="","",'Journal'!F1771)</f>
        <v/>
      </c>
      <c r="H3539" s="5">
        <f>IF('Journal'!I1771="","",'Journal'!I1771)</f>
        <v/>
      </c>
    </row>
    <row r="3540">
      <c r="A3540" s="18">
        <f>IF('Journal'!A1771="","",'Journal'!A1771)</f>
        <v/>
      </c>
      <c r="B3540" s="21">
        <f>IF('Journal'!B1771="","",'Journal'!B1771)</f>
        <v/>
      </c>
      <c r="C3540" s="5">
        <f>IF('Journal'!C1771="","",'Journal'!C1771)</f>
        <v/>
      </c>
      <c r="D3540" s="5">
        <f>IF('Journal'!E1771="","",IFERROR(LEFT('Journal'!E1771,FIND(" ",'Journal'!E1771)-1),'Journal'!E1771))</f>
        <v/>
      </c>
      <c r="E3540" s="5">
        <f>IF('Journal'!E1771="","",IFERROR(INDEX('Kontoplan'!$B$3:$B$302,MATCH('Journal'!E1771,'Kontoplan'!$H$3:$H$302,0)),""))</f>
        <v/>
      </c>
      <c r="F3540" s="20">
        <f>IF('Journal'!F1771="","",'Journal'!F1771)</f>
        <v/>
      </c>
      <c r="G3540" s="20">
        <f>IF('Journal'!G1771="","",'Journal'!G1771)</f>
        <v/>
      </c>
      <c r="H3540" s="5">
        <f>IF('Journal'!I1771="","",'Journal'!I1771)</f>
        <v/>
      </c>
    </row>
    <row r="3541">
      <c r="A3541" s="18">
        <f>IF('Journal'!A1772="","",'Journal'!A1772)</f>
        <v/>
      </c>
      <c r="B3541" s="21">
        <f>IF('Journal'!B1772="","",'Journal'!B1772)</f>
        <v/>
      </c>
      <c r="C3541" s="5">
        <f>IF('Journal'!C1772="","",'Journal'!C1772)</f>
        <v/>
      </c>
      <c r="D3541" s="5">
        <f>IF('Journal'!D1772="","",IFERROR(LEFT('Journal'!D1772,FIND(" ",'Journal'!D1772)-1),'Journal'!D1772))</f>
        <v/>
      </c>
      <c r="E3541" s="5">
        <f>IF('Journal'!D1772="","",IFERROR(INDEX('Kontoplan'!$B$3:$B$302,MATCH('Journal'!D1772,'Kontoplan'!$H$3:$H$302,0)),""))</f>
        <v/>
      </c>
      <c r="F3541" s="20">
        <f>IF('Journal'!G1772="","",'Journal'!G1772)</f>
        <v/>
      </c>
      <c r="G3541" s="20">
        <f>IF('Journal'!F1772="","",'Journal'!F1772)</f>
        <v/>
      </c>
      <c r="H3541" s="5">
        <f>IF('Journal'!I1772="","",'Journal'!I1772)</f>
        <v/>
      </c>
    </row>
    <row r="3542">
      <c r="A3542" s="18">
        <f>IF('Journal'!A1772="","",'Journal'!A1772)</f>
        <v/>
      </c>
      <c r="B3542" s="21">
        <f>IF('Journal'!B1772="","",'Journal'!B1772)</f>
        <v/>
      </c>
      <c r="C3542" s="5">
        <f>IF('Journal'!C1772="","",'Journal'!C1772)</f>
        <v/>
      </c>
      <c r="D3542" s="5">
        <f>IF('Journal'!E1772="","",IFERROR(LEFT('Journal'!E1772,FIND(" ",'Journal'!E1772)-1),'Journal'!E1772))</f>
        <v/>
      </c>
      <c r="E3542" s="5">
        <f>IF('Journal'!E1772="","",IFERROR(INDEX('Kontoplan'!$B$3:$B$302,MATCH('Journal'!E1772,'Kontoplan'!$H$3:$H$302,0)),""))</f>
        <v/>
      </c>
      <c r="F3542" s="20">
        <f>IF('Journal'!F1772="","",'Journal'!F1772)</f>
        <v/>
      </c>
      <c r="G3542" s="20">
        <f>IF('Journal'!G1772="","",'Journal'!G1772)</f>
        <v/>
      </c>
      <c r="H3542" s="5">
        <f>IF('Journal'!I1772="","",'Journal'!I1772)</f>
        <v/>
      </c>
    </row>
    <row r="3543">
      <c r="A3543" s="18">
        <f>IF('Journal'!A1773="","",'Journal'!A1773)</f>
        <v/>
      </c>
      <c r="B3543" s="21">
        <f>IF('Journal'!B1773="","",'Journal'!B1773)</f>
        <v/>
      </c>
      <c r="C3543" s="5">
        <f>IF('Journal'!C1773="","",'Journal'!C1773)</f>
        <v/>
      </c>
      <c r="D3543" s="5">
        <f>IF('Journal'!D1773="","",IFERROR(LEFT('Journal'!D1773,FIND(" ",'Journal'!D1773)-1),'Journal'!D1773))</f>
        <v/>
      </c>
      <c r="E3543" s="5">
        <f>IF('Journal'!D1773="","",IFERROR(INDEX('Kontoplan'!$B$3:$B$302,MATCH('Journal'!D1773,'Kontoplan'!$H$3:$H$302,0)),""))</f>
        <v/>
      </c>
      <c r="F3543" s="20">
        <f>IF('Journal'!G1773="","",'Journal'!G1773)</f>
        <v/>
      </c>
      <c r="G3543" s="20">
        <f>IF('Journal'!F1773="","",'Journal'!F1773)</f>
        <v/>
      </c>
      <c r="H3543" s="5">
        <f>IF('Journal'!I1773="","",'Journal'!I1773)</f>
        <v/>
      </c>
    </row>
    <row r="3544">
      <c r="A3544" s="18">
        <f>IF('Journal'!A1773="","",'Journal'!A1773)</f>
        <v/>
      </c>
      <c r="B3544" s="21">
        <f>IF('Journal'!B1773="","",'Journal'!B1773)</f>
        <v/>
      </c>
      <c r="C3544" s="5">
        <f>IF('Journal'!C1773="","",'Journal'!C1773)</f>
        <v/>
      </c>
      <c r="D3544" s="5">
        <f>IF('Journal'!E1773="","",IFERROR(LEFT('Journal'!E1773,FIND(" ",'Journal'!E1773)-1),'Journal'!E1773))</f>
        <v/>
      </c>
      <c r="E3544" s="5">
        <f>IF('Journal'!E1773="","",IFERROR(INDEX('Kontoplan'!$B$3:$B$302,MATCH('Journal'!E1773,'Kontoplan'!$H$3:$H$302,0)),""))</f>
        <v/>
      </c>
      <c r="F3544" s="20">
        <f>IF('Journal'!F1773="","",'Journal'!F1773)</f>
        <v/>
      </c>
      <c r="G3544" s="20">
        <f>IF('Journal'!G1773="","",'Journal'!G1773)</f>
        <v/>
      </c>
      <c r="H3544" s="5">
        <f>IF('Journal'!I1773="","",'Journal'!I1773)</f>
        <v/>
      </c>
    </row>
    <row r="3545">
      <c r="A3545" s="18">
        <f>IF('Journal'!A1774="","",'Journal'!A1774)</f>
        <v/>
      </c>
      <c r="B3545" s="21">
        <f>IF('Journal'!B1774="","",'Journal'!B1774)</f>
        <v/>
      </c>
      <c r="C3545" s="5">
        <f>IF('Journal'!C1774="","",'Journal'!C1774)</f>
        <v/>
      </c>
      <c r="D3545" s="5">
        <f>IF('Journal'!D1774="","",IFERROR(LEFT('Journal'!D1774,FIND(" ",'Journal'!D1774)-1),'Journal'!D1774))</f>
        <v/>
      </c>
      <c r="E3545" s="5">
        <f>IF('Journal'!D1774="","",IFERROR(INDEX('Kontoplan'!$B$3:$B$302,MATCH('Journal'!D1774,'Kontoplan'!$H$3:$H$302,0)),""))</f>
        <v/>
      </c>
      <c r="F3545" s="20">
        <f>IF('Journal'!G1774="","",'Journal'!G1774)</f>
        <v/>
      </c>
      <c r="G3545" s="20">
        <f>IF('Journal'!F1774="","",'Journal'!F1774)</f>
        <v/>
      </c>
      <c r="H3545" s="5">
        <f>IF('Journal'!I1774="","",'Journal'!I1774)</f>
        <v/>
      </c>
    </row>
    <row r="3546">
      <c r="A3546" s="18">
        <f>IF('Journal'!A1774="","",'Journal'!A1774)</f>
        <v/>
      </c>
      <c r="B3546" s="21">
        <f>IF('Journal'!B1774="","",'Journal'!B1774)</f>
        <v/>
      </c>
      <c r="C3546" s="5">
        <f>IF('Journal'!C1774="","",'Journal'!C1774)</f>
        <v/>
      </c>
      <c r="D3546" s="5">
        <f>IF('Journal'!E1774="","",IFERROR(LEFT('Journal'!E1774,FIND(" ",'Journal'!E1774)-1),'Journal'!E1774))</f>
        <v/>
      </c>
      <c r="E3546" s="5">
        <f>IF('Journal'!E1774="","",IFERROR(INDEX('Kontoplan'!$B$3:$B$302,MATCH('Journal'!E1774,'Kontoplan'!$H$3:$H$302,0)),""))</f>
        <v/>
      </c>
      <c r="F3546" s="20">
        <f>IF('Journal'!F1774="","",'Journal'!F1774)</f>
        <v/>
      </c>
      <c r="G3546" s="20">
        <f>IF('Journal'!G1774="","",'Journal'!G1774)</f>
        <v/>
      </c>
      <c r="H3546" s="5">
        <f>IF('Journal'!I1774="","",'Journal'!I1774)</f>
        <v/>
      </c>
    </row>
    <row r="3547">
      <c r="A3547" s="18">
        <f>IF('Journal'!A1775="","",'Journal'!A1775)</f>
        <v/>
      </c>
      <c r="B3547" s="21">
        <f>IF('Journal'!B1775="","",'Journal'!B1775)</f>
        <v/>
      </c>
      <c r="C3547" s="5">
        <f>IF('Journal'!C1775="","",'Journal'!C1775)</f>
        <v/>
      </c>
      <c r="D3547" s="5">
        <f>IF('Journal'!D1775="","",IFERROR(LEFT('Journal'!D1775,FIND(" ",'Journal'!D1775)-1),'Journal'!D1775))</f>
        <v/>
      </c>
      <c r="E3547" s="5">
        <f>IF('Journal'!D1775="","",IFERROR(INDEX('Kontoplan'!$B$3:$B$302,MATCH('Journal'!D1775,'Kontoplan'!$H$3:$H$302,0)),""))</f>
        <v/>
      </c>
      <c r="F3547" s="20">
        <f>IF('Journal'!G1775="","",'Journal'!G1775)</f>
        <v/>
      </c>
      <c r="G3547" s="20">
        <f>IF('Journal'!F1775="","",'Journal'!F1775)</f>
        <v/>
      </c>
      <c r="H3547" s="5">
        <f>IF('Journal'!I1775="","",'Journal'!I1775)</f>
        <v/>
      </c>
    </row>
    <row r="3548">
      <c r="A3548" s="18">
        <f>IF('Journal'!A1775="","",'Journal'!A1775)</f>
        <v/>
      </c>
      <c r="B3548" s="21">
        <f>IF('Journal'!B1775="","",'Journal'!B1775)</f>
        <v/>
      </c>
      <c r="C3548" s="5">
        <f>IF('Journal'!C1775="","",'Journal'!C1775)</f>
        <v/>
      </c>
      <c r="D3548" s="5">
        <f>IF('Journal'!E1775="","",IFERROR(LEFT('Journal'!E1775,FIND(" ",'Journal'!E1775)-1),'Journal'!E1775))</f>
        <v/>
      </c>
      <c r="E3548" s="5">
        <f>IF('Journal'!E1775="","",IFERROR(INDEX('Kontoplan'!$B$3:$B$302,MATCH('Journal'!E1775,'Kontoplan'!$H$3:$H$302,0)),""))</f>
        <v/>
      </c>
      <c r="F3548" s="20">
        <f>IF('Journal'!F1775="","",'Journal'!F1775)</f>
        <v/>
      </c>
      <c r="G3548" s="20">
        <f>IF('Journal'!G1775="","",'Journal'!G1775)</f>
        <v/>
      </c>
      <c r="H3548" s="5">
        <f>IF('Journal'!I1775="","",'Journal'!I1775)</f>
        <v/>
      </c>
    </row>
    <row r="3549">
      <c r="A3549" s="18">
        <f>IF('Journal'!A1776="","",'Journal'!A1776)</f>
        <v/>
      </c>
      <c r="B3549" s="21">
        <f>IF('Journal'!B1776="","",'Journal'!B1776)</f>
        <v/>
      </c>
      <c r="C3549" s="5">
        <f>IF('Journal'!C1776="","",'Journal'!C1776)</f>
        <v/>
      </c>
      <c r="D3549" s="5">
        <f>IF('Journal'!D1776="","",IFERROR(LEFT('Journal'!D1776,FIND(" ",'Journal'!D1776)-1),'Journal'!D1776))</f>
        <v/>
      </c>
      <c r="E3549" s="5">
        <f>IF('Journal'!D1776="","",IFERROR(INDEX('Kontoplan'!$B$3:$B$302,MATCH('Journal'!D1776,'Kontoplan'!$H$3:$H$302,0)),""))</f>
        <v/>
      </c>
      <c r="F3549" s="20">
        <f>IF('Journal'!G1776="","",'Journal'!G1776)</f>
        <v/>
      </c>
      <c r="G3549" s="20">
        <f>IF('Journal'!F1776="","",'Journal'!F1776)</f>
        <v/>
      </c>
      <c r="H3549" s="5">
        <f>IF('Journal'!I1776="","",'Journal'!I1776)</f>
        <v/>
      </c>
    </row>
    <row r="3550">
      <c r="A3550" s="18">
        <f>IF('Journal'!A1776="","",'Journal'!A1776)</f>
        <v/>
      </c>
      <c r="B3550" s="21">
        <f>IF('Journal'!B1776="","",'Journal'!B1776)</f>
        <v/>
      </c>
      <c r="C3550" s="5">
        <f>IF('Journal'!C1776="","",'Journal'!C1776)</f>
        <v/>
      </c>
      <c r="D3550" s="5">
        <f>IF('Journal'!E1776="","",IFERROR(LEFT('Journal'!E1776,FIND(" ",'Journal'!E1776)-1),'Journal'!E1776))</f>
        <v/>
      </c>
      <c r="E3550" s="5">
        <f>IF('Journal'!E1776="","",IFERROR(INDEX('Kontoplan'!$B$3:$B$302,MATCH('Journal'!E1776,'Kontoplan'!$H$3:$H$302,0)),""))</f>
        <v/>
      </c>
      <c r="F3550" s="20">
        <f>IF('Journal'!F1776="","",'Journal'!F1776)</f>
        <v/>
      </c>
      <c r="G3550" s="20">
        <f>IF('Journal'!G1776="","",'Journal'!G1776)</f>
        <v/>
      </c>
      <c r="H3550" s="5">
        <f>IF('Journal'!I1776="","",'Journal'!I1776)</f>
        <v/>
      </c>
    </row>
    <row r="3551">
      <c r="A3551" s="18">
        <f>IF('Journal'!A1777="","",'Journal'!A1777)</f>
        <v/>
      </c>
      <c r="B3551" s="21">
        <f>IF('Journal'!B1777="","",'Journal'!B1777)</f>
        <v/>
      </c>
      <c r="C3551" s="5">
        <f>IF('Journal'!C1777="","",'Journal'!C1777)</f>
        <v/>
      </c>
      <c r="D3551" s="5">
        <f>IF('Journal'!D1777="","",IFERROR(LEFT('Journal'!D1777,FIND(" ",'Journal'!D1777)-1),'Journal'!D1777))</f>
        <v/>
      </c>
      <c r="E3551" s="5">
        <f>IF('Journal'!D1777="","",IFERROR(INDEX('Kontoplan'!$B$3:$B$302,MATCH('Journal'!D1777,'Kontoplan'!$H$3:$H$302,0)),""))</f>
        <v/>
      </c>
      <c r="F3551" s="20">
        <f>IF('Journal'!G1777="","",'Journal'!G1777)</f>
        <v/>
      </c>
      <c r="G3551" s="20">
        <f>IF('Journal'!F1777="","",'Journal'!F1777)</f>
        <v/>
      </c>
      <c r="H3551" s="5">
        <f>IF('Journal'!I1777="","",'Journal'!I1777)</f>
        <v/>
      </c>
    </row>
    <row r="3552">
      <c r="A3552" s="18">
        <f>IF('Journal'!A1777="","",'Journal'!A1777)</f>
        <v/>
      </c>
      <c r="B3552" s="21">
        <f>IF('Journal'!B1777="","",'Journal'!B1777)</f>
        <v/>
      </c>
      <c r="C3552" s="5">
        <f>IF('Journal'!C1777="","",'Journal'!C1777)</f>
        <v/>
      </c>
      <c r="D3552" s="5">
        <f>IF('Journal'!E1777="","",IFERROR(LEFT('Journal'!E1777,FIND(" ",'Journal'!E1777)-1),'Journal'!E1777))</f>
        <v/>
      </c>
      <c r="E3552" s="5">
        <f>IF('Journal'!E1777="","",IFERROR(INDEX('Kontoplan'!$B$3:$B$302,MATCH('Journal'!E1777,'Kontoplan'!$H$3:$H$302,0)),""))</f>
        <v/>
      </c>
      <c r="F3552" s="20">
        <f>IF('Journal'!F1777="","",'Journal'!F1777)</f>
        <v/>
      </c>
      <c r="G3552" s="20">
        <f>IF('Journal'!G1777="","",'Journal'!G1777)</f>
        <v/>
      </c>
      <c r="H3552" s="5">
        <f>IF('Journal'!I1777="","",'Journal'!I1777)</f>
        <v/>
      </c>
    </row>
    <row r="3553">
      <c r="A3553" s="18">
        <f>IF('Journal'!A1778="","",'Journal'!A1778)</f>
        <v/>
      </c>
      <c r="B3553" s="21">
        <f>IF('Journal'!B1778="","",'Journal'!B1778)</f>
        <v/>
      </c>
      <c r="C3553" s="5">
        <f>IF('Journal'!C1778="","",'Journal'!C1778)</f>
        <v/>
      </c>
      <c r="D3553" s="5">
        <f>IF('Journal'!D1778="","",IFERROR(LEFT('Journal'!D1778,FIND(" ",'Journal'!D1778)-1),'Journal'!D1778))</f>
        <v/>
      </c>
      <c r="E3553" s="5">
        <f>IF('Journal'!D1778="","",IFERROR(INDEX('Kontoplan'!$B$3:$B$302,MATCH('Journal'!D1778,'Kontoplan'!$H$3:$H$302,0)),""))</f>
        <v/>
      </c>
      <c r="F3553" s="20">
        <f>IF('Journal'!G1778="","",'Journal'!G1778)</f>
        <v/>
      </c>
      <c r="G3553" s="20">
        <f>IF('Journal'!F1778="","",'Journal'!F1778)</f>
        <v/>
      </c>
      <c r="H3553" s="5">
        <f>IF('Journal'!I1778="","",'Journal'!I1778)</f>
        <v/>
      </c>
    </row>
    <row r="3554">
      <c r="A3554" s="18">
        <f>IF('Journal'!A1778="","",'Journal'!A1778)</f>
        <v/>
      </c>
      <c r="B3554" s="21">
        <f>IF('Journal'!B1778="","",'Journal'!B1778)</f>
        <v/>
      </c>
      <c r="C3554" s="5">
        <f>IF('Journal'!C1778="","",'Journal'!C1778)</f>
        <v/>
      </c>
      <c r="D3554" s="5">
        <f>IF('Journal'!E1778="","",IFERROR(LEFT('Journal'!E1778,FIND(" ",'Journal'!E1778)-1),'Journal'!E1778))</f>
        <v/>
      </c>
      <c r="E3554" s="5">
        <f>IF('Journal'!E1778="","",IFERROR(INDEX('Kontoplan'!$B$3:$B$302,MATCH('Journal'!E1778,'Kontoplan'!$H$3:$H$302,0)),""))</f>
        <v/>
      </c>
      <c r="F3554" s="20">
        <f>IF('Journal'!F1778="","",'Journal'!F1778)</f>
        <v/>
      </c>
      <c r="G3554" s="20">
        <f>IF('Journal'!G1778="","",'Journal'!G1778)</f>
        <v/>
      </c>
      <c r="H3554" s="5">
        <f>IF('Journal'!I1778="","",'Journal'!I1778)</f>
        <v/>
      </c>
    </row>
    <row r="3555">
      <c r="A3555" s="18">
        <f>IF('Journal'!A1779="","",'Journal'!A1779)</f>
        <v/>
      </c>
      <c r="B3555" s="21">
        <f>IF('Journal'!B1779="","",'Journal'!B1779)</f>
        <v/>
      </c>
      <c r="C3555" s="5">
        <f>IF('Journal'!C1779="","",'Journal'!C1779)</f>
        <v/>
      </c>
      <c r="D3555" s="5">
        <f>IF('Journal'!D1779="","",IFERROR(LEFT('Journal'!D1779,FIND(" ",'Journal'!D1779)-1),'Journal'!D1779))</f>
        <v/>
      </c>
      <c r="E3555" s="5">
        <f>IF('Journal'!D1779="","",IFERROR(INDEX('Kontoplan'!$B$3:$B$302,MATCH('Journal'!D1779,'Kontoplan'!$H$3:$H$302,0)),""))</f>
        <v/>
      </c>
      <c r="F3555" s="20">
        <f>IF('Journal'!G1779="","",'Journal'!G1779)</f>
        <v/>
      </c>
      <c r="G3555" s="20">
        <f>IF('Journal'!F1779="","",'Journal'!F1779)</f>
        <v/>
      </c>
      <c r="H3555" s="5">
        <f>IF('Journal'!I1779="","",'Journal'!I1779)</f>
        <v/>
      </c>
    </row>
    <row r="3556">
      <c r="A3556" s="18">
        <f>IF('Journal'!A1779="","",'Journal'!A1779)</f>
        <v/>
      </c>
      <c r="B3556" s="21">
        <f>IF('Journal'!B1779="","",'Journal'!B1779)</f>
        <v/>
      </c>
      <c r="C3556" s="5">
        <f>IF('Journal'!C1779="","",'Journal'!C1779)</f>
        <v/>
      </c>
      <c r="D3556" s="5">
        <f>IF('Journal'!E1779="","",IFERROR(LEFT('Journal'!E1779,FIND(" ",'Journal'!E1779)-1),'Journal'!E1779))</f>
        <v/>
      </c>
      <c r="E3556" s="5">
        <f>IF('Journal'!E1779="","",IFERROR(INDEX('Kontoplan'!$B$3:$B$302,MATCH('Journal'!E1779,'Kontoplan'!$H$3:$H$302,0)),""))</f>
        <v/>
      </c>
      <c r="F3556" s="20">
        <f>IF('Journal'!F1779="","",'Journal'!F1779)</f>
        <v/>
      </c>
      <c r="G3556" s="20">
        <f>IF('Journal'!G1779="","",'Journal'!G1779)</f>
        <v/>
      </c>
      <c r="H3556" s="5">
        <f>IF('Journal'!I1779="","",'Journal'!I1779)</f>
        <v/>
      </c>
    </row>
    <row r="3557">
      <c r="A3557" s="18">
        <f>IF('Journal'!A1780="","",'Journal'!A1780)</f>
        <v/>
      </c>
      <c r="B3557" s="21">
        <f>IF('Journal'!B1780="","",'Journal'!B1780)</f>
        <v/>
      </c>
      <c r="C3557" s="5">
        <f>IF('Journal'!C1780="","",'Journal'!C1780)</f>
        <v/>
      </c>
      <c r="D3557" s="5">
        <f>IF('Journal'!D1780="","",IFERROR(LEFT('Journal'!D1780,FIND(" ",'Journal'!D1780)-1),'Journal'!D1780))</f>
        <v/>
      </c>
      <c r="E3557" s="5">
        <f>IF('Journal'!D1780="","",IFERROR(INDEX('Kontoplan'!$B$3:$B$302,MATCH('Journal'!D1780,'Kontoplan'!$H$3:$H$302,0)),""))</f>
        <v/>
      </c>
      <c r="F3557" s="20">
        <f>IF('Journal'!G1780="","",'Journal'!G1780)</f>
        <v/>
      </c>
      <c r="G3557" s="20">
        <f>IF('Journal'!F1780="","",'Journal'!F1780)</f>
        <v/>
      </c>
      <c r="H3557" s="5">
        <f>IF('Journal'!I1780="","",'Journal'!I1780)</f>
        <v/>
      </c>
    </row>
    <row r="3558">
      <c r="A3558" s="18">
        <f>IF('Journal'!A1780="","",'Journal'!A1780)</f>
        <v/>
      </c>
      <c r="B3558" s="21">
        <f>IF('Journal'!B1780="","",'Journal'!B1780)</f>
        <v/>
      </c>
      <c r="C3558" s="5">
        <f>IF('Journal'!C1780="","",'Journal'!C1780)</f>
        <v/>
      </c>
      <c r="D3558" s="5">
        <f>IF('Journal'!E1780="","",IFERROR(LEFT('Journal'!E1780,FIND(" ",'Journal'!E1780)-1),'Journal'!E1780))</f>
        <v/>
      </c>
      <c r="E3558" s="5">
        <f>IF('Journal'!E1780="","",IFERROR(INDEX('Kontoplan'!$B$3:$B$302,MATCH('Journal'!E1780,'Kontoplan'!$H$3:$H$302,0)),""))</f>
        <v/>
      </c>
      <c r="F3558" s="20">
        <f>IF('Journal'!F1780="","",'Journal'!F1780)</f>
        <v/>
      </c>
      <c r="G3558" s="20">
        <f>IF('Journal'!G1780="","",'Journal'!G1780)</f>
        <v/>
      </c>
      <c r="H3558" s="5">
        <f>IF('Journal'!I1780="","",'Journal'!I1780)</f>
        <v/>
      </c>
    </row>
    <row r="3559">
      <c r="A3559" s="18">
        <f>IF('Journal'!A1781="","",'Journal'!A1781)</f>
        <v/>
      </c>
      <c r="B3559" s="21">
        <f>IF('Journal'!B1781="","",'Journal'!B1781)</f>
        <v/>
      </c>
      <c r="C3559" s="5">
        <f>IF('Journal'!C1781="","",'Journal'!C1781)</f>
        <v/>
      </c>
      <c r="D3559" s="5">
        <f>IF('Journal'!D1781="","",IFERROR(LEFT('Journal'!D1781,FIND(" ",'Journal'!D1781)-1),'Journal'!D1781))</f>
        <v/>
      </c>
      <c r="E3559" s="5">
        <f>IF('Journal'!D1781="","",IFERROR(INDEX('Kontoplan'!$B$3:$B$302,MATCH('Journal'!D1781,'Kontoplan'!$H$3:$H$302,0)),""))</f>
        <v/>
      </c>
      <c r="F3559" s="20">
        <f>IF('Journal'!G1781="","",'Journal'!G1781)</f>
        <v/>
      </c>
      <c r="G3559" s="20">
        <f>IF('Journal'!F1781="","",'Journal'!F1781)</f>
        <v/>
      </c>
      <c r="H3559" s="5">
        <f>IF('Journal'!I1781="","",'Journal'!I1781)</f>
        <v/>
      </c>
    </row>
    <row r="3560">
      <c r="A3560" s="18">
        <f>IF('Journal'!A1781="","",'Journal'!A1781)</f>
        <v/>
      </c>
      <c r="B3560" s="21">
        <f>IF('Journal'!B1781="","",'Journal'!B1781)</f>
        <v/>
      </c>
      <c r="C3560" s="5">
        <f>IF('Journal'!C1781="","",'Journal'!C1781)</f>
        <v/>
      </c>
      <c r="D3560" s="5">
        <f>IF('Journal'!E1781="","",IFERROR(LEFT('Journal'!E1781,FIND(" ",'Journal'!E1781)-1),'Journal'!E1781))</f>
        <v/>
      </c>
      <c r="E3560" s="5">
        <f>IF('Journal'!E1781="","",IFERROR(INDEX('Kontoplan'!$B$3:$B$302,MATCH('Journal'!E1781,'Kontoplan'!$H$3:$H$302,0)),""))</f>
        <v/>
      </c>
      <c r="F3560" s="20">
        <f>IF('Journal'!F1781="","",'Journal'!F1781)</f>
        <v/>
      </c>
      <c r="G3560" s="20">
        <f>IF('Journal'!G1781="","",'Journal'!G1781)</f>
        <v/>
      </c>
      <c r="H3560" s="5">
        <f>IF('Journal'!I1781="","",'Journal'!I1781)</f>
        <v/>
      </c>
    </row>
    <row r="3561">
      <c r="A3561" s="18">
        <f>IF('Journal'!A1782="","",'Journal'!A1782)</f>
        <v/>
      </c>
      <c r="B3561" s="21">
        <f>IF('Journal'!B1782="","",'Journal'!B1782)</f>
        <v/>
      </c>
      <c r="C3561" s="5">
        <f>IF('Journal'!C1782="","",'Journal'!C1782)</f>
        <v/>
      </c>
      <c r="D3561" s="5">
        <f>IF('Journal'!D1782="","",IFERROR(LEFT('Journal'!D1782,FIND(" ",'Journal'!D1782)-1),'Journal'!D1782))</f>
        <v/>
      </c>
      <c r="E3561" s="5">
        <f>IF('Journal'!D1782="","",IFERROR(INDEX('Kontoplan'!$B$3:$B$302,MATCH('Journal'!D1782,'Kontoplan'!$H$3:$H$302,0)),""))</f>
        <v/>
      </c>
      <c r="F3561" s="20">
        <f>IF('Journal'!G1782="","",'Journal'!G1782)</f>
        <v/>
      </c>
      <c r="G3561" s="20">
        <f>IF('Journal'!F1782="","",'Journal'!F1782)</f>
        <v/>
      </c>
      <c r="H3561" s="5">
        <f>IF('Journal'!I1782="","",'Journal'!I1782)</f>
        <v/>
      </c>
    </row>
    <row r="3562">
      <c r="A3562" s="18">
        <f>IF('Journal'!A1782="","",'Journal'!A1782)</f>
        <v/>
      </c>
      <c r="B3562" s="21">
        <f>IF('Journal'!B1782="","",'Journal'!B1782)</f>
        <v/>
      </c>
      <c r="C3562" s="5">
        <f>IF('Journal'!C1782="","",'Journal'!C1782)</f>
        <v/>
      </c>
      <c r="D3562" s="5">
        <f>IF('Journal'!E1782="","",IFERROR(LEFT('Journal'!E1782,FIND(" ",'Journal'!E1782)-1),'Journal'!E1782))</f>
        <v/>
      </c>
      <c r="E3562" s="5">
        <f>IF('Journal'!E1782="","",IFERROR(INDEX('Kontoplan'!$B$3:$B$302,MATCH('Journal'!E1782,'Kontoplan'!$H$3:$H$302,0)),""))</f>
        <v/>
      </c>
      <c r="F3562" s="20">
        <f>IF('Journal'!F1782="","",'Journal'!F1782)</f>
        <v/>
      </c>
      <c r="G3562" s="20">
        <f>IF('Journal'!G1782="","",'Journal'!G1782)</f>
        <v/>
      </c>
      <c r="H3562" s="5">
        <f>IF('Journal'!I1782="","",'Journal'!I1782)</f>
        <v/>
      </c>
    </row>
    <row r="3563">
      <c r="A3563" s="18">
        <f>IF('Journal'!A1783="","",'Journal'!A1783)</f>
        <v/>
      </c>
      <c r="B3563" s="21">
        <f>IF('Journal'!B1783="","",'Journal'!B1783)</f>
        <v/>
      </c>
      <c r="C3563" s="5">
        <f>IF('Journal'!C1783="","",'Journal'!C1783)</f>
        <v/>
      </c>
      <c r="D3563" s="5">
        <f>IF('Journal'!D1783="","",IFERROR(LEFT('Journal'!D1783,FIND(" ",'Journal'!D1783)-1),'Journal'!D1783))</f>
        <v/>
      </c>
      <c r="E3563" s="5">
        <f>IF('Journal'!D1783="","",IFERROR(INDEX('Kontoplan'!$B$3:$B$302,MATCH('Journal'!D1783,'Kontoplan'!$H$3:$H$302,0)),""))</f>
        <v/>
      </c>
      <c r="F3563" s="20">
        <f>IF('Journal'!G1783="","",'Journal'!G1783)</f>
        <v/>
      </c>
      <c r="G3563" s="20">
        <f>IF('Journal'!F1783="","",'Journal'!F1783)</f>
        <v/>
      </c>
      <c r="H3563" s="5">
        <f>IF('Journal'!I1783="","",'Journal'!I1783)</f>
        <v/>
      </c>
    </row>
    <row r="3564">
      <c r="A3564" s="18">
        <f>IF('Journal'!A1783="","",'Journal'!A1783)</f>
        <v/>
      </c>
      <c r="B3564" s="21">
        <f>IF('Journal'!B1783="","",'Journal'!B1783)</f>
        <v/>
      </c>
      <c r="C3564" s="5">
        <f>IF('Journal'!C1783="","",'Journal'!C1783)</f>
        <v/>
      </c>
      <c r="D3564" s="5">
        <f>IF('Journal'!E1783="","",IFERROR(LEFT('Journal'!E1783,FIND(" ",'Journal'!E1783)-1),'Journal'!E1783))</f>
        <v/>
      </c>
      <c r="E3564" s="5">
        <f>IF('Journal'!E1783="","",IFERROR(INDEX('Kontoplan'!$B$3:$B$302,MATCH('Journal'!E1783,'Kontoplan'!$H$3:$H$302,0)),""))</f>
        <v/>
      </c>
      <c r="F3564" s="20">
        <f>IF('Journal'!F1783="","",'Journal'!F1783)</f>
        <v/>
      </c>
      <c r="G3564" s="20">
        <f>IF('Journal'!G1783="","",'Journal'!G1783)</f>
        <v/>
      </c>
      <c r="H3564" s="5">
        <f>IF('Journal'!I1783="","",'Journal'!I1783)</f>
        <v/>
      </c>
    </row>
    <row r="3565">
      <c r="A3565" s="18">
        <f>IF('Journal'!A1784="","",'Journal'!A1784)</f>
        <v/>
      </c>
      <c r="B3565" s="21">
        <f>IF('Journal'!B1784="","",'Journal'!B1784)</f>
        <v/>
      </c>
      <c r="C3565" s="5">
        <f>IF('Journal'!C1784="","",'Journal'!C1784)</f>
        <v/>
      </c>
      <c r="D3565" s="5">
        <f>IF('Journal'!D1784="","",IFERROR(LEFT('Journal'!D1784,FIND(" ",'Journal'!D1784)-1),'Journal'!D1784))</f>
        <v/>
      </c>
      <c r="E3565" s="5">
        <f>IF('Journal'!D1784="","",IFERROR(INDEX('Kontoplan'!$B$3:$B$302,MATCH('Journal'!D1784,'Kontoplan'!$H$3:$H$302,0)),""))</f>
        <v/>
      </c>
      <c r="F3565" s="20">
        <f>IF('Journal'!G1784="","",'Journal'!G1784)</f>
        <v/>
      </c>
      <c r="G3565" s="20">
        <f>IF('Journal'!F1784="","",'Journal'!F1784)</f>
        <v/>
      </c>
      <c r="H3565" s="5">
        <f>IF('Journal'!I1784="","",'Journal'!I1784)</f>
        <v/>
      </c>
    </row>
    <row r="3566">
      <c r="A3566" s="18">
        <f>IF('Journal'!A1784="","",'Journal'!A1784)</f>
        <v/>
      </c>
      <c r="B3566" s="21">
        <f>IF('Journal'!B1784="","",'Journal'!B1784)</f>
        <v/>
      </c>
      <c r="C3566" s="5">
        <f>IF('Journal'!C1784="","",'Journal'!C1784)</f>
        <v/>
      </c>
      <c r="D3566" s="5">
        <f>IF('Journal'!E1784="","",IFERROR(LEFT('Journal'!E1784,FIND(" ",'Journal'!E1784)-1),'Journal'!E1784))</f>
        <v/>
      </c>
      <c r="E3566" s="5">
        <f>IF('Journal'!E1784="","",IFERROR(INDEX('Kontoplan'!$B$3:$B$302,MATCH('Journal'!E1784,'Kontoplan'!$H$3:$H$302,0)),""))</f>
        <v/>
      </c>
      <c r="F3566" s="20">
        <f>IF('Journal'!F1784="","",'Journal'!F1784)</f>
        <v/>
      </c>
      <c r="G3566" s="20">
        <f>IF('Journal'!G1784="","",'Journal'!G1784)</f>
        <v/>
      </c>
      <c r="H3566" s="5">
        <f>IF('Journal'!I1784="","",'Journal'!I1784)</f>
        <v/>
      </c>
    </row>
    <row r="3567">
      <c r="A3567" s="18">
        <f>IF('Journal'!A1785="","",'Journal'!A1785)</f>
        <v/>
      </c>
      <c r="B3567" s="21">
        <f>IF('Journal'!B1785="","",'Journal'!B1785)</f>
        <v/>
      </c>
      <c r="C3567" s="5">
        <f>IF('Journal'!C1785="","",'Journal'!C1785)</f>
        <v/>
      </c>
      <c r="D3567" s="5">
        <f>IF('Journal'!D1785="","",IFERROR(LEFT('Journal'!D1785,FIND(" ",'Journal'!D1785)-1),'Journal'!D1785))</f>
        <v/>
      </c>
      <c r="E3567" s="5">
        <f>IF('Journal'!D1785="","",IFERROR(INDEX('Kontoplan'!$B$3:$B$302,MATCH('Journal'!D1785,'Kontoplan'!$H$3:$H$302,0)),""))</f>
        <v/>
      </c>
      <c r="F3567" s="20">
        <f>IF('Journal'!G1785="","",'Journal'!G1785)</f>
        <v/>
      </c>
      <c r="G3567" s="20">
        <f>IF('Journal'!F1785="","",'Journal'!F1785)</f>
        <v/>
      </c>
      <c r="H3567" s="5">
        <f>IF('Journal'!I1785="","",'Journal'!I1785)</f>
        <v/>
      </c>
    </row>
    <row r="3568">
      <c r="A3568" s="18">
        <f>IF('Journal'!A1785="","",'Journal'!A1785)</f>
        <v/>
      </c>
      <c r="B3568" s="21">
        <f>IF('Journal'!B1785="","",'Journal'!B1785)</f>
        <v/>
      </c>
      <c r="C3568" s="5">
        <f>IF('Journal'!C1785="","",'Journal'!C1785)</f>
        <v/>
      </c>
      <c r="D3568" s="5">
        <f>IF('Journal'!E1785="","",IFERROR(LEFT('Journal'!E1785,FIND(" ",'Journal'!E1785)-1),'Journal'!E1785))</f>
        <v/>
      </c>
      <c r="E3568" s="5">
        <f>IF('Journal'!E1785="","",IFERROR(INDEX('Kontoplan'!$B$3:$B$302,MATCH('Journal'!E1785,'Kontoplan'!$H$3:$H$302,0)),""))</f>
        <v/>
      </c>
      <c r="F3568" s="20">
        <f>IF('Journal'!F1785="","",'Journal'!F1785)</f>
        <v/>
      </c>
      <c r="G3568" s="20">
        <f>IF('Journal'!G1785="","",'Journal'!G1785)</f>
        <v/>
      </c>
      <c r="H3568" s="5">
        <f>IF('Journal'!I1785="","",'Journal'!I1785)</f>
        <v/>
      </c>
    </row>
    <row r="3569">
      <c r="A3569" s="18">
        <f>IF('Journal'!A1786="","",'Journal'!A1786)</f>
        <v/>
      </c>
      <c r="B3569" s="21">
        <f>IF('Journal'!B1786="","",'Journal'!B1786)</f>
        <v/>
      </c>
      <c r="C3569" s="5">
        <f>IF('Journal'!C1786="","",'Journal'!C1786)</f>
        <v/>
      </c>
      <c r="D3569" s="5">
        <f>IF('Journal'!D1786="","",IFERROR(LEFT('Journal'!D1786,FIND(" ",'Journal'!D1786)-1),'Journal'!D1786))</f>
        <v/>
      </c>
      <c r="E3569" s="5">
        <f>IF('Journal'!D1786="","",IFERROR(INDEX('Kontoplan'!$B$3:$B$302,MATCH('Journal'!D1786,'Kontoplan'!$H$3:$H$302,0)),""))</f>
        <v/>
      </c>
      <c r="F3569" s="20">
        <f>IF('Journal'!G1786="","",'Journal'!G1786)</f>
        <v/>
      </c>
      <c r="G3569" s="20">
        <f>IF('Journal'!F1786="","",'Journal'!F1786)</f>
        <v/>
      </c>
      <c r="H3569" s="5">
        <f>IF('Journal'!I1786="","",'Journal'!I1786)</f>
        <v/>
      </c>
    </row>
    <row r="3570">
      <c r="A3570" s="18">
        <f>IF('Journal'!A1786="","",'Journal'!A1786)</f>
        <v/>
      </c>
      <c r="B3570" s="21">
        <f>IF('Journal'!B1786="","",'Journal'!B1786)</f>
        <v/>
      </c>
      <c r="C3570" s="5">
        <f>IF('Journal'!C1786="","",'Journal'!C1786)</f>
        <v/>
      </c>
      <c r="D3570" s="5">
        <f>IF('Journal'!E1786="","",IFERROR(LEFT('Journal'!E1786,FIND(" ",'Journal'!E1786)-1),'Journal'!E1786))</f>
        <v/>
      </c>
      <c r="E3570" s="5">
        <f>IF('Journal'!E1786="","",IFERROR(INDEX('Kontoplan'!$B$3:$B$302,MATCH('Journal'!E1786,'Kontoplan'!$H$3:$H$302,0)),""))</f>
        <v/>
      </c>
      <c r="F3570" s="20">
        <f>IF('Journal'!F1786="","",'Journal'!F1786)</f>
        <v/>
      </c>
      <c r="G3570" s="20">
        <f>IF('Journal'!G1786="","",'Journal'!G1786)</f>
        <v/>
      </c>
      <c r="H3570" s="5">
        <f>IF('Journal'!I1786="","",'Journal'!I1786)</f>
        <v/>
      </c>
    </row>
    <row r="3571">
      <c r="A3571" s="18">
        <f>IF('Journal'!A1787="","",'Journal'!A1787)</f>
        <v/>
      </c>
      <c r="B3571" s="21">
        <f>IF('Journal'!B1787="","",'Journal'!B1787)</f>
        <v/>
      </c>
      <c r="C3571" s="5">
        <f>IF('Journal'!C1787="","",'Journal'!C1787)</f>
        <v/>
      </c>
      <c r="D3571" s="5">
        <f>IF('Journal'!D1787="","",IFERROR(LEFT('Journal'!D1787,FIND(" ",'Journal'!D1787)-1),'Journal'!D1787))</f>
        <v/>
      </c>
      <c r="E3571" s="5">
        <f>IF('Journal'!D1787="","",IFERROR(INDEX('Kontoplan'!$B$3:$B$302,MATCH('Journal'!D1787,'Kontoplan'!$H$3:$H$302,0)),""))</f>
        <v/>
      </c>
      <c r="F3571" s="20">
        <f>IF('Journal'!G1787="","",'Journal'!G1787)</f>
        <v/>
      </c>
      <c r="G3571" s="20">
        <f>IF('Journal'!F1787="","",'Journal'!F1787)</f>
        <v/>
      </c>
      <c r="H3571" s="5">
        <f>IF('Journal'!I1787="","",'Journal'!I1787)</f>
        <v/>
      </c>
    </row>
    <row r="3572">
      <c r="A3572" s="18">
        <f>IF('Journal'!A1787="","",'Journal'!A1787)</f>
        <v/>
      </c>
      <c r="B3572" s="21">
        <f>IF('Journal'!B1787="","",'Journal'!B1787)</f>
        <v/>
      </c>
      <c r="C3572" s="5">
        <f>IF('Journal'!C1787="","",'Journal'!C1787)</f>
        <v/>
      </c>
      <c r="D3572" s="5">
        <f>IF('Journal'!E1787="","",IFERROR(LEFT('Journal'!E1787,FIND(" ",'Journal'!E1787)-1),'Journal'!E1787))</f>
        <v/>
      </c>
      <c r="E3572" s="5">
        <f>IF('Journal'!E1787="","",IFERROR(INDEX('Kontoplan'!$B$3:$B$302,MATCH('Journal'!E1787,'Kontoplan'!$H$3:$H$302,0)),""))</f>
        <v/>
      </c>
      <c r="F3572" s="20">
        <f>IF('Journal'!F1787="","",'Journal'!F1787)</f>
        <v/>
      </c>
      <c r="G3572" s="20">
        <f>IF('Journal'!G1787="","",'Journal'!G1787)</f>
        <v/>
      </c>
      <c r="H3572" s="5">
        <f>IF('Journal'!I1787="","",'Journal'!I1787)</f>
        <v/>
      </c>
    </row>
    <row r="3573">
      <c r="A3573" s="18">
        <f>IF('Journal'!A1788="","",'Journal'!A1788)</f>
        <v/>
      </c>
      <c r="B3573" s="21">
        <f>IF('Journal'!B1788="","",'Journal'!B1788)</f>
        <v/>
      </c>
      <c r="C3573" s="5">
        <f>IF('Journal'!C1788="","",'Journal'!C1788)</f>
        <v/>
      </c>
      <c r="D3573" s="5">
        <f>IF('Journal'!D1788="","",IFERROR(LEFT('Journal'!D1788,FIND(" ",'Journal'!D1788)-1),'Journal'!D1788))</f>
        <v/>
      </c>
      <c r="E3573" s="5">
        <f>IF('Journal'!D1788="","",IFERROR(INDEX('Kontoplan'!$B$3:$B$302,MATCH('Journal'!D1788,'Kontoplan'!$H$3:$H$302,0)),""))</f>
        <v/>
      </c>
      <c r="F3573" s="20">
        <f>IF('Journal'!G1788="","",'Journal'!G1788)</f>
        <v/>
      </c>
      <c r="G3573" s="20">
        <f>IF('Journal'!F1788="","",'Journal'!F1788)</f>
        <v/>
      </c>
      <c r="H3573" s="5">
        <f>IF('Journal'!I1788="","",'Journal'!I1788)</f>
        <v/>
      </c>
    </row>
    <row r="3574">
      <c r="A3574" s="18">
        <f>IF('Journal'!A1788="","",'Journal'!A1788)</f>
        <v/>
      </c>
      <c r="B3574" s="21">
        <f>IF('Journal'!B1788="","",'Journal'!B1788)</f>
        <v/>
      </c>
      <c r="C3574" s="5">
        <f>IF('Journal'!C1788="","",'Journal'!C1788)</f>
        <v/>
      </c>
      <c r="D3574" s="5">
        <f>IF('Journal'!E1788="","",IFERROR(LEFT('Journal'!E1788,FIND(" ",'Journal'!E1788)-1),'Journal'!E1788))</f>
        <v/>
      </c>
      <c r="E3574" s="5">
        <f>IF('Journal'!E1788="","",IFERROR(INDEX('Kontoplan'!$B$3:$B$302,MATCH('Journal'!E1788,'Kontoplan'!$H$3:$H$302,0)),""))</f>
        <v/>
      </c>
      <c r="F3574" s="20">
        <f>IF('Journal'!F1788="","",'Journal'!F1788)</f>
        <v/>
      </c>
      <c r="G3574" s="20">
        <f>IF('Journal'!G1788="","",'Journal'!G1788)</f>
        <v/>
      </c>
      <c r="H3574" s="5">
        <f>IF('Journal'!I1788="","",'Journal'!I1788)</f>
        <v/>
      </c>
    </row>
    <row r="3575">
      <c r="A3575" s="18">
        <f>IF('Journal'!A1789="","",'Journal'!A1789)</f>
        <v/>
      </c>
      <c r="B3575" s="21">
        <f>IF('Journal'!B1789="","",'Journal'!B1789)</f>
        <v/>
      </c>
      <c r="C3575" s="5">
        <f>IF('Journal'!C1789="","",'Journal'!C1789)</f>
        <v/>
      </c>
      <c r="D3575" s="5">
        <f>IF('Journal'!D1789="","",IFERROR(LEFT('Journal'!D1789,FIND(" ",'Journal'!D1789)-1),'Journal'!D1789))</f>
        <v/>
      </c>
      <c r="E3575" s="5">
        <f>IF('Journal'!D1789="","",IFERROR(INDEX('Kontoplan'!$B$3:$B$302,MATCH('Journal'!D1789,'Kontoplan'!$H$3:$H$302,0)),""))</f>
        <v/>
      </c>
      <c r="F3575" s="20">
        <f>IF('Journal'!G1789="","",'Journal'!G1789)</f>
        <v/>
      </c>
      <c r="G3575" s="20">
        <f>IF('Journal'!F1789="","",'Journal'!F1789)</f>
        <v/>
      </c>
      <c r="H3575" s="5">
        <f>IF('Journal'!I1789="","",'Journal'!I1789)</f>
        <v/>
      </c>
    </row>
    <row r="3576">
      <c r="A3576" s="18">
        <f>IF('Journal'!A1789="","",'Journal'!A1789)</f>
        <v/>
      </c>
      <c r="B3576" s="21">
        <f>IF('Journal'!B1789="","",'Journal'!B1789)</f>
        <v/>
      </c>
      <c r="C3576" s="5">
        <f>IF('Journal'!C1789="","",'Journal'!C1789)</f>
        <v/>
      </c>
      <c r="D3576" s="5">
        <f>IF('Journal'!E1789="","",IFERROR(LEFT('Journal'!E1789,FIND(" ",'Journal'!E1789)-1),'Journal'!E1789))</f>
        <v/>
      </c>
      <c r="E3576" s="5">
        <f>IF('Journal'!E1789="","",IFERROR(INDEX('Kontoplan'!$B$3:$B$302,MATCH('Journal'!E1789,'Kontoplan'!$H$3:$H$302,0)),""))</f>
        <v/>
      </c>
      <c r="F3576" s="20">
        <f>IF('Journal'!F1789="","",'Journal'!F1789)</f>
        <v/>
      </c>
      <c r="G3576" s="20">
        <f>IF('Journal'!G1789="","",'Journal'!G1789)</f>
        <v/>
      </c>
      <c r="H3576" s="5">
        <f>IF('Journal'!I1789="","",'Journal'!I1789)</f>
        <v/>
      </c>
    </row>
    <row r="3577">
      <c r="A3577" s="18">
        <f>IF('Journal'!A1790="","",'Journal'!A1790)</f>
        <v/>
      </c>
      <c r="B3577" s="21">
        <f>IF('Journal'!B1790="","",'Journal'!B1790)</f>
        <v/>
      </c>
      <c r="C3577" s="5">
        <f>IF('Journal'!C1790="","",'Journal'!C1790)</f>
        <v/>
      </c>
      <c r="D3577" s="5">
        <f>IF('Journal'!D1790="","",IFERROR(LEFT('Journal'!D1790,FIND(" ",'Journal'!D1790)-1),'Journal'!D1790))</f>
        <v/>
      </c>
      <c r="E3577" s="5">
        <f>IF('Journal'!D1790="","",IFERROR(INDEX('Kontoplan'!$B$3:$B$302,MATCH('Journal'!D1790,'Kontoplan'!$H$3:$H$302,0)),""))</f>
        <v/>
      </c>
      <c r="F3577" s="20">
        <f>IF('Journal'!G1790="","",'Journal'!G1790)</f>
        <v/>
      </c>
      <c r="G3577" s="20">
        <f>IF('Journal'!F1790="","",'Journal'!F1790)</f>
        <v/>
      </c>
      <c r="H3577" s="5">
        <f>IF('Journal'!I1790="","",'Journal'!I1790)</f>
        <v/>
      </c>
    </row>
    <row r="3578">
      <c r="A3578" s="18">
        <f>IF('Journal'!A1790="","",'Journal'!A1790)</f>
        <v/>
      </c>
      <c r="B3578" s="21">
        <f>IF('Journal'!B1790="","",'Journal'!B1790)</f>
        <v/>
      </c>
      <c r="C3578" s="5">
        <f>IF('Journal'!C1790="","",'Journal'!C1790)</f>
        <v/>
      </c>
      <c r="D3578" s="5">
        <f>IF('Journal'!E1790="","",IFERROR(LEFT('Journal'!E1790,FIND(" ",'Journal'!E1790)-1),'Journal'!E1790))</f>
        <v/>
      </c>
      <c r="E3578" s="5">
        <f>IF('Journal'!E1790="","",IFERROR(INDEX('Kontoplan'!$B$3:$B$302,MATCH('Journal'!E1790,'Kontoplan'!$H$3:$H$302,0)),""))</f>
        <v/>
      </c>
      <c r="F3578" s="20">
        <f>IF('Journal'!F1790="","",'Journal'!F1790)</f>
        <v/>
      </c>
      <c r="G3578" s="20">
        <f>IF('Journal'!G1790="","",'Journal'!G1790)</f>
        <v/>
      </c>
      <c r="H3578" s="5">
        <f>IF('Journal'!I1790="","",'Journal'!I1790)</f>
        <v/>
      </c>
    </row>
    <row r="3579">
      <c r="A3579" s="18">
        <f>IF('Journal'!A1791="","",'Journal'!A1791)</f>
        <v/>
      </c>
      <c r="B3579" s="21">
        <f>IF('Journal'!B1791="","",'Journal'!B1791)</f>
        <v/>
      </c>
      <c r="C3579" s="5">
        <f>IF('Journal'!C1791="","",'Journal'!C1791)</f>
        <v/>
      </c>
      <c r="D3579" s="5">
        <f>IF('Journal'!D1791="","",IFERROR(LEFT('Journal'!D1791,FIND(" ",'Journal'!D1791)-1),'Journal'!D1791))</f>
        <v/>
      </c>
      <c r="E3579" s="5">
        <f>IF('Journal'!D1791="","",IFERROR(INDEX('Kontoplan'!$B$3:$B$302,MATCH('Journal'!D1791,'Kontoplan'!$H$3:$H$302,0)),""))</f>
        <v/>
      </c>
      <c r="F3579" s="20">
        <f>IF('Journal'!G1791="","",'Journal'!G1791)</f>
        <v/>
      </c>
      <c r="G3579" s="20">
        <f>IF('Journal'!F1791="","",'Journal'!F1791)</f>
        <v/>
      </c>
      <c r="H3579" s="5">
        <f>IF('Journal'!I1791="","",'Journal'!I1791)</f>
        <v/>
      </c>
    </row>
    <row r="3580">
      <c r="A3580" s="18">
        <f>IF('Journal'!A1791="","",'Journal'!A1791)</f>
        <v/>
      </c>
      <c r="B3580" s="21">
        <f>IF('Journal'!B1791="","",'Journal'!B1791)</f>
        <v/>
      </c>
      <c r="C3580" s="5">
        <f>IF('Journal'!C1791="","",'Journal'!C1791)</f>
        <v/>
      </c>
      <c r="D3580" s="5">
        <f>IF('Journal'!E1791="","",IFERROR(LEFT('Journal'!E1791,FIND(" ",'Journal'!E1791)-1),'Journal'!E1791))</f>
        <v/>
      </c>
      <c r="E3580" s="5">
        <f>IF('Journal'!E1791="","",IFERROR(INDEX('Kontoplan'!$B$3:$B$302,MATCH('Journal'!E1791,'Kontoplan'!$H$3:$H$302,0)),""))</f>
        <v/>
      </c>
      <c r="F3580" s="20">
        <f>IF('Journal'!F1791="","",'Journal'!F1791)</f>
        <v/>
      </c>
      <c r="G3580" s="20">
        <f>IF('Journal'!G1791="","",'Journal'!G1791)</f>
        <v/>
      </c>
      <c r="H3580" s="5">
        <f>IF('Journal'!I1791="","",'Journal'!I1791)</f>
        <v/>
      </c>
    </row>
    <row r="3581">
      <c r="A3581" s="18">
        <f>IF('Journal'!A1792="","",'Journal'!A1792)</f>
        <v/>
      </c>
      <c r="B3581" s="21">
        <f>IF('Journal'!B1792="","",'Journal'!B1792)</f>
        <v/>
      </c>
      <c r="C3581" s="5">
        <f>IF('Journal'!C1792="","",'Journal'!C1792)</f>
        <v/>
      </c>
      <c r="D3581" s="5">
        <f>IF('Journal'!D1792="","",IFERROR(LEFT('Journal'!D1792,FIND(" ",'Journal'!D1792)-1),'Journal'!D1792))</f>
        <v/>
      </c>
      <c r="E3581" s="5">
        <f>IF('Journal'!D1792="","",IFERROR(INDEX('Kontoplan'!$B$3:$B$302,MATCH('Journal'!D1792,'Kontoplan'!$H$3:$H$302,0)),""))</f>
        <v/>
      </c>
      <c r="F3581" s="20">
        <f>IF('Journal'!G1792="","",'Journal'!G1792)</f>
        <v/>
      </c>
      <c r="G3581" s="20">
        <f>IF('Journal'!F1792="","",'Journal'!F1792)</f>
        <v/>
      </c>
      <c r="H3581" s="5">
        <f>IF('Journal'!I1792="","",'Journal'!I1792)</f>
        <v/>
      </c>
    </row>
    <row r="3582">
      <c r="A3582" s="18">
        <f>IF('Journal'!A1792="","",'Journal'!A1792)</f>
        <v/>
      </c>
      <c r="B3582" s="21">
        <f>IF('Journal'!B1792="","",'Journal'!B1792)</f>
        <v/>
      </c>
      <c r="C3582" s="5">
        <f>IF('Journal'!C1792="","",'Journal'!C1792)</f>
        <v/>
      </c>
      <c r="D3582" s="5">
        <f>IF('Journal'!E1792="","",IFERROR(LEFT('Journal'!E1792,FIND(" ",'Journal'!E1792)-1),'Journal'!E1792))</f>
        <v/>
      </c>
      <c r="E3582" s="5">
        <f>IF('Journal'!E1792="","",IFERROR(INDEX('Kontoplan'!$B$3:$B$302,MATCH('Journal'!E1792,'Kontoplan'!$H$3:$H$302,0)),""))</f>
        <v/>
      </c>
      <c r="F3582" s="20">
        <f>IF('Journal'!F1792="","",'Journal'!F1792)</f>
        <v/>
      </c>
      <c r="G3582" s="20">
        <f>IF('Journal'!G1792="","",'Journal'!G1792)</f>
        <v/>
      </c>
      <c r="H3582" s="5">
        <f>IF('Journal'!I1792="","",'Journal'!I1792)</f>
        <v/>
      </c>
    </row>
    <row r="3583">
      <c r="A3583" s="18">
        <f>IF('Journal'!A1793="","",'Journal'!A1793)</f>
        <v/>
      </c>
      <c r="B3583" s="21">
        <f>IF('Journal'!B1793="","",'Journal'!B1793)</f>
        <v/>
      </c>
      <c r="C3583" s="5">
        <f>IF('Journal'!C1793="","",'Journal'!C1793)</f>
        <v/>
      </c>
      <c r="D3583" s="5">
        <f>IF('Journal'!D1793="","",IFERROR(LEFT('Journal'!D1793,FIND(" ",'Journal'!D1793)-1),'Journal'!D1793))</f>
        <v/>
      </c>
      <c r="E3583" s="5">
        <f>IF('Journal'!D1793="","",IFERROR(INDEX('Kontoplan'!$B$3:$B$302,MATCH('Journal'!D1793,'Kontoplan'!$H$3:$H$302,0)),""))</f>
        <v/>
      </c>
      <c r="F3583" s="20">
        <f>IF('Journal'!G1793="","",'Journal'!G1793)</f>
        <v/>
      </c>
      <c r="G3583" s="20">
        <f>IF('Journal'!F1793="","",'Journal'!F1793)</f>
        <v/>
      </c>
      <c r="H3583" s="5">
        <f>IF('Journal'!I1793="","",'Journal'!I1793)</f>
        <v/>
      </c>
    </row>
    <row r="3584">
      <c r="A3584" s="18">
        <f>IF('Journal'!A1793="","",'Journal'!A1793)</f>
        <v/>
      </c>
      <c r="B3584" s="21">
        <f>IF('Journal'!B1793="","",'Journal'!B1793)</f>
        <v/>
      </c>
      <c r="C3584" s="5">
        <f>IF('Journal'!C1793="","",'Journal'!C1793)</f>
        <v/>
      </c>
      <c r="D3584" s="5">
        <f>IF('Journal'!E1793="","",IFERROR(LEFT('Journal'!E1793,FIND(" ",'Journal'!E1793)-1),'Journal'!E1793))</f>
        <v/>
      </c>
      <c r="E3584" s="5">
        <f>IF('Journal'!E1793="","",IFERROR(INDEX('Kontoplan'!$B$3:$B$302,MATCH('Journal'!E1793,'Kontoplan'!$H$3:$H$302,0)),""))</f>
        <v/>
      </c>
      <c r="F3584" s="20">
        <f>IF('Journal'!F1793="","",'Journal'!F1793)</f>
        <v/>
      </c>
      <c r="G3584" s="20">
        <f>IF('Journal'!G1793="","",'Journal'!G1793)</f>
        <v/>
      </c>
      <c r="H3584" s="5">
        <f>IF('Journal'!I1793="","",'Journal'!I1793)</f>
        <v/>
      </c>
    </row>
    <row r="3585">
      <c r="A3585" s="18">
        <f>IF('Journal'!A1794="","",'Journal'!A1794)</f>
        <v/>
      </c>
      <c r="B3585" s="21">
        <f>IF('Journal'!B1794="","",'Journal'!B1794)</f>
        <v/>
      </c>
      <c r="C3585" s="5">
        <f>IF('Journal'!C1794="","",'Journal'!C1794)</f>
        <v/>
      </c>
      <c r="D3585" s="5">
        <f>IF('Journal'!D1794="","",IFERROR(LEFT('Journal'!D1794,FIND(" ",'Journal'!D1794)-1),'Journal'!D1794))</f>
        <v/>
      </c>
      <c r="E3585" s="5">
        <f>IF('Journal'!D1794="","",IFERROR(INDEX('Kontoplan'!$B$3:$B$302,MATCH('Journal'!D1794,'Kontoplan'!$H$3:$H$302,0)),""))</f>
        <v/>
      </c>
      <c r="F3585" s="20">
        <f>IF('Journal'!G1794="","",'Journal'!G1794)</f>
        <v/>
      </c>
      <c r="G3585" s="20">
        <f>IF('Journal'!F1794="","",'Journal'!F1794)</f>
        <v/>
      </c>
      <c r="H3585" s="5">
        <f>IF('Journal'!I1794="","",'Journal'!I1794)</f>
        <v/>
      </c>
    </row>
    <row r="3586">
      <c r="A3586" s="18">
        <f>IF('Journal'!A1794="","",'Journal'!A1794)</f>
        <v/>
      </c>
      <c r="B3586" s="21">
        <f>IF('Journal'!B1794="","",'Journal'!B1794)</f>
        <v/>
      </c>
      <c r="C3586" s="5">
        <f>IF('Journal'!C1794="","",'Journal'!C1794)</f>
        <v/>
      </c>
      <c r="D3586" s="5">
        <f>IF('Journal'!E1794="","",IFERROR(LEFT('Journal'!E1794,FIND(" ",'Journal'!E1794)-1),'Journal'!E1794))</f>
        <v/>
      </c>
      <c r="E3586" s="5">
        <f>IF('Journal'!E1794="","",IFERROR(INDEX('Kontoplan'!$B$3:$B$302,MATCH('Journal'!E1794,'Kontoplan'!$H$3:$H$302,0)),""))</f>
        <v/>
      </c>
      <c r="F3586" s="20">
        <f>IF('Journal'!F1794="","",'Journal'!F1794)</f>
        <v/>
      </c>
      <c r="G3586" s="20">
        <f>IF('Journal'!G1794="","",'Journal'!G1794)</f>
        <v/>
      </c>
      <c r="H3586" s="5">
        <f>IF('Journal'!I1794="","",'Journal'!I1794)</f>
        <v/>
      </c>
    </row>
    <row r="3587">
      <c r="A3587" s="18">
        <f>IF('Journal'!A1795="","",'Journal'!A1795)</f>
        <v/>
      </c>
      <c r="B3587" s="21">
        <f>IF('Journal'!B1795="","",'Journal'!B1795)</f>
        <v/>
      </c>
      <c r="C3587" s="5">
        <f>IF('Journal'!C1795="","",'Journal'!C1795)</f>
        <v/>
      </c>
      <c r="D3587" s="5">
        <f>IF('Journal'!D1795="","",IFERROR(LEFT('Journal'!D1795,FIND(" ",'Journal'!D1795)-1),'Journal'!D1795))</f>
        <v/>
      </c>
      <c r="E3587" s="5">
        <f>IF('Journal'!D1795="","",IFERROR(INDEX('Kontoplan'!$B$3:$B$302,MATCH('Journal'!D1795,'Kontoplan'!$H$3:$H$302,0)),""))</f>
        <v/>
      </c>
      <c r="F3587" s="20">
        <f>IF('Journal'!G1795="","",'Journal'!G1795)</f>
        <v/>
      </c>
      <c r="G3587" s="20">
        <f>IF('Journal'!F1795="","",'Journal'!F1795)</f>
        <v/>
      </c>
      <c r="H3587" s="5">
        <f>IF('Journal'!I1795="","",'Journal'!I1795)</f>
        <v/>
      </c>
    </row>
    <row r="3588">
      <c r="A3588" s="18">
        <f>IF('Journal'!A1795="","",'Journal'!A1795)</f>
        <v/>
      </c>
      <c r="B3588" s="21">
        <f>IF('Journal'!B1795="","",'Journal'!B1795)</f>
        <v/>
      </c>
      <c r="C3588" s="5">
        <f>IF('Journal'!C1795="","",'Journal'!C1795)</f>
        <v/>
      </c>
      <c r="D3588" s="5">
        <f>IF('Journal'!E1795="","",IFERROR(LEFT('Journal'!E1795,FIND(" ",'Journal'!E1795)-1),'Journal'!E1795))</f>
        <v/>
      </c>
      <c r="E3588" s="5">
        <f>IF('Journal'!E1795="","",IFERROR(INDEX('Kontoplan'!$B$3:$B$302,MATCH('Journal'!E1795,'Kontoplan'!$H$3:$H$302,0)),""))</f>
        <v/>
      </c>
      <c r="F3588" s="20">
        <f>IF('Journal'!F1795="","",'Journal'!F1795)</f>
        <v/>
      </c>
      <c r="G3588" s="20">
        <f>IF('Journal'!G1795="","",'Journal'!G1795)</f>
        <v/>
      </c>
      <c r="H3588" s="5">
        <f>IF('Journal'!I1795="","",'Journal'!I1795)</f>
        <v/>
      </c>
    </row>
    <row r="3589">
      <c r="A3589" s="18">
        <f>IF('Journal'!A1796="","",'Journal'!A1796)</f>
        <v/>
      </c>
      <c r="B3589" s="21">
        <f>IF('Journal'!B1796="","",'Journal'!B1796)</f>
        <v/>
      </c>
      <c r="C3589" s="5">
        <f>IF('Journal'!C1796="","",'Journal'!C1796)</f>
        <v/>
      </c>
      <c r="D3589" s="5">
        <f>IF('Journal'!D1796="","",IFERROR(LEFT('Journal'!D1796,FIND(" ",'Journal'!D1796)-1),'Journal'!D1796))</f>
        <v/>
      </c>
      <c r="E3589" s="5">
        <f>IF('Journal'!D1796="","",IFERROR(INDEX('Kontoplan'!$B$3:$B$302,MATCH('Journal'!D1796,'Kontoplan'!$H$3:$H$302,0)),""))</f>
        <v/>
      </c>
      <c r="F3589" s="20">
        <f>IF('Journal'!G1796="","",'Journal'!G1796)</f>
        <v/>
      </c>
      <c r="G3589" s="20">
        <f>IF('Journal'!F1796="","",'Journal'!F1796)</f>
        <v/>
      </c>
      <c r="H3589" s="5">
        <f>IF('Journal'!I1796="","",'Journal'!I1796)</f>
        <v/>
      </c>
    </row>
    <row r="3590">
      <c r="A3590" s="18">
        <f>IF('Journal'!A1796="","",'Journal'!A1796)</f>
        <v/>
      </c>
      <c r="B3590" s="21">
        <f>IF('Journal'!B1796="","",'Journal'!B1796)</f>
        <v/>
      </c>
      <c r="C3590" s="5">
        <f>IF('Journal'!C1796="","",'Journal'!C1796)</f>
        <v/>
      </c>
      <c r="D3590" s="5">
        <f>IF('Journal'!E1796="","",IFERROR(LEFT('Journal'!E1796,FIND(" ",'Journal'!E1796)-1),'Journal'!E1796))</f>
        <v/>
      </c>
      <c r="E3590" s="5">
        <f>IF('Journal'!E1796="","",IFERROR(INDEX('Kontoplan'!$B$3:$B$302,MATCH('Journal'!E1796,'Kontoplan'!$H$3:$H$302,0)),""))</f>
        <v/>
      </c>
      <c r="F3590" s="20">
        <f>IF('Journal'!F1796="","",'Journal'!F1796)</f>
        <v/>
      </c>
      <c r="G3590" s="20">
        <f>IF('Journal'!G1796="","",'Journal'!G1796)</f>
        <v/>
      </c>
      <c r="H3590" s="5">
        <f>IF('Journal'!I1796="","",'Journal'!I1796)</f>
        <v/>
      </c>
    </row>
    <row r="3591">
      <c r="A3591" s="18">
        <f>IF('Journal'!A1797="","",'Journal'!A1797)</f>
        <v/>
      </c>
      <c r="B3591" s="21">
        <f>IF('Journal'!B1797="","",'Journal'!B1797)</f>
        <v/>
      </c>
      <c r="C3591" s="5">
        <f>IF('Journal'!C1797="","",'Journal'!C1797)</f>
        <v/>
      </c>
      <c r="D3591" s="5">
        <f>IF('Journal'!D1797="","",IFERROR(LEFT('Journal'!D1797,FIND(" ",'Journal'!D1797)-1),'Journal'!D1797))</f>
        <v/>
      </c>
      <c r="E3591" s="5">
        <f>IF('Journal'!D1797="","",IFERROR(INDEX('Kontoplan'!$B$3:$B$302,MATCH('Journal'!D1797,'Kontoplan'!$H$3:$H$302,0)),""))</f>
        <v/>
      </c>
      <c r="F3591" s="20">
        <f>IF('Journal'!G1797="","",'Journal'!G1797)</f>
        <v/>
      </c>
      <c r="G3591" s="20">
        <f>IF('Journal'!F1797="","",'Journal'!F1797)</f>
        <v/>
      </c>
      <c r="H3591" s="5">
        <f>IF('Journal'!I1797="","",'Journal'!I1797)</f>
        <v/>
      </c>
    </row>
    <row r="3592">
      <c r="A3592" s="18">
        <f>IF('Journal'!A1797="","",'Journal'!A1797)</f>
        <v/>
      </c>
      <c r="B3592" s="21">
        <f>IF('Journal'!B1797="","",'Journal'!B1797)</f>
        <v/>
      </c>
      <c r="C3592" s="5">
        <f>IF('Journal'!C1797="","",'Journal'!C1797)</f>
        <v/>
      </c>
      <c r="D3592" s="5">
        <f>IF('Journal'!E1797="","",IFERROR(LEFT('Journal'!E1797,FIND(" ",'Journal'!E1797)-1),'Journal'!E1797))</f>
        <v/>
      </c>
      <c r="E3592" s="5">
        <f>IF('Journal'!E1797="","",IFERROR(INDEX('Kontoplan'!$B$3:$B$302,MATCH('Journal'!E1797,'Kontoplan'!$H$3:$H$302,0)),""))</f>
        <v/>
      </c>
      <c r="F3592" s="20">
        <f>IF('Journal'!F1797="","",'Journal'!F1797)</f>
        <v/>
      </c>
      <c r="G3592" s="20">
        <f>IF('Journal'!G1797="","",'Journal'!G1797)</f>
        <v/>
      </c>
      <c r="H3592" s="5">
        <f>IF('Journal'!I1797="","",'Journal'!I1797)</f>
        <v/>
      </c>
    </row>
    <row r="3593">
      <c r="A3593" s="18">
        <f>IF('Journal'!A1798="","",'Journal'!A1798)</f>
        <v/>
      </c>
      <c r="B3593" s="21">
        <f>IF('Journal'!B1798="","",'Journal'!B1798)</f>
        <v/>
      </c>
      <c r="C3593" s="5">
        <f>IF('Journal'!C1798="","",'Journal'!C1798)</f>
        <v/>
      </c>
      <c r="D3593" s="5">
        <f>IF('Journal'!D1798="","",IFERROR(LEFT('Journal'!D1798,FIND(" ",'Journal'!D1798)-1),'Journal'!D1798))</f>
        <v/>
      </c>
      <c r="E3593" s="5">
        <f>IF('Journal'!D1798="","",IFERROR(INDEX('Kontoplan'!$B$3:$B$302,MATCH('Journal'!D1798,'Kontoplan'!$H$3:$H$302,0)),""))</f>
        <v/>
      </c>
      <c r="F3593" s="20">
        <f>IF('Journal'!G1798="","",'Journal'!G1798)</f>
        <v/>
      </c>
      <c r="G3593" s="20">
        <f>IF('Journal'!F1798="","",'Journal'!F1798)</f>
        <v/>
      </c>
      <c r="H3593" s="5">
        <f>IF('Journal'!I1798="","",'Journal'!I1798)</f>
        <v/>
      </c>
    </row>
    <row r="3594">
      <c r="A3594" s="18">
        <f>IF('Journal'!A1798="","",'Journal'!A1798)</f>
        <v/>
      </c>
      <c r="B3594" s="21">
        <f>IF('Journal'!B1798="","",'Journal'!B1798)</f>
        <v/>
      </c>
      <c r="C3594" s="5">
        <f>IF('Journal'!C1798="","",'Journal'!C1798)</f>
        <v/>
      </c>
      <c r="D3594" s="5">
        <f>IF('Journal'!E1798="","",IFERROR(LEFT('Journal'!E1798,FIND(" ",'Journal'!E1798)-1),'Journal'!E1798))</f>
        <v/>
      </c>
      <c r="E3594" s="5">
        <f>IF('Journal'!E1798="","",IFERROR(INDEX('Kontoplan'!$B$3:$B$302,MATCH('Journal'!E1798,'Kontoplan'!$H$3:$H$302,0)),""))</f>
        <v/>
      </c>
      <c r="F3594" s="20">
        <f>IF('Journal'!F1798="","",'Journal'!F1798)</f>
        <v/>
      </c>
      <c r="G3594" s="20">
        <f>IF('Journal'!G1798="","",'Journal'!G1798)</f>
        <v/>
      </c>
      <c r="H3594" s="5">
        <f>IF('Journal'!I1798="","",'Journal'!I1798)</f>
        <v/>
      </c>
    </row>
    <row r="3595">
      <c r="A3595" s="18">
        <f>IF('Journal'!A1799="","",'Journal'!A1799)</f>
        <v/>
      </c>
      <c r="B3595" s="21">
        <f>IF('Journal'!B1799="","",'Journal'!B1799)</f>
        <v/>
      </c>
      <c r="C3595" s="5">
        <f>IF('Journal'!C1799="","",'Journal'!C1799)</f>
        <v/>
      </c>
      <c r="D3595" s="5">
        <f>IF('Journal'!D1799="","",IFERROR(LEFT('Journal'!D1799,FIND(" ",'Journal'!D1799)-1),'Journal'!D1799))</f>
        <v/>
      </c>
      <c r="E3595" s="5">
        <f>IF('Journal'!D1799="","",IFERROR(INDEX('Kontoplan'!$B$3:$B$302,MATCH('Journal'!D1799,'Kontoplan'!$H$3:$H$302,0)),""))</f>
        <v/>
      </c>
      <c r="F3595" s="20">
        <f>IF('Journal'!G1799="","",'Journal'!G1799)</f>
        <v/>
      </c>
      <c r="G3595" s="20">
        <f>IF('Journal'!F1799="","",'Journal'!F1799)</f>
        <v/>
      </c>
      <c r="H3595" s="5">
        <f>IF('Journal'!I1799="","",'Journal'!I1799)</f>
        <v/>
      </c>
    </row>
    <row r="3596">
      <c r="A3596" s="18">
        <f>IF('Journal'!A1799="","",'Journal'!A1799)</f>
        <v/>
      </c>
      <c r="B3596" s="21">
        <f>IF('Journal'!B1799="","",'Journal'!B1799)</f>
        <v/>
      </c>
      <c r="C3596" s="5">
        <f>IF('Journal'!C1799="","",'Journal'!C1799)</f>
        <v/>
      </c>
      <c r="D3596" s="5">
        <f>IF('Journal'!E1799="","",IFERROR(LEFT('Journal'!E1799,FIND(" ",'Journal'!E1799)-1),'Journal'!E1799))</f>
        <v/>
      </c>
      <c r="E3596" s="5">
        <f>IF('Journal'!E1799="","",IFERROR(INDEX('Kontoplan'!$B$3:$B$302,MATCH('Journal'!E1799,'Kontoplan'!$H$3:$H$302,0)),""))</f>
        <v/>
      </c>
      <c r="F3596" s="20">
        <f>IF('Journal'!F1799="","",'Journal'!F1799)</f>
        <v/>
      </c>
      <c r="G3596" s="20">
        <f>IF('Journal'!G1799="","",'Journal'!G1799)</f>
        <v/>
      </c>
      <c r="H3596" s="5">
        <f>IF('Journal'!I1799="","",'Journal'!I1799)</f>
        <v/>
      </c>
    </row>
    <row r="3597">
      <c r="A3597" s="18">
        <f>IF('Journal'!A1800="","",'Journal'!A1800)</f>
        <v/>
      </c>
      <c r="B3597" s="21">
        <f>IF('Journal'!B1800="","",'Journal'!B1800)</f>
        <v/>
      </c>
      <c r="C3597" s="5">
        <f>IF('Journal'!C1800="","",'Journal'!C1800)</f>
        <v/>
      </c>
      <c r="D3597" s="5">
        <f>IF('Journal'!D1800="","",IFERROR(LEFT('Journal'!D1800,FIND(" ",'Journal'!D1800)-1),'Journal'!D1800))</f>
        <v/>
      </c>
      <c r="E3597" s="5">
        <f>IF('Journal'!D1800="","",IFERROR(INDEX('Kontoplan'!$B$3:$B$302,MATCH('Journal'!D1800,'Kontoplan'!$H$3:$H$302,0)),""))</f>
        <v/>
      </c>
      <c r="F3597" s="20">
        <f>IF('Journal'!G1800="","",'Journal'!G1800)</f>
        <v/>
      </c>
      <c r="G3597" s="20">
        <f>IF('Journal'!F1800="","",'Journal'!F1800)</f>
        <v/>
      </c>
      <c r="H3597" s="5">
        <f>IF('Journal'!I1800="","",'Journal'!I1800)</f>
        <v/>
      </c>
    </row>
    <row r="3598">
      <c r="A3598" s="18">
        <f>IF('Journal'!A1800="","",'Journal'!A1800)</f>
        <v/>
      </c>
      <c r="B3598" s="21">
        <f>IF('Journal'!B1800="","",'Journal'!B1800)</f>
        <v/>
      </c>
      <c r="C3598" s="5">
        <f>IF('Journal'!C1800="","",'Journal'!C1800)</f>
        <v/>
      </c>
      <c r="D3598" s="5">
        <f>IF('Journal'!E1800="","",IFERROR(LEFT('Journal'!E1800,FIND(" ",'Journal'!E1800)-1),'Journal'!E1800))</f>
        <v/>
      </c>
      <c r="E3598" s="5">
        <f>IF('Journal'!E1800="","",IFERROR(INDEX('Kontoplan'!$B$3:$B$302,MATCH('Journal'!E1800,'Kontoplan'!$H$3:$H$302,0)),""))</f>
        <v/>
      </c>
      <c r="F3598" s="20">
        <f>IF('Journal'!F1800="","",'Journal'!F1800)</f>
        <v/>
      </c>
      <c r="G3598" s="20">
        <f>IF('Journal'!G1800="","",'Journal'!G1800)</f>
        <v/>
      </c>
      <c r="H3598" s="5">
        <f>IF('Journal'!I1800="","",'Journal'!I1800)</f>
        <v/>
      </c>
    </row>
    <row r="3599">
      <c r="A3599" s="18">
        <f>IF('Journal'!A1801="","",'Journal'!A1801)</f>
        <v/>
      </c>
      <c r="B3599" s="21">
        <f>IF('Journal'!B1801="","",'Journal'!B1801)</f>
        <v/>
      </c>
      <c r="C3599" s="5">
        <f>IF('Journal'!C1801="","",'Journal'!C1801)</f>
        <v/>
      </c>
      <c r="D3599" s="5">
        <f>IF('Journal'!D1801="","",IFERROR(LEFT('Journal'!D1801,FIND(" ",'Journal'!D1801)-1),'Journal'!D1801))</f>
        <v/>
      </c>
      <c r="E3599" s="5">
        <f>IF('Journal'!D1801="","",IFERROR(INDEX('Kontoplan'!$B$3:$B$302,MATCH('Journal'!D1801,'Kontoplan'!$H$3:$H$302,0)),""))</f>
        <v/>
      </c>
      <c r="F3599" s="20">
        <f>IF('Journal'!G1801="","",'Journal'!G1801)</f>
        <v/>
      </c>
      <c r="G3599" s="20">
        <f>IF('Journal'!F1801="","",'Journal'!F1801)</f>
        <v/>
      </c>
      <c r="H3599" s="5">
        <f>IF('Journal'!I1801="","",'Journal'!I1801)</f>
        <v/>
      </c>
    </row>
    <row r="3600">
      <c r="A3600" s="18">
        <f>IF('Journal'!A1801="","",'Journal'!A1801)</f>
        <v/>
      </c>
      <c r="B3600" s="21">
        <f>IF('Journal'!B1801="","",'Journal'!B1801)</f>
        <v/>
      </c>
      <c r="C3600" s="5">
        <f>IF('Journal'!C1801="","",'Journal'!C1801)</f>
        <v/>
      </c>
      <c r="D3600" s="5">
        <f>IF('Journal'!E1801="","",IFERROR(LEFT('Journal'!E1801,FIND(" ",'Journal'!E1801)-1),'Journal'!E1801))</f>
        <v/>
      </c>
      <c r="E3600" s="5">
        <f>IF('Journal'!E1801="","",IFERROR(INDEX('Kontoplan'!$B$3:$B$302,MATCH('Journal'!E1801,'Kontoplan'!$H$3:$H$302,0)),""))</f>
        <v/>
      </c>
      <c r="F3600" s="20">
        <f>IF('Journal'!F1801="","",'Journal'!F1801)</f>
        <v/>
      </c>
      <c r="G3600" s="20">
        <f>IF('Journal'!G1801="","",'Journal'!G1801)</f>
        <v/>
      </c>
      <c r="H3600" s="5">
        <f>IF('Journal'!I1801="","",'Journal'!I1801)</f>
        <v/>
      </c>
    </row>
    <row r="3601">
      <c r="A3601" s="18">
        <f>IF('Journal'!A1802="","",'Journal'!A1802)</f>
        <v/>
      </c>
      <c r="B3601" s="21">
        <f>IF('Journal'!B1802="","",'Journal'!B1802)</f>
        <v/>
      </c>
      <c r="C3601" s="5">
        <f>IF('Journal'!C1802="","",'Journal'!C1802)</f>
        <v/>
      </c>
      <c r="D3601" s="5">
        <f>IF('Journal'!D1802="","",IFERROR(LEFT('Journal'!D1802,FIND(" ",'Journal'!D1802)-1),'Journal'!D1802))</f>
        <v/>
      </c>
      <c r="E3601" s="5">
        <f>IF('Journal'!D1802="","",IFERROR(INDEX('Kontoplan'!$B$3:$B$302,MATCH('Journal'!D1802,'Kontoplan'!$H$3:$H$302,0)),""))</f>
        <v/>
      </c>
      <c r="F3601" s="20">
        <f>IF('Journal'!G1802="","",'Journal'!G1802)</f>
        <v/>
      </c>
      <c r="G3601" s="20">
        <f>IF('Journal'!F1802="","",'Journal'!F1802)</f>
        <v/>
      </c>
      <c r="H3601" s="5">
        <f>IF('Journal'!I1802="","",'Journal'!I1802)</f>
        <v/>
      </c>
    </row>
    <row r="3602">
      <c r="A3602" s="18">
        <f>IF('Journal'!A1802="","",'Journal'!A1802)</f>
        <v/>
      </c>
      <c r="B3602" s="21">
        <f>IF('Journal'!B1802="","",'Journal'!B1802)</f>
        <v/>
      </c>
      <c r="C3602" s="5">
        <f>IF('Journal'!C1802="","",'Journal'!C1802)</f>
        <v/>
      </c>
      <c r="D3602" s="5">
        <f>IF('Journal'!E1802="","",IFERROR(LEFT('Journal'!E1802,FIND(" ",'Journal'!E1802)-1),'Journal'!E1802))</f>
        <v/>
      </c>
      <c r="E3602" s="5">
        <f>IF('Journal'!E1802="","",IFERROR(INDEX('Kontoplan'!$B$3:$B$302,MATCH('Journal'!E1802,'Kontoplan'!$H$3:$H$302,0)),""))</f>
        <v/>
      </c>
      <c r="F3602" s="20">
        <f>IF('Journal'!F1802="","",'Journal'!F1802)</f>
        <v/>
      </c>
      <c r="G3602" s="20">
        <f>IF('Journal'!G1802="","",'Journal'!G1802)</f>
        <v/>
      </c>
      <c r="H3602" s="5">
        <f>IF('Journal'!I1802="","",'Journal'!I1802)</f>
        <v/>
      </c>
    </row>
    <row r="3603">
      <c r="A3603" s="18">
        <f>IF('Journal'!A1803="","",'Journal'!A1803)</f>
        <v/>
      </c>
      <c r="B3603" s="21">
        <f>IF('Journal'!B1803="","",'Journal'!B1803)</f>
        <v/>
      </c>
      <c r="C3603" s="5">
        <f>IF('Journal'!C1803="","",'Journal'!C1803)</f>
        <v/>
      </c>
      <c r="D3603" s="5">
        <f>IF('Journal'!D1803="","",IFERROR(LEFT('Journal'!D1803,FIND(" ",'Journal'!D1803)-1),'Journal'!D1803))</f>
        <v/>
      </c>
      <c r="E3603" s="5">
        <f>IF('Journal'!D1803="","",IFERROR(INDEX('Kontoplan'!$B$3:$B$302,MATCH('Journal'!D1803,'Kontoplan'!$H$3:$H$302,0)),""))</f>
        <v/>
      </c>
      <c r="F3603" s="20">
        <f>IF('Journal'!G1803="","",'Journal'!G1803)</f>
        <v/>
      </c>
      <c r="G3603" s="20">
        <f>IF('Journal'!F1803="","",'Journal'!F1803)</f>
        <v/>
      </c>
      <c r="H3603" s="5">
        <f>IF('Journal'!I1803="","",'Journal'!I1803)</f>
        <v/>
      </c>
    </row>
    <row r="3604">
      <c r="A3604" s="18">
        <f>IF('Journal'!A1803="","",'Journal'!A1803)</f>
        <v/>
      </c>
      <c r="B3604" s="21">
        <f>IF('Journal'!B1803="","",'Journal'!B1803)</f>
        <v/>
      </c>
      <c r="C3604" s="5">
        <f>IF('Journal'!C1803="","",'Journal'!C1803)</f>
        <v/>
      </c>
      <c r="D3604" s="5">
        <f>IF('Journal'!E1803="","",IFERROR(LEFT('Journal'!E1803,FIND(" ",'Journal'!E1803)-1),'Journal'!E1803))</f>
        <v/>
      </c>
      <c r="E3604" s="5">
        <f>IF('Journal'!E1803="","",IFERROR(INDEX('Kontoplan'!$B$3:$B$302,MATCH('Journal'!E1803,'Kontoplan'!$H$3:$H$302,0)),""))</f>
        <v/>
      </c>
      <c r="F3604" s="20">
        <f>IF('Journal'!F1803="","",'Journal'!F1803)</f>
        <v/>
      </c>
      <c r="G3604" s="20">
        <f>IF('Journal'!G1803="","",'Journal'!G1803)</f>
        <v/>
      </c>
      <c r="H3604" s="5">
        <f>IF('Journal'!I1803="","",'Journal'!I1803)</f>
        <v/>
      </c>
    </row>
    <row r="3605">
      <c r="A3605" s="18">
        <f>IF('Journal'!A1804="","",'Journal'!A1804)</f>
        <v/>
      </c>
      <c r="B3605" s="21">
        <f>IF('Journal'!B1804="","",'Journal'!B1804)</f>
        <v/>
      </c>
      <c r="C3605" s="5">
        <f>IF('Journal'!C1804="","",'Journal'!C1804)</f>
        <v/>
      </c>
      <c r="D3605" s="5">
        <f>IF('Journal'!D1804="","",IFERROR(LEFT('Journal'!D1804,FIND(" ",'Journal'!D1804)-1),'Journal'!D1804))</f>
        <v/>
      </c>
      <c r="E3605" s="5">
        <f>IF('Journal'!D1804="","",IFERROR(INDEX('Kontoplan'!$B$3:$B$302,MATCH('Journal'!D1804,'Kontoplan'!$H$3:$H$302,0)),""))</f>
        <v/>
      </c>
      <c r="F3605" s="20">
        <f>IF('Journal'!G1804="","",'Journal'!G1804)</f>
        <v/>
      </c>
      <c r="G3605" s="20">
        <f>IF('Journal'!F1804="","",'Journal'!F1804)</f>
        <v/>
      </c>
      <c r="H3605" s="5">
        <f>IF('Journal'!I1804="","",'Journal'!I1804)</f>
        <v/>
      </c>
    </row>
    <row r="3606">
      <c r="A3606" s="18">
        <f>IF('Journal'!A1804="","",'Journal'!A1804)</f>
        <v/>
      </c>
      <c r="B3606" s="21">
        <f>IF('Journal'!B1804="","",'Journal'!B1804)</f>
        <v/>
      </c>
      <c r="C3606" s="5">
        <f>IF('Journal'!C1804="","",'Journal'!C1804)</f>
        <v/>
      </c>
      <c r="D3606" s="5">
        <f>IF('Journal'!E1804="","",IFERROR(LEFT('Journal'!E1804,FIND(" ",'Journal'!E1804)-1),'Journal'!E1804))</f>
        <v/>
      </c>
      <c r="E3606" s="5">
        <f>IF('Journal'!E1804="","",IFERROR(INDEX('Kontoplan'!$B$3:$B$302,MATCH('Journal'!E1804,'Kontoplan'!$H$3:$H$302,0)),""))</f>
        <v/>
      </c>
      <c r="F3606" s="20">
        <f>IF('Journal'!F1804="","",'Journal'!F1804)</f>
        <v/>
      </c>
      <c r="G3606" s="20">
        <f>IF('Journal'!G1804="","",'Journal'!G1804)</f>
        <v/>
      </c>
      <c r="H3606" s="5">
        <f>IF('Journal'!I1804="","",'Journal'!I1804)</f>
        <v/>
      </c>
    </row>
    <row r="3607">
      <c r="A3607" s="18">
        <f>IF('Journal'!A1805="","",'Journal'!A1805)</f>
        <v/>
      </c>
      <c r="B3607" s="21">
        <f>IF('Journal'!B1805="","",'Journal'!B1805)</f>
        <v/>
      </c>
      <c r="C3607" s="5">
        <f>IF('Journal'!C1805="","",'Journal'!C1805)</f>
        <v/>
      </c>
      <c r="D3607" s="5">
        <f>IF('Journal'!D1805="","",IFERROR(LEFT('Journal'!D1805,FIND(" ",'Journal'!D1805)-1),'Journal'!D1805))</f>
        <v/>
      </c>
      <c r="E3607" s="5">
        <f>IF('Journal'!D1805="","",IFERROR(INDEX('Kontoplan'!$B$3:$B$302,MATCH('Journal'!D1805,'Kontoplan'!$H$3:$H$302,0)),""))</f>
        <v/>
      </c>
      <c r="F3607" s="20">
        <f>IF('Journal'!G1805="","",'Journal'!G1805)</f>
        <v/>
      </c>
      <c r="G3607" s="20">
        <f>IF('Journal'!F1805="","",'Journal'!F1805)</f>
        <v/>
      </c>
      <c r="H3607" s="5">
        <f>IF('Journal'!I1805="","",'Journal'!I1805)</f>
        <v/>
      </c>
    </row>
    <row r="3608">
      <c r="A3608" s="18">
        <f>IF('Journal'!A1805="","",'Journal'!A1805)</f>
        <v/>
      </c>
      <c r="B3608" s="21">
        <f>IF('Journal'!B1805="","",'Journal'!B1805)</f>
        <v/>
      </c>
      <c r="C3608" s="5">
        <f>IF('Journal'!C1805="","",'Journal'!C1805)</f>
        <v/>
      </c>
      <c r="D3608" s="5">
        <f>IF('Journal'!E1805="","",IFERROR(LEFT('Journal'!E1805,FIND(" ",'Journal'!E1805)-1),'Journal'!E1805))</f>
        <v/>
      </c>
      <c r="E3608" s="5">
        <f>IF('Journal'!E1805="","",IFERROR(INDEX('Kontoplan'!$B$3:$B$302,MATCH('Journal'!E1805,'Kontoplan'!$H$3:$H$302,0)),""))</f>
        <v/>
      </c>
      <c r="F3608" s="20">
        <f>IF('Journal'!F1805="","",'Journal'!F1805)</f>
        <v/>
      </c>
      <c r="G3608" s="20">
        <f>IF('Journal'!G1805="","",'Journal'!G1805)</f>
        <v/>
      </c>
      <c r="H3608" s="5">
        <f>IF('Journal'!I1805="","",'Journal'!I1805)</f>
        <v/>
      </c>
    </row>
    <row r="3609">
      <c r="A3609" s="18">
        <f>IF('Journal'!A1806="","",'Journal'!A1806)</f>
        <v/>
      </c>
      <c r="B3609" s="21">
        <f>IF('Journal'!B1806="","",'Journal'!B1806)</f>
        <v/>
      </c>
      <c r="C3609" s="5">
        <f>IF('Journal'!C1806="","",'Journal'!C1806)</f>
        <v/>
      </c>
      <c r="D3609" s="5">
        <f>IF('Journal'!D1806="","",IFERROR(LEFT('Journal'!D1806,FIND(" ",'Journal'!D1806)-1),'Journal'!D1806))</f>
        <v/>
      </c>
      <c r="E3609" s="5">
        <f>IF('Journal'!D1806="","",IFERROR(INDEX('Kontoplan'!$B$3:$B$302,MATCH('Journal'!D1806,'Kontoplan'!$H$3:$H$302,0)),""))</f>
        <v/>
      </c>
      <c r="F3609" s="20">
        <f>IF('Journal'!G1806="","",'Journal'!G1806)</f>
        <v/>
      </c>
      <c r="G3609" s="20">
        <f>IF('Journal'!F1806="","",'Journal'!F1806)</f>
        <v/>
      </c>
      <c r="H3609" s="5">
        <f>IF('Journal'!I1806="","",'Journal'!I1806)</f>
        <v/>
      </c>
    </row>
    <row r="3610">
      <c r="A3610" s="18">
        <f>IF('Journal'!A1806="","",'Journal'!A1806)</f>
        <v/>
      </c>
      <c r="B3610" s="21">
        <f>IF('Journal'!B1806="","",'Journal'!B1806)</f>
        <v/>
      </c>
      <c r="C3610" s="5">
        <f>IF('Journal'!C1806="","",'Journal'!C1806)</f>
        <v/>
      </c>
      <c r="D3610" s="5">
        <f>IF('Journal'!E1806="","",IFERROR(LEFT('Journal'!E1806,FIND(" ",'Journal'!E1806)-1),'Journal'!E1806))</f>
        <v/>
      </c>
      <c r="E3610" s="5">
        <f>IF('Journal'!E1806="","",IFERROR(INDEX('Kontoplan'!$B$3:$B$302,MATCH('Journal'!E1806,'Kontoplan'!$H$3:$H$302,0)),""))</f>
        <v/>
      </c>
      <c r="F3610" s="20">
        <f>IF('Journal'!F1806="","",'Journal'!F1806)</f>
        <v/>
      </c>
      <c r="G3610" s="20">
        <f>IF('Journal'!G1806="","",'Journal'!G1806)</f>
        <v/>
      </c>
      <c r="H3610" s="5">
        <f>IF('Journal'!I1806="","",'Journal'!I1806)</f>
        <v/>
      </c>
    </row>
    <row r="3611">
      <c r="A3611" s="18">
        <f>IF('Journal'!A1807="","",'Journal'!A1807)</f>
        <v/>
      </c>
      <c r="B3611" s="21">
        <f>IF('Journal'!B1807="","",'Journal'!B1807)</f>
        <v/>
      </c>
      <c r="C3611" s="5">
        <f>IF('Journal'!C1807="","",'Journal'!C1807)</f>
        <v/>
      </c>
      <c r="D3611" s="5">
        <f>IF('Journal'!D1807="","",IFERROR(LEFT('Journal'!D1807,FIND(" ",'Journal'!D1807)-1),'Journal'!D1807))</f>
        <v/>
      </c>
      <c r="E3611" s="5">
        <f>IF('Journal'!D1807="","",IFERROR(INDEX('Kontoplan'!$B$3:$B$302,MATCH('Journal'!D1807,'Kontoplan'!$H$3:$H$302,0)),""))</f>
        <v/>
      </c>
      <c r="F3611" s="20">
        <f>IF('Journal'!G1807="","",'Journal'!G1807)</f>
        <v/>
      </c>
      <c r="G3611" s="20">
        <f>IF('Journal'!F1807="","",'Journal'!F1807)</f>
        <v/>
      </c>
      <c r="H3611" s="5">
        <f>IF('Journal'!I1807="","",'Journal'!I1807)</f>
        <v/>
      </c>
    </row>
    <row r="3612">
      <c r="A3612" s="18">
        <f>IF('Journal'!A1807="","",'Journal'!A1807)</f>
        <v/>
      </c>
      <c r="B3612" s="21">
        <f>IF('Journal'!B1807="","",'Journal'!B1807)</f>
        <v/>
      </c>
      <c r="C3612" s="5">
        <f>IF('Journal'!C1807="","",'Journal'!C1807)</f>
        <v/>
      </c>
      <c r="D3612" s="5">
        <f>IF('Journal'!E1807="","",IFERROR(LEFT('Journal'!E1807,FIND(" ",'Journal'!E1807)-1),'Journal'!E1807))</f>
        <v/>
      </c>
      <c r="E3612" s="5">
        <f>IF('Journal'!E1807="","",IFERROR(INDEX('Kontoplan'!$B$3:$B$302,MATCH('Journal'!E1807,'Kontoplan'!$H$3:$H$302,0)),""))</f>
        <v/>
      </c>
      <c r="F3612" s="20">
        <f>IF('Journal'!F1807="","",'Journal'!F1807)</f>
        <v/>
      </c>
      <c r="G3612" s="20">
        <f>IF('Journal'!G1807="","",'Journal'!G1807)</f>
        <v/>
      </c>
      <c r="H3612" s="5">
        <f>IF('Journal'!I1807="","",'Journal'!I1807)</f>
        <v/>
      </c>
    </row>
    <row r="3613">
      <c r="A3613" s="18">
        <f>IF('Journal'!A1808="","",'Journal'!A1808)</f>
        <v/>
      </c>
      <c r="B3613" s="21">
        <f>IF('Journal'!B1808="","",'Journal'!B1808)</f>
        <v/>
      </c>
      <c r="C3613" s="5">
        <f>IF('Journal'!C1808="","",'Journal'!C1808)</f>
        <v/>
      </c>
      <c r="D3613" s="5">
        <f>IF('Journal'!D1808="","",IFERROR(LEFT('Journal'!D1808,FIND(" ",'Journal'!D1808)-1),'Journal'!D1808))</f>
        <v/>
      </c>
      <c r="E3613" s="5">
        <f>IF('Journal'!D1808="","",IFERROR(INDEX('Kontoplan'!$B$3:$B$302,MATCH('Journal'!D1808,'Kontoplan'!$H$3:$H$302,0)),""))</f>
        <v/>
      </c>
      <c r="F3613" s="20">
        <f>IF('Journal'!G1808="","",'Journal'!G1808)</f>
        <v/>
      </c>
      <c r="G3613" s="20">
        <f>IF('Journal'!F1808="","",'Journal'!F1808)</f>
        <v/>
      </c>
      <c r="H3613" s="5">
        <f>IF('Journal'!I1808="","",'Journal'!I1808)</f>
        <v/>
      </c>
    </row>
    <row r="3614">
      <c r="A3614" s="18">
        <f>IF('Journal'!A1808="","",'Journal'!A1808)</f>
        <v/>
      </c>
      <c r="B3614" s="21">
        <f>IF('Journal'!B1808="","",'Journal'!B1808)</f>
        <v/>
      </c>
      <c r="C3614" s="5">
        <f>IF('Journal'!C1808="","",'Journal'!C1808)</f>
        <v/>
      </c>
      <c r="D3614" s="5">
        <f>IF('Journal'!E1808="","",IFERROR(LEFT('Journal'!E1808,FIND(" ",'Journal'!E1808)-1),'Journal'!E1808))</f>
        <v/>
      </c>
      <c r="E3614" s="5">
        <f>IF('Journal'!E1808="","",IFERROR(INDEX('Kontoplan'!$B$3:$B$302,MATCH('Journal'!E1808,'Kontoplan'!$H$3:$H$302,0)),""))</f>
        <v/>
      </c>
      <c r="F3614" s="20">
        <f>IF('Journal'!F1808="","",'Journal'!F1808)</f>
        <v/>
      </c>
      <c r="G3614" s="20">
        <f>IF('Journal'!G1808="","",'Journal'!G1808)</f>
        <v/>
      </c>
      <c r="H3614" s="5">
        <f>IF('Journal'!I1808="","",'Journal'!I1808)</f>
        <v/>
      </c>
    </row>
    <row r="3615">
      <c r="A3615" s="18">
        <f>IF('Journal'!A1809="","",'Journal'!A1809)</f>
        <v/>
      </c>
      <c r="B3615" s="21">
        <f>IF('Journal'!B1809="","",'Journal'!B1809)</f>
        <v/>
      </c>
      <c r="C3615" s="5">
        <f>IF('Journal'!C1809="","",'Journal'!C1809)</f>
        <v/>
      </c>
      <c r="D3615" s="5">
        <f>IF('Journal'!D1809="","",IFERROR(LEFT('Journal'!D1809,FIND(" ",'Journal'!D1809)-1),'Journal'!D1809))</f>
        <v/>
      </c>
      <c r="E3615" s="5">
        <f>IF('Journal'!D1809="","",IFERROR(INDEX('Kontoplan'!$B$3:$B$302,MATCH('Journal'!D1809,'Kontoplan'!$H$3:$H$302,0)),""))</f>
        <v/>
      </c>
      <c r="F3615" s="20">
        <f>IF('Journal'!G1809="","",'Journal'!G1809)</f>
        <v/>
      </c>
      <c r="G3615" s="20">
        <f>IF('Journal'!F1809="","",'Journal'!F1809)</f>
        <v/>
      </c>
      <c r="H3615" s="5">
        <f>IF('Journal'!I1809="","",'Journal'!I1809)</f>
        <v/>
      </c>
    </row>
    <row r="3616">
      <c r="A3616" s="18">
        <f>IF('Journal'!A1809="","",'Journal'!A1809)</f>
        <v/>
      </c>
      <c r="B3616" s="21">
        <f>IF('Journal'!B1809="","",'Journal'!B1809)</f>
        <v/>
      </c>
      <c r="C3616" s="5">
        <f>IF('Journal'!C1809="","",'Journal'!C1809)</f>
        <v/>
      </c>
      <c r="D3616" s="5">
        <f>IF('Journal'!E1809="","",IFERROR(LEFT('Journal'!E1809,FIND(" ",'Journal'!E1809)-1),'Journal'!E1809))</f>
        <v/>
      </c>
      <c r="E3616" s="5">
        <f>IF('Journal'!E1809="","",IFERROR(INDEX('Kontoplan'!$B$3:$B$302,MATCH('Journal'!E1809,'Kontoplan'!$H$3:$H$302,0)),""))</f>
        <v/>
      </c>
      <c r="F3616" s="20">
        <f>IF('Journal'!F1809="","",'Journal'!F1809)</f>
        <v/>
      </c>
      <c r="G3616" s="20">
        <f>IF('Journal'!G1809="","",'Journal'!G1809)</f>
        <v/>
      </c>
      <c r="H3616" s="5">
        <f>IF('Journal'!I1809="","",'Journal'!I1809)</f>
        <v/>
      </c>
    </row>
    <row r="3617">
      <c r="A3617" s="18">
        <f>IF('Journal'!A1810="","",'Journal'!A1810)</f>
        <v/>
      </c>
      <c r="B3617" s="21">
        <f>IF('Journal'!B1810="","",'Journal'!B1810)</f>
        <v/>
      </c>
      <c r="C3617" s="5">
        <f>IF('Journal'!C1810="","",'Journal'!C1810)</f>
        <v/>
      </c>
      <c r="D3617" s="5">
        <f>IF('Journal'!D1810="","",IFERROR(LEFT('Journal'!D1810,FIND(" ",'Journal'!D1810)-1),'Journal'!D1810))</f>
        <v/>
      </c>
      <c r="E3617" s="5">
        <f>IF('Journal'!D1810="","",IFERROR(INDEX('Kontoplan'!$B$3:$B$302,MATCH('Journal'!D1810,'Kontoplan'!$H$3:$H$302,0)),""))</f>
        <v/>
      </c>
      <c r="F3617" s="20">
        <f>IF('Journal'!G1810="","",'Journal'!G1810)</f>
        <v/>
      </c>
      <c r="G3617" s="20">
        <f>IF('Journal'!F1810="","",'Journal'!F1810)</f>
        <v/>
      </c>
      <c r="H3617" s="5">
        <f>IF('Journal'!I1810="","",'Journal'!I1810)</f>
        <v/>
      </c>
    </row>
    <row r="3618">
      <c r="A3618" s="18">
        <f>IF('Journal'!A1810="","",'Journal'!A1810)</f>
        <v/>
      </c>
      <c r="B3618" s="21">
        <f>IF('Journal'!B1810="","",'Journal'!B1810)</f>
        <v/>
      </c>
      <c r="C3618" s="5">
        <f>IF('Journal'!C1810="","",'Journal'!C1810)</f>
        <v/>
      </c>
      <c r="D3618" s="5">
        <f>IF('Journal'!E1810="","",IFERROR(LEFT('Journal'!E1810,FIND(" ",'Journal'!E1810)-1),'Journal'!E1810))</f>
        <v/>
      </c>
      <c r="E3618" s="5">
        <f>IF('Journal'!E1810="","",IFERROR(INDEX('Kontoplan'!$B$3:$B$302,MATCH('Journal'!E1810,'Kontoplan'!$H$3:$H$302,0)),""))</f>
        <v/>
      </c>
      <c r="F3618" s="20">
        <f>IF('Journal'!F1810="","",'Journal'!F1810)</f>
        <v/>
      </c>
      <c r="G3618" s="20">
        <f>IF('Journal'!G1810="","",'Journal'!G1810)</f>
        <v/>
      </c>
      <c r="H3618" s="5">
        <f>IF('Journal'!I1810="","",'Journal'!I1810)</f>
        <v/>
      </c>
    </row>
    <row r="3619">
      <c r="A3619" s="18">
        <f>IF('Journal'!A1811="","",'Journal'!A1811)</f>
        <v/>
      </c>
      <c r="B3619" s="21">
        <f>IF('Journal'!B1811="","",'Journal'!B1811)</f>
        <v/>
      </c>
      <c r="C3619" s="5">
        <f>IF('Journal'!C1811="","",'Journal'!C1811)</f>
        <v/>
      </c>
      <c r="D3619" s="5">
        <f>IF('Journal'!D1811="","",IFERROR(LEFT('Journal'!D1811,FIND(" ",'Journal'!D1811)-1),'Journal'!D1811))</f>
        <v/>
      </c>
      <c r="E3619" s="5">
        <f>IF('Journal'!D1811="","",IFERROR(INDEX('Kontoplan'!$B$3:$B$302,MATCH('Journal'!D1811,'Kontoplan'!$H$3:$H$302,0)),""))</f>
        <v/>
      </c>
      <c r="F3619" s="20">
        <f>IF('Journal'!G1811="","",'Journal'!G1811)</f>
        <v/>
      </c>
      <c r="G3619" s="20">
        <f>IF('Journal'!F1811="","",'Journal'!F1811)</f>
        <v/>
      </c>
      <c r="H3619" s="5">
        <f>IF('Journal'!I1811="","",'Journal'!I1811)</f>
        <v/>
      </c>
    </row>
    <row r="3620">
      <c r="A3620" s="18">
        <f>IF('Journal'!A1811="","",'Journal'!A1811)</f>
        <v/>
      </c>
      <c r="B3620" s="21">
        <f>IF('Journal'!B1811="","",'Journal'!B1811)</f>
        <v/>
      </c>
      <c r="C3620" s="5">
        <f>IF('Journal'!C1811="","",'Journal'!C1811)</f>
        <v/>
      </c>
      <c r="D3620" s="5">
        <f>IF('Journal'!E1811="","",IFERROR(LEFT('Journal'!E1811,FIND(" ",'Journal'!E1811)-1),'Journal'!E1811))</f>
        <v/>
      </c>
      <c r="E3620" s="5">
        <f>IF('Journal'!E1811="","",IFERROR(INDEX('Kontoplan'!$B$3:$B$302,MATCH('Journal'!E1811,'Kontoplan'!$H$3:$H$302,0)),""))</f>
        <v/>
      </c>
      <c r="F3620" s="20">
        <f>IF('Journal'!F1811="","",'Journal'!F1811)</f>
        <v/>
      </c>
      <c r="G3620" s="20">
        <f>IF('Journal'!G1811="","",'Journal'!G1811)</f>
        <v/>
      </c>
      <c r="H3620" s="5">
        <f>IF('Journal'!I1811="","",'Journal'!I1811)</f>
        <v/>
      </c>
    </row>
    <row r="3621">
      <c r="A3621" s="18">
        <f>IF('Journal'!A1812="","",'Journal'!A1812)</f>
        <v/>
      </c>
      <c r="B3621" s="21">
        <f>IF('Journal'!B1812="","",'Journal'!B1812)</f>
        <v/>
      </c>
      <c r="C3621" s="5">
        <f>IF('Journal'!C1812="","",'Journal'!C1812)</f>
        <v/>
      </c>
      <c r="D3621" s="5">
        <f>IF('Journal'!D1812="","",IFERROR(LEFT('Journal'!D1812,FIND(" ",'Journal'!D1812)-1),'Journal'!D1812))</f>
        <v/>
      </c>
      <c r="E3621" s="5">
        <f>IF('Journal'!D1812="","",IFERROR(INDEX('Kontoplan'!$B$3:$B$302,MATCH('Journal'!D1812,'Kontoplan'!$H$3:$H$302,0)),""))</f>
        <v/>
      </c>
      <c r="F3621" s="20">
        <f>IF('Journal'!G1812="","",'Journal'!G1812)</f>
        <v/>
      </c>
      <c r="G3621" s="20">
        <f>IF('Journal'!F1812="","",'Journal'!F1812)</f>
        <v/>
      </c>
      <c r="H3621" s="5">
        <f>IF('Journal'!I1812="","",'Journal'!I1812)</f>
        <v/>
      </c>
    </row>
    <row r="3622">
      <c r="A3622" s="18">
        <f>IF('Journal'!A1812="","",'Journal'!A1812)</f>
        <v/>
      </c>
      <c r="B3622" s="21">
        <f>IF('Journal'!B1812="","",'Journal'!B1812)</f>
        <v/>
      </c>
      <c r="C3622" s="5">
        <f>IF('Journal'!C1812="","",'Journal'!C1812)</f>
        <v/>
      </c>
      <c r="D3622" s="5">
        <f>IF('Journal'!E1812="","",IFERROR(LEFT('Journal'!E1812,FIND(" ",'Journal'!E1812)-1),'Journal'!E1812))</f>
        <v/>
      </c>
      <c r="E3622" s="5">
        <f>IF('Journal'!E1812="","",IFERROR(INDEX('Kontoplan'!$B$3:$B$302,MATCH('Journal'!E1812,'Kontoplan'!$H$3:$H$302,0)),""))</f>
        <v/>
      </c>
      <c r="F3622" s="20">
        <f>IF('Journal'!F1812="","",'Journal'!F1812)</f>
        <v/>
      </c>
      <c r="G3622" s="20">
        <f>IF('Journal'!G1812="","",'Journal'!G1812)</f>
        <v/>
      </c>
      <c r="H3622" s="5">
        <f>IF('Journal'!I1812="","",'Journal'!I1812)</f>
        <v/>
      </c>
    </row>
    <row r="3623">
      <c r="A3623" s="18">
        <f>IF('Journal'!A1813="","",'Journal'!A1813)</f>
        <v/>
      </c>
      <c r="B3623" s="21">
        <f>IF('Journal'!B1813="","",'Journal'!B1813)</f>
        <v/>
      </c>
      <c r="C3623" s="5">
        <f>IF('Journal'!C1813="","",'Journal'!C1813)</f>
        <v/>
      </c>
      <c r="D3623" s="5">
        <f>IF('Journal'!D1813="","",IFERROR(LEFT('Journal'!D1813,FIND(" ",'Journal'!D1813)-1),'Journal'!D1813))</f>
        <v/>
      </c>
      <c r="E3623" s="5">
        <f>IF('Journal'!D1813="","",IFERROR(INDEX('Kontoplan'!$B$3:$B$302,MATCH('Journal'!D1813,'Kontoplan'!$H$3:$H$302,0)),""))</f>
        <v/>
      </c>
      <c r="F3623" s="20">
        <f>IF('Journal'!G1813="","",'Journal'!G1813)</f>
        <v/>
      </c>
      <c r="G3623" s="20">
        <f>IF('Journal'!F1813="","",'Journal'!F1813)</f>
        <v/>
      </c>
      <c r="H3623" s="5">
        <f>IF('Journal'!I1813="","",'Journal'!I1813)</f>
        <v/>
      </c>
    </row>
    <row r="3624">
      <c r="A3624" s="18">
        <f>IF('Journal'!A1813="","",'Journal'!A1813)</f>
        <v/>
      </c>
      <c r="B3624" s="21">
        <f>IF('Journal'!B1813="","",'Journal'!B1813)</f>
        <v/>
      </c>
      <c r="C3624" s="5">
        <f>IF('Journal'!C1813="","",'Journal'!C1813)</f>
        <v/>
      </c>
      <c r="D3624" s="5">
        <f>IF('Journal'!E1813="","",IFERROR(LEFT('Journal'!E1813,FIND(" ",'Journal'!E1813)-1),'Journal'!E1813))</f>
        <v/>
      </c>
      <c r="E3624" s="5">
        <f>IF('Journal'!E1813="","",IFERROR(INDEX('Kontoplan'!$B$3:$B$302,MATCH('Journal'!E1813,'Kontoplan'!$H$3:$H$302,0)),""))</f>
        <v/>
      </c>
      <c r="F3624" s="20">
        <f>IF('Journal'!F1813="","",'Journal'!F1813)</f>
        <v/>
      </c>
      <c r="G3624" s="20">
        <f>IF('Journal'!G1813="","",'Journal'!G1813)</f>
        <v/>
      </c>
      <c r="H3624" s="5">
        <f>IF('Journal'!I1813="","",'Journal'!I1813)</f>
        <v/>
      </c>
    </row>
    <row r="3625">
      <c r="A3625" s="18">
        <f>IF('Journal'!A1814="","",'Journal'!A1814)</f>
        <v/>
      </c>
      <c r="B3625" s="21">
        <f>IF('Journal'!B1814="","",'Journal'!B1814)</f>
        <v/>
      </c>
      <c r="C3625" s="5">
        <f>IF('Journal'!C1814="","",'Journal'!C1814)</f>
        <v/>
      </c>
      <c r="D3625" s="5">
        <f>IF('Journal'!D1814="","",IFERROR(LEFT('Journal'!D1814,FIND(" ",'Journal'!D1814)-1),'Journal'!D1814))</f>
        <v/>
      </c>
      <c r="E3625" s="5">
        <f>IF('Journal'!D1814="","",IFERROR(INDEX('Kontoplan'!$B$3:$B$302,MATCH('Journal'!D1814,'Kontoplan'!$H$3:$H$302,0)),""))</f>
        <v/>
      </c>
      <c r="F3625" s="20">
        <f>IF('Journal'!G1814="","",'Journal'!G1814)</f>
        <v/>
      </c>
      <c r="G3625" s="20">
        <f>IF('Journal'!F1814="","",'Journal'!F1814)</f>
        <v/>
      </c>
      <c r="H3625" s="5">
        <f>IF('Journal'!I1814="","",'Journal'!I1814)</f>
        <v/>
      </c>
    </row>
    <row r="3626">
      <c r="A3626" s="18">
        <f>IF('Journal'!A1814="","",'Journal'!A1814)</f>
        <v/>
      </c>
      <c r="B3626" s="21">
        <f>IF('Journal'!B1814="","",'Journal'!B1814)</f>
        <v/>
      </c>
      <c r="C3626" s="5">
        <f>IF('Journal'!C1814="","",'Journal'!C1814)</f>
        <v/>
      </c>
      <c r="D3626" s="5">
        <f>IF('Journal'!E1814="","",IFERROR(LEFT('Journal'!E1814,FIND(" ",'Journal'!E1814)-1),'Journal'!E1814))</f>
        <v/>
      </c>
      <c r="E3626" s="5">
        <f>IF('Journal'!E1814="","",IFERROR(INDEX('Kontoplan'!$B$3:$B$302,MATCH('Journal'!E1814,'Kontoplan'!$H$3:$H$302,0)),""))</f>
        <v/>
      </c>
      <c r="F3626" s="20">
        <f>IF('Journal'!F1814="","",'Journal'!F1814)</f>
        <v/>
      </c>
      <c r="G3626" s="20">
        <f>IF('Journal'!G1814="","",'Journal'!G1814)</f>
        <v/>
      </c>
      <c r="H3626" s="5">
        <f>IF('Journal'!I1814="","",'Journal'!I1814)</f>
        <v/>
      </c>
    </row>
    <row r="3627">
      <c r="A3627" s="18">
        <f>IF('Journal'!A1815="","",'Journal'!A1815)</f>
        <v/>
      </c>
      <c r="B3627" s="21">
        <f>IF('Journal'!B1815="","",'Journal'!B1815)</f>
        <v/>
      </c>
      <c r="C3627" s="5">
        <f>IF('Journal'!C1815="","",'Journal'!C1815)</f>
        <v/>
      </c>
      <c r="D3627" s="5">
        <f>IF('Journal'!D1815="","",IFERROR(LEFT('Journal'!D1815,FIND(" ",'Journal'!D1815)-1),'Journal'!D1815))</f>
        <v/>
      </c>
      <c r="E3627" s="5">
        <f>IF('Journal'!D1815="","",IFERROR(INDEX('Kontoplan'!$B$3:$B$302,MATCH('Journal'!D1815,'Kontoplan'!$H$3:$H$302,0)),""))</f>
        <v/>
      </c>
      <c r="F3627" s="20">
        <f>IF('Journal'!G1815="","",'Journal'!G1815)</f>
        <v/>
      </c>
      <c r="G3627" s="20">
        <f>IF('Journal'!F1815="","",'Journal'!F1815)</f>
        <v/>
      </c>
      <c r="H3627" s="5">
        <f>IF('Journal'!I1815="","",'Journal'!I1815)</f>
        <v/>
      </c>
    </row>
    <row r="3628">
      <c r="A3628" s="18">
        <f>IF('Journal'!A1815="","",'Journal'!A1815)</f>
        <v/>
      </c>
      <c r="B3628" s="21">
        <f>IF('Journal'!B1815="","",'Journal'!B1815)</f>
        <v/>
      </c>
      <c r="C3628" s="5">
        <f>IF('Journal'!C1815="","",'Journal'!C1815)</f>
        <v/>
      </c>
      <c r="D3628" s="5">
        <f>IF('Journal'!E1815="","",IFERROR(LEFT('Journal'!E1815,FIND(" ",'Journal'!E1815)-1),'Journal'!E1815))</f>
        <v/>
      </c>
      <c r="E3628" s="5">
        <f>IF('Journal'!E1815="","",IFERROR(INDEX('Kontoplan'!$B$3:$B$302,MATCH('Journal'!E1815,'Kontoplan'!$H$3:$H$302,0)),""))</f>
        <v/>
      </c>
      <c r="F3628" s="20">
        <f>IF('Journal'!F1815="","",'Journal'!F1815)</f>
        <v/>
      </c>
      <c r="G3628" s="20">
        <f>IF('Journal'!G1815="","",'Journal'!G1815)</f>
        <v/>
      </c>
      <c r="H3628" s="5">
        <f>IF('Journal'!I1815="","",'Journal'!I1815)</f>
        <v/>
      </c>
    </row>
    <row r="3629">
      <c r="A3629" s="18">
        <f>IF('Journal'!A1816="","",'Journal'!A1816)</f>
        <v/>
      </c>
      <c r="B3629" s="21">
        <f>IF('Journal'!B1816="","",'Journal'!B1816)</f>
        <v/>
      </c>
      <c r="C3629" s="5">
        <f>IF('Journal'!C1816="","",'Journal'!C1816)</f>
        <v/>
      </c>
      <c r="D3629" s="5">
        <f>IF('Journal'!D1816="","",IFERROR(LEFT('Journal'!D1816,FIND(" ",'Journal'!D1816)-1),'Journal'!D1816))</f>
        <v/>
      </c>
      <c r="E3629" s="5">
        <f>IF('Journal'!D1816="","",IFERROR(INDEX('Kontoplan'!$B$3:$B$302,MATCH('Journal'!D1816,'Kontoplan'!$H$3:$H$302,0)),""))</f>
        <v/>
      </c>
      <c r="F3629" s="20">
        <f>IF('Journal'!G1816="","",'Journal'!G1816)</f>
        <v/>
      </c>
      <c r="G3629" s="20">
        <f>IF('Journal'!F1816="","",'Journal'!F1816)</f>
        <v/>
      </c>
      <c r="H3629" s="5">
        <f>IF('Journal'!I1816="","",'Journal'!I1816)</f>
        <v/>
      </c>
    </row>
    <row r="3630">
      <c r="A3630" s="18">
        <f>IF('Journal'!A1816="","",'Journal'!A1816)</f>
        <v/>
      </c>
      <c r="B3630" s="21">
        <f>IF('Journal'!B1816="","",'Journal'!B1816)</f>
        <v/>
      </c>
      <c r="C3630" s="5">
        <f>IF('Journal'!C1816="","",'Journal'!C1816)</f>
        <v/>
      </c>
      <c r="D3630" s="5">
        <f>IF('Journal'!E1816="","",IFERROR(LEFT('Journal'!E1816,FIND(" ",'Journal'!E1816)-1),'Journal'!E1816))</f>
        <v/>
      </c>
      <c r="E3630" s="5">
        <f>IF('Journal'!E1816="","",IFERROR(INDEX('Kontoplan'!$B$3:$B$302,MATCH('Journal'!E1816,'Kontoplan'!$H$3:$H$302,0)),""))</f>
        <v/>
      </c>
      <c r="F3630" s="20">
        <f>IF('Journal'!F1816="","",'Journal'!F1816)</f>
        <v/>
      </c>
      <c r="G3630" s="20">
        <f>IF('Journal'!G1816="","",'Journal'!G1816)</f>
        <v/>
      </c>
      <c r="H3630" s="5">
        <f>IF('Journal'!I1816="","",'Journal'!I1816)</f>
        <v/>
      </c>
    </row>
    <row r="3631">
      <c r="A3631" s="18">
        <f>IF('Journal'!A1817="","",'Journal'!A1817)</f>
        <v/>
      </c>
      <c r="B3631" s="21">
        <f>IF('Journal'!B1817="","",'Journal'!B1817)</f>
        <v/>
      </c>
      <c r="C3631" s="5">
        <f>IF('Journal'!C1817="","",'Journal'!C1817)</f>
        <v/>
      </c>
      <c r="D3631" s="5">
        <f>IF('Journal'!D1817="","",IFERROR(LEFT('Journal'!D1817,FIND(" ",'Journal'!D1817)-1),'Journal'!D1817))</f>
        <v/>
      </c>
      <c r="E3631" s="5">
        <f>IF('Journal'!D1817="","",IFERROR(INDEX('Kontoplan'!$B$3:$B$302,MATCH('Journal'!D1817,'Kontoplan'!$H$3:$H$302,0)),""))</f>
        <v/>
      </c>
      <c r="F3631" s="20">
        <f>IF('Journal'!G1817="","",'Journal'!G1817)</f>
        <v/>
      </c>
      <c r="G3631" s="20">
        <f>IF('Journal'!F1817="","",'Journal'!F1817)</f>
        <v/>
      </c>
      <c r="H3631" s="5">
        <f>IF('Journal'!I1817="","",'Journal'!I1817)</f>
        <v/>
      </c>
    </row>
    <row r="3632">
      <c r="A3632" s="18">
        <f>IF('Journal'!A1817="","",'Journal'!A1817)</f>
        <v/>
      </c>
      <c r="B3632" s="21">
        <f>IF('Journal'!B1817="","",'Journal'!B1817)</f>
        <v/>
      </c>
      <c r="C3632" s="5">
        <f>IF('Journal'!C1817="","",'Journal'!C1817)</f>
        <v/>
      </c>
      <c r="D3632" s="5">
        <f>IF('Journal'!E1817="","",IFERROR(LEFT('Journal'!E1817,FIND(" ",'Journal'!E1817)-1),'Journal'!E1817))</f>
        <v/>
      </c>
      <c r="E3632" s="5">
        <f>IF('Journal'!E1817="","",IFERROR(INDEX('Kontoplan'!$B$3:$B$302,MATCH('Journal'!E1817,'Kontoplan'!$H$3:$H$302,0)),""))</f>
        <v/>
      </c>
      <c r="F3632" s="20">
        <f>IF('Journal'!F1817="","",'Journal'!F1817)</f>
        <v/>
      </c>
      <c r="G3632" s="20">
        <f>IF('Journal'!G1817="","",'Journal'!G1817)</f>
        <v/>
      </c>
      <c r="H3632" s="5">
        <f>IF('Journal'!I1817="","",'Journal'!I1817)</f>
        <v/>
      </c>
    </row>
    <row r="3633">
      <c r="A3633" s="18">
        <f>IF('Journal'!A1818="","",'Journal'!A1818)</f>
        <v/>
      </c>
      <c r="B3633" s="21">
        <f>IF('Journal'!B1818="","",'Journal'!B1818)</f>
        <v/>
      </c>
      <c r="C3633" s="5">
        <f>IF('Journal'!C1818="","",'Journal'!C1818)</f>
        <v/>
      </c>
      <c r="D3633" s="5">
        <f>IF('Journal'!D1818="","",IFERROR(LEFT('Journal'!D1818,FIND(" ",'Journal'!D1818)-1),'Journal'!D1818))</f>
        <v/>
      </c>
      <c r="E3633" s="5">
        <f>IF('Journal'!D1818="","",IFERROR(INDEX('Kontoplan'!$B$3:$B$302,MATCH('Journal'!D1818,'Kontoplan'!$H$3:$H$302,0)),""))</f>
        <v/>
      </c>
      <c r="F3633" s="20">
        <f>IF('Journal'!G1818="","",'Journal'!G1818)</f>
        <v/>
      </c>
      <c r="G3633" s="20">
        <f>IF('Journal'!F1818="","",'Journal'!F1818)</f>
        <v/>
      </c>
      <c r="H3633" s="5">
        <f>IF('Journal'!I1818="","",'Journal'!I1818)</f>
        <v/>
      </c>
    </row>
    <row r="3634">
      <c r="A3634" s="18">
        <f>IF('Journal'!A1818="","",'Journal'!A1818)</f>
        <v/>
      </c>
      <c r="B3634" s="21">
        <f>IF('Journal'!B1818="","",'Journal'!B1818)</f>
        <v/>
      </c>
      <c r="C3634" s="5">
        <f>IF('Journal'!C1818="","",'Journal'!C1818)</f>
        <v/>
      </c>
      <c r="D3634" s="5">
        <f>IF('Journal'!E1818="","",IFERROR(LEFT('Journal'!E1818,FIND(" ",'Journal'!E1818)-1),'Journal'!E1818))</f>
        <v/>
      </c>
      <c r="E3634" s="5">
        <f>IF('Journal'!E1818="","",IFERROR(INDEX('Kontoplan'!$B$3:$B$302,MATCH('Journal'!E1818,'Kontoplan'!$H$3:$H$302,0)),""))</f>
        <v/>
      </c>
      <c r="F3634" s="20">
        <f>IF('Journal'!F1818="","",'Journal'!F1818)</f>
        <v/>
      </c>
      <c r="G3634" s="20">
        <f>IF('Journal'!G1818="","",'Journal'!G1818)</f>
        <v/>
      </c>
      <c r="H3634" s="5">
        <f>IF('Journal'!I1818="","",'Journal'!I1818)</f>
        <v/>
      </c>
    </row>
    <row r="3635">
      <c r="A3635" s="18">
        <f>IF('Journal'!A1819="","",'Journal'!A1819)</f>
        <v/>
      </c>
      <c r="B3635" s="21">
        <f>IF('Journal'!B1819="","",'Journal'!B1819)</f>
        <v/>
      </c>
      <c r="C3635" s="5">
        <f>IF('Journal'!C1819="","",'Journal'!C1819)</f>
        <v/>
      </c>
      <c r="D3635" s="5">
        <f>IF('Journal'!D1819="","",IFERROR(LEFT('Journal'!D1819,FIND(" ",'Journal'!D1819)-1),'Journal'!D1819))</f>
        <v/>
      </c>
      <c r="E3635" s="5">
        <f>IF('Journal'!D1819="","",IFERROR(INDEX('Kontoplan'!$B$3:$B$302,MATCH('Journal'!D1819,'Kontoplan'!$H$3:$H$302,0)),""))</f>
        <v/>
      </c>
      <c r="F3635" s="20">
        <f>IF('Journal'!G1819="","",'Journal'!G1819)</f>
        <v/>
      </c>
      <c r="G3635" s="20">
        <f>IF('Journal'!F1819="","",'Journal'!F1819)</f>
        <v/>
      </c>
      <c r="H3635" s="5">
        <f>IF('Journal'!I1819="","",'Journal'!I1819)</f>
        <v/>
      </c>
    </row>
    <row r="3636">
      <c r="A3636" s="18">
        <f>IF('Journal'!A1819="","",'Journal'!A1819)</f>
        <v/>
      </c>
      <c r="B3636" s="21">
        <f>IF('Journal'!B1819="","",'Journal'!B1819)</f>
        <v/>
      </c>
      <c r="C3636" s="5">
        <f>IF('Journal'!C1819="","",'Journal'!C1819)</f>
        <v/>
      </c>
      <c r="D3636" s="5">
        <f>IF('Journal'!E1819="","",IFERROR(LEFT('Journal'!E1819,FIND(" ",'Journal'!E1819)-1),'Journal'!E1819))</f>
        <v/>
      </c>
      <c r="E3636" s="5">
        <f>IF('Journal'!E1819="","",IFERROR(INDEX('Kontoplan'!$B$3:$B$302,MATCH('Journal'!E1819,'Kontoplan'!$H$3:$H$302,0)),""))</f>
        <v/>
      </c>
      <c r="F3636" s="20">
        <f>IF('Journal'!F1819="","",'Journal'!F1819)</f>
        <v/>
      </c>
      <c r="G3636" s="20">
        <f>IF('Journal'!G1819="","",'Journal'!G1819)</f>
        <v/>
      </c>
      <c r="H3636" s="5">
        <f>IF('Journal'!I1819="","",'Journal'!I1819)</f>
        <v/>
      </c>
    </row>
    <row r="3637">
      <c r="A3637" s="18">
        <f>IF('Journal'!A1820="","",'Journal'!A1820)</f>
        <v/>
      </c>
      <c r="B3637" s="21">
        <f>IF('Journal'!B1820="","",'Journal'!B1820)</f>
        <v/>
      </c>
      <c r="C3637" s="5">
        <f>IF('Journal'!C1820="","",'Journal'!C1820)</f>
        <v/>
      </c>
      <c r="D3637" s="5">
        <f>IF('Journal'!D1820="","",IFERROR(LEFT('Journal'!D1820,FIND(" ",'Journal'!D1820)-1),'Journal'!D1820))</f>
        <v/>
      </c>
      <c r="E3637" s="5">
        <f>IF('Journal'!D1820="","",IFERROR(INDEX('Kontoplan'!$B$3:$B$302,MATCH('Journal'!D1820,'Kontoplan'!$H$3:$H$302,0)),""))</f>
        <v/>
      </c>
      <c r="F3637" s="20">
        <f>IF('Journal'!G1820="","",'Journal'!G1820)</f>
        <v/>
      </c>
      <c r="G3637" s="20">
        <f>IF('Journal'!F1820="","",'Journal'!F1820)</f>
        <v/>
      </c>
      <c r="H3637" s="5">
        <f>IF('Journal'!I1820="","",'Journal'!I1820)</f>
        <v/>
      </c>
    </row>
    <row r="3638">
      <c r="A3638" s="18">
        <f>IF('Journal'!A1820="","",'Journal'!A1820)</f>
        <v/>
      </c>
      <c r="B3638" s="21">
        <f>IF('Journal'!B1820="","",'Journal'!B1820)</f>
        <v/>
      </c>
      <c r="C3638" s="5">
        <f>IF('Journal'!C1820="","",'Journal'!C1820)</f>
        <v/>
      </c>
      <c r="D3638" s="5">
        <f>IF('Journal'!E1820="","",IFERROR(LEFT('Journal'!E1820,FIND(" ",'Journal'!E1820)-1),'Journal'!E1820))</f>
        <v/>
      </c>
      <c r="E3638" s="5">
        <f>IF('Journal'!E1820="","",IFERROR(INDEX('Kontoplan'!$B$3:$B$302,MATCH('Journal'!E1820,'Kontoplan'!$H$3:$H$302,0)),""))</f>
        <v/>
      </c>
      <c r="F3638" s="20">
        <f>IF('Journal'!F1820="","",'Journal'!F1820)</f>
        <v/>
      </c>
      <c r="G3638" s="20">
        <f>IF('Journal'!G1820="","",'Journal'!G1820)</f>
        <v/>
      </c>
      <c r="H3638" s="5">
        <f>IF('Journal'!I1820="","",'Journal'!I1820)</f>
        <v/>
      </c>
    </row>
    <row r="3639">
      <c r="A3639" s="18">
        <f>IF('Journal'!A1821="","",'Journal'!A1821)</f>
        <v/>
      </c>
      <c r="B3639" s="21">
        <f>IF('Journal'!B1821="","",'Journal'!B1821)</f>
        <v/>
      </c>
      <c r="C3639" s="5">
        <f>IF('Journal'!C1821="","",'Journal'!C1821)</f>
        <v/>
      </c>
      <c r="D3639" s="5">
        <f>IF('Journal'!D1821="","",IFERROR(LEFT('Journal'!D1821,FIND(" ",'Journal'!D1821)-1),'Journal'!D1821))</f>
        <v/>
      </c>
      <c r="E3639" s="5">
        <f>IF('Journal'!D1821="","",IFERROR(INDEX('Kontoplan'!$B$3:$B$302,MATCH('Journal'!D1821,'Kontoplan'!$H$3:$H$302,0)),""))</f>
        <v/>
      </c>
      <c r="F3639" s="20">
        <f>IF('Journal'!G1821="","",'Journal'!G1821)</f>
        <v/>
      </c>
      <c r="G3639" s="20">
        <f>IF('Journal'!F1821="","",'Journal'!F1821)</f>
        <v/>
      </c>
      <c r="H3639" s="5">
        <f>IF('Journal'!I1821="","",'Journal'!I1821)</f>
        <v/>
      </c>
    </row>
    <row r="3640">
      <c r="A3640" s="18">
        <f>IF('Journal'!A1821="","",'Journal'!A1821)</f>
        <v/>
      </c>
      <c r="B3640" s="21">
        <f>IF('Journal'!B1821="","",'Journal'!B1821)</f>
        <v/>
      </c>
      <c r="C3640" s="5">
        <f>IF('Journal'!C1821="","",'Journal'!C1821)</f>
        <v/>
      </c>
      <c r="D3640" s="5">
        <f>IF('Journal'!E1821="","",IFERROR(LEFT('Journal'!E1821,FIND(" ",'Journal'!E1821)-1),'Journal'!E1821))</f>
        <v/>
      </c>
      <c r="E3640" s="5">
        <f>IF('Journal'!E1821="","",IFERROR(INDEX('Kontoplan'!$B$3:$B$302,MATCH('Journal'!E1821,'Kontoplan'!$H$3:$H$302,0)),""))</f>
        <v/>
      </c>
      <c r="F3640" s="20">
        <f>IF('Journal'!F1821="","",'Journal'!F1821)</f>
        <v/>
      </c>
      <c r="G3640" s="20">
        <f>IF('Journal'!G1821="","",'Journal'!G1821)</f>
        <v/>
      </c>
      <c r="H3640" s="5">
        <f>IF('Journal'!I1821="","",'Journal'!I1821)</f>
        <v/>
      </c>
    </row>
    <row r="3641">
      <c r="A3641" s="18">
        <f>IF('Journal'!A1822="","",'Journal'!A1822)</f>
        <v/>
      </c>
      <c r="B3641" s="21">
        <f>IF('Journal'!B1822="","",'Journal'!B1822)</f>
        <v/>
      </c>
      <c r="C3641" s="5">
        <f>IF('Journal'!C1822="","",'Journal'!C1822)</f>
        <v/>
      </c>
      <c r="D3641" s="5">
        <f>IF('Journal'!D1822="","",IFERROR(LEFT('Journal'!D1822,FIND(" ",'Journal'!D1822)-1),'Journal'!D1822))</f>
        <v/>
      </c>
      <c r="E3641" s="5">
        <f>IF('Journal'!D1822="","",IFERROR(INDEX('Kontoplan'!$B$3:$B$302,MATCH('Journal'!D1822,'Kontoplan'!$H$3:$H$302,0)),""))</f>
        <v/>
      </c>
      <c r="F3641" s="20">
        <f>IF('Journal'!G1822="","",'Journal'!G1822)</f>
        <v/>
      </c>
      <c r="G3641" s="20">
        <f>IF('Journal'!F1822="","",'Journal'!F1822)</f>
        <v/>
      </c>
      <c r="H3641" s="5">
        <f>IF('Journal'!I1822="","",'Journal'!I1822)</f>
        <v/>
      </c>
    </row>
    <row r="3642">
      <c r="A3642" s="18">
        <f>IF('Journal'!A1822="","",'Journal'!A1822)</f>
        <v/>
      </c>
      <c r="B3642" s="21">
        <f>IF('Journal'!B1822="","",'Journal'!B1822)</f>
        <v/>
      </c>
      <c r="C3642" s="5">
        <f>IF('Journal'!C1822="","",'Journal'!C1822)</f>
        <v/>
      </c>
      <c r="D3642" s="5">
        <f>IF('Journal'!E1822="","",IFERROR(LEFT('Journal'!E1822,FIND(" ",'Journal'!E1822)-1),'Journal'!E1822))</f>
        <v/>
      </c>
      <c r="E3642" s="5">
        <f>IF('Journal'!E1822="","",IFERROR(INDEX('Kontoplan'!$B$3:$B$302,MATCH('Journal'!E1822,'Kontoplan'!$H$3:$H$302,0)),""))</f>
        <v/>
      </c>
      <c r="F3642" s="20">
        <f>IF('Journal'!F1822="","",'Journal'!F1822)</f>
        <v/>
      </c>
      <c r="G3642" s="20">
        <f>IF('Journal'!G1822="","",'Journal'!G1822)</f>
        <v/>
      </c>
      <c r="H3642" s="5">
        <f>IF('Journal'!I1822="","",'Journal'!I1822)</f>
        <v/>
      </c>
    </row>
    <row r="3643">
      <c r="A3643" s="18">
        <f>IF('Journal'!A1823="","",'Journal'!A1823)</f>
        <v/>
      </c>
      <c r="B3643" s="21">
        <f>IF('Journal'!B1823="","",'Journal'!B1823)</f>
        <v/>
      </c>
      <c r="C3643" s="5">
        <f>IF('Journal'!C1823="","",'Journal'!C1823)</f>
        <v/>
      </c>
      <c r="D3643" s="5">
        <f>IF('Journal'!D1823="","",IFERROR(LEFT('Journal'!D1823,FIND(" ",'Journal'!D1823)-1),'Journal'!D1823))</f>
        <v/>
      </c>
      <c r="E3643" s="5">
        <f>IF('Journal'!D1823="","",IFERROR(INDEX('Kontoplan'!$B$3:$B$302,MATCH('Journal'!D1823,'Kontoplan'!$H$3:$H$302,0)),""))</f>
        <v/>
      </c>
      <c r="F3643" s="20">
        <f>IF('Journal'!G1823="","",'Journal'!G1823)</f>
        <v/>
      </c>
      <c r="G3643" s="20">
        <f>IF('Journal'!F1823="","",'Journal'!F1823)</f>
        <v/>
      </c>
      <c r="H3643" s="5">
        <f>IF('Journal'!I1823="","",'Journal'!I1823)</f>
        <v/>
      </c>
    </row>
    <row r="3644">
      <c r="A3644" s="18">
        <f>IF('Journal'!A1823="","",'Journal'!A1823)</f>
        <v/>
      </c>
      <c r="B3644" s="21">
        <f>IF('Journal'!B1823="","",'Journal'!B1823)</f>
        <v/>
      </c>
      <c r="C3644" s="5">
        <f>IF('Journal'!C1823="","",'Journal'!C1823)</f>
        <v/>
      </c>
      <c r="D3644" s="5">
        <f>IF('Journal'!E1823="","",IFERROR(LEFT('Journal'!E1823,FIND(" ",'Journal'!E1823)-1),'Journal'!E1823))</f>
        <v/>
      </c>
      <c r="E3644" s="5">
        <f>IF('Journal'!E1823="","",IFERROR(INDEX('Kontoplan'!$B$3:$B$302,MATCH('Journal'!E1823,'Kontoplan'!$H$3:$H$302,0)),""))</f>
        <v/>
      </c>
      <c r="F3644" s="20">
        <f>IF('Journal'!F1823="","",'Journal'!F1823)</f>
        <v/>
      </c>
      <c r="G3644" s="20">
        <f>IF('Journal'!G1823="","",'Journal'!G1823)</f>
        <v/>
      </c>
      <c r="H3644" s="5">
        <f>IF('Journal'!I1823="","",'Journal'!I1823)</f>
        <v/>
      </c>
    </row>
    <row r="3645">
      <c r="A3645" s="18">
        <f>IF('Journal'!A1824="","",'Journal'!A1824)</f>
        <v/>
      </c>
      <c r="B3645" s="21">
        <f>IF('Journal'!B1824="","",'Journal'!B1824)</f>
        <v/>
      </c>
      <c r="C3645" s="5">
        <f>IF('Journal'!C1824="","",'Journal'!C1824)</f>
        <v/>
      </c>
      <c r="D3645" s="5">
        <f>IF('Journal'!D1824="","",IFERROR(LEFT('Journal'!D1824,FIND(" ",'Journal'!D1824)-1),'Journal'!D1824))</f>
        <v/>
      </c>
      <c r="E3645" s="5">
        <f>IF('Journal'!D1824="","",IFERROR(INDEX('Kontoplan'!$B$3:$B$302,MATCH('Journal'!D1824,'Kontoplan'!$H$3:$H$302,0)),""))</f>
        <v/>
      </c>
      <c r="F3645" s="20">
        <f>IF('Journal'!G1824="","",'Journal'!G1824)</f>
        <v/>
      </c>
      <c r="G3645" s="20">
        <f>IF('Journal'!F1824="","",'Journal'!F1824)</f>
        <v/>
      </c>
      <c r="H3645" s="5">
        <f>IF('Journal'!I1824="","",'Journal'!I1824)</f>
        <v/>
      </c>
    </row>
    <row r="3646">
      <c r="A3646" s="18">
        <f>IF('Journal'!A1824="","",'Journal'!A1824)</f>
        <v/>
      </c>
      <c r="B3646" s="21">
        <f>IF('Journal'!B1824="","",'Journal'!B1824)</f>
        <v/>
      </c>
      <c r="C3646" s="5">
        <f>IF('Journal'!C1824="","",'Journal'!C1824)</f>
        <v/>
      </c>
      <c r="D3646" s="5">
        <f>IF('Journal'!E1824="","",IFERROR(LEFT('Journal'!E1824,FIND(" ",'Journal'!E1824)-1),'Journal'!E1824))</f>
        <v/>
      </c>
      <c r="E3646" s="5">
        <f>IF('Journal'!E1824="","",IFERROR(INDEX('Kontoplan'!$B$3:$B$302,MATCH('Journal'!E1824,'Kontoplan'!$H$3:$H$302,0)),""))</f>
        <v/>
      </c>
      <c r="F3646" s="20">
        <f>IF('Journal'!F1824="","",'Journal'!F1824)</f>
        <v/>
      </c>
      <c r="G3646" s="20">
        <f>IF('Journal'!G1824="","",'Journal'!G1824)</f>
        <v/>
      </c>
      <c r="H3646" s="5">
        <f>IF('Journal'!I1824="","",'Journal'!I1824)</f>
        <v/>
      </c>
    </row>
    <row r="3647">
      <c r="A3647" s="18">
        <f>IF('Journal'!A1825="","",'Journal'!A1825)</f>
        <v/>
      </c>
      <c r="B3647" s="21">
        <f>IF('Journal'!B1825="","",'Journal'!B1825)</f>
        <v/>
      </c>
      <c r="C3647" s="5">
        <f>IF('Journal'!C1825="","",'Journal'!C1825)</f>
        <v/>
      </c>
      <c r="D3647" s="5">
        <f>IF('Journal'!D1825="","",IFERROR(LEFT('Journal'!D1825,FIND(" ",'Journal'!D1825)-1),'Journal'!D1825))</f>
        <v/>
      </c>
      <c r="E3647" s="5">
        <f>IF('Journal'!D1825="","",IFERROR(INDEX('Kontoplan'!$B$3:$B$302,MATCH('Journal'!D1825,'Kontoplan'!$H$3:$H$302,0)),""))</f>
        <v/>
      </c>
      <c r="F3647" s="20">
        <f>IF('Journal'!G1825="","",'Journal'!G1825)</f>
        <v/>
      </c>
      <c r="G3647" s="20">
        <f>IF('Journal'!F1825="","",'Journal'!F1825)</f>
        <v/>
      </c>
      <c r="H3647" s="5">
        <f>IF('Journal'!I1825="","",'Journal'!I1825)</f>
        <v/>
      </c>
    </row>
    <row r="3648">
      <c r="A3648" s="18">
        <f>IF('Journal'!A1825="","",'Journal'!A1825)</f>
        <v/>
      </c>
      <c r="B3648" s="21">
        <f>IF('Journal'!B1825="","",'Journal'!B1825)</f>
        <v/>
      </c>
      <c r="C3648" s="5">
        <f>IF('Journal'!C1825="","",'Journal'!C1825)</f>
        <v/>
      </c>
      <c r="D3648" s="5">
        <f>IF('Journal'!E1825="","",IFERROR(LEFT('Journal'!E1825,FIND(" ",'Journal'!E1825)-1),'Journal'!E1825))</f>
        <v/>
      </c>
      <c r="E3648" s="5">
        <f>IF('Journal'!E1825="","",IFERROR(INDEX('Kontoplan'!$B$3:$B$302,MATCH('Journal'!E1825,'Kontoplan'!$H$3:$H$302,0)),""))</f>
        <v/>
      </c>
      <c r="F3648" s="20">
        <f>IF('Journal'!F1825="","",'Journal'!F1825)</f>
        <v/>
      </c>
      <c r="G3648" s="20">
        <f>IF('Journal'!G1825="","",'Journal'!G1825)</f>
        <v/>
      </c>
      <c r="H3648" s="5">
        <f>IF('Journal'!I1825="","",'Journal'!I1825)</f>
        <v/>
      </c>
    </row>
    <row r="3649">
      <c r="A3649" s="18">
        <f>IF('Journal'!A1826="","",'Journal'!A1826)</f>
        <v/>
      </c>
      <c r="B3649" s="21">
        <f>IF('Journal'!B1826="","",'Journal'!B1826)</f>
        <v/>
      </c>
      <c r="C3649" s="5">
        <f>IF('Journal'!C1826="","",'Journal'!C1826)</f>
        <v/>
      </c>
      <c r="D3649" s="5">
        <f>IF('Journal'!D1826="","",IFERROR(LEFT('Journal'!D1826,FIND(" ",'Journal'!D1826)-1),'Journal'!D1826))</f>
        <v/>
      </c>
      <c r="E3649" s="5">
        <f>IF('Journal'!D1826="","",IFERROR(INDEX('Kontoplan'!$B$3:$B$302,MATCH('Journal'!D1826,'Kontoplan'!$H$3:$H$302,0)),""))</f>
        <v/>
      </c>
      <c r="F3649" s="20">
        <f>IF('Journal'!G1826="","",'Journal'!G1826)</f>
        <v/>
      </c>
      <c r="G3649" s="20">
        <f>IF('Journal'!F1826="","",'Journal'!F1826)</f>
        <v/>
      </c>
      <c r="H3649" s="5">
        <f>IF('Journal'!I1826="","",'Journal'!I1826)</f>
        <v/>
      </c>
    </row>
    <row r="3650">
      <c r="A3650" s="18">
        <f>IF('Journal'!A1826="","",'Journal'!A1826)</f>
        <v/>
      </c>
      <c r="B3650" s="21">
        <f>IF('Journal'!B1826="","",'Journal'!B1826)</f>
        <v/>
      </c>
      <c r="C3650" s="5">
        <f>IF('Journal'!C1826="","",'Journal'!C1826)</f>
        <v/>
      </c>
      <c r="D3650" s="5">
        <f>IF('Journal'!E1826="","",IFERROR(LEFT('Journal'!E1826,FIND(" ",'Journal'!E1826)-1),'Journal'!E1826))</f>
        <v/>
      </c>
      <c r="E3650" s="5">
        <f>IF('Journal'!E1826="","",IFERROR(INDEX('Kontoplan'!$B$3:$B$302,MATCH('Journal'!E1826,'Kontoplan'!$H$3:$H$302,0)),""))</f>
        <v/>
      </c>
      <c r="F3650" s="20">
        <f>IF('Journal'!F1826="","",'Journal'!F1826)</f>
        <v/>
      </c>
      <c r="G3650" s="20">
        <f>IF('Journal'!G1826="","",'Journal'!G1826)</f>
        <v/>
      </c>
      <c r="H3650" s="5">
        <f>IF('Journal'!I1826="","",'Journal'!I1826)</f>
        <v/>
      </c>
    </row>
    <row r="3651">
      <c r="A3651" s="18">
        <f>IF('Journal'!A1827="","",'Journal'!A1827)</f>
        <v/>
      </c>
      <c r="B3651" s="21">
        <f>IF('Journal'!B1827="","",'Journal'!B1827)</f>
        <v/>
      </c>
      <c r="C3651" s="5">
        <f>IF('Journal'!C1827="","",'Journal'!C1827)</f>
        <v/>
      </c>
      <c r="D3651" s="5">
        <f>IF('Journal'!D1827="","",IFERROR(LEFT('Journal'!D1827,FIND(" ",'Journal'!D1827)-1),'Journal'!D1827))</f>
        <v/>
      </c>
      <c r="E3651" s="5">
        <f>IF('Journal'!D1827="","",IFERROR(INDEX('Kontoplan'!$B$3:$B$302,MATCH('Journal'!D1827,'Kontoplan'!$H$3:$H$302,0)),""))</f>
        <v/>
      </c>
      <c r="F3651" s="20">
        <f>IF('Journal'!G1827="","",'Journal'!G1827)</f>
        <v/>
      </c>
      <c r="G3651" s="20">
        <f>IF('Journal'!F1827="","",'Journal'!F1827)</f>
        <v/>
      </c>
      <c r="H3651" s="5">
        <f>IF('Journal'!I1827="","",'Journal'!I1827)</f>
        <v/>
      </c>
    </row>
    <row r="3652">
      <c r="A3652" s="18">
        <f>IF('Journal'!A1827="","",'Journal'!A1827)</f>
        <v/>
      </c>
      <c r="B3652" s="21">
        <f>IF('Journal'!B1827="","",'Journal'!B1827)</f>
        <v/>
      </c>
      <c r="C3652" s="5">
        <f>IF('Journal'!C1827="","",'Journal'!C1827)</f>
        <v/>
      </c>
      <c r="D3652" s="5">
        <f>IF('Journal'!E1827="","",IFERROR(LEFT('Journal'!E1827,FIND(" ",'Journal'!E1827)-1),'Journal'!E1827))</f>
        <v/>
      </c>
      <c r="E3652" s="5">
        <f>IF('Journal'!E1827="","",IFERROR(INDEX('Kontoplan'!$B$3:$B$302,MATCH('Journal'!E1827,'Kontoplan'!$H$3:$H$302,0)),""))</f>
        <v/>
      </c>
      <c r="F3652" s="20">
        <f>IF('Journal'!F1827="","",'Journal'!F1827)</f>
        <v/>
      </c>
      <c r="G3652" s="20">
        <f>IF('Journal'!G1827="","",'Journal'!G1827)</f>
        <v/>
      </c>
      <c r="H3652" s="5">
        <f>IF('Journal'!I1827="","",'Journal'!I1827)</f>
        <v/>
      </c>
    </row>
    <row r="3653">
      <c r="A3653" s="18">
        <f>IF('Journal'!A1828="","",'Journal'!A1828)</f>
        <v/>
      </c>
      <c r="B3653" s="21">
        <f>IF('Journal'!B1828="","",'Journal'!B1828)</f>
        <v/>
      </c>
      <c r="C3653" s="5">
        <f>IF('Journal'!C1828="","",'Journal'!C1828)</f>
        <v/>
      </c>
      <c r="D3653" s="5">
        <f>IF('Journal'!D1828="","",IFERROR(LEFT('Journal'!D1828,FIND(" ",'Journal'!D1828)-1),'Journal'!D1828))</f>
        <v/>
      </c>
      <c r="E3653" s="5">
        <f>IF('Journal'!D1828="","",IFERROR(INDEX('Kontoplan'!$B$3:$B$302,MATCH('Journal'!D1828,'Kontoplan'!$H$3:$H$302,0)),""))</f>
        <v/>
      </c>
      <c r="F3653" s="20">
        <f>IF('Journal'!G1828="","",'Journal'!G1828)</f>
        <v/>
      </c>
      <c r="G3653" s="20">
        <f>IF('Journal'!F1828="","",'Journal'!F1828)</f>
        <v/>
      </c>
      <c r="H3653" s="5">
        <f>IF('Journal'!I1828="","",'Journal'!I1828)</f>
        <v/>
      </c>
    </row>
    <row r="3654">
      <c r="A3654" s="18">
        <f>IF('Journal'!A1828="","",'Journal'!A1828)</f>
        <v/>
      </c>
      <c r="B3654" s="21">
        <f>IF('Journal'!B1828="","",'Journal'!B1828)</f>
        <v/>
      </c>
      <c r="C3654" s="5">
        <f>IF('Journal'!C1828="","",'Journal'!C1828)</f>
        <v/>
      </c>
      <c r="D3654" s="5">
        <f>IF('Journal'!E1828="","",IFERROR(LEFT('Journal'!E1828,FIND(" ",'Journal'!E1828)-1),'Journal'!E1828))</f>
        <v/>
      </c>
      <c r="E3654" s="5">
        <f>IF('Journal'!E1828="","",IFERROR(INDEX('Kontoplan'!$B$3:$B$302,MATCH('Journal'!E1828,'Kontoplan'!$H$3:$H$302,0)),""))</f>
        <v/>
      </c>
      <c r="F3654" s="20">
        <f>IF('Journal'!F1828="","",'Journal'!F1828)</f>
        <v/>
      </c>
      <c r="G3654" s="20">
        <f>IF('Journal'!G1828="","",'Journal'!G1828)</f>
        <v/>
      </c>
      <c r="H3654" s="5">
        <f>IF('Journal'!I1828="","",'Journal'!I1828)</f>
        <v/>
      </c>
    </row>
    <row r="3655">
      <c r="A3655" s="18">
        <f>IF('Journal'!A1829="","",'Journal'!A1829)</f>
        <v/>
      </c>
      <c r="B3655" s="21">
        <f>IF('Journal'!B1829="","",'Journal'!B1829)</f>
        <v/>
      </c>
      <c r="C3655" s="5">
        <f>IF('Journal'!C1829="","",'Journal'!C1829)</f>
        <v/>
      </c>
      <c r="D3655" s="5">
        <f>IF('Journal'!D1829="","",IFERROR(LEFT('Journal'!D1829,FIND(" ",'Journal'!D1829)-1),'Journal'!D1829))</f>
        <v/>
      </c>
      <c r="E3655" s="5">
        <f>IF('Journal'!D1829="","",IFERROR(INDEX('Kontoplan'!$B$3:$B$302,MATCH('Journal'!D1829,'Kontoplan'!$H$3:$H$302,0)),""))</f>
        <v/>
      </c>
      <c r="F3655" s="20">
        <f>IF('Journal'!G1829="","",'Journal'!G1829)</f>
        <v/>
      </c>
      <c r="G3655" s="20">
        <f>IF('Journal'!F1829="","",'Journal'!F1829)</f>
        <v/>
      </c>
      <c r="H3655" s="5">
        <f>IF('Journal'!I1829="","",'Journal'!I1829)</f>
        <v/>
      </c>
    </row>
    <row r="3656">
      <c r="A3656" s="18">
        <f>IF('Journal'!A1829="","",'Journal'!A1829)</f>
        <v/>
      </c>
      <c r="B3656" s="21">
        <f>IF('Journal'!B1829="","",'Journal'!B1829)</f>
        <v/>
      </c>
      <c r="C3656" s="5">
        <f>IF('Journal'!C1829="","",'Journal'!C1829)</f>
        <v/>
      </c>
      <c r="D3656" s="5">
        <f>IF('Journal'!E1829="","",IFERROR(LEFT('Journal'!E1829,FIND(" ",'Journal'!E1829)-1),'Journal'!E1829))</f>
        <v/>
      </c>
      <c r="E3656" s="5">
        <f>IF('Journal'!E1829="","",IFERROR(INDEX('Kontoplan'!$B$3:$B$302,MATCH('Journal'!E1829,'Kontoplan'!$H$3:$H$302,0)),""))</f>
        <v/>
      </c>
      <c r="F3656" s="20">
        <f>IF('Journal'!F1829="","",'Journal'!F1829)</f>
        <v/>
      </c>
      <c r="G3656" s="20">
        <f>IF('Journal'!G1829="","",'Journal'!G1829)</f>
        <v/>
      </c>
      <c r="H3656" s="5">
        <f>IF('Journal'!I1829="","",'Journal'!I1829)</f>
        <v/>
      </c>
    </row>
    <row r="3657">
      <c r="A3657" s="18">
        <f>IF('Journal'!A1830="","",'Journal'!A1830)</f>
        <v/>
      </c>
      <c r="B3657" s="21">
        <f>IF('Journal'!B1830="","",'Journal'!B1830)</f>
        <v/>
      </c>
      <c r="C3657" s="5">
        <f>IF('Journal'!C1830="","",'Journal'!C1830)</f>
        <v/>
      </c>
      <c r="D3657" s="5">
        <f>IF('Journal'!D1830="","",IFERROR(LEFT('Journal'!D1830,FIND(" ",'Journal'!D1830)-1),'Journal'!D1830))</f>
        <v/>
      </c>
      <c r="E3657" s="5">
        <f>IF('Journal'!D1830="","",IFERROR(INDEX('Kontoplan'!$B$3:$B$302,MATCH('Journal'!D1830,'Kontoplan'!$H$3:$H$302,0)),""))</f>
        <v/>
      </c>
      <c r="F3657" s="20">
        <f>IF('Journal'!G1830="","",'Journal'!G1830)</f>
        <v/>
      </c>
      <c r="G3657" s="20">
        <f>IF('Journal'!F1830="","",'Journal'!F1830)</f>
        <v/>
      </c>
      <c r="H3657" s="5">
        <f>IF('Journal'!I1830="","",'Journal'!I1830)</f>
        <v/>
      </c>
    </row>
    <row r="3658">
      <c r="A3658" s="18">
        <f>IF('Journal'!A1830="","",'Journal'!A1830)</f>
        <v/>
      </c>
      <c r="B3658" s="21">
        <f>IF('Journal'!B1830="","",'Journal'!B1830)</f>
        <v/>
      </c>
      <c r="C3658" s="5">
        <f>IF('Journal'!C1830="","",'Journal'!C1830)</f>
        <v/>
      </c>
      <c r="D3658" s="5">
        <f>IF('Journal'!E1830="","",IFERROR(LEFT('Journal'!E1830,FIND(" ",'Journal'!E1830)-1),'Journal'!E1830))</f>
        <v/>
      </c>
      <c r="E3658" s="5">
        <f>IF('Journal'!E1830="","",IFERROR(INDEX('Kontoplan'!$B$3:$B$302,MATCH('Journal'!E1830,'Kontoplan'!$H$3:$H$302,0)),""))</f>
        <v/>
      </c>
      <c r="F3658" s="20">
        <f>IF('Journal'!F1830="","",'Journal'!F1830)</f>
        <v/>
      </c>
      <c r="G3658" s="20">
        <f>IF('Journal'!G1830="","",'Journal'!G1830)</f>
        <v/>
      </c>
      <c r="H3658" s="5">
        <f>IF('Journal'!I1830="","",'Journal'!I1830)</f>
        <v/>
      </c>
    </row>
    <row r="3659">
      <c r="A3659" s="18">
        <f>IF('Journal'!A1831="","",'Journal'!A1831)</f>
        <v/>
      </c>
      <c r="B3659" s="21">
        <f>IF('Journal'!B1831="","",'Journal'!B1831)</f>
        <v/>
      </c>
      <c r="C3659" s="5">
        <f>IF('Journal'!C1831="","",'Journal'!C1831)</f>
        <v/>
      </c>
      <c r="D3659" s="5">
        <f>IF('Journal'!D1831="","",IFERROR(LEFT('Journal'!D1831,FIND(" ",'Journal'!D1831)-1),'Journal'!D1831))</f>
        <v/>
      </c>
      <c r="E3659" s="5">
        <f>IF('Journal'!D1831="","",IFERROR(INDEX('Kontoplan'!$B$3:$B$302,MATCH('Journal'!D1831,'Kontoplan'!$H$3:$H$302,0)),""))</f>
        <v/>
      </c>
      <c r="F3659" s="20">
        <f>IF('Journal'!G1831="","",'Journal'!G1831)</f>
        <v/>
      </c>
      <c r="G3659" s="20">
        <f>IF('Journal'!F1831="","",'Journal'!F1831)</f>
        <v/>
      </c>
      <c r="H3659" s="5">
        <f>IF('Journal'!I1831="","",'Journal'!I1831)</f>
        <v/>
      </c>
    </row>
    <row r="3660">
      <c r="A3660" s="18">
        <f>IF('Journal'!A1831="","",'Journal'!A1831)</f>
        <v/>
      </c>
      <c r="B3660" s="21">
        <f>IF('Journal'!B1831="","",'Journal'!B1831)</f>
        <v/>
      </c>
      <c r="C3660" s="5">
        <f>IF('Journal'!C1831="","",'Journal'!C1831)</f>
        <v/>
      </c>
      <c r="D3660" s="5">
        <f>IF('Journal'!E1831="","",IFERROR(LEFT('Journal'!E1831,FIND(" ",'Journal'!E1831)-1),'Journal'!E1831))</f>
        <v/>
      </c>
      <c r="E3660" s="5">
        <f>IF('Journal'!E1831="","",IFERROR(INDEX('Kontoplan'!$B$3:$B$302,MATCH('Journal'!E1831,'Kontoplan'!$H$3:$H$302,0)),""))</f>
        <v/>
      </c>
      <c r="F3660" s="20">
        <f>IF('Journal'!F1831="","",'Journal'!F1831)</f>
        <v/>
      </c>
      <c r="G3660" s="20">
        <f>IF('Journal'!G1831="","",'Journal'!G1831)</f>
        <v/>
      </c>
      <c r="H3660" s="5">
        <f>IF('Journal'!I1831="","",'Journal'!I1831)</f>
        <v/>
      </c>
    </row>
    <row r="3661">
      <c r="A3661" s="18">
        <f>IF('Journal'!A1832="","",'Journal'!A1832)</f>
        <v/>
      </c>
      <c r="B3661" s="21">
        <f>IF('Journal'!B1832="","",'Journal'!B1832)</f>
        <v/>
      </c>
      <c r="C3661" s="5">
        <f>IF('Journal'!C1832="","",'Journal'!C1832)</f>
        <v/>
      </c>
      <c r="D3661" s="5">
        <f>IF('Journal'!D1832="","",IFERROR(LEFT('Journal'!D1832,FIND(" ",'Journal'!D1832)-1),'Journal'!D1832))</f>
        <v/>
      </c>
      <c r="E3661" s="5">
        <f>IF('Journal'!D1832="","",IFERROR(INDEX('Kontoplan'!$B$3:$B$302,MATCH('Journal'!D1832,'Kontoplan'!$H$3:$H$302,0)),""))</f>
        <v/>
      </c>
      <c r="F3661" s="20">
        <f>IF('Journal'!G1832="","",'Journal'!G1832)</f>
        <v/>
      </c>
      <c r="G3661" s="20">
        <f>IF('Journal'!F1832="","",'Journal'!F1832)</f>
        <v/>
      </c>
      <c r="H3661" s="5">
        <f>IF('Journal'!I1832="","",'Journal'!I1832)</f>
        <v/>
      </c>
    </row>
    <row r="3662">
      <c r="A3662" s="18">
        <f>IF('Journal'!A1832="","",'Journal'!A1832)</f>
        <v/>
      </c>
      <c r="B3662" s="21">
        <f>IF('Journal'!B1832="","",'Journal'!B1832)</f>
        <v/>
      </c>
      <c r="C3662" s="5">
        <f>IF('Journal'!C1832="","",'Journal'!C1832)</f>
        <v/>
      </c>
      <c r="D3662" s="5">
        <f>IF('Journal'!E1832="","",IFERROR(LEFT('Journal'!E1832,FIND(" ",'Journal'!E1832)-1),'Journal'!E1832))</f>
        <v/>
      </c>
      <c r="E3662" s="5">
        <f>IF('Journal'!E1832="","",IFERROR(INDEX('Kontoplan'!$B$3:$B$302,MATCH('Journal'!E1832,'Kontoplan'!$H$3:$H$302,0)),""))</f>
        <v/>
      </c>
      <c r="F3662" s="20">
        <f>IF('Journal'!F1832="","",'Journal'!F1832)</f>
        <v/>
      </c>
      <c r="G3662" s="20">
        <f>IF('Journal'!G1832="","",'Journal'!G1832)</f>
        <v/>
      </c>
      <c r="H3662" s="5">
        <f>IF('Journal'!I1832="","",'Journal'!I1832)</f>
        <v/>
      </c>
    </row>
    <row r="3663">
      <c r="A3663" s="18">
        <f>IF('Journal'!A1833="","",'Journal'!A1833)</f>
        <v/>
      </c>
      <c r="B3663" s="21">
        <f>IF('Journal'!B1833="","",'Journal'!B1833)</f>
        <v/>
      </c>
      <c r="C3663" s="5">
        <f>IF('Journal'!C1833="","",'Journal'!C1833)</f>
        <v/>
      </c>
      <c r="D3663" s="5">
        <f>IF('Journal'!D1833="","",IFERROR(LEFT('Journal'!D1833,FIND(" ",'Journal'!D1833)-1),'Journal'!D1833))</f>
        <v/>
      </c>
      <c r="E3663" s="5">
        <f>IF('Journal'!D1833="","",IFERROR(INDEX('Kontoplan'!$B$3:$B$302,MATCH('Journal'!D1833,'Kontoplan'!$H$3:$H$302,0)),""))</f>
        <v/>
      </c>
      <c r="F3663" s="20">
        <f>IF('Journal'!G1833="","",'Journal'!G1833)</f>
        <v/>
      </c>
      <c r="G3663" s="20">
        <f>IF('Journal'!F1833="","",'Journal'!F1833)</f>
        <v/>
      </c>
      <c r="H3663" s="5">
        <f>IF('Journal'!I1833="","",'Journal'!I1833)</f>
        <v/>
      </c>
    </row>
    <row r="3664">
      <c r="A3664" s="18">
        <f>IF('Journal'!A1833="","",'Journal'!A1833)</f>
        <v/>
      </c>
      <c r="B3664" s="21">
        <f>IF('Journal'!B1833="","",'Journal'!B1833)</f>
        <v/>
      </c>
      <c r="C3664" s="5">
        <f>IF('Journal'!C1833="","",'Journal'!C1833)</f>
        <v/>
      </c>
      <c r="D3664" s="5">
        <f>IF('Journal'!E1833="","",IFERROR(LEFT('Journal'!E1833,FIND(" ",'Journal'!E1833)-1),'Journal'!E1833))</f>
        <v/>
      </c>
      <c r="E3664" s="5">
        <f>IF('Journal'!E1833="","",IFERROR(INDEX('Kontoplan'!$B$3:$B$302,MATCH('Journal'!E1833,'Kontoplan'!$H$3:$H$302,0)),""))</f>
        <v/>
      </c>
      <c r="F3664" s="20">
        <f>IF('Journal'!F1833="","",'Journal'!F1833)</f>
        <v/>
      </c>
      <c r="G3664" s="20">
        <f>IF('Journal'!G1833="","",'Journal'!G1833)</f>
        <v/>
      </c>
      <c r="H3664" s="5">
        <f>IF('Journal'!I1833="","",'Journal'!I1833)</f>
        <v/>
      </c>
    </row>
    <row r="3665">
      <c r="A3665" s="18">
        <f>IF('Journal'!A1834="","",'Journal'!A1834)</f>
        <v/>
      </c>
      <c r="B3665" s="21">
        <f>IF('Journal'!B1834="","",'Journal'!B1834)</f>
        <v/>
      </c>
      <c r="C3665" s="5">
        <f>IF('Journal'!C1834="","",'Journal'!C1834)</f>
        <v/>
      </c>
      <c r="D3665" s="5">
        <f>IF('Journal'!D1834="","",IFERROR(LEFT('Journal'!D1834,FIND(" ",'Journal'!D1834)-1),'Journal'!D1834))</f>
        <v/>
      </c>
      <c r="E3665" s="5">
        <f>IF('Journal'!D1834="","",IFERROR(INDEX('Kontoplan'!$B$3:$B$302,MATCH('Journal'!D1834,'Kontoplan'!$H$3:$H$302,0)),""))</f>
        <v/>
      </c>
      <c r="F3665" s="20">
        <f>IF('Journal'!G1834="","",'Journal'!G1834)</f>
        <v/>
      </c>
      <c r="G3665" s="20">
        <f>IF('Journal'!F1834="","",'Journal'!F1834)</f>
        <v/>
      </c>
      <c r="H3665" s="5">
        <f>IF('Journal'!I1834="","",'Journal'!I1834)</f>
        <v/>
      </c>
    </row>
    <row r="3666">
      <c r="A3666" s="18">
        <f>IF('Journal'!A1834="","",'Journal'!A1834)</f>
        <v/>
      </c>
      <c r="B3666" s="21">
        <f>IF('Journal'!B1834="","",'Journal'!B1834)</f>
        <v/>
      </c>
      <c r="C3666" s="5">
        <f>IF('Journal'!C1834="","",'Journal'!C1834)</f>
        <v/>
      </c>
      <c r="D3666" s="5">
        <f>IF('Journal'!E1834="","",IFERROR(LEFT('Journal'!E1834,FIND(" ",'Journal'!E1834)-1),'Journal'!E1834))</f>
        <v/>
      </c>
      <c r="E3666" s="5">
        <f>IF('Journal'!E1834="","",IFERROR(INDEX('Kontoplan'!$B$3:$B$302,MATCH('Journal'!E1834,'Kontoplan'!$H$3:$H$302,0)),""))</f>
        <v/>
      </c>
      <c r="F3666" s="20">
        <f>IF('Journal'!F1834="","",'Journal'!F1834)</f>
        <v/>
      </c>
      <c r="G3666" s="20">
        <f>IF('Journal'!G1834="","",'Journal'!G1834)</f>
        <v/>
      </c>
      <c r="H3666" s="5">
        <f>IF('Journal'!I1834="","",'Journal'!I1834)</f>
        <v/>
      </c>
    </row>
    <row r="3667">
      <c r="A3667" s="18">
        <f>IF('Journal'!A1835="","",'Journal'!A1835)</f>
        <v/>
      </c>
      <c r="B3667" s="21">
        <f>IF('Journal'!B1835="","",'Journal'!B1835)</f>
        <v/>
      </c>
      <c r="C3667" s="5">
        <f>IF('Journal'!C1835="","",'Journal'!C1835)</f>
        <v/>
      </c>
      <c r="D3667" s="5">
        <f>IF('Journal'!D1835="","",IFERROR(LEFT('Journal'!D1835,FIND(" ",'Journal'!D1835)-1),'Journal'!D1835))</f>
        <v/>
      </c>
      <c r="E3667" s="5">
        <f>IF('Journal'!D1835="","",IFERROR(INDEX('Kontoplan'!$B$3:$B$302,MATCH('Journal'!D1835,'Kontoplan'!$H$3:$H$302,0)),""))</f>
        <v/>
      </c>
      <c r="F3667" s="20">
        <f>IF('Journal'!G1835="","",'Journal'!G1835)</f>
        <v/>
      </c>
      <c r="G3667" s="20">
        <f>IF('Journal'!F1835="","",'Journal'!F1835)</f>
        <v/>
      </c>
      <c r="H3667" s="5">
        <f>IF('Journal'!I1835="","",'Journal'!I1835)</f>
        <v/>
      </c>
    </row>
    <row r="3668">
      <c r="A3668" s="18">
        <f>IF('Journal'!A1835="","",'Journal'!A1835)</f>
        <v/>
      </c>
      <c r="B3668" s="21">
        <f>IF('Journal'!B1835="","",'Journal'!B1835)</f>
        <v/>
      </c>
      <c r="C3668" s="5">
        <f>IF('Journal'!C1835="","",'Journal'!C1835)</f>
        <v/>
      </c>
      <c r="D3668" s="5">
        <f>IF('Journal'!E1835="","",IFERROR(LEFT('Journal'!E1835,FIND(" ",'Journal'!E1835)-1),'Journal'!E1835))</f>
        <v/>
      </c>
      <c r="E3668" s="5">
        <f>IF('Journal'!E1835="","",IFERROR(INDEX('Kontoplan'!$B$3:$B$302,MATCH('Journal'!E1835,'Kontoplan'!$H$3:$H$302,0)),""))</f>
        <v/>
      </c>
      <c r="F3668" s="20">
        <f>IF('Journal'!F1835="","",'Journal'!F1835)</f>
        <v/>
      </c>
      <c r="G3668" s="20">
        <f>IF('Journal'!G1835="","",'Journal'!G1835)</f>
        <v/>
      </c>
      <c r="H3668" s="5">
        <f>IF('Journal'!I1835="","",'Journal'!I1835)</f>
        <v/>
      </c>
    </row>
    <row r="3669">
      <c r="A3669" s="18">
        <f>IF('Journal'!A1836="","",'Journal'!A1836)</f>
        <v/>
      </c>
      <c r="B3669" s="21">
        <f>IF('Journal'!B1836="","",'Journal'!B1836)</f>
        <v/>
      </c>
      <c r="C3669" s="5">
        <f>IF('Journal'!C1836="","",'Journal'!C1836)</f>
        <v/>
      </c>
      <c r="D3669" s="5">
        <f>IF('Journal'!D1836="","",IFERROR(LEFT('Journal'!D1836,FIND(" ",'Journal'!D1836)-1),'Journal'!D1836))</f>
        <v/>
      </c>
      <c r="E3669" s="5">
        <f>IF('Journal'!D1836="","",IFERROR(INDEX('Kontoplan'!$B$3:$B$302,MATCH('Journal'!D1836,'Kontoplan'!$H$3:$H$302,0)),""))</f>
        <v/>
      </c>
      <c r="F3669" s="20">
        <f>IF('Journal'!G1836="","",'Journal'!G1836)</f>
        <v/>
      </c>
      <c r="G3669" s="20">
        <f>IF('Journal'!F1836="","",'Journal'!F1836)</f>
        <v/>
      </c>
      <c r="H3669" s="5">
        <f>IF('Journal'!I1836="","",'Journal'!I1836)</f>
        <v/>
      </c>
    </row>
    <row r="3670">
      <c r="A3670" s="18">
        <f>IF('Journal'!A1836="","",'Journal'!A1836)</f>
        <v/>
      </c>
      <c r="B3670" s="21">
        <f>IF('Journal'!B1836="","",'Journal'!B1836)</f>
        <v/>
      </c>
      <c r="C3670" s="5">
        <f>IF('Journal'!C1836="","",'Journal'!C1836)</f>
        <v/>
      </c>
      <c r="D3670" s="5">
        <f>IF('Journal'!E1836="","",IFERROR(LEFT('Journal'!E1836,FIND(" ",'Journal'!E1836)-1),'Journal'!E1836))</f>
        <v/>
      </c>
      <c r="E3670" s="5">
        <f>IF('Journal'!E1836="","",IFERROR(INDEX('Kontoplan'!$B$3:$B$302,MATCH('Journal'!E1836,'Kontoplan'!$H$3:$H$302,0)),""))</f>
        <v/>
      </c>
      <c r="F3670" s="20">
        <f>IF('Journal'!F1836="","",'Journal'!F1836)</f>
        <v/>
      </c>
      <c r="G3670" s="20">
        <f>IF('Journal'!G1836="","",'Journal'!G1836)</f>
        <v/>
      </c>
      <c r="H3670" s="5">
        <f>IF('Journal'!I1836="","",'Journal'!I1836)</f>
        <v/>
      </c>
    </row>
    <row r="3671">
      <c r="A3671" s="18">
        <f>IF('Journal'!A1837="","",'Journal'!A1837)</f>
        <v/>
      </c>
      <c r="B3671" s="21">
        <f>IF('Journal'!B1837="","",'Journal'!B1837)</f>
        <v/>
      </c>
      <c r="C3671" s="5">
        <f>IF('Journal'!C1837="","",'Journal'!C1837)</f>
        <v/>
      </c>
      <c r="D3671" s="5">
        <f>IF('Journal'!D1837="","",IFERROR(LEFT('Journal'!D1837,FIND(" ",'Journal'!D1837)-1),'Journal'!D1837))</f>
        <v/>
      </c>
      <c r="E3671" s="5">
        <f>IF('Journal'!D1837="","",IFERROR(INDEX('Kontoplan'!$B$3:$B$302,MATCH('Journal'!D1837,'Kontoplan'!$H$3:$H$302,0)),""))</f>
        <v/>
      </c>
      <c r="F3671" s="20">
        <f>IF('Journal'!G1837="","",'Journal'!G1837)</f>
        <v/>
      </c>
      <c r="G3671" s="20">
        <f>IF('Journal'!F1837="","",'Journal'!F1837)</f>
        <v/>
      </c>
      <c r="H3671" s="5">
        <f>IF('Journal'!I1837="","",'Journal'!I1837)</f>
        <v/>
      </c>
    </row>
    <row r="3672">
      <c r="A3672" s="18">
        <f>IF('Journal'!A1837="","",'Journal'!A1837)</f>
        <v/>
      </c>
      <c r="B3672" s="21">
        <f>IF('Journal'!B1837="","",'Journal'!B1837)</f>
        <v/>
      </c>
      <c r="C3672" s="5">
        <f>IF('Journal'!C1837="","",'Journal'!C1837)</f>
        <v/>
      </c>
      <c r="D3672" s="5">
        <f>IF('Journal'!E1837="","",IFERROR(LEFT('Journal'!E1837,FIND(" ",'Journal'!E1837)-1),'Journal'!E1837))</f>
        <v/>
      </c>
      <c r="E3672" s="5">
        <f>IF('Journal'!E1837="","",IFERROR(INDEX('Kontoplan'!$B$3:$B$302,MATCH('Journal'!E1837,'Kontoplan'!$H$3:$H$302,0)),""))</f>
        <v/>
      </c>
      <c r="F3672" s="20">
        <f>IF('Journal'!F1837="","",'Journal'!F1837)</f>
        <v/>
      </c>
      <c r="G3672" s="20">
        <f>IF('Journal'!G1837="","",'Journal'!G1837)</f>
        <v/>
      </c>
      <c r="H3672" s="5">
        <f>IF('Journal'!I1837="","",'Journal'!I1837)</f>
        <v/>
      </c>
    </row>
    <row r="3673">
      <c r="A3673" s="18">
        <f>IF('Journal'!A1838="","",'Journal'!A1838)</f>
        <v/>
      </c>
      <c r="B3673" s="21">
        <f>IF('Journal'!B1838="","",'Journal'!B1838)</f>
        <v/>
      </c>
      <c r="C3673" s="5">
        <f>IF('Journal'!C1838="","",'Journal'!C1838)</f>
        <v/>
      </c>
      <c r="D3673" s="5">
        <f>IF('Journal'!D1838="","",IFERROR(LEFT('Journal'!D1838,FIND(" ",'Journal'!D1838)-1),'Journal'!D1838))</f>
        <v/>
      </c>
      <c r="E3673" s="5">
        <f>IF('Journal'!D1838="","",IFERROR(INDEX('Kontoplan'!$B$3:$B$302,MATCH('Journal'!D1838,'Kontoplan'!$H$3:$H$302,0)),""))</f>
        <v/>
      </c>
      <c r="F3673" s="20">
        <f>IF('Journal'!G1838="","",'Journal'!G1838)</f>
        <v/>
      </c>
      <c r="G3673" s="20">
        <f>IF('Journal'!F1838="","",'Journal'!F1838)</f>
        <v/>
      </c>
      <c r="H3673" s="5">
        <f>IF('Journal'!I1838="","",'Journal'!I1838)</f>
        <v/>
      </c>
    </row>
    <row r="3674">
      <c r="A3674" s="18">
        <f>IF('Journal'!A1838="","",'Journal'!A1838)</f>
        <v/>
      </c>
      <c r="B3674" s="21">
        <f>IF('Journal'!B1838="","",'Journal'!B1838)</f>
        <v/>
      </c>
      <c r="C3674" s="5">
        <f>IF('Journal'!C1838="","",'Journal'!C1838)</f>
        <v/>
      </c>
      <c r="D3674" s="5">
        <f>IF('Journal'!E1838="","",IFERROR(LEFT('Journal'!E1838,FIND(" ",'Journal'!E1838)-1),'Journal'!E1838))</f>
        <v/>
      </c>
      <c r="E3674" s="5">
        <f>IF('Journal'!E1838="","",IFERROR(INDEX('Kontoplan'!$B$3:$B$302,MATCH('Journal'!E1838,'Kontoplan'!$H$3:$H$302,0)),""))</f>
        <v/>
      </c>
      <c r="F3674" s="20">
        <f>IF('Journal'!F1838="","",'Journal'!F1838)</f>
        <v/>
      </c>
      <c r="G3674" s="20">
        <f>IF('Journal'!G1838="","",'Journal'!G1838)</f>
        <v/>
      </c>
      <c r="H3674" s="5">
        <f>IF('Journal'!I1838="","",'Journal'!I1838)</f>
        <v/>
      </c>
    </row>
    <row r="3675">
      <c r="A3675" s="18">
        <f>IF('Journal'!A1839="","",'Journal'!A1839)</f>
        <v/>
      </c>
      <c r="B3675" s="21">
        <f>IF('Journal'!B1839="","",'Journal'!B1839)</f>
        <v/>
      </c>
      <c r="C3675" s="5">
        <f>IF('Journal'!C1839="","",'Journal'!C1839)</f>
        <v/>
      </c>
      <c r="D3675" s="5">
        <f>IF('Journal'!D1839="","",IFERROR(LEFT('Journal'!D1839,FIND(" ",'Journal'!D1839)-1),'Journal'!D1839))</f>
        <v/>
      </c>
      <c r="E3675" s="5">
        <f>IF('Journal'!D1839="","",IFERROR(INDEX('Kontoplan'!$B$3:$B$302,MATCH('Journal'!D1839,'Kontoplan'!$H$3:$H$302,0)),""))</f>
        <v/>
      </c>
      <c r="F3675" s="20">
        <f>IF('Journal'!G1839="","",'Journal'!G1839)</f>
        <v/>
      </c>
      <c r="G3675" s="20">
        <f>IF('Journal'!F1839="","",'Journal'!F1839)</f>
        <v/>
      </c>
      <c r="H3675" s="5">
        <f>IF('Journal'!I1839="","",'Journal'!I1839)</f>
        <v/>
      </c>
    </row>
    <row r="3676">
      <c r="A3676" s="18">
        <f>IF('Journal'!A1839="","",'Journal'!A1839)</f>
        <v/>
      </c>
      <c r="B3676" s="21">
        <f>IF('Journal'!B1839="","",'Journal'!B1839)</f>
        <v/>
      </c>
      <c r="C3676" s="5">
        <f>IF('Journal'!C1839="","",'Journal'!C1839)</f>
        <v/>
      </c>
      <c r="D3676" s="5">
        <f>IF('Journal'!E1839="","",IFERROR(LEFT('Journal'!E1839,FIND(" ",'Journal'!E1839)-1),'Journal'!E1839))</f>
        <v/>
      </c>
      <c r="E3676" s="5">
        <f>IF('Journal'!E1839="","",IFERROR(INDEX('Kontoplan'!$B$3:$B$302,MATCH('Journal'!E1839,'Kontoplan'!$H$3:$H$302,0)),""))</f>
        <v/>
      </c>
      <c r="F3676" s="20">
        <f>IF('Journal'!F1839="","",'Journal'!F1839)</f>
        <v/>
      </c>
      <c r="G3676" s="20">
        <f>IF('Journal'!G1839="","",'Journal'!G1839)</f>
        <v/>
      </c>
      <c r="H3676" s="5">
        <f>IF('Journal'!I1839="","",'Journal'!I1839)</f>
        <v/>
      </c>
    </row>
    <row r="3677">
      <c r="A3677" s="18">
        <f>IF('Journal'!A1840="","",'Journal'!A1840)</f>
        <v/>
      </c>
      <c r="B3677" s="21">
        <f>IF('Journal'!B1840="","",'Journal'!B1840)</f>
        <v/>
      </c>
      <c r="C3677" s="5">
        <f>IF('Journal'!C1840="","",'Journal'!C1840)</f>
        <v/>
      </c>
      <c r="D3677" s="5">
        <f>IF('Journal'!D1840="","",IFERROR(LEFT('Journal'!D1840,FIND(" ",'Journal'!D1840)-1),'Journal'!D1840))</f>
        <v/>
      </c>
      <c r="E3677" s="5">
        <f>IF('Journal'!D1840="","",IFERROR(INDEX('Kontoplan'!$B$3:$B$302,MATCH('Journal'!D1840,'Kontoplan'!$H$3:$H$302,0)),""))</f>
        <v/>
      </c>
      <c r="F3677" s="20">
        <f>IF('Journal'!G1840="","",'Journal'!G1840)</f>
        <v/>
      </c>
      <c r="G3677" s="20">
        <f>IF('Journal'!F1840="","",'Journal'!F1840)</f>
        <v/>
      </c>
      <c r="H3677" s="5">
        <f>IF('Journal'!I1840="","",'Journal'!I1840)</f>
        <v/>
      </c>
    </row>
    <row r="3678">
      <c r="A3678" s="18">
        <f>IF('Journal'!A1840="","",'Journal'!A1840)</f>
        <v/>
      </c>
      <c r="B3678" s="21">
        <f>IF('Journal'!B1840="","",'Journal'!B1840)</f>
        <v/>
      </c>
      <c r="C3678" s="5">
        <f>IF('Journal'!C1840="","",'Journal'!C1840)</f>
        <v/>
      </c>
      <c r="D3678" s="5">
        <f>IF('Journal'!E1840="","",IFERROR(LEFT('Journal'!E1840,FIND(" ",'Journal'!E1840)-1),'Journal'!E1840))</f>
        <v/>
      </c>
      <c r="E3678" s="5">
        <f>IF('Journal'!E1840="","",IFERROR(INDEX('Kontoplan'!$B$3:$B$302,MATCH('Journal'!E1840,'Kontoplan'!$H$3:$H$302,0)),""))</f>
        <v/>
      </c>
      <c r="F3678" s="20">
        <f>IF('Journal'!F1840="","",'Journal'!F1840)</f>
        <v/>
      </c>
      <c r="G3678" s="20">
        <f>IF('Journal'!G1840="","",'Journal'!G1840)</f>
        <v/>
      </c>
      <c r="H3678" s="5">
        <f>IF('Journal'!I1840="","",'Journal'!I1840)</f>
        <v/>
      </c>
    </row>
    <row r="3679">
      <c r="A3679" s="18">
        <f>IF('Journal'!A1841="","",'Journal'!A1841)</f>
        <v/>
      </c>
      <c r="B3679" s="21">
        <f>IF('Journal'!B1841="","",'Journal'!B1841)</f>
        <v/>
      </c>
      <c r="C3679" s="5">
        <f>IF('Journal'!C1841="","",'Journal'!C1841)</f>
        <v/>
      </c>
      <c r="D3679" s="5">
        <f>IF('Journal'!D1841="","",IFERROR(LEFT('Journal'!D1841,FIND(" ",'Journal'!D1841)-1),'Journal'!D1841))</f>
        <v/>
      </c>
      <c r="E3679" s="5">
        <f>IF('Journal'!D1841="","",IFERROR(INDEX('Kontoplan'!$B$3:$B$302,MATCH('Journal'!D1841,'Kontoplan'!$H$3:$H$302,0)),""))</f>
        <v/>
      </c>
      <c r="F3679" s="20">
        <f>IF('Journal'!G1841="","",'Journal'!G1841)</f>
        <v/>
      </c>
      <c r="G3679" s="20">
        <f>IF('Journal'!F1841="","",'Journal'!F1841)</f>
        <v/>
      </c>
      <c r="H3679" s="5">
        <f>IF('Journal'!I1841="","",'Journal'!I1841)</f>
        <v/>
      </c>
    </row>
    <row r="3680">
      <c r="A3680" s="18">
        <f>IF('Journal'!A1841="","",'Journal'!A1841)</f>
        <v/>
      </c>
      <c r="B3680" s="21">
        <f>IF('Journal'!B1841="","",'Journal'!B1841)</f>
        <v/>
      </c>
      <c r="C3680" s="5">
        <f>IF('Journal'!C1841="","",'Journal'!C1841)</f>
        <v/>
      </c>
      <c r="D3680" s="5">
        <f>IF('Journal'!E1841="","",IFERROR(LEFT('Journal'!E1841,FIND(" ",'Journal'!E1841)-1),'Journal'!E1841))</f>
        <v/>
      </c>
      <c r="E3680" s="5">
        <f>IF('Journal'!E1841="","",IFERROR(INDEX('Kontoplan'!$B$3:$B$302,MATCH('Journal'!E1841,'Kontoplan'!$H$3:$H$302,0)),""))</f>
        <v/>
      </c>
      <c r="F3680" s="20">
        <f>IF('Journal'!F1841="","",'Journal'!F1841)</f>
        <v/>
      </c>
      <c r="G3680" s="20">
        <f>IF('Journal'!G1841="","",'Journal'!G1841)</f>
        <v/>
      </c>
      <c r="H3680" s="5">
        <f>IF('Journal'!I1841="","",'Journal'!I1841)</f>
        <v/>
      </c>
    </row>
    <row r="3681">
      <c r="A3681" s="18">
        <f>IF('Journal'!A1842="","",'Journal'!A1842)</f>
        <v/>
      </c>
      <c r="B3681" s="21">
        <f>IF('Journal'!B1842="","",'Journal'!B1842)</f>
        <v/>
      </c>
      <c r="C3681" s="5">
        <f>IF('Journal'!C1842="","",'Journal'!C1842)</f>
        <v/>
      </c>
      <c r="D3681" s="5">
        <f>IF('Journal'!D1842="","",IFERROR(LEFT('Journal'!D1842,FIND(" ",'Journal'!D1842)-1),'Journal'!D1842))</f>
        <v/>
      </c>
      <c r="E3681" s="5">
        <f>IF('Journal'!D1842="","",IFERROR(INDEX('Kontoplan'!$B$3:$B$302,MATCH('Journal'!D1842,'Kontoplan'!$H$3:$H$302,0)),""))</f>
        <v/>
      </c>
      <c r="F3681" s="20">
        <f>IF('Journal'!G1842="","",'Journal'!G1842)</f>
        <v/>
      </c>
      <c r="G3681" s="20">
        <f>IF('Journal'!F1842="","",'Journal'!F1842)</f>
        <v/>
      </c>
      <c r="H3681" s="5">
        <f>IF('Journal'!I1842="","",'Journal'!I1842)</f>
        <v/>
      </c>
    </row>
    <row r="3682">
      <c r="A3682" s="18">
        <f>IF('Journal'!A1842="","",'Journal'!A1842)</f>
        <v/>
      </c>
      <c r="B3682" s="21">
        <f>IF('Journal'!B1842="","",'Journal'!B1842)</f>
        <v/>
      </c>
      <c r="C3682" s="5">
        <f>IF('Journal'!C1842="","",'Journal'!C1842)</f>
        <v/>
      </c>
      <c r="D3682" s="5">
        <f>IF('Journal'!E1842="","",IFERROR(LEFT('Journal'!E1842,FIND(" ",'Journal'!E1842)-1),'Journal'!E1842))</f>
        <v/>
      </c>
      <c r="E3682" s="5">
        <f>IF('Journal'!E1842="","",IFERROR(INDEX('Kontoplan'!$B$3:$B$302,MATCH('Journal'!E1842,'Kontoplan'!$H$3:$H$302,0)),""))</f>
        <v/>
      </c>
      <c r="F3682" s="20">
        <f>IF('Journal'!F1842="","",'Journal'!F1842)</f>
        <v/>
      </c>
      <c r="G3682" s="20">
        <f>IF('Journal'!G1842="","",'Journal'!G1842)</f>
        <v/>
      </c>
      <c r="H3682" s="5">
        <f>IF('Journal'!I1842="","",'Journal'!I1842)</f>
        <v/>
      </c>
    </row>
    <row r="3683">
      <c r="A3683" s="18">
        <f>IF('Journal'!A1843="","",'Journal'!A1843)</f>
        <v/>
      </c>
      <c r="B3683" s="21">
        <f>IF('Journal'!B1843="","",'Journal'!B1843)</f>
        <v/>
      </c>
      <c r="C3683" s="5">
        <f>IF('Journal'!C1843="","",'Journal'!C1843)</f>
        <v/>
      </c>
      <c r="D3683" s="5">
        <f>IF('Journal'!D1843="","",IFERROR(LEFT('Journal'!D1843,FIND(" ",'Journal'!D1843)-1),'Journal'!D1843))</f>
        <v/>
      </c>
      <c r="E3683" s="5">
        <f>IF('Journal'!D1843="","",IFERROR(INDEX('Kontoplan'!$B$3:$B$302,MATCH('Journal'!D1843,'Kontoplan'!$H$3:$H$302,0)),""))</f>
        <v/>
      </c>
      <c r="F3683" s="20">
        <f>IF('Journal'!G1843="","",'Journal'!G1843)</f>
        <v/>
      </c>
      <c r="G3683" s="20">
        <f>IF('Journal'!F1843="","",'Journal'!F1843)</f>
        <v/>
      </c>
      <c r="H3683" s="5">
        <f>IF('Journal'!I1843="","",'Journal'!I1843)</f>
        <v/>
      </c>
    </row>
    <row r="3684">
      <c r="A3684" s="18">
        <f>IF('Journal'!A1843="","",'Journal'!A1843)</f>
        <v/>
      </c>
      <c r="B3684" s="21">
        <f>IF('Journal'!B1843="","",'Journal'!B1843)</f>
        <v/>
      </c>
      <c r="C3684" s="5">
        <f>IF('Journal'!C1843="","",'Journal'!C1843)</f>
        <v/>
      </c>
      <c r="D3684" s="5">
        <f>IF('Journal'!E1843="","",IFERROR(LEFT('Journal'!E1843,FIND(" ",'Journal'!E1843)-1),'Journal'!E1843))</f>
        <v/>
      </c>
      <c r="E3684" s="5">
        <f>IF('Journal'!E1843="","",IFERROR(INDEX('Kontoplan'!$B$3:$B$302,MATCH('Journal'!E1843,'Kontoplan'!$H$3:$H$302,0)),""))</f>
        <v/>
      </c>
      <c r="F3684" s="20">
        <f>IF('Journal'!F1843="","",'Journal'!F1843)</f>
        <v/>
      </c>
      <c r="G3684" s="20">
        <f>IF('Journal'!G1843="","",'Journal'!G1843)</f>
        <v/>
      </c>
      <c r="H3684" s="5">
        <f>IF('Journal'!I1843="","",'Journal'!I1843)</f>
        <v/>
      </c>
    </row>
    <row r="3685">
      <c r="A3685" s="18">
        <f>IF('Journal'!A1844="","",'Journal'!A1844)</f>
        <v/>
      </c>
      <c r="B3685" s="21">
        <f>IF('Journal'!B1844="","",'Journal'!B1844)</f>
        <v/>
      </c>
      <c r="C3685" s="5">
        <f>IF('Journal'!C1844="","",'Journal'!C1844)</f>
        <v/>
      </c>
      <c r="D3685" s="5">
        <f>IF('Journal'!D1844="","",IFERROR(LEFT('Journal'!D1844,FIND(" ",'Journal'!D1844)-1),'Journal'!D1844))</f>
        <v/>
      </c>
      <c r="E3685" s="5">
        <f>IF('Journal'!D1844="","",IFERROR(INDEX('Kontoplan'!$B$3:$B$302,MATCH('Journal'!D1844,'Kontoplan'!$H$3:$H$302,0)),""))</f>
        <v/>
      </c>
      <c r="F3685" s="20">
        <f>IF('Journal'!G1844="","",'Journal'!G1844)</f>
        <v/>
      </c>
      <c r="G3685" s="20">
        <f>IF('Journal'!F1844="","",'Journal'!F1844)</f>
        <v/>
      </c>
      <c r="H3685" s="5">
        <f>IF('Journal'!I1844="","",'Journal'!I1844)</f>
        <v/>
      </c>
    </row>
    <row r="3686">
      <c r="A3686" s="18">
        <f>IF('Journal'!A1844="","",'Journal'!A1844)</f>
        <v/>
      </c>
      <c r="B3686" s="21">
        <f>IF('Journal'!B1844="","",'Journal'!B1844)</f>
        <v/>
      </c>
      <c r="C3686" s="5">
        <f>IF('Journal'!C1844="","",'Journal'!C1844)</f>
        <v/>
      </c>
      <c r="D3686" s="5">
        <f>IF('Journal'!E1844="","",IFERROR(LEFT('Journal'!E1844,FIND(" ",'Journal'!E1844)-1),'Journal'!E1844))</f>
        <v/>
      </c>
      <c r="E3686" s="5">
        <f>IF('Journal'!E1844="","",IFERROR(INDEX('Kontoplan'!$B$3:$B$302,MATCH('Journal'!E1844,'Kontoplan'!$H$3:$H$302,0)),""))</f>
        <v/>
      </c>
      <c r="F3686" s="20">
        <f>IF('Journal'!F1844="","",'Journal'!F1844)</f>
        <v/>
      </c>
      <c r="G3686" s="20">
        <f>IF('Journal'!G1844="","",'Journal'!G1844)</f>
        <v/>
      </c>
      <c r="H3686" s="5">
        <f>IF('Journal'!I1844="","",'Journal'!I1844)</f>
        <v/>
      </c>
    </row>
    <row r="3687">
      <c r="A3687" s="18">
        <f>IF('Journal'!A1845="","",'Journal'!A1845)</f>
        <v/>
      </c>
      <c r="B3687" s="21">
        <f>IF('Journal'!B1845="","",'Journal'!B1845)</f>
        <v/>
      </c>
      <c r="C3687" s="5">
        <f>IF('Journal'!C1845="","",'Journal'!C1845)</f>
        <v/>
      </c>
      <c r="D3687" s="5">
        <f>IF('Journal'!D1845="","",IFERROR(LEFT('Journal'!D1845,FIND(" ",'Journal'!D1845)-1),'Journal'!D1845))</f>
        <v/>
      </c>
      <c r="E3687" s="5">
        <f>IF('Journal'!D1845="","",IFERROR(INDEX('Kontoplan'!$B$3:$B$302,MATCH('Journal'!D1845,'Kontoplan'!$H$3:$H$302,0)),""))</f>
        <v/>
      </c>
      <c r="F3687" s="20">
        <f>IF('Journal'!G1845="","",'Journal'!G1845)</f>
        <v/>
      </c>
      <c r="G3687" s="20">
        <f>IF('Journal'!F1845="","",'Journal'!F1845)</f>
        <v/>
      </c>
      <c r="H3687" s="5">
        <f>IF('Journal'!I1845="","",'Journal'!I1845)</f>
        <v/>
      </c>
    </row>
    <row r="3688">
      <c r="A3688" s="18">
        <f>IF('Journal'!A1845="","",'Journal'!A1845)</f>
        <v/>
      </c>
      <c r="B3688" s="21">
        <f>IF('Journal'!B1845="","",'Journal'!B1845)</f>
        <v/>
      </c>
      <c r="C3688" s="5">
        <f>IF('Journal'!C1845="","",'Journal'!C1845)</f>
        <v/>
      </c>
      <c r="D3688" s="5">
        <f>IF('Journal'!E1845="","",IFERROR(LEFT('Journal'!E1845,FIND(" ",'Journal'!E1845)-1),'Journal'!E1845))</f>
        <v/>
      </c>
      <c r="E3688" s="5">
        <f>IF('Journal'!E1845="","",IFERROR(INDEX('Kontoplan'!$B$3:$B$302,MATCH('Journal'!E1845,'Kontoplan'!$H$3:$H$302,0)),""))</f>
        <v/>
      </c>
      <c r="F3688" s="20">
        <f>IF('Journal'!F1845="","",'Journal'!F1845)</f>
        <v/>
      </c>
      <c r="G3688" s="20">
        <f>IF('Journal'!G1845="","",'Journal'!G1845)</f>
        <v/>
      </c>
      <c r="H3688" s="5">
        <f>IF('Journal'!I1845="","",'Journal'!I1845)</f>
        <v/>
      </c>
    </row>
    <row r="3689">
      <c r="A3689" s="18">
        <f>IF('Journal'!A1846="","",'Journal'!A1846)</f>
        <v/>
      </c>
      <c r="B3689" s="21">
        <f>IF('Journal'!B1846="","",'Journal'!B1846)</f>
        <v/>
      </c>
      <c r="C3689" s="5">
        <f>IF('Journal'!C1846="","",'Journal'!C1846)</f>
        <v/>
      </c>
      <c r="D3689" s="5">
        <f>IF('Journal'!D1846="","",IFERROR(LEFT('Journal'!D1846,FIND(" ",'Journal'!D1846)-1),'Journal'!D1846))</f>
        <v/>
      </c>
      <c r="E3689" s="5">
        <f>IF('Journal'!D1846="","",IFERROR(INDEX('Kontoplan'!$B$3:$B$302,MATCH('Journal'!D1846,'Kontoplan'!$H$3:$H$302,0)),""))</f>
        <v/>
      </c>
      <c r="F3689" s="20">
        <f>IF('Journal'!G1846="","",'Journal'!G1846)</f>
        <v/>
      </c>
      <c r="G3689" s="20">
        <f>IF('Journal'!F1846="","",'Journal'!F1846)</f>
        <v/>
      </c>
      <c r="H3689" s="5">
        <f>IF('Journal'!I1846="","",'Journal'!I1846)</f>
        <v/>
      </c>
    </row>
    <row r="3690">
      <c r="A3690" s="18">
        <f>IF('Journal'!A1846="","",'Journal'!A1846)</f>
        <v/>
      </c>
      <c r="B3690" s="21">
        <f>IF('Journal'!B1846="","",'Journal'!B1846)</f>
        <v/>
      </c>
      <c r="C3690" s="5">
        <f>IF('Journal'!C1846="","",'Journal'!C1846)</f>
        <v/>
      </c>
      <c r="D3690" s="5">
        <f>IF('Journal'!E1846="","",IFERROR(LEFT('Journal'!E1846,FIND(" ",'Journal'!E1846)-1),'Journal'!E1846))</f>
        <v/>
      </c>
      <c r="E3690" s="5">
        <f>IF('Journal'!E1846="","",IFERROR(INDEX('Kontoplan'!$B$3:$B$302,MATCH('Journal'!E1846,'Kontoplan'!$H$3:$H$302,0)),""))</f>
        <v/>
      </c>
      <c r="F3690" s="20">
        <f>IF('Journal'!F1846="","",'Journal'!F1846)</f>
        <v/>
      </c>
      <c r="G3690" s="20">
        <f>IF('Journal'!G1846="","",'Journal'!G1846)</f>
        <v/>
      </c>
      <c r="H3690" s="5">
        <f>IF('Journal'!I1846="","",'Journal'!I1846)</f>
        <v/>
      </c>
    </row>
    <row r="3691">
      <c r="A3691" s="18">
        <f>IF('Journal'!A1847="","",'Journal'!A1847)</f>
        <v/>
      </c>
      <c r="B3691" s="21">
        <f>IF('Journal'!B1847="","",'Journal'!B1847)</f>
        <v/>
      </c>
      <c r="C3691" s="5">
        <f>IF('Journal'!C1847="","",'Journal'!C1847)</f>
        <v/>
      </c>
      <c r="D3691" s="5">
        <f>IF('Journal'!D1847="","",IFERROR(LEFT('Journal'!D1847,FIND(" ",'Journal'!D1847)-1),'Journal'!D1847))</f>
        <v/>
      </c>
      <c r="E3691" s="5">
        <f>IF('Journal'!D1847="","",IFERROR(INDEX('Kontoplan'!$B$3:$B$302,MATCH('Journal'!D1847,'Kontoplan'!$H$3:$H$302,0)),""))</f>
        <v/>
      </c>
      <c r="F3691" s="20">
        <f>IF('Journal'!G1847="","",'Journal'!G1847)</f>
        <v/>
      </c>
      <c r="G3691" s="20">
        <f>IF('Journal'!F1847="","",'Journal'!F1847)</f>
        <v/>
      </c>
      <c r="H3691" s="5">
        <f>IF('Journal'!I1847="","",'Journal'!I1847)</f>
        <v/>
      </c>
    </row>
    <row r="3692">
      <c r="A3692" s="18">
        <f>IF('Journal'!A1847="","",'Journal'!A1847)</f>
        <v/>
      </c>
      <c r="B3692" s="21">
        <f>IF('Journal'!B1847="","",'Journal'!B1847)</f>
        <v/>
      </c>
      <c r="C3692" s="5">
        <f>IF('Journal'!C1847="","",'Journal'!C1847)</f>
        <v/>
      </c>
      <c r="D3692" s="5">
        <f>IF('Journal'!E1847="","",IFERROR(LEFT('Journal'!E1847,FIND(" ",'Journal'!E1847)-1),'Journal'!E1847))</f>
        <v/>
      </c>
      <c r="E3692" s="5">
        <f>IF('Journal'!E1847="","",IFERROR(INDEX('Kontoplan'!$B$3:$B$302,MATCH('Journal'!E1847,'Kontoplan'!$H$3:$H$302,0)),""))</f>
        <v/>
      </c>
      <c r="F3692" s="20">
        <f>IF('Journal'!F1847="","",'Journal'!F1847)</f>
        <v/>
      </c>
      <c r="G3692" s="20">
        <f>IF('Journal'!G1847="","",'Journal'!G1847)</f>
        <v/>
      </c>
      <c r="H3692" s="5">
        <f>IF('Journal'!I1847="","",'Journal'!I1847)</f>
        <v/>
      </c>
    </row>
    <row r="3693">
      <c r="A3693" s="18">
        <f>IF('Journal'!A1848="","",'Journal'!A1848)</f>
        <v/>
      </c>
      <c r="B3693" s="21">
        <f>IF('Journal'!B1848="","",'Journal'!B1848)</f>
        <v/>
      </c>
      <c r="C3693" s="5">
        <f>IF('Journal'!C1848="","",'Journal'!C1848)</f>
        <v/>
      </c>
      <c r="D3693" s="5">
        <f>IF('Journal'!D1848="","",IFERROR(LEFT('Journal'!D1848,FIND(" ",'Journal'!D1848)-1),'Journal'!D1848))</f>
        <v/>
      </c>
      <c r="E3693" s="5">
        <f>IF('Journal'!D1848="","",IFERROR(INDEX('Kontoplan'!$B$3:$B$302,MATCH('Journal'!D1848,'Kontoplan'!$H$3:$H$302,0)),""))</f>
        <v/>
      </c>
      <c r="F3693" s="20">
        <f>IF('Journal'!G1848="","",'Journal'!G1848)</f>
        <v/>
      </c>
      <c r="G3693" s="20">
        <f>IF('Journal'!F1848="","",'Journal'!F1848)</f>
        <v/>
      </c>
      <c r="H3693" s="5">
        <f>IF('Journal'!I1848="","",'Journal'!I1848)</f>
        <v/>
      </c>
    </row>
    <row r="3694">
      <c r="A3694" s="18">
        <f>IF('Journal'!A1848="","",'Journal'!A1848)</f>
        <v/>
      </c>
      <c r="B3694" s="21">
        <f>IF('Journal'!B1848="","",'Journal'!B1848)</f>
        <v/>
      </c>
      <c r="C3694" s="5">
        <f>IF('Journal'!C1848="","",'Journal'!C1848)</f>
        <v/>
      </c>
      <c r="D3694" s="5">
        <f>IF('Journal'!E1848="","",IFERROR(LEFT('Journal'!E1848,FIND(" ",'Journal'!E1848)-1),'Journal'!E1848))</f>
        <v/>
      </c>
      <c r="E3694" s="5">
        <f>IF('Journal'!E1848="","",IFERROR(INDEX('Kontoplan'!$B$3:$B$302,MATCH('Journal'!E1848,'Kontoplan'!$H$3:$H$302,0)),""))</f>
        <v/>
      </c>
      <c r="F3694" s="20">
        <f>IF('Journal'!F1848="","",'Journal'!F1848)</f>
        <v/>
      </c>
      <c r="G3694" s="20">
        <f>IF('Journal'!G1848="","",'Journal'!G1848)</f>
        <v/>
      </c>
      <c r="H3694" s="5">
        <f>IF('Journal'!I1848="","",'Journal'!I1848)</f>
        <v/>
      </c>
    </row>
    <row r="3695">
      <c r="A3695" s="18">
        <f>IF('Journal'!A1849="","",'Journal'!A1849)</f>
        <v/>
      </c>
      <c r="B3695" s="21">
        <f>IF('Journal'!B1849="","",'Journal'!B1849)</f>
        <v/>
      </c>
      <c r="C3695" s="5">
        <f>IF('Journal'!C1849="","",'Journal'!C1849)</f>
        <v/>
      </c>
      <c r="D3695" s="5">
        <f>IF('Journal'!D1849="","",IFERROR(LEFT('Journal'!D1849,FIND(" ",'Journal'!D1849)-1),'Journal'!D1849))</f>
        <v/>
      </c>
      <c r="E3695" s="5">
        <f>IF('Journal'!D1849="","",IFERROR(INDEX('Kontoplan'!$B$3:$B$302,MATCH('Journal'!D1849,'Kontoplan'!$H$3:$H$302,0)),""))</f>
        <v/>
      </c>
      <c r="F3695" s="20">
        <f>IF('Journal'!G1849="","",'Journal'!G1849)</f>
        <v/>
      </c>
      <c r="G3695" s="20">
        <f>IF('Journal'!F1849="","",'Journal'!F1849)</f>
        <v/>
      </c>
      <c r="H3695" s="5">
        <f>IF('Journal'!I1849="","",'Journal'!I1849)</f>
        <v/>
      </c>
    </row>
    <row r="3696">
      <c r="A3696" s="18">
        <f>IF('Journal'!A1849="","",'Journal'!A1849)</f>
        <v/>
      </c>
      <c r="B3696" s="21">
        <f>IF('Journal'!B1849="","",'Journal'!B1849)</f>
        <v/>
      </c>
      <c r="C3696" s="5">
        <f>IF('Journal'!C1849="","",'Journal'!C1849)</f>
        <v/>
      </c>
      <c r="D3696" s="5">
        <f>IF('Journal'!E1849="","",IFERROR(LEFT('Journal'!E1849,FIND(" ",'Journal'!E1849)-1),'Journal'!E1849))</f>
        <v/>
      </c>
      <c r="E3696" s="5">
        <f>IF('Journal'!E1849="","",IFERROR(INDEX('Kontoplan'!$B$3:$B$302,MATCH('Journal'!E1849,'Kontoplan'!$H$3:$H$302,0)),""))</f>
        <v/>
      </c>
      <c r="F3696" s="20">
        <f>IF('Journal'!F1849="","",'Journal'!F1849)</f>
        <v/>
      </c>
      <c r="G3696" s="20">
        <f>IF('Journal'!G1849="","",'Journal'!G1849)</f>
        <v/>
      </c>
      <c r="H3696" s="5">
        <f>IF('Journal'!I1849="","",'Journal'!I1849)</f>
        <v/>
      </c>
    </row>
    <row r="3697">
      <c r="A3697" s="18">
        <f>IF('Journal'!A1850="","",'Journal'!A1850)</f>
        <v/>
      </c>
      <c r="B3697" s="21">
        <f>IF('Journal'!B1850="","",'Journal'!B1850)</f>
        <v/>
      </c>
      <c r="C3697" s="5">
        <f>IF('Journal'!C1850="","",'Journal'!C1850)</f>
        <v/>
      </c>
      <c r="D3697" s="5">
        <f>IF('Journal'!D1850="","",IFERROR(LEFT('Journal'!D1850,FIND(" ",'Journal'!D1850)-1),'Journal'!D1850))</f>
        <v/>
      </c>
      <c r="E3697" s="5">
        <f>IF('Journal'!D1850="","",IFERROR(INDEX('Kontoplan'!$B$3:$B$302,MATCH('Journal'!D1850,'Kontoplan'!$H$3:$H$302,0)),""))</f>
        <v/>
      </c>
      <c r="F3697" s="20">
        <f>IF('Journal'!G1850="","",'Journal'!G1850)</f>
        <v/>
      </c>
      <c r="G3697" s="20">
        <f>IF('Journal'!F1850="","",'Journal'!F1850)</f>
        <v/>
      </c>
      <c r="H3697" s="5">
        <f>IF('Journal'!I1850="","",'Journal'!I1850)</f>
        <v/>
      </c>
    </row>
    <row r="3698">
      <c r="A3698" s="18">
        <f>IF('Journal'!A1850="","",'Journal'!A1850)</f>
        <v/>
      </c>
      <c r="B3698" s="21">
        <f>IF('Journal'!B1850="","",'Journal'!B1850)</f>
        <v/>
      </c>
      <c r="C3698" s="5">
        <f>IF('Journal'!C1850="","",'Journal'!C1850)</f>
        <v/>
      </c>
      <c r="D3698" s="5">
        <f>IF('Journal'!E1850="","",IFERROR(LEFT('Journal'!E1850,FIND(" ",'Journal'!E1850)-1),'Journal'!E1850))</f>
        <v/>
      </c>
      <c r="E3698" s="5">
        <f>IF('Journal'!E1850="","",IFERROR(INDEX('Kontoplan'!$B$3:$B$302,MATCH('Journal'!E1850,'Kontoplan'!$H$3:$H$302,0)),""))</f>
        <v/>
      </c>
      <c r="F3698" s="20">
        <f>IF('Journal'!F1850="","",'Journal'!F1850)</f>
        <v/>
      </c>
      <c r="G3698" s="20">
        <f>IF('Journal'!G1850="","",'Journal'!G1850)</f>
        <v/>
      </c>
      <c r="H3698" s="5">
        <f>IF('Journal'!I1850="","",'Journal'!I1850)</f>
        <v/>
      </c>
    </row>
    <row r="3699">
      <c r="A3699" s="18">
        <f>IF('Journal'!A1851="","",'Journal'!A1851)</f>
        <v/>
      </c>
      <c r="B3699" s="21">
        <f>IF('Journal'!B1851="","",'Journal'!B1851)</f>
        <v/>
      </c>
      <c r="C3699" s="5">
        <f>IF('Journal'!C1851="","",'Journal'!C1851)</f>
        <v/>
      </c>
      <c r="D3699" s="5">
        <f>IF('Journal'!D1851="","",IFERROR(LEFT('Journal'!D1851,FIND(" ",'Journal'!D1851)-1),'Journal'!D1851))</f>
        <v/>
      </c>
      <c r="E3699" s="5">
        <f>IF('Journal'!D1851="","",IFERROR(INDEX('Kontoplan'!$B$3:$B$302,MATCH('Journal'!D1851,'Kontoplan'!$H$3:$H$302,0)),""))</f>
        <v/>
      </c>
      <c r="F3699" s="20">
        <f>IF('Journal'!G1851="","",'Journal'!G1851)</f>
        <v/>
      </c>
      <c r="G3699" s="20">
        <f>IF('Journal'!F1851="","",'Journal'!F1851)</f>
        <v/>
      </c>
      <c r="H3699" s="5">
        <f>IF('Journal'!I1851="","",'Journal'!I1851)</f>
        <v/>
      </c>
    </row>
    <row r="3700">
      <c r="A3700" s="18">
        <f>IF('Journal'!A1851="","",'Journal'!A1851)</f>
        <v/>
      </c>
      <c r="B3700" s="21">
        <f>IF('Journal'!B1851="","",'Journal'!B1851)</f>
        <v/>
      </c>
      <c r="C3700" s="5">
        <f>IF('Journal'!C1851="","",'Journal'!C1851)</f>
        <v/>
      </c>
      <c r="D3700" s="5">
        <f>IF('Journal'!E1851="","",IFERROR(LEFT('Journal'!E1851,FIND(" ",'Journal'!E1851)-1),'Journal'!E1851))</f>
        <v/>
      </c>
      <c r="E3700" s="5">
        <f>IF('Journal'!E1851="","",IFERROR(INDEX('Kontoplan'!$B$3:$B$302,MATCH('Journal'!E1851,'Kontoplan'!$H$3:$H$302,0)),""))</f>
        <v/>
      </c>
      <c r="F3700" s="20">
        <f>IF('Journal'!F1851="","",'Journal'!F1851)</f>
        <v/>
      </c>
      <c r="G3700" s="20">
        <f>IF('Journal'!G1851="","",'Journal'!G1851)</f>
        <v/>
      </c>
      <c r="H3700" s="5">
        <f>IF('Journal'!I1851="","",'Journal'!I1851)</f>
        <v/>
      </c>
    </row>
    <row r="3701">
      <c r="A3701" s="18">
        <f>IF('Journal'!A1852="","",'Journal'!A1852)</f>
        <v/>
      </c>
      <c r="B3701" s="21">
        <f>IF('Journal'!B1852="","",'Journal'!B1852)</f>
        <v/>
      </c>
      <c r="C3701" s="5">
        <f>IF('Journal'!C1852="","",'Journal'!C1852)</f>
        <v/>
      </c>
      <c r="D3701" s="5">
        <f>IF('Journal'!D1852="","",IFERROR(LEFT('Journal'!D1852,FIND(" ",'Journal'!D1852)-1),'Journal'!D1852))</f>
        <v/>
      </c>
      <c r="E3701" s="5">
        <f>IF('Journal'!D1852="","",IFERROR(INDEX('Kontoplan'!$B$3:$B$302,MATCH('Journal'!D1852,'Kontoplan'!$H$3:$H$302,0)),""))</f>
        <v/>
      </c>
      <c r="F3701" s="20">
        <f>IF('Journal'!G1852="","",'Journal'!G1852)</f>
        <v/>
      </c>
      <c r="G3701" s="20">
        <f>IF('Journal'!F1852="","",'Journal'!F1852)</f>
        <v/>
      </c>
      <c r="H3701" s="5">
        <f>IF('Journal'!I1852="","",'Journal'!I1852)</f>
        <v/>
      </c>
    </row>
    <row r="3702">
      <c r="A3702" s="18">
        <f>IF('Journal'!A1852="","",'Journal'!A1852)</f>
        <v/>
      </c>
      <c r="B3702" s="21">
        <f>IF('Journal'!B1852="","",'Journal'!B1852)</f>
        <v/>
      </c>
      <c r="C3702" s="5">
        <f>IF('Journal'!C1852="","",'Journal'!C1852)</f>
        <v/>
      </c>
      <c r="D3702" s="5">
        <f>IF('Journal'!E1852="","",IFERROR(LEFT('Journal'!E1852,FIND(" ",'Journal'!E1852)-1),'Journal'!E1852))</f>
        <v/>
      </c>
      <c r="E3702" s="5">
        <f>IF('Journal'!E1852="","",IFERROR(INDEX('Kontoplan'!$B$3:$B$302,MATCH('Journal'!E1852,'Kontoplan'!$H$3:$H$302,0)),""))</f>
        <v/>
      </c>
      <c r="F3702" s="20">
        <f>IF('Journal'!F1852="","",'Journal'!F1852)</f>
        <v/>
      </c>
      <c r="G3702" s="20">
        <f>IF('Journal'!G1852="","",'Journal'!G1852)</f>
        <v/>
      </c>
      <c r="H3702" s="5">
        <f>IF('Journal'!I1852="","",'Journal'!I1852)</f>
        <v/>
      </c>
    </row>
    <row r="3703">
      <c r="A3703" s="18">
        <f>IF('Journal'!A1853="","",'Journal'!A1853)</f>
        <v/>
      </c>
      <c r="B3703" s="21">
        <f>IF('Journal'!B1853="","",'Journal'!B1853)</f>
        <v/>
      </c>
      <c r="C3703" s="5">
        <f>IF('Journal'!C1853="","",'Journal'!C1853)</f>
        <v/>
      </c>
      <c r="D3703" s="5">
        <f>IF('Journal'!D1853="","",IFERROR(LEFT('Journal'!D1853,FIND(" ",'Journal'!D1853)-1),'Journal'!D1853))</f>
        <v/>
      </c>
      <c r="E3703" s="5">
        <f>IF('Journal'!D1853="","",IFERROR(INDEX('Kontoplan'!$B$3:$B$302,MATCH('Journal'!D1853,'Kontoplan'!$H$3:$H$302,0)),""))</f>
        <v/>
      </c>
      <c r="F3703" s="20">
        <f>IF('Journal'!G1853="","",'Journal'!G1853)</f>
        <v/>
      </c>
      <c r="G3703" s="20">
        <f>IF('Journal'!F1853="","",'Journal'!F1853)</f>
        <v/>
      </c>
      <c r="H3703" s="5">
        <f>IF('Journal'!I1853="","",'Journal'!I1853)</f>
        <v/>
      </c>
    </row>
    <row r="3704">
      <c r="A3704" s="18">
        <f>IF('Journal'!A1853="","",'Journal'!A1853)</f>
        <v/>
      </c>
      <c r="B3704" s="21">
        <f>IF('Journal'!B1853="","",'Journal'!B1853)</f>
        <v/>
      </c>
      <c r="C3704" s="5">
        <f>IF('Journal'!C1853="","",'Journal'!C1853)</f>
        <v/>
      </c>
      <c r="D3704" s="5">
        <f>IF('Journal'!E1853="","",IFERROR(LEFT('Journal'!E1853,FIND(" ",'Journal'!E1853)-1),'Journal'!E1853))</f>
        <v/>
      </c>
      <c r="E3704" s="5">
        <f>IF('Journal'!E1853="","",IFERROR(INDEX('Kontoplan'!$B$3:$B$302,MATCH('Journal'!E1853,'Kontoplan'!$H$3:$H$302,0)),""))</f>
        <v/>
      </c>
      <c r="F3704" s="20">
        <f>IF('Journal'!F1853="","",'Journal'!F1853)</f>
        <v/>
      </c>
      <c r="G3704" s="20">
        <f>IF('Journal'!G1853="","",'Journal'!G1853)</f>
        <v/>
      </c>
      <c r="H3704" s="5">
        <f>IF('Journal'!I1853="","",'Journal'!I1853)</f>
        <v/>
      </c>
    </row>
    <row r="3705">
      <c r="A3705" s="18">
        <f>IF('Journal'!A1854="","",'Journal'!A1854)</f>
        <v/>
      </c>
      <c r="B3705" s="21">
        <f>IF('Journal'!B1854="","",'Journal'!B1854)</f>
        <v/>
      </c>
      <c r="C3705" s="5">
        <f>IF('Journal'!C1854="","",'Journal'!C1854)</f>
        <v/>
      </c>
      <c r="D3705" s="5">
        <f>IF('Journal'!D1854="","",IFERROR(LEFT('Journal'!D1854,FIND(" ",'Journal'!D1854)-1),'Journal'!D1854))</f>
        <v/>
      </c>
      <c r="E3705" s="5">
        <f>IF('Journal'!D1854="","",IFERROR(INDEX('Kontoplan'!$B$3:$B$302,MATCH('Journal'!D1854,'Kontoplan'!$H$3:$H$302,0)),""))</f>
        <v/>
      </c>
      <c r="F3705" s="20">
        <f>IF('Journal'!G1854="","",'Journal'!G1854)</f>
        <v/>
      </c>
      <c r="G3705" s="20">
        <f>IF('Journal'!F1854="","",'Journal'!F1854)</f>
        <v/>
      </c>
      <c r="H3705" s="5">
        <f>IF('Journal'!I1854="","",'Journal'!I1854)</f>
        <v/>
      </c>
    </row>
    <row r="3706">
      <c r="A3706" s="18">
        <f>IF('Journal'!A1854="","",'Journal'!A1854)</f>
        <v/>
      </c>
      <c r="B3706" s="21">
        <f>IF('Journal'!B1854="","",'Journal'!B1854)</f>
        <v/>
      </c>
      <c r="C3706" s="5">
        <f>IF('Journal'!C1854="","",'Journal'!C1854)</f>
        <v/>
      </c>
      <c r="D3706" s="5">
        <f>IF('Journal'!E1854="","",IFERROR(LEFT('Journal'!E1854,FIND(" ",'Journal'!E1854)-1),'Journal'!E1854))</f>
        <v/>
      </c>
      <c r="E3706" s="5">
        <f>IF('Journal'!E1854="","",IFERROR(INDEX('Kontoplan'!$B$3:$B$302,MATCH('Journal'!E1854,'Kontoplan'!$H$3:$H$302,0)),""))</f>
        <v/>
      </c>
      <c r="F3706" s="20">
        <f>IF('Journal'!F1854="","",'Journal'!F1854)</f>
        <v/>
      </c>
      <c r="G3706" s="20">
        <f>IF('Journal'!G1854="","",'Journal'!G1854)</f>
        <v/>
      </c>
      <c r="H3706" s="5">
        <f>IF('Journal'!I1854="","",'Journal'!I1854)</f>
        <v/>
      </c>
    </row>
    <row r="3707">
      <c r="A3707" s="18">
        <f>IF('Journal'!A1855="","",'Journal'!A1855)</f>
        <v/>
      </c>
      <c r="B3707" s="21">
        <f>IF('Journal'!B1855="","",'Journal'!B1855)</f>
        <v/>
      </c>
      <c r="C3707" s="5">
        <f>IF('Journal'!C1855="","",'Journal'!C1855)</f>
        <v/>
      </c>
      <c r="D3707" s="5">
        <f>IF('Journal'!D1855="","",IFERROR(LEFT('Journal'!D1855,FIND(" ",'Journal'!D1855)-1),'Journal'!D1855))</f>
        <v/>
      </c>
      <c r="E3707" s="5">
        <f>IF('Journal'!D1855="","",IFERROR(INDEX('Kontoplan'!$B$3:$B$302,MATCH('Journal'!D1855,'Kontoplan'!$H$3:$H$302,0)),""))</f>
        <v/>
      </c>
      <c r="F3707" s="20">
        <f>IF('Journal'!G1855="","",'Journal'!G1855)</f>
        <v/>
      </c>
      <c r="G3707" s="20">
        <f>IF('Journal'!F1855="","",'Journal'!F1855)</f>
        <v/>
      </c>
      <c r="H3707" s="5">
        <f>IF('Journal'!I1855="","",'Journal'!I1855)</f>
        <v/>
      </c>
    </row>
    <row r="3708">
      <c r="A3708" s="18">
        <f>IF('Journal'!A1855="","",'Journal'!A1855)</f>
        <v/>
      </c>
      <c r="B3708" s="21">
        <f>IF('Journal'!B1855="","",'Journal'!B1855)</f>
        <v/>
      </c>
      <c r="C3708" s="5">
        <f>IF('Journal'!C1855="","",'Journal'!C1855)</f>
        <v/>
      </c>
      <c r="D3708" s="5">
        <f>IF('Journal'!E1855="","",IFERROR(LEFT('Journal'!E1855,FIND(" ",'Journal'!E1855)-1),'Journal'!E1855))</f>
        <v/>
      </c>
      <c r="E3708" s="5">
        <f>IF('Journal'!E1855="","",IFERROR(INDEX('Kontoplan'!$B$3:$B$302,MATCH('Journal'!E1855,'Kontoplan'!$H$3:$H$302,0)),""))</f>
        <v/>
      </c>
      <c r="F3708" s="20">
        <f>IF('Journal'!F1855="","",'Journal'!F1855)</f>
        <v/>
      </c>
      <c r="G3708" s="20">
        <f>IF('Journal'!G1855="","",'Journal'!G1855)</f>
        <v/>
      </c>
      <c r="H3708" s="5">
        <f>IF('Journal'!I1855="","",'Journal'!I1855)</f>
        <v/>
      </c>
    </row>
    <row r="3709">
      <c r="A3709" s="18">
        <f>IF('Journal'!A1856="","",'Journal'!A1856)</f>
        <v/>
      </c>
      <c r="B3709" s="21">
        <f>IF('Journal'!B1856="","",'Journal'!B1856)</f>
        <v/>
      </c>
      <c r="C3709" s="5">
        <f>IF('Journal'!C1856="","",'Journal'!C1856)</f>
        <v/>
      </c>
      <c r="D3709" s="5">
        <f>IF('Journal'!D1856="","",IFERROR(LEFT('Journal'!D1856,FIND(" ",'Journal'!D1856)-1),'Journal'!D1856))</f>
        <v/>
      </c>
      <c r="E3709" s="5">
        <f>IF('Journal'!D1856="","",IFERROR(INDEX('Kontoplan'!$B$3:$B$302,MATCH('Journal'!D1856,'Kontoplan'!$H$3:$H$302,0)),""))</f>
        <v/>
      </c>
      <c r="F3709" s="20">
        <f>IF('Journal'!G1856="","",'Journal'!G1856)</f>
        <v/>
      </c>
      <c r="G3709" s="20">
        <f>IF('Journal'!F1856="","",'Journal'!F1856)</f>
        <v/>
      </c>
      <c r="H3709" s="5">
        <f>IF('Journal'!I1856="","",'Journal'!I1856)</f>
        <v/>
      </c>
    </row>
    <row r="3710">
      <c r="A3710" s="18">
        <f>IF('Journal'!A1856="","",'Journal'!A1856)</f>
        <v/>
      </c>
      <c r="B3710" s="21">
        <f>IF('Journal'!B1856="","",'Journal'!B1856)</f>
        <v/>
      </c>
      <c r="C3710" s="5">
        <f>IF('Journal'!C1856="","",'Journal'!C1856)</f>
        <v/>
      </c>
      <c r="D3710" s="5">
        <f>IF('Journal'!E1856="","",IFERROR(LEFT('Journal'!E1856,FIND(" ",'Journal'!E1856)-1),'Journal'!E1856))</f>
        <v/>
      </c>
      <c r="E3710" s="5">
        <f>IF('Journal'!E1856="","",IFERROR(INDEX('Kontoplan'!$B$3:$B$302,MATCH('Journal'!E1856,'Kontoplan'!$H$3:$H$302,0)),""))</f>
        <v/>
      </c>
      <c r="F3710" s="20">
        <f>IF('Journal'!F1856="","",'Journal'!F1856)</f>
        <v/>
      </c>
      <c r="G3710" s="20">
        <f>IF('Journal'!G1856="","",'Journal'!G1856)</f>
        <v/>
      </c>
      <c r="H3710" s="5">
        <f>IF('Journal'!I1856="","",'Journal'!I1856)</f>
        <v/>
      </c>
    </row>
    <row r="3711">
      <c r="A3711" s="18">
        <f>IF('Journal'!A1857="","",'Journal'!A1857)</f>
        <v/>
      </c>
      <c r="B3711" s="21">
        <f>IF('Journal'!B1857="","",'Journal'!B1857)</f>
        <v/>
      </c>
      <c r="C3711" s="5">
        <f>IF('Journal'!C1857="","",'Journal'!C1857)</f>
        <v/>
      </c>
      <c r="D3711" s="5">
        <f>IF('Journal'!D1857="","",IFERROR(LEFT('Journal'!D1857,FIND(" ",'Journal'!D1857)-1),'Journal'!D1857))</f>
        <v/>
      </c>
      <c r="E3711" s="5">
        <f>IF('Journal'!D1857="","",IFERROR(INDEX('Kontoplan'!$B$3:$B$302,MATCH('Journal'!D1857,'Kontoplan'!$H$3:$H$302,0)),""))</f>
        <v/>
      </c>
      <c r="F3711" s="20">
        <f>IF('Journal'!G1857="","",'Journal'!G1857)</f>
        <v/>
      </c>
      <c r="G3711" s="20">
        <f>IF('Journal'!F1857="","",'Journal'!F1857)</f>
        <v/>
      </c>
      <c r="H3711" s="5">
        <f>IF('Journal'!I1857="","",'Journal'!I1857)</f>
        <v/>
      </c>
    </row>
    <row r="3712">
      <c r="A3712" s="18">
        <f>IF('Journal'!A1857="","",'Journal'!A1857)</f>
        <v/>
      </c>
      <c r="B3712" s="21">
        <f>IF('Journal'!B1857="","",'Journal'!B1857)</f>
        <v/>
      </c>
      <c r="C3712" s="5">
        <f>IF('Journal'!C1857="","",'Journal'!C1857)</f>
        <v/>
      </c>
      <c r="D3712" s="5">
        <f>IF('Journal'!E1857="","",IFERROR(LEFT('Journal'!E1857,FIND(" ",'Journal'!E1857)-1),'Journal'!E1857))</f>
        <v/>
      </c>
      <c r="E3712" s="5">
        <f>IF('Journal'!E1857="","",IFERROR(INDEX('Kontoplan'!$B$3:$B$302,MATCH('Journal'!E1857,'Kontoplan'!$H$3:$H$302,0)),""))</f>
        <v/>
      </c>
      <c r="F3712" s="20">
        <f>IF('Journal'!F1857="","",'Journal'!F1857)</f>
        <v/>
      </c>
      <c r="G3712" s="20">
        <f>IF('Journal'!G1857="","",'Journal'!G1857)</f>
        <v/>
      </c>
      <c r="H3712" s="5">
        <f>IF('Journal'!I1857="","",'Journal'!I1857)</f>
        <v/>
      </c>
    </row>
    <row r="3713">
      <c r="A3713" s="18">
        <f>IF('Journal'!A1858="","",'Journal'!A1858)</f>
        <v/>
      </c>
      <c r="B3713" s="21">
        <f>IF('Journal'!B1858="","",'Journal'!B1858)</f>
        <v/>
      </c>
      <c r="C3713" s="5">
        <f>IF('Journal'!C1858="","",'Journal'!C1858)</f>
        <v/>
      </c>
      <c r="D3713" s="5">
        <f>IF('Journal'!D1858="","",IFERROR(LEFT('Journal'!D1858,FIND(" ",'Journal'!D1858)-1),'Journal'!D1858))</f>
        <v/>
      </c>
      <c r="E3713" s="5">
        <f>IF('Journal'!D1858="","",IFERROR(INDEX('Kontoplan'!$B$3:$B$302,MATCH('Journal'!D1858,'Kontoplan'!$H$3:$H$302,0)),""))</f>
        <v/>
      </c>
      <c r="F3713" s="20">
        <f>IF('Journal'!G1858="","",'Journal'!G1858)</f>
        <v/>
      </c>
      <c r="G3713" s="20">
        <f>IF('Journal'!F1858="","",'Journal'!F1858)</f>
        <v/>
      </c>
      <c r="H3713" s="5">
        <f>IF('Journal'!I1858="","",'Journal'!I1858)</f>
        <v/>
      </c>
    </row>
    <row r="3714">
      <c r="A3714" s="18">
        <f>IF('Journal'!A1858="","",'Journal'!A1858)</f>
        <v/>
      </c>
      <c r="B3714" s="21">
        <f>IF('Journal'!B1858="","",'Journal'!B1858)</f>
        <v/>
      </c>
      <c r="C3714" s="5">
        <f>IF('Journal'!C1858="","",'Journal'!C1858)</f>
        <v/>
      </c>
      <c r="D3714" s="5">
        <f>IF('Journal'!E1858="","",IFERROR(LEFT('Journal'!E1858,FIND(" ",'Journal'!E1858)-1),'Journal'!E1858))</f>
        <v/>
      </c>
      <c r="E3714" s="5">
        <f>IF('Journal'!E1858="","",IFERROR(INDEX('Kontoplan'!$B$3:$B$302,MATCH('Journal'!E1858,'Kontoplan'!$H$3:$H$302,0)),""))</f>
        <v/>
      </c>
      <c r="F3714" s="20">
        <f>IF('Journal'!F1858="","",'Journal'!F1858)</f>
        <v/>
      </c>
      <c r="G3714" s="20">
        <f>IF('Journal'!G1858="","",'Journal'!G1858)</f>
        <v/>
      </c>
      <c r="H3714" s="5">
        <f>IF('Journal'!I1858="","",'Journal'!I1858)</f>
        <v/>
      </c>
    </row>
    <row r="3715">
      <c r="A3715" s="18">
        <f>IF('Journal'!A1859="","",'Journal'!A1859)</f>
        <v/>
      </c>
      <c r="B3715" s="21">
        <f>IF('Journal'!B1859="","",'Journal'!B1859)</f>
        <v/>
      </c>
      <c r="C3715" s="5">
        <f>IF('Journal'!C1859="","",'Journal'!C1859)</f>
        <v/>
      </c>
      <c r="D3715" s="5">
        <f>IF('Journal'!D1859="","",IFERROR(LEFT('Journal'!D1859,FIND(" ",'Journal'!D1859)-1),'Journal'!D1859))</f>
        <v/>
      </c>
      <c r="E3715" s="5">
        <f>IF('Journal'!D1859="","",IFERROR(INDEX('Kontoplan'!$B$3:$B$302,MATCH('Journal'!D1859,'Kontoplan'!$H$3:$H$302,0)),""))</f>
        <v/>
      </c>
      <c r="F3715" s="20">
        <f>IF('Journal'!G1859="","",'Journal'!G1859)</f>
        <v/>
      </c>
      <c r="G3715" s="20">
        <f>IF('Journal'!F1859="","",'Journal'!F1859)</f>
        <v/>
      </c>
      <c r="H3715" s="5">
        <f>IF('Journal'!I1859="","",'Journal'!I1859)</f>
        <v/>
      </c>
    </row>
    <row r="3716">
      <c r="A3716" s="18">
        <f>IF('Journal'!A1859="","",'Journal'!A1859)</f>
        <v/>
      </c>
      <c r="B3716" s="21">
        <f>IF('Journal'!B1859="","",'Journal'!B1859)</f>
        <v/>
      </c>
      <c r="C3716" s="5">
        <f>IF('Journal'!C1859="","",'Journal'!C1859)</f>
        <v/>
      </c>
      <c r="D3716" s="5">
        <f>IF('Journal'!E1859="","",IFERROR(LEFT('Journal'!E1859,FIND(" ",'Journal'!E1859)-1),'Journal'!E1859))</f>
        <v/>
      </c>
      <c r="E3716" s="5">
        <f>IF('Journal'!E1859="","",IFERROR(INDEX('Kontoplan'!$B$3:$B$302,MATCH('Journal'!E1859,'Kontoplan'!$H$3:$H$302,0)),""))</f>
        <v/>
      </c>
      <c r="F3716" s="20">
        <f>IF('Journal'!F1859="","",'Journal'!F1859)</f>
        <v/>
      </c>
      <c r="G3716" s="20">
        <f>IF('Journal'!G1859="","",'Journal'!G1859)</f>
        <v/>
      </c>
      <c r="H3716" s="5">
        <f>IF('Journal'!I1859="","",'Journal'!I1859)</f>
        <v/>
      </c>
    </row>
    <row r="3717">
      <c r="A3717" s="18">
        <f>IF('Journal'!A1860="","",'Journal'!A1860)</f>
        <v/>
      </c>
      <c r="B3717" s="21">
        <f>IF('Journal'!B1860="","",'Journal'!B1860)</f>
        <v/>
      </c>
      <c r="C3717" s="5">
        <f>IF('Journal'!C1860="","",'Journal'!C1860)</f>
        <v/>
      </c>
      <c r="D3717" s="5">
        <f>IF('Journal'!D1860="","",IFERROR(LEFT('Journal'!D1860,FIND(" ",'Journal'!D1860)-1),'Journal'!D1860))</f>
        <v/>
      </c>
      <c r="E3717" s="5">
        <f>IF('Journal'!D1860="","",IFERROR(INDEX('Kontoplan'!$B$3:$B$302,MATCH('Journal'!D1860,'Kontoplan'!$H$3:$H$302,0)),""))</f>
        <v/>
      </c>
      <c r="F3717" s="20">
        <f>IF('Journal'!G1860="","",'Journal'!G1860)</f>
        <v/>
      </c>
      <c r="G3717" s="20">
        <f>IF('Journal'!F1860="","",'Journal'!F1860)</f>
        <v/>
      </c>
      <c r="H3717" s="5">
        <f>IF('Journal'!I1860="","",'Journal'!I1860)</f>
        <v/>
      </c>
    </row>
    <row r="3718">
      <c r="A3718" s="18">
        <f>IF('Journal'!A1860="","",'Journal'!A1860)</f>
        <v/>
      </c>
      <c r="B3718" s="21">
        <f>IF('Journal'!B1860="","",'Journal'!B1860)</f>
        <v/>
      </c>
      <c r="C3718" s="5">
        <f>IF('Journal'!C1860="","",'Journal'!C1860)</f>
        <v/>
      </c>
      <c r="D3718" s="5">
        <f>IF('Journal'!E1860="","",IFERROR(LEFT('Journal'!E1860,FIND(" ",'Journal'!E1860)-1),'Journal'!E1860))</f>
        <v/>
      </c>
      <c r="E3718" s="5">
        <f>IF('Journal'!E1860="","",IFERROR(INDEX('Kontoplan'!$B$3:$B$302,MATCH('Journal'!E1860,'Kontoplan'!$H$3:$H$302,0)),""))</f>
        <v/>
      </c>
      <c r="F3718" s="20">
        <f>IF('Journal'!F1860="","",'Journal'!F1860)</f>
        <v/>
      </c>
      <c r="G3718" s="20">
        <f>IF('Journal'!G1860="","",'Journal'!G1860)</f>
        <v/>
      </c>
      <c r="H3718" s="5">
        <f>IF('Journal'!I1860="","",'Journal'!I1860)</f>
        <v/>
      </c>
    </row>
    <row r="3719">
      <c r="A3719" s="18">
        <f>IF('Journal'!A1861="","",'Journal'!A1861)</f>
        <v/>
      </c>
      <c r="B3719" s="21">
        <f>IF('Journal'!B1861="","",'Journal'!B1861)</f>
        <v/>
      </c>
      <c r="C3719" s="5">
        <f>IF('Journal'!C1861="","",'Journal'!C1861)</f>
        <v/>
      </c>
      <c r="D3719" s="5">
        <f>IF('Journal'!D1861="","",IFERROR(LEFT('Journal'!D1861,FIND(" ",'Journal'!D1861)-1),'Journal'!D1861))</f>
        <v/>
      </c>
      <c r="E3719" s="5">
        <f>IF('Journal'!D1861="","",IFERROR(INDEX('Kontoplan'!$B$3:$B$302,MATCH('Journal'!D1861,'Kontoplan'!$H$3:$H$302,0)),""))</f>
        <v/>
      </c>
      <c r="F3719" s="20">
        <f>IF('Journal'!G1861="","",'Journal'!G1861)</f>
        <v/>
      </c>
      <c r="G3719" s="20">
        <f>IF('Journal'!F1861="","",'Journal'!F1861)</f>
        <v/>
      </c>
      <c r="H3719" s="5">
        <f>IF('Journal'!I1861="","",'Journal'!I1861)</f>
        <v/>
      </c>
    </row>
    <row r="3720">
      <c r="A3720" s="18">
        <f>IF('Journal'!A1861="","",'Journal'!A1861)</f>
        <v/>
      </c>
      <c r="B3720" s="21">
        <f>IF('Journal'!B1861="","",'Journal'!B1861)</f>
        <v/>
      </c>
      <c r="C3720" s="5">
        <f>IF('Journal'!C1861="","",'Journal'!C1861)</f>
        <v/>
      </c>
      <c r="D3720" s="5">
        <f>IF('Journal'!E1861="","",IFERROR(LEFT('Journal'!E1861,FIND(" ",'Journal'!E1861)-1),'Journal'!E1861))</f>
        <v/>
      </c>
      <c r="E3720" s="5">
        <f>IF('Journal'!E1861="","",IFERROR(INDEX('Kontoplan'!$B$3:$B$302,MATCH('Journal'!E1861,'Kontoplan'!$H$3:$H$302,0)),""))</f>
        <v/>
      </c>
      <c r="F3720" s="20">
        <f>IF('Journal'!F1861="","",'Journal'!F1861)</f>
        <v/>
      </c>
      <c r="G3720" s="20">
        <f>IF('Journal'!G1861="","",'Journal'!G1861)</f>
        <v/>
      </c>
      <c r="H3720" s="5">
        <f>IF('Journal'!I1861="","",'Journal'!I1861)</f>
        <v/>
      </c>
    </row>
    <row r="3721">
      <c r="A3721" s="18">
        <f>IF('Journal'!A1862="","",'Journal'!A1862)</f>
        <v/>
      </c>
      <c r="B3721" s="21">
        <f>IF('Journal'!B1862="","",'Journal'!B1862)</f>
        <v/>
      </c>
      <c r="C3721" s="5">
        <f>IF('Journal'!C1862="","",'Journal'!C1862)</f>
        <v/>
      </c>
      <c r="D3721" s="5">
        <f>IF('Journal'!D1862="","",IFERROR(LEFT('Journal'!D1862,FIND(" ",'Journal'!D1862)-1),'Journal'!D1862))</f>
        <v/>
      </c>
      <c r="E3721" s="5">
        <f>IF('Journal'!D1862="","",IFERROR(INDEX('Kontoplan'!$B$3:$B$302,MATCH('Journal'!D1862,'Kontoplan'!$H$3:$H$302,0)),""))</f>
        <v/>
      </c>
      <c r="F3721" s="20">
        <f>IF('Journal'!G1862="","",'Journal'!G1862)</f>
        <v/>
      </c>
      <c r="G3721" s="20">
        <f>IF('Journal'!F1862="","",'Journal'!F1862)</f>
        <v/>
      </c>
      <c r="H3721" s="5">
        <f>IF('Journal'!I1862="","",'Journal'!I1862)</f>
        <v/>
      </c>
    </row>
    <row r="3722">
      <c r="A3722" s="18">
        <f>IF('Journal'!A1862="","",'Journal'!A1862)</f>
        <v/>
      </c>
      <c r="B3722" s="21">
        <f>IF('Journal'!B1862="","",'Journal'!B1862)</f>
        <v/>
      </c>
      <c r="C3722" s="5">
        <f>IF('Journal'!C1862="","",'Journal'!C1862)</f>
        <v/>
      </c>
      <c r="D3722" s="5">
        <f>IF('Journal'!E1862="","",IFERROR(LEFT('Journal'!E1862,FIND(" ",'Journal'!E1862)-1),'Journal'!E1862))</f>
        <v/>
      </c>
      <c r="E3722" s="5">
        <f>IF('Journal'!E1862="","",IFERROR(INDEX('Kontoplan'!$B$3:$B$302,MATCH('Journal'!E1862,'Kontoplan'!$H$3:$H$302,0)),""))</f>
        <v/>
      </c>
      <c r="F3722" s="20">
        <f>IF('Journal'!F1862="","",'Journal'!F1862)</f>
        <v/>
      </c>
      <c r="G3722" s="20">
        <f>IF('Journal'!G1862="","",'Journal'!G1862)</f>
        <v/>
      </c>
      <c r="H3722" s="5">
        <f>IF('Journal'!I1862="","",'Journal'!I1862)</f>
        <v/>
      </c>
    </row>
    <row r="3723">
      <c r="A3723" s="18">
        <f>IF('Journal'!A1863="","",'Journal'!A1863)</f>
        <v/>
      </c>
      <c r="B3723" s="21">
        <f>IF('Journal'!B1863="","",'Journal'!B1863)</f>
        <v/>
      </c>
      <c r="C3723" s="5">
        <f>IF('Journal'!C1863="","",'Journal'!C1863)</f>
        <v/>
      </c>
      <c r="D3723" s="5">
        <f>IF('Journal'!D1863="","",IFERROR(LEFT('Journal'!D1863,FIND(" ",'Journal'!D1863)-1),'Journal'!D1863))</f>
        <v/>
      </c>
      <c r="E3723" s="5">
        <f>IF('Journal'!D1863="","",IFERROR(INDEX('Kontoplan'!$B$3:$B$302,MATCH('Journal'!D1863,'Kontoplan'!$H$3:$H$302,0)),""))</f>
        <v/>
      </c>
      <c r="F3723" s="20">
        <f>IF('Journal'!G1863="","",'Journal'!G1863)</f>
        <v/>
      </c>
      <c r="G3723" s="20">
        <f>IF('Journal'!F1863="","",'Journal'!F1863)</f>
        <v/>
      </c>
      <c r="H3723" s="5">
        <f>IF('Journal'!I1863="","",'Journal'!I1863)</f>
        <v/>
      </c>
    </row>
    <row r="3724">
      <c r="A3724" s="18">
        <f>IF('Journal'!A1863="","",'Journal'!A1863)</f>
        <v/>
      </c>
      <c r="B3724" s="21">
        <f>IF('Journal'!B1863="","",'Journal'!B1863)</f>
        <v/>
      </c>
      <c r="C3724" s="5">
        <f>IF('Journal'!C1863="","",'Journal'!C1863)</f>
        <v/>
      </c>
      <c r="D3724" s="5">
        <f>IF('Journal'!E1863="","",IFERROR(LEFT('Journal'!E1863,FIND(" ",'Journal'!E1863)-1),'Journal'!E1863))</f>
        <v/>
      </c>
      <c r="E3724" s="5">
        <f>IF('Journal'!E1863="","",IFERROR(INDEX('Kontoplan'!$B$3:$B$302,MATCH('Journal'!E1863,'Kontoplan'!$H$3:$H$302,0)),""))</f>
        <v/>
      </c>
      <c r="F3724" s="20">
        <f>IF('Journal'!F1863="","",'Journal'!F1863)</f>
        <v/>
      </c>
      <c r="G3724" s="20">
        <f>IF('Journal'!G1863="","",'Journal'!G1863)</f>
        <v/>
      </c>
      <c r="H3724" s="5">
        <f>IF('Journal'!I1863="","",'Journal'!I1863)</f>
        <v/>
      </c>
    </row>
    <row r="3725">
      <c r="A3725" s="18">
        <f>IF('Journal'!A1864="","",'Journal'!A1864)</f>
        <v/>
      </c>
      <c r="B3725" s="21">
        <f>IF('Journal'!B1864="","",'Journal'!B1864)</f>
        <v/>
      </c>
      <c r="C3725" s="5">
        <f>IF('Journal'!C1864="","",'Journal'!C1864)</f>
        <v/>
      </c>
      <c r="D3725" s="5">
        <f>IF('Journal'!D1864="","",IFERROR(LEFT('Journal'!D1864,FIND(" ",'Journal'!D1864)-1),'Journal'!D1864))</f>
        <v/>
      </c>
      <c r="E3725" s="5">
        <f>IF('Journal'!D1864="","",IFERROR(INDEX('Kontoplan'!$B$3:$B$302,MATCH('Journal'!D1864,'Kontoplan'!$H$3:$H$302,0)),""))</f>
        <v/>
      </c>
      <c r="F3725" s="20">
        <f>IF('Journal'!G1864="","",'Journal'!G1864)</f>
        <v/>
      </c>
      <c r="G3725" s="20">
        <f>IF('Journal'!F1864="","",'Journal'!F1864)</f>
        <v/>
      </c>
      <c r="H3725" s="5">
        <f>IF('Journal'!I1864="","",'Journal'!I1864)</f>
        <v/>
      </c>
    </row>
    <row r="3726">
      <c r="A3726" s="18">
        <f>IF('Journal'!A1864="","",'Journal'!A1864)</f>
        <v/>
      </c>
      <c r="B3726" s="21">
        <f>IF('Journal'!B1864="","",'Journal'!B1864)</f>
        <v/>
      </c>
      <c r="C3726" s="5">
        <f>IF('Journal'!C1864="","",'Journal'!C1864)</f>
        <v/>
      </c>
      <c r="D3726" s="5">
        <f>IF('Journal'!E1864="","",IFERROR(LEFT('Journal'!E1864,FIND(" ",'Journal'!E1864)-1),'Journal'!E1864))</f>
        <v/>
      </c>
      <c r="E3726" s="5">
        <f>IF('Journal'!E1864="","",IFERROR(INDEX('Kontoplan'!$B$3:$B$302,MATCH('Journal'!E1864,'Kontoplan'!$H$3:$H$302,0)),""))</f>
        <v/>
      </c>
      <c r="F3726" s="20">
        <f>IF('Journal'!F1864="","",'Journal'!F1864)</f>
        <v/>
      </c>
      <c r="G3726" s="20">
        <f>IF('Journal'!G1864="","",'Journal'!G1864)</f>
        <v/>
      </c>
      <c r="H3726" s="5">
        <f>IF('Journal'!I1864="","",'Journal'!I1864)</f>
        <v/>
      </c>
    </row>
    <row r="3727">
      <c r="A3727" s="18">
        <f>IF('Journal'!A1865="","",'Journal'!A1865)</f>
        <v/>
      </c>
      <c r="B3727" s="21">
        <f>IF('Journal'!B1865="","",'Journal'!B1865)</f>
        <v/>
      </c>
      <c r="C3727" s="5">
        <f>IF('Journal'!C1865="","",'Journal'!C1865)</f>
        <v/>
      </c>
      <c r="D3727" s="5">
        <f>IF('Journal'!D1865="","",IFERROR(LEFT('Journal'!D1865,FIND(" ",'Journal'!D1865)-1),'Journal'!D1865))</f>
        <v/>
      </c>
      <c r="E3727" s="5">
        <f>IF('Journal'!D1865="","",IFERROR(INDEX('Kontoplan'!$B$3:$B$302,MATCH('Journal'!D1865,'Kontoplan'!$H$3:$H$302,0)),""))</f>
        <v/>
      </c>
      <c r="F3727" s="20">
        <f>IF('Journal'!G1865="","",'Journal'!G1865)</f>
        <v/>
      </c>
      <c r="G3727" s="20">
        <f>IF('Journal'!F1865="","",'Journal'!F1865)</f>
        <v/>
      </c>
      <c r="H3727" s="5">
        <f>IF('Journal'!I1865="","",'Journal'!I1865)</f>
        <v/>
      </c>
    </row>
    <row r="3728">
      <c r="A3728" s="18">
        <f>IF('Journal'!A1865="","",'Journal'!A1865)</f>
        <v/>
      </c>
      <c r="B3728" s="21">
        <f>IF('Journal'!B1865="","",'Journal'!B1865)</f>
        <v/>
      </c>
      <c r="C3728" s="5">
        <f>IF('Journal'!C1865="","",'Journal'!C1865)</f>
        <v/>
      </c>
      <c r="D3728" s="5">
        <f>IF('Journal'!E1865="","",IFERROR(LEFT('Journal'!E1865,FIND(" ",'Journal'!E1865)-1),'Journal'!E1865))</f>
        <v/>
      </c>
      <c r="E3728" s="5">
        <f>IF('Journal'!E1865="","",IFERROR(INDEX('Kontoplan'!$B$3:$B$302,MATCH('Journal'!E1865,'Kontoplan'!$H$3:$H$302,0)),""))</f>
        <v/>
      </c>
      <c r="F3728" s="20">
        <f>IF('Journal'!F1865="","",'Journal'!F1865)</f>
        <v/>
      </c>
      <c r="G3728" s="20">
        <f>IF('Journal'!G1865="","",'Journal'!G1865)</f>
        <v/>
      </c>
      <c r="H3728" s="5">
        <f>IF('Journal'!I1865="","",'Journal'!I1865)</f>
        <v/>
      </c>
    </row>
    <row r="3729">
      <c r="A3729" s="18">
        <f>IF('Journal'!A1866="","",'Journal'!A1866)</f>
        <v/>
      </c>
      <c r="B3729" s="21">
        <f>IF('Journal'!B1866="","",'Journal'!B1866)</f>
        <v/>
      </c>
      <c r="C3729" s="5">
        <f>IF('Journal'!C1866="","",'Journal'!C1866)</f>
        <v/>
      </c>
      <c r="D3729" s="5">
        <f>IF('Journal'!D1866="","",IFERROR(LEFT('Journal'!D1866,FIND(" ",'Journal'!D1866)-1),'Journal'!D1866))</f>
        <v/>
      </c>
      <c r="E3729" s="5">
        <f>IF('Journal'!D1866="","",IFERROR(INDEX('Kontoplan'!$B$3:$B$302,MATCH('Journal'!D1866,'Kontoplan'!$H$3:$H$302,0)),""))</f>
        <v/>
      </c>
      <c r="F3729" s="20">
        <f>IF('Journal'!G1866="","",'Journal'!G1866)</f>
        <v/>
      </c>
      <c r="G3729" s="20">
        <f>IF('Journal'!F1866="","",'Journal'!F1866)</f>
        <v/>
      </c>
      <c r="H3729" s="5">
        <f>IF('Journal'!I1866="","",'Journal'!I1866)</f>
        <v/>
      </c>
    </row>
    <row r="3730">
      <c r="A3730" s="18">
        <f>IF('Journal'!A1866="","",'Journal'!A1866)</f>
        <v/>
      </c>
      <c r="B3730" s="21">
        <f>IF('Journal'!B1866="","",'Journal'!B1866)</f>
        <v/>
      </c>
      <c r="C3730" s="5">
        <f>IF('Journal'!C1866="","",'Journal'!C1866)</f>
        <v/>
      </c>
      <c r="D3730" s="5">
        <f>IF('Journal'!E1866="","",IFERROR(LEFT('Journal'!E1866,FIND(" ",'Journal'!E1866)-1),'Journal'!E1866))</f>
        <v/>
      </c>
      <c r="E3730" s="5">
        <f>IF('Journal'!E1866="","",IFERROR(INDEX('Kontoplan'!$B$3:$B$302,MATCH('Journal'!E1866,'Kontoplan'!$H$3:$H$302,0)),""))</f>
        <v/>
      </c>
      <c r="F3730" s="20">
        <f>IF('Journal'!F1866="","",'Journal'!F1866)</f>
        <v/>
      </c>
      <c r="G3730" s="20">
        <f>IF('Journal'!G1866="","",'Journal'!G1866)</f>
        <v/>
      </c>
      <c r="H3730" s="5">
        <f>IF('Journal'!I1866="","",'Journal'!I1866)</f>
        <v/>
      </c>
    </row>
    <row r="3731">
      <c r="A3731" s="18">
        <f>IF('Journal'!A1867="","",'Journal'!A1867)</f>
        <v/>
      </c>
      <c r="B3731" s="21">
        <f>IF('Journal'!B1867="","",'Journal'!B1867)</f>
        <v/>
      </c>
      <c r="C3731" s="5">
        <f>IF('Journal'!C1867="","",'Journal'!C1867)</f>
        <v/>
      </c>
      <c r="D3731" s="5">
        <f>IF('Journal'!D1867="","",IFERROR(LEFT('Journal'!D1867,FIND(" ",'Journal'!D1867)-1),'Journal'!D1867))</f>
        <v/>
      </c>
      <c r="E3731" s="5">
        <f>IF('Journal'!D1867="","",IFERROR(INDEX('Kontoplan'!$B$3:$B$302,MATCH('Journal'!D1867,'Kontoplan'!$H$3:$H$302,0)),""))</f>
        <v/>
      </c>
      <c r="F3731" s="20">
        <f>IF('Journal'!G1867="","",'Journal'!G1867)</f>
        <v/>
      </c>
      <c r="G3731" s="20">
        <f>IF('Journal'!F1867="","",'Journal'!F1867)</f>
        <v/>
      </c>
      <c r="H3731" s="5">
        <f>IF('Journal'!I1867="","",'Journal'!I1867)</f>
        <v/>
      </c>
    </row>
    <row r="3732">
      <c r="A3732" s="18">
        <f>IF('Journal'!A1867="","",'Journal'!A1867)</f>
        <v/>
      </c>
      <c r="B3732" s="21">
        <f>IF('Journal'!B1867="","",'Journal'!B1867)</f>
        <v/>
      </c>
      <c r="C3732" s="5">
        <f>IF('Journal'!C1867="","",'Journal'!C1867)</f>
        <v/>
      </c>
      <c r="D3732" s="5">
        <f>IF('Journal'!E1867="","",IFERROR(LEFT('Journal'!E1867,FIND(" ",'Journal'!E1867)-1),'Journal'!E1867))</f>
        <v/>
      </c>
      <c r="E3732" s="5">
        <f>IF('Journal'!E1867="","",IFERROR(INDEX('Kontoplan'!$B$3:$B$302,MATCH('Journal'!E1867,'Kontoplan'!$H$3:$H$302,0)),""))</f>
        <v/>
      </c>
      <c r="F3732" s="20">
        <f>IF('Journal'!F1867="","",'Journal'!F1867)</f>
        <v/>
      </c>
      <c r="G3732" s="20">
        <f>IF('Journal'!G1867="","",'Journal'!G1867)</f>
        <v/>
      </c>
      <c r="H3732" s="5">
        <f>IF('Journal'!I1867="","",'Journal'!I1867)</f>
        <v/>
      </c>
    </row>
    <row r="3733">
      <c r="A3733" s="18">
        <f>IF('Journal'!A1868="","",'Journal'!A1868)</f>
        <v/>
      </c>
      <c r="B3733" s="21">
        <f>IF('Journal'!B1868="","",'Journal'!B1868)</f>
        <v/>
      </c>
      <c r="C3733" s="5">
        <f>IF('Journal'!C1868="","",'Journal'!C1868)</f>
        <v/>
      </c>
      <c r="D3733" s="5">
        <f>IF('Journal'!D1868="","",IFERROR(LEFT('Journal'!D1868,FIND(" ",'Journal'!D1868)-1),'Journal'!D1868))</f>
        <v/>
      </c>
      <c r="E3733" s="5">
        <f>IF('Journal'!D1868="","",IFERROR(INDEX('Kontoplan'!$B$3:$B$302,MATCH('Journal'!D1868,'Kontoplan'!$H$3:$H$302,0)),""))</f>
        <v/>
      </c>
      <c r="F3733" s="20">
        <f>IF('Journal'!G1868="","",'Journal'!G1868)</f>
        <v/>
      </c>
      <c r="G3733" s="20">
        <f>IF('Journal'!F1868="","",'Journal'!F1868)</f>
        <v/>
      </c>
      <c r="H3733" s="5">
        <f>IF('Journal'!I1868="","",'Journal'!I1868)</f>
        <v/>
      </c>
    </row>
    <row r="3734">
      <c r="A3734" s="18">
        <f>IF('Journal'!A1868="","",'Journal'!A1868)</f>
        <v/>
      </c>
      <c r="B3734" s="21">
        <f>IF('Journal'!B1868="","",'Journal'!B1868)</f>
        <v/>
      </c>
      <c r="C3734" s="5">
        <f>IF('Journal'!C1868="","",'Journal'!C1868)</f>
        <v/>
      </c>
      <c r="D3734" s="5">
        <f>IF('Journal'!E1868="","",IFERROR(LEFT('Journal'!E1868,FIND(" ",'Journal'!E1868)-1),'Journal'!E1868))</f>
        <v/>
      </c>
      <c r="E3734" s="5">
        <f>IF('Journal'!E1868="","",IFERROR(INDEX('Kontoplan'!$B$3:$B$302,MATCH('Journal'!E1868,'Kontoplan'!$H$3:$H$302,0)),""))</f>
        <v/>
      </c>
      <c r="F3734" s="20">
        <f>IF('Journal'!F1868="","",'Journal'!F1868)</f>
        <v/>
      </c>
      <c r="G3734" s="20">
        <f>IF('Journal'!G1868="","",'Journal'!G1868)</f>
        <v/>
      </c>
      <c r="H3734" s="5">
        <f>IF('Journal'!I1868="","",'Journal'!I1868)</f>
        <v/>
      </c>
    </row>
    <row r="3735">
      <c r="A3735" s="18">
        <f>IF('Journal'!A1869="","",'Journal'!A1869)</f>
        <v/>
      </c>
      <c r="B3735" s="21">
        <f>IF('Journal'!B1869="","",'Journal'!B1869)</f>
        <v/>
      </c>
      <c r="C3735" s="5">
        <f>IF('Journal'!C1869="","",'Journal'!C1869)</f>
        <v/>
      </c>
      <c r="D3735" s="5">
        <f>IF('Journal'!D1869="","",IFERROR(LEFT('Journal'!D1869,FIND(" ",'Journal'!D1869)-1),'Journal'!D1869))</f>
        <v/>
      </c>
      <c r="E3735" s="5">
        <f>IF('Journal'!D1869="","",IFERROR(INDEX('Kontoplan'!$B$3:$B$302,MATCH('Journal'!D1869,'Kontoplan'!$H$3:$H$302,0)),""))</f>
        <v/>
      </c>
      <c r="F3735" s="20">
        <f>IF('Journal'!G1869="","",'Journal'!G1869)</f>
        <v/>
      </c>
      <c r="G3735" s="20">
        <f>IF('Journal'!F1869="","",'Journal'!F1869)</f>
        <v/>
      </c>
      <c r="H3735" s="5">
        <f>IF('Journal'!I1869="","",'Journal'!I1869)</f>
        <v/>
      </c>
    </row>
    <row r="3736">
      <c r="A3736" s="18">
        <f>IF('Journal'!A1869="","",'Journal'!A1869)</f>
        <v/>
      </c>
      <c r="B3736" s="21">
        <f>IF('Journal'!B1869="","",'Journal'!B1869)</f>
        <v/>
      </c>
      <c r="C3736" s="5">
        <f>IF('Journal'!C1869="","",'Journal'!C1869)</f>
        <v/>
      </c>
      <c r="D3736" s="5">
        <f>IF('Journal'!E1869="","",IFERROR(LEFT('Journal'!E1869,FIND(" ",'Journal'!E1869)-1),'Journal'!E1869))</f>
        <v/>
      </c>
      <c r="E3736" s="5">
        <f>IF('Journal'!E1869="","",IFERROR(INDEX('Kontoplan'!$B$3:$B$302,MATCH('Journal'!E1869,'Kontoplan'!$H$3:$H$302,0)),""))</f>
        <v/>
      </c>
      <c r="F3736" s="20">
        <f>IF('Journal'!F1869="","",'Journal'!F1869)</f>
        <v/>
      </c>
      <c r="G3736" s="20">
        <f>IF('Journal'!G1869="","",'Journal'!G1869)</f>
        <v/>
      </c>
      <c r="H3736" s="5">
        <f>IF('Journal'!I1869="","",'Journal'!I1869)</f>
        <v/>
      </c>
    </row>
    <row r="3737">
      <c r="A3737" s="18">
        <f>IF('Journal'!A1870="","",'Journal'!A1870)</f>
        <v/>
      </c>
      <c r="B3737" s="21">
        <f>IF('Journal'!B1870="","",'Journal'!B1870)</f>
        <v/>
      </c>
      <c r="C3737" s="5">
        <f>IF('Journal'!C1870="","",'Journal'!C1870)</f>
        <v/>
      </c>
      <c r="D3737" s="5">
        <f>IF('Journal'!D1870="","",IFERROR(LEFT('Journal'!D1870,FIND(" ",'Journal'!D1870)-1),'Journal'!D1870))</f>
        <v/>
      </c>
      <c r="E3737" s="5">
        <f>IF('Journal'!D1870="","",IFERROR(INDEX('Kontoplan'!$B$3:$B$302,MATCH('Journal'!D1870,'Kontoplan'!$H$3:$H$302,0)),""))</f>
        <v/>
      </c>
      <c r="F3737" s="20">
        <f>IF('Journal'!G1870="","",'Journal'!G1870)</f>
        <v/>
      </c>
      <c r="G3737" s="20">
        <f>IF('Journal'!F1870="","",'Journal'!F1870)</f>
        <v/>
      </c>
      <c r="H3737" s="5">
        <f>IF('Journal'!I1870="","",'Journal'!I1870)</f>
        <v/>
      </c>
    </row>
    <row r="3738">
      <c r="A3738" s="18">
        <f>IF('Journal'!A1870="","",'Journal'!A1870)</f>
        <v/>
      </c>
      <c r="B3738" s="21">
        <f>IF('Journal'!B1870="","",'Journal'!B1870)</f>
        <v/>
      </c>
      <c r="C3738" s="5">
        <f>IF('Journal'!C1870="","",'Journal'!C1870)</f>
        <v/>
      </c>
      <c r="D3738" s="5">
        <f>IF('Journal'!E1870="","",IFERROR(LEFT('Journal'!E1870,FIND(" ",'Journal'!E1870)-1),'Journal'!E1870))</f>
        <v/>
      </c>
      <c r="E3738" s="5">
        <f>IF('Journal'!E1870="","",IFERROR(INDEX('Kontoplan'!$B$3:$B$302,MATCH('Journal'!E1870,'Kontoplan'!$H$3:$H$302,0)),""))</f>
        <v/>
      </c>
      <c r="F3738" s="20">
        <f>IF('Journal'!F1870="","",'Journal'!F1870)</f>
        <v/>
      </c>
      <c r="G3738" s="20">
        <f>IF('Journal'!G1870="","",'Journal'!G1870)</f>
        <v/>
      </c>
      <c r="H3738" s="5">
        <f>IF('Journal'!I1870="","",'Journal'!I1870)</f>
        <v/>
      </c>
    </row>
    <row r="3739">
      <c r="A3739" s="18">
        <f>IF('Journal'!A1871="","",'Journal'!A1871)</f>
        <v/>
      </c>
      <c r="B3739" s="21">
        <f>IF('Journal'!B1871="","",'Journal'!B1871)</f>
        <v/>
      </c>
      <c r="C3739" s="5">
        <f>IF('Journal'!C1871="","",'Journal'!C1871)</f>
        <v/>
      </c>
      <c r="D3739" s="5">
        <f>IF('Journal'!D1871="","",IFERROR(LEFT('Journal'!D1871,FIND(" ",'Journal'!D1871)-1),'Journal'!D1871))</f>
        <v/>
      </c>
      <c r="E3739" s="5">
        <f>IF('Journal'!D1871="","",IFERROR(INDEX('Kontoplan'!$B$3:$B$302,MATCH('Journal'!D1871,'Kontoplan'!$H$3:$H$302,0)),""))</f>
        <v/>
      </c>
      <c r="F3739" s="20">
        <f>IF('Journal'!G1871="","",'Journal'!G1871)</f>
        <v/>
      </c>
      <c r="G3739" s="20">
        <f>IF('Journal'!F1871="","",'Journal'!F1871)</f>
        <v/>
      </c>
      <c r="H3739" s="5">
        <f>IF('Journal'!I1871="","",'Journal'!I1871)</f>
        <v/>
      </c>
    </row>
    <row r="3740">
      <c r="A3740" s="18">
        <f>IF('Journal'!A1871="","",'Journal'!A1871)</f>
        <v/>
      </c>
      <c r="B3740" s="21">
        <f>IF('Journal'!B1871="","",'Journal'!B1871)</f>
        <v/>
      </c>
      <c r="C3740" s="5">
        <f>IF('Journal'!C1871="","",'Journal'!C1871)</f>
        <v/>
      </c>
      <c r="D3740" s="5">
        <f>IF('Journal'!E1871="","",IFERROR(LEFT('Journal'!E1871,FIND(" ",'Journal'!E1871)-1),'Journal'!E1871))</f>
        <v/>
      </c>
      <c r="E3740" s="5">
        <f>IF('Journal'!E1871="","",IFERROR(INDEX('Kontoplan'!$B$3:$B$302,MATCH('Journal'!E1871,'Kontoplan'!$H$3:$H$302,0)),""))</f>
        <v/>
      </c>
      <c r="F3740" s="20">
        <f>IF('Journal'!F1871="","",'Journal'!F1871)</f>
        <v/>
      </c>
      <c r="G3740" s="20">
        <f>IF('Journal'!G1871="","",'Journal'!G1871)</f>
        <v/>
      </c>
      <c r="H3740" s="5">
        <f>IF('Journal'!I1871="","",'Journal'!I1871)</f>
        <v/>
      </c>
    </row>
    <row r="3741">
      <c r="A3741" s="18">
        <f>IF('Journal'!A1872="","",'Journal'!A1872)</f>
        <v/>
      </c>
      <c r="B3741" s="21">
        <f>IF('Journal'!B1872="","",'Journal'!B1872)</f>
        <v/>
      </c>
      <c r="C3741" s="5">
        <f>IF('Journal'!C1872="","",'Journal'!C1872)</f>
        <v/>
      </c>
      <c r="D3741" s="5">
        <f>IF('Journal'!D1872="","",IFERROR(LEFT('Journal'!D1872,FIND(" ",'Journal'!D1872)-1),'Journal'!D1872))</f>
        <v/>
      </c>
      <c r="E3741" s="5">
        <f>IF('Journal'!D1872="","",IFERROR(INDEX('Kontoplan'!$B$3:$B$302,MATCH('Journal'!D1872,'Kontoplan'!$H$3:$H$302,0)),""))</f>
        <v/>
      </c>
      <c r="F3741" s="20">
        <f>IF('Journal'!G1872="","",'Journal'!G1872)</f>
        <v/>
      </c>
      <c r="G3741" s="20">
        <f>IF('Journal'!F1872="","",'Journal'!F1872)</f>
        <v/>
      </c>
      <c r="H3741" s="5">
        <f>IF('Journal'!I1872="","",'Journal'!I1872)</f>
        <v/>
      </c>
    </row>
    <row r="3742">
      <c r="A3742" s="18">
        <f>IF('Journal'!A1872="","",'Journal'!A1872)</f>
        <v/>
      </c>
      <c r="B3742" s="21">
        <f>IF('Journal'!B1872="","",'Journal'!B1872)</f>
        <v/>
      </c>
      <c r="C3742" s="5">
        <f>IF('Journal'!C1872="","",'Journal'!C1872)</f>
        <v/>
      </c>
      <c r="D3742" s="5">
        <f>IF('Journal'!E1872="","",IFERROR(LEFT('Journal'!E1872,FIND(" ",'Journal'!E1872)-1),'Journal'!E1872))</f>
        <v/>
      </c>
      <c r="E3742" s="5">
        <f>IF('Journal'!E1872="","",IFERROR(INDEX('Kontoplan'!$B$3:$B$302,MATCH('Journal'!E1872,'Kontoplan'!$H$3:$H$302,0)),""))</f>
        <v/>
      </c>
      <c r="F3742" s="20">
        <f>IF('Journal'!F1872="","",'Journal'!F1872)</f>
        <v/>
      </c>
      <c r="G3742" s="20">
        <f>IF('Journal'!G1872="","",'Journal'!G1872)</f>
        <v/>
      </c>
      <c r="H3742" s="5">
        <f>IF('Journal'!I1872="","",'Journal'!I1872)</f>
        <v/>
      </c>
    </row>
    <row r="3743">
      <c r="A3743" s="18">
        <f>IF('Journal'!A1873="","",'Journal'!A1873)</f>
        <v/>
      </c>
      <c r="B3743" s="21">
        <f>IF('Journal'!B1873="","",'Journal'!B1873)</f>
        <v/>
      </c>
      <c r="C3743" s="5">
        <f>IF('Journal'!C1873="","",'Journal'!C1873)</f>
        <v/>
      </c>
      <c r="D3743" s="5">
        <f>IF('Journal'!D1873="","",IFERROR(LEFT('Journal'!D1873,FIND(" ",'Journal'!D1873)-1),'Journal'!D1873))</f>
        <v/>
      </c>
      <c r="E3743" s="5">
        <f>IF('Journal'!D1873="","",IFERROR(INDEX('Kontoplan'!$B$3:$B$302,MATCH('Journal'!D1873,'Kontoplan'!$H$3:$H$302,0)),""))</f>
        <v/>
      </c>
      <c r="F3743" s="20">
        <f>IF('Journal'!G1873="","",'Journal'!G1873)</f>
        <v/>
      </c>
      <c r="G3743" s="20">
        <f>IF('Journal'!F1873="","",'Journal'!F1873)</f>
        <v/>
      </c>
      <c r="H3743" s="5">
        <f>IF('Journal'!I1873="","",'Journal'!I1873)</f>
        <v/>
      </c>
    </row>
    <row r="3744">
      <c r="A3744" s="18">
        <f>IF('Journal'!A1873="","",'Journal'!A1873)</f>
        <v/>
      </c>
      <c r="B3744" s="21">
        <f>IF('Journal'!B1873="","",'Journal'!B1873)</f>
        <v/>
      </c>
      <c r="C3744" s="5">
        <f>IF('Journal'!C1873="","",'Journal'!C1873)</f>
        <v/>
      </c>
      <c r="D3744" s="5">
        <f>IF('Journal'!E1873="","",IFERROR(LEFT('Journal'!E1873,FIND(" ",'Journal'!E1873)-1),'Journal'!E1873))</f>
        <v/>
      </c>
      <c r="E3744" s="5">
        <f>IF('Journal'!E1873="","",IFERROR(INDEX('Kontoplan'!$B$3:$B$302,MATCH('Journal'!E1873,'Kontoplan'!$H$3:$H$302,0)),""))</f>
        <v/>
      </c>
      <c r="F3744" s="20">
        <f>IF('Journal'!F1873="","",'Journal'!F1873)</f>
        <v/>
      </c>
      <c r="G3744" s="20">
        <f>IF('Journal'!G1873="","",'Journal'!G1873)</f>
        <v/>
      </c>
      <c r="H3744" s="5">
        <f>IF('Journal'!I1873="","",'Journal'!I1873)</f>
        <v/>
      </c>
    </row>
    <row r="3745">
      <c r="A3745" s="18">
        <f>IF('Journal'!A1874="","",'Journal'!A1874)</f>
        <v/>
      </c>
      <c r="B3745" s="21">
        <f>IF('Journal'!B1874="","",'Journal'!B1874)</f>
        <v/>
      </c>
      <c r="C3745" s="5">
        <f>IF('Journal'!C1874="","",'Journal'!C1874)</f>
        <v/>
      </c>
      <c r="D3745" s="5">
        <f>IF('Journal'!D1874="","",IFERROR(LEFT('Journal'!D1874,FIND(" ",'Journal'!D1874)-1),'Journal'!D1874))</f>
        <v/>
      </c>
      <c r="E3745" s="5">
        <f>IF('Journal'!D1874="","",IFERROR(INDEX('Kontoplan'!$B$3:$B$302,MATCH('Journal'!D1874,'Kontoplan'!$H$3:$H$302,0)),""))</f>
        <v/>
      </c>
      <c r="F3745" s="20">
        <f>IF('Journal'!G1874="","",'Journal'!G1874)</f>
        <v/>
      </c>
      <c r="G3745" s="20">
        <f>IF('Journal'!F1874="","",'Journal'!F1874)</f>
        <v/>
      </c>
      <c r="H3745" s="5">
        <f>IF('Journal'!I1874="","",'Journal'!I1874)</f>
        <v/>
      </c>
    </row>
    <row r="3746">
      <c r="A3746" s="18">
        <f>IF('Journal'!A1874="","",'Journal'!A1874)</f>
        <v/>
      </c>
      <c r="B3746" s="21">
        <f>IF('Journal'!B1874="","",'Journal'!B1874)</f>
        <v/>
      </c>
      <c r="C3746" s="5">
        <f>IF('Journal'!C1874="","",'Journal'!C1874)</f>
        <v/>
      </c>
      <c r="D3746" s="5">
        <f>IF('Journal'!E1874="","",IFERROR(LEFT('Journal'!E1874,FIND(" ",'Journal'!E1874)-1),'Journal'!E1874))</f>
        <v/>
      </c>
      <c r="E3746" s="5">
        <f>IF('Journal'!E1874="","",IFERROR(INDEX('Kontoplan'!$B$3:$B$302,MATCH('Journal'!E1874,'Kontoplan'!$H$3:$H$302,0)),""))</f>
        <v/>
      </c>
      <c r="F3746" s="20">
        <f>IF('Journal'!F1874="","",'Journal'!F1874)</f>
        <v/>
      </c>
      <c r="G3746" s="20">
        <f>IF('Journal'!G1874="","",'Journal'!G1874)</f>
        <v/>
      </c>
      <c r="H3746" s="5">
        <f>IF('Journal'!I1874="","",'Journal'!I1874)</f>
        <v/>
      </c>
    </row>
    <row r="3747">
      <c r="A3747" s="18">
        <f>IF('Journal'!A1875="","",'Journal'!A1875)</f>
        <v/>
      </c>
      <c r="B3747" s="21">
        <f>IF('Journal'!B1875="","",'Journal'!B1875)</f>
        <v/>
      </c>
      <c r="C3747" s="5">
        <f>IF('Journal'!C1875="","",'Journal'!C1875)</f>
        <v/>
      </c>
      <c r="D3747" s="5">
        <f>IF('Journal'!D1875="","",IFERROR(LEFT('Journal'!D1875,FIND(" ",'Journal'!D1875)-1),'Journal'!D1875))</f>
        <v/>
      </c>
      <c r="E3747" s="5">
        <f>IF('Journal'!D1875="","",IFERROR(INDEX('Kontoplan'!$B$3:$B$302,MATCH('Journal'!D1875,'Kontoplan'!$H$3:$H$302,0)),""))</f>
        <v/>
      </c>
      <c r="F3747" s="20">
        <f>IF('Journal'!G1875="","",'Journal'!G1875)</f>
        <v/>
      </c>
      <c r="G3747" s="20">
        <f>IF('Journal'!F1875="","",'Journal'!F1875)</f>
        <v/>
      </c>
      <c r="H3747" s="5">
        <f>IF('Journal'!I1875="","",'Journal'!I1875)</f>
        <v/>
      </c>
    </row>
    <row r="3748">
      <c r="A3748" s="18">
        <f>IF('Journal'!A1875="","",'Journal'!A1875)</f>
        <v/>
      </c>
      <c r="B3748" s="21">
        <f>IF('Journal'!B1875="","",'Journal'!B1875)</f>
        <v/>
      </c>
      <c r="C3748" s="5">
        <f>IF('Journal'!C1875="","",'Journal'!C1875)</f>
        <v/>
      </c>
      <c r="D3748" s="5">
        <f>IF('Journal'!E1875="","",IFERROR(LEFT('Journal'!E1875,FIND(" ",'Journal'!E1875)-1),'Journal'!E1875))</f>
        <v/>
      </c>
      <c r="E3748" s="5">
        <f>IF('Journal'!E1875="","",IFERROR(INDEX('Kontoplan'!$B$3:$B$302,MATCH('Journal'!E1875,'Kontoplan'!$H$3:$H$302,0)),""))</f>
        <v/>
      </c>
      <c r="F3748" s="20">
        <f>IF('Journal'!F1875="","",'Journal'!F1875)</f>
        <v/>
      </c>
      <c r="G3748" s="20">
        <f>IF('Journal'!G1875="","",'Journal'!G1875)</f>
        <v/>
      </c>
      <c r="H3748" s="5">
        <f>IF('Journal'!I1875="","",'Journal'!I1875)</f>
        <v/>
      </c>
    </row>
    <row r="3749">
      <c r="A3749" s="18">
        <f>IF('Journal'!A1876="","",'Journal'!A1876)</f>
        <v/>
      </c>
      <c r="B3749" s="21">
        <f>IF('Journal'!B1876="","",'Journal'!B1876)</f>
        <v/>
      </c>
      <c r="C3749" s="5">
        <f>IF('Journal'!C1876="","",'Journal'!C1876)</f>
        <v/>
      </c>
      <c r="D3749" s="5">
        <f>IF('Journal'!D1876="","",IFERROR(LEFT('Journal'!D1876,FIND(" ",'Journal'!D1876)-1),'Journal'!D1876))</f>
        <v/>
      </c>
      <c r="E3749" s="5">
        <f>IF('Journal'!D1876="","",IFERROR(INDEX('Kontoplan'!$B$3:$B$302,MATCH('Journal'!D1876,'Kontoplan'!$H$3:$H$302,0)),""))</f>
        <v/>
      </c>
      <c r="F3749" s="20">
        <f>IF('Journal'!G1876="","",'Journal'!G1876)</f>
        <v/>
      </c>
      <c r="G3749" s="20">
        <f>IF('Journal'!F1876="","",'Journal'!F1876)</f>
        <v/>
      </c>
      <c r="H3749" s="5">
        <f>IF('Journal'!I1876="","",'Journal'!I1876)</f>
        <v/>
      </c>
    </row>
    <row r="3750">
      <c r="A3750" s="18">
        <f>IF('Journal'!A1876="","",'Journal'!A1876)</f>
        <v/>
      </c>
      <c r="B3750" s="21">
        <f>IF('Journal'!B1876="","",'Journal'!B1876)</f>
        <v/>
      </c>
      <c r="C3750" s="5">
        <f>IF('Journal'!C1876="","",'Journal'!C1876)</f>
        <v/>
      </c>
      <c r="D3750" s="5">
        <f>IF('Journal'!E1876="","",IFERROR(LEFT('Journal'!E1876,FIND(" ",'Journal'!E1876)-1),'Journal'!E1876))</f>
        <v/>
      </c>
      <c r="E3750" s="5">
        <f>IF('Journal'!E1876="","",IFERROR(INDEX('Kontoplan'!$B$3:$B$302,MATCH('Journal'!E1876,'Kontoplan'!$H$3:$H$302,0)),""))</f>
        <v/>
      </c>
      <c r="F3750" s="20">
        <f>IF('Journal'!F1876="","",'Journal'!F1876)</f>
        <v/>
      </c>
      <c r="G3750" s="20">
        <f>IF('Journal'!G1876="","",'Journal'!G1876)</f>
        <v/>
      </c>
      <c r="H3750" s="5">
        <f>IF('Journal'!I1876="","",'Journal'!I1876)</f>
        <v/>
      </c>
    </row>
    <row r="3751">
      <c r="A3751" s="18">
        <f>IF('Journal'!A1877="","",'Journal'!A1877)</f>
        <v/>
      </c>
      <c r="B3751" s="21">
        <f>IF('Journal'!B1877="","",'Journal'!B1877)</f>
        <v/>
      </c>
      <c r="C3751" s="5">
        <f>IF('Journal'!C1877="","",'Journal'!C1877)</f>
        <v/>
      </c>
      <c r="D3751" s="5">
        <f>IF('Journal'!D1877="","",IFERROR(LEFT('Journal'!D1877,FIND(" ",'Journal'!D1877)-1),'Journal'!D1877))</f>
        <v/>
      </c>
      <c r="E3751" s="5">
        <f>IF('Journal'!D1877="","",IFERROR(INDEX('Kontoplan'!$B$3:$B$302,MATCH('Journal'!D1877,'Kontoplan'!$H$3:$H$302,0)),""))</f>
        <v/>
      </c>
      <c r="F3751" s="20">
        <f>IF('Journal'!G1877="","",'Journal'!G1877)</f>
        <v/>
      </c>
      <c r="G3751" s="20">
        <f>IF('Journal'!F1877="","",'Journal'!F1877)</f>
        <v/>
      </c>
      <c r="H3751" s="5">
        <f>IF('Journal'!I1877="","",'Journal'!I1877)</f>
        <v/>
      </c>
    </row>
    <row r="3752">
      <c r="A3752" s="18">
        <f>IF('Journal'!A1877="","",'Journal'!A1877)</f>
        <v/>
      </c>
      <c r="B3752" s="21">
        <f>IF('Journal'!B1877="","",'Journal'!B1877)</f>
        <v/>
      </c>
      <c r="C3752" s="5">
        <f>IF('Journal'!C1877="","",'Journal'!C1877)</f>
        <v/>
      </c>
      <c r="D3752" s="5">
        <f>IF('Journal'!E1877="","",IFERROR(LEFT('Journal'!E1877,FIND(" ",'Journal'!E1877)-1),'Journal'!E1877))</f>
        <v/>
      </c>
      <c r="E3752" s="5">
        <f>IF('Journal'!E1877="","",IFERROR(INDEX('Kontoplan'!$B$3:$B$302,MATCH('Journal'!E1877,'Kontoplan'!$H$3:$H$302,0)),""))</f>
        <v/>
      </c>
      <c r="F3752" s="20">
        <f>IF('Journal'!F1877="","",'Journal'!F1877)</f>
        <v/>
      </c>
      <c r="G3752" s="20">
        <f>IF('Journal'!G1877="","",'Journal'!G1877)</f>
        <v/>
      </c>
      <c r="H3752" s="5">
        <f>IF('Journal'!I1877="","",'Journal'!I1877)</f>
        <v/>
      </c>
    </row>
    <row r="3753">
      <c r="A3753" s="18">
        <f>IF('Journal'!A1878="","",'Journal'!A1878)</f>
        <v/>
      </c>
      <c r="B3753" s="21">
        <f>IF('Journal'!B1878="","",'Journal'!B1878)</f>
        <v/>
      </c>
      <c r="C3753" s="5">
        <f>IF('Journal'!C1878="","",'Journal'!C1878)</f>
        <v/>
      </c>
      <c r="D3753" s="5">
        <f>IF('Journal'!D1878="","",IFERROR(LEFT('Journal'!D1878,FIND(" ",'Journal'!D1878)-1),'Journal'!D1878))</f>
        <v/>
      </c>
      <c r="E3753" s="5">
        <f>IF('Journal'!D1878="","",IFERROR(INDEX('Kontoplan'!$B$3:$B$302,MATCH('Journal'!D1878,'Kontoplan'!$H$3:$H$302,0)),""))</f>
        <v/>
      </c>
      <c r="F3753" s="20">
        <f>IF('Journal'!G1878="","",'Journal'!G1878)</f>
        <v/>
      </c>
      <c r="G3753" s="20">
        <f>IF('Journal'!F1878="","",'Journal'!F1878)</f>
        <v/>
      </c>
      <c r="H3753" s="5">
        <f>IF('Journal'!I1878="","",'Journal'!I1878)</f>
        <v/>
      </c>
    </row>
    <row r="3754">
      <c r="A3754" s="18">
        <f>IF('Journal'!A1878="","",'Journal'!A1878)</f>
        <v/>
      </c>
      <c r="B3754" s="21">
        <f>IF('Journal'!B1878="","",'Journal'!B1878)</f>
        <v/>
      </c>
      <c r="C3754" s="5">
        <f>IF('Journal'!C1878="","",'Journal'!C1878)</f>
        <v/>
      </c>
      <c r="D3754" s="5">
        <f>IF('Journal'!E1878="","",IFERROR(LEFT('Journal'!E1878,FIND(" ",'Journal'!E1878)-1),'Journal'!E1878))</f>
        <v/>
      </c>
      <c r="E3754" s="5">
        <f>IF('Journal'!E1878="","",IFERROR(INDEX('Kontoplan'!$B$3:$B$302,MATCH('Journal'!E1878,'Kontoplan'!$H$3:$H$302,0)),""))</f>
        <v/>
      </c>
      <c r="F3754" s="20">
        <f>IF('Journal'!F1878="","",'Journal'!F1878)</f>
        <v/>
      </c>
      <c r="G3754" s="20">
        <f>IF('Journal'!G1878="","",'Journal'!G1878)</f>
        <v/>
      </c>
      <c r="H3754" s="5">
        <f>IF('Journal'!I1878="","",'Journal'!I1878)</f>
        <v/>
      </c>
    </row>
    <row r="3755">
      <c r="A3755" s="18">
        <f>IF('Journal'!A1879="","",'Journal'!A1879)</f>
        <v/>
      </c>
      <c r="B3755" s="21">
        <f>IF('Journal'!B1879="","",'Journal'!B1879)</f>
        <v/>
      </c>
      <c r="C3755" s="5">
        <f>IF('Journal'!C1879="","",'Journal'!C1879)</f>
        <v/>
      </c>
      <c r="D3755" s="5">
        <f>IF('Journal'!D1879="","",IFERROR(LEFT('Journal'!D1879,FIND(" ",'Journal'!D1879)-1),'Journal'!D1879))</f>
        <v/>
      </c>
      <c r="E3755" s="5">
        <f>IF('Journal'!D1879="","",IFERROR(INDEX('Kontoplan'!$B$3:$B$302,MATCH('Journal'!D1879,'Kontoplan'!$H$3:$H$302,0)),""))</f>
        <v/>
      </c>
      <c r="F3755" s="20">
        <f>IF('Journal'!G1879="","",'Journal'!G1879)</f>
        <v/>
      </c>
      <c r="G3755" s="20">
        <f>IF('Journal'!F1879="","",'Journal'!F1879)</f>
        <v/>
      </c>
      <c r="H3755" s="5">
        <f>IF('Journal'!I1879="","",'Journal'!I1879)</f>
        <v/>
      </c>
    </row>
    <row r="3756">
      <c r="A3756" s="18">
        <f>IF('Journal'!A1879="","",'Journal'!A1879)</f>
        <v/>
      </c>
      <c r="B3756" s="21">
        <f>IF('Journal'!B1879="","",'Journal'!B1879)</f>
        <v/>
      </c>
      <c r="C3756" s="5">
        <f>IF('Journal'!C1879="","",'Journal'!C1879)</f>
        <v/>
      </c>
      <c r="D3756" s="5">
        <f>IF('Journal'!E1879="","",IFERROR(LEFT('Journal'!E1879,FIND(" ",'Journal'!E1879)-1),'Journal'!E1879))</f>
        <v/>
      </c>
      <c r="E3756" s="5">
        <f>IF('Journal'!E1879="","",IFERROR(INDEX('Kontoplan'!$B$3:$B$302,MATCH('Journal'!E1879,'Kontoplan'!$H$3:$H$302,0)),""))</f>
        <v/>
      </c>
      <c r="F3756" s="20">
        <f>IF('Journal'!F1879="","",'Journal'!F1879)</f>
        <v/>
      </c>
      <c r="G3756" s="20">
        <f>IF('Journal'!G1879="","",'Journal'!G1879)</f>
        <v/>
      </c>
      <c r="H3756" s="5">
        <f>IF('Journal'!I1879="","",'Journal'!I1879)</f>
        <v/>
      </c>
    </row>
    <row r="3757">
      <c r="A3757" s="18">
        <f>IF('Journal'!A1880="","",'Journal'!A1880)</f>
        <v/>
      </c>
      <c r="B3757" s="21">
        <f>IF('Journal'!B1880="","",'Journal'!B1880)</f>
        <v/>
      </c>
      <c r="C3757" s="5">
        <f>IF('Journal'!C1880="","",'Journal'!C1880)</f>
        <v/>
      </c>
      <c r="D3757" s="5">
        <f>IF('Journal'!D1880="","",IFERROR(LEFT('Journal'!D1880,FIND(" ",'Journal'!D1880)-1),'Journal'!D1880))</f>
        <v/>
      </c>
      <c r="E3757" s="5">
        <f>IF('Journal'!D1880="","",IFERROR(INDEX('Kontoplan'!$B$3:$B$302,MATCH('Journal'!D1880,'Kontoplan'!$H$3:$H$302,0)),""))</f>
        <v/>
      </c>
      <c r="F3757" s="20">
        <f>IF('Journal'!G1880="","",'Journal'!G1880)</f>
        <v/>
      </c>
      <c r="G3757" s="20">
        <f>IF('Journal'!F1880="","",'Journal'!F1880)</f>
        <v/>
      </c>
      <c r="H3757" s="5">
        <f>IF('Journal'!I1880="","",'Journal'!I1880)</f>
        <v/>
      </c>
    </row>
    <row r="3758">
      <c r="A3758" s="18">
        <f>IF('Journal'!A1880="","",'Journal'!A1880)</f>
        <v/>
      </c>
      <c r="B3758" s="21">
        <f>IF('Journal'!B1880="","",'Journal'!B1880)</f>
        <v/>
      </c>
      <c r="C3758" s="5">
        <f>IF('Journal'!C1880="","",'Journal'!C1880)</f>
        <v/>
      </c>
      <c r="D3758" s="5">
        <f>IF('Journal'!E1880="","",IFERROR(LEFT('Journal'!E1880,FIND(" ",'Journal'!E1880)-1),'Journal'!E1880))</f>
        <v/>
      </c>
      <c r="E3758" s="5">
        <f>IF('Journal'!E1880="","",IFERROR(INDEX('Kontoplan'!$B$3:$B$302,MATCH('Journal'!E1880,'Kontoplan'!$H$3:$H$302,0)),""))</f>
        <v/>
      </c>
      <c r="F3758" s="20">
        <f>IF('Journal'!F1880="","",'Journal'!F1880)</f>
        <v/>
      </c>
      <c r="G3758" s="20">
        <f>IF('Journal'!G1880="","",'Journal'!G1880)</f>
        <v/>
      </c>
      <c r="H3758" s="5">
        <f>IF('Journal'!I1880="","",'Journal'!I1880)</f>
        <v/>
      </c>
    </row>
    <row r="3759">
      <c r="A3759" s="18">
        <f>IF('Journal'!A1881="","",'Journal'!A1881)</f>
        <v/>
      </c>
      <c r="B3759" s="21">
        <f>IF('Journal'!B1881="","",'Journal'!B1881)</f>
        <v/>
      </c>
      <c r="C3759" s="5">
        <f>IF('Journal'!C1881="","",'Journal'!C1881)</f>
        <v/>
      </c>
      <c r="D3759" s="5">
        <f>IF('Journal'!D1881="","",IFERROR(LEFT('Journal'!D1881,FIND(" ",'Journal'!D1881)-1),'Journal'!D1881))</f>
        <v/>
      </c>
      <c r="E3759" s="5">
        <f>IF('Journal'!D1881="","",IFERROR(INDEX('Kontoplan'!$B$3:$B$302,MATCH('Journal'!D1881,'Kontoplan'!$H$3:$H$302,0)),""))</f>
        <v/>
      </c>
      <c r="F3759" s="20">
        <f>IF('Journal'!G1881="","",'Journal'!G1881)</f>
        <v/>
      </c>
      <c r="G3759" s="20">
        <f>IF('Journal'!F1881="","",'Journal'!F1881)</f>
        <v/>
      </c>
      <c r="H3759" s="5">
        <f>IF('Journal'!I1881="","",'Journal'!I1881)</f>
        <v/>
      </c>
    </row>
    <row r="3760">
      <c r="A3760" s="18">
        <f>IF('Journal'!A1881="","",'Journal'!A1881)</f>
        <v/>
      </c>
      <c r="B3760" s="21">
        <f>IF('Journal'!B1881="","",'Journal'!B1881)</f>
        <v/>
      </c>
      <c r="C3760" s="5">
        <f>IF('Journal'!C1881="","",'Journal'!C1881)</f>
        <v/>
      </c>
      <c r="D3760" s="5">
        <f>IF('Journal'!E1881="","",IFERROR(LEFT('Journal'!E1881,FIND(" ",'Journal'!E1881)-1),'Journal'!E1881))</f>
        <v/>
      </c>
      <c r="E3760" s="5">
        <f>IF('Journal'!E1881="","",IFERROR(INDEX('Kontoplan'!$B$3:$B$302,MATCH('Journal'!E1881,'Kontoplan'!$H$3:$H$302,0)),""))</f>
        <v/>
      </c>
      <c r="F3760" s="20">
        <f>IF('Journal'!F1881="","",'Journal'!F1881)</f>
        <v/>
      </c>
      <c r="G3760" s="20">
        <f>IF('Journal'!G1881="","",'Journal'!G1881)</f>
        <v/>
      </c>
      <c r="H3760" s="5">
        <f>IF('Journal'!I1881="","",'Journal'!I1881)</f>
        <v/>
      </c>
    </row>
    <row r="3761">
      <c r="A3761" s="18">
        <f>IF('Journal'!A1882="","",'Journal'!A1882)</f>
        <v/>
      </c>
      <c r="B3761" s="21">
        <f>IF('Journal'!B1882="","",'Journal'!B1882)</f>
        <v/>
      </c>
      <c r="C3761" s="5">
        <f>IF('Journal'!C1882="","",'Journal'!C1882)</f>
        <v/>
      </c>
      <c r="D3761" s="5">
        <f>IF('Journal'!D1882="","",IFERROR(LEFT('Journal'!D1882,FIND(" ",'Journal'!D1882)-1),'Journal'!D1882))</f>
        <v/>
      </c>
      <c r="E3761" s="5">
        <f>IF('Journal'!D1882="","",IFERROR(INDEX('Kontoplan'!$B$3:$B$302,MATCH('Journal'!D1882,'Kontoplan'!$H$3:$H$302,0)),""))</f>
        <v/>
      </c>
      <c r="F3761" s="20">
        <f>IF('Journal'!G1882="","",'Journal'!G1882)</f>
        <v/>
      </c>
      <c r="G3761" s="20">
        <f>IF('Journal'!F1882="","",'Journal'!F1882)</f>
        <v/>
      </c>
      <c r="H3761" s="5">
        <f>IF('Journal'!I1882="","",'Journal'!I1882)</f>
        <v/>
      </c>
    </row>
    <row r="3762">
      <c r="A3762" s="18">
        <f>IF('Journal'!A1882="","",'Journal'!A1882)</f>
        <v/>
      </c>
      <c r="B3762" s="21">
        <f>IF('Journal'!B1882="","",'Journal'!B1882)</f>
        <v/>
      </c>
      <c r="C3762" s="5">
        <f>IF('Journal'!C1882="","",'Journal'!C1882)</f>
        <v/>
      </c>
      <c r="D3762" s="5">
        <f>IF('Journal'!E1882="","",IFERROR(LEFT('Journal'!E1882,FIND(" ",'Journal'!E1882)-1),'Journal'!E1882))</f>
        <v/>
      </c>
      <c r="E3762" s="5">
        <f>IF('Journal'!E1882="","",IFERROR(INDEX('Kontoplan'!$B$3:$B$302,MATCH('Journal'!E1882,'Kontoplan'!$H$3:$H$302,0)),""))</f>
        <v/>
      </c>
      <c r="F3762" s="20">
        <f>IF('Journal'!F1882="","",'Journal'!F1882)</f>
        <v/>
      </c>
      <c r="G3762" s="20">
        <f>IF('Journal'!G1882="","",'Journal'!G1882)</f>
        <v/>
      </c>
      <c r="H3762" s="5">
        <f>IF('Journal'!I1882="","",'Journal'!I1882)</f>
        <v/>
      </c>
    </row>
    <row r="3763">
      <c r="A3763" s="18">
        <f>IF('Journal'!A1883="","",'Journal'!A1883)</f>
        <v/>
      </c>
      <c r="B3763" s="21">
        <f>IF('Journal'!B1883="","",'Journal'!B1883)</f>
        <v/>
      </c>
      <c r="C3763" s="5">
        <f>IF('Journal'!C1883="","",'Journal'!C1883)</f>
        <v/>
      </c>
      <c r="D3763" s="5">
        <f>IF('Journal'!D1883="","",IFERROR(LEFT('Journal'!D1883,FIND(" ",'Journal'!D1883)-1),'Journal'!D1883))</f>
        <v/>
      </c>
      <c r="E3763" s="5">
        <f>IF('Journal'!D1883="","",IFERROR(INDEX('Kontoplan'!$B$3:$B$302,MATCH('Journal'!D1883,'Kontoplan'!$H$3:$H$302,0)),""))</f>
        <v/>
      </c>
      <c r="F3763" s="20">
        <f>IF('Journal'!G1883="","",'Journal'!G1883)</f>
        <v/>
      </c>
      <c r="G3763" s="20">
        <f>IF('Journal'!F1883="","",'Journal'!F1883)</f>
        <v/>
      </c>
      <c r="H3763" s="5">
        <f>IF('Journal'!I1883="","",'Journal'!I1883)</f>
        <v/>
      </c>
    </row>
    <row r="3764">
      <c r="A3764" s="18">
        <f>IF('Journal'!A1883="","",'Journal'!A1883)</f>
        <v/>
      </c>
      <c r="B3764" s="21">
        <f>IF('Journal'!B1883="","",'Journal'!B1883)</f>
        <v/>
      </c>
      <c r="C3764" s="5">
        <f>IF('Journal'!C1883="","",'Journal'!C1883)</f>
        <v/>
      </c>
      <c r="D3764" s="5">
        <f>IF('Journal'!E1883="","",IFERROR(LEFT('Journal'!E1883,FIND(" ",'Journal'!E1883)-1),'Journal'!E1883))</f>
        <v/>
      </c>
      <c r="E3764" s="5">
        <f>IF('Journal'!E1883="","",IFERROR(INDEX('Kontoplan'!$B$3:$B$302,MATCH('Journal'!E1883,'Kontoplan'!$H$3:$H$302,0)),""))</f>
        <v/>
      </c>
      <c r="F3764" s="20">
        <f>IF('Journal'!F1883="","",'Journal'!F1883)</f>
        <v/>
      </c>
      <c r="G3764" s="20">
        <f>IF('Journal'!G1883="","",'Journal'!G1883)</f>
        <v/>
      </c>
      <c r="H3764" s="5">
        <f>IF('Journal'!I1883="","",'Journal'!I1883)</f>
        <v/>
      </c>
    </row>
    <row r="3765">
      <c r="A3765" s="18">
        <f>IF('Journal'!A1884="","",'Journal'!A1884)</f>
        <v/>
      </c>
      <c r="B3765" s="21">
        <f>IF('Journal'!B1884="","",'Journal'!B1884)</f>
        <v/>
      </c>
      <c r="C3765" s="5">
        <f>IF('Journal'!C1884="","",'Journal'!C1884)</f>
        <v/>
      </c>
      <c r="D3765" s="5">
        <f>IF('Journal'!D1884="","",IFERROR(LEFT('Journal'!D1884,FIND(" ",'Journal'!D1884)-1),'Journal'!D1884))</f>
        <v/>
      </c>
      <c r="E3765" s="5">
        <f>IF('Journal'!D1884="","",IFERROR(INDEX('Kontoplan'!$B$3:$B$302,MATCH('Journal'!D1884,'Kontoplan'!$H$3:$H$302,0)),""))</f>
        <v/>
      </c>
      <c r="F3765" s="20">
        <f>IF('Journal'!G1884="","",'Journal'!G1884)</f>
        <v/>
      </c>
      <c r="G3765" s="20">
        <f>IF('Journal'!F1884="","",'Journal'!F1884)</f>
        <v/>
      </c>
      <c r="H3765" s="5">
        <f>IF('Journal'!I1884="","",'Journal'!I1884)</f>
        <v/>
      </c>
    </row>
    <row r="3766">
      <c r="A3766" s="18">
        <f>IF('Journal'!A1884="","",'Journal'!A1884)</f>
        <v/>
      </c>
      <c r="B3766" s="21">
        <f>IF('Journal'!B1884="","",'Journal'!B1884)</f>
        <v/>
      </c>
      <c r="C3766" s="5">
        <f>IF('Journal'!C1884="","",'Journal'!C1884)</f>
        <v/>
      </c>
      <c r="D3766" s="5">
        <f>IF('Journal'!E1884="","",IFERROR(LEFT('Journal'!E1884,FIND(" ",'Journal'!E1884)-1),'Journal'!E1884))</f>
        <v/>
      </c>
      <c r="E3766" s="5">
        <f>IF('Journal'!E1884="","",IFERROR(INDEX('Kontoplan'!$B$3:$B$302,MATCH('Journal'!E1884,'Kontoplan'!$H$3:$H$302,0)),""))</f>
        <v/>
      </c>
      <c r="F3766" s="20">
        <f>IF('Journal'!F1884="","",'Journal'!F1884)</f>
        <v/>
      </c>
      <c r="G3766" s="20">
        <f>IF('Journal'!G1884="","",'Journal'!G1884)</f>
        <v/>
      </c>
      <c r="H3766" s="5">
        <f>IF('Journal'!I1884="","",'Journal'!I1884)</f>
        <v/>
      </c>
    </row>
    <row r="3767">
      <c r="A3767" s="18">
        <f>IF('Journal'!A1885="","",'Journal'!A1885)</f>
        <v/>
      </c>
      <c r="B3767" s="21">
        <f>IF('Journal'!B1885="","",'Journal'!B1885)</f>
        <v/>
      </c>
      <c r="C3767" s="5">
        <f>IF('Journal'!C1885="","",'Journal'!C1885)</f>
        <v/>
      </c>
      <c r="D3767" s="5">
        <f>IF('Journal'!D1885="","",IFERROR(LEFT('Journal'!D1885,FIND(" ",'Journal'!D1885)-1),'Journal'!D1885))</f>
        <v/>
      </c>
      <c r="E3767" s="5">
        <f>IF('Journal'!D1885="","",IFERROR(INDEX('Kontoplan'!$B$3:$B$302,MATCH('Journal'!D1885,'Kontoplan'!$H$3:$H$302,0)),""))</f>
        <v/>
      </c>
      <c r="F3767" s="20">
        <f>IF('Journal'!G1885="","",'Journal'!G1885)</f>
        <v/>
      </c>
      <c r="G3767" s="20">
        <f>IF('Journal'!F1885="","",'Journal'!F1885)</f>
        <v/>
      </c>
      <c r="H3767" s="5">
        <f>IF('Journal'!I1885="","",'Journal'!I1885)</f>
        <v/>
      </c>
    </row>
    <row r="3768">
      <c r="A3768" s="18">
        <f>IF('Journal'!A1885="","",'Journal'!A1885)</f>
        <v/>
      </c>
      <c r="B3768" s="21">
        <f>IF('Journal'!B1885="","",'Journal'!B1885)</f>
        <v/>
      </c>
      <c r="C3768" s="5">
        <f>IF('Journal'!C1885="","",'Journal'!C1885)</f>
        <v/>
      </c>
      <c r="D3768" s="5">
        <f>IF('Journal'!E1885="","",IFERROR(LEFT('Journal'!E1885,FIND(" ",'Journal'!E1885)-1),'Journal'!E1885))</f>
        <v/>
      </c>
      <c r="E3768" s="5">
        <f>IF('Journal'!E1885="","",IFERROR(INDEX('Kontoplan'!$B$3:$B$302,MATCH('Journal'!E1885,'Kontoplan'!$H$3:$H$302,0)),""))</f>
        <v/>
      </c>
      <c r="F3768" s="20">
        <f>IF('Journal'!F1885="","",'Journal'!F1885)</f>
        <v/>
      </c>
      <c r="G3768" s="20">
        <f>IF('Journal'!G1885="","",'Journal'!G1885)</f>
        <v/>
      </c>
      <c r="H3768" s="5">
        <f>IF('Journal'!I1885="","",'Journal'!I1885)</f>
        <v/>
      </c>
    </row>
    <row r="3769">
      <c r="A3769" s="18">
        <f>IF('Journal'!A1886="","",'Journal'!A1886)</f>
        <v/>
      </c>
      <c r="B3769" s="21">
        <f>IF('Journal'!B1886="","",'Journal'!B1886)</f>
        <v/>
      </c>
      <c r="C3769" s="5">
        <f>IF('Journal'!C1886="","",'Journal'!C1886)</f>
        <v/>
      </c>
      <c r="D3769" s="5">
        <f>IF('Journal'!D1886="","",IFERROR(LEFT('Journal'!D1886,FIND(" ",'Journal'!D1886)-1),'Journal'!D1886))</f>
        <v/>
      </c>
      <c r="E3769" s="5">
        <f>IF('Journal'!D1886="","",IFERROR(INDEX('Kontoplan'!$B$3:$B$302,MATCH('Journal'!D1886,'Kontoplan'!$H$3:$H$302,0)),""))</f>
        <v/>
      </c>
      <c r="F3769" s="20">
        <f>IF('Journal'!G1886="","",'Journal'!G1886)</f>
        <v/>
      </c>
      <c r="G3769" s="20">
        <f>IF('Journal'!F1886="","",'Journal'!F1886)</f>
        <v/>
      </c>
      <c r="H3769" s="5">
        <f>IF('Journal'!I1886="","",'Journal'!I1886)</f>
        <v/>
      </c>
    </row>
    <row r="3770">
      <c r="A3770" s="18">
        <f>IF('Journal'!A1886="","",'Journal'!A1886)</f>
        <v/>
      </c>
      <c r="B3770" s="21">
        <f>IF('Journal'!B1886="","",'Journal'!B1886)</f>
        <v/>
      </c>
      <c r="C3770" s="5">
        <f>IF('Journal'!C1886="","",'Journal'!C1886)</f>
        <v/>
      </c>
      <c r="D3770" s="5">
        <f>IF('Journal'!E1886="","",IFERROR(LEFT('Journal'!E1886,FIND(" ",'Journal'!E1886)-1),'Journal'!E1886))</f>
        <v/>
      </c>
      <c r="E3770" s="5">
        <f>IF('Journal'!E1886="","",IFERROR(INDEX('Kontoplan'!$B$3:$B$302,MATCH('Journal'!E1886,'Kontoplan'!$H$3:$H$302,0)),""))</f>
        <v/>
      </c>
      <c r="F3770" s="20">
        <f>IF('Journal'!F1886="","",'Journal'!F1886)</f>
        <v/>
      </c>
      <c r="G3770" s="20">
        <f>IF('Journal'!G1886="","",'Journal'!G1886)</f>
        <v/>
      </c>
      <c r="H3770" s="5">
        <f>IF('Journal'!I1886="","",'Journal'!I1886)</f>
        <v/>
      </c>
    </row>
    <row r="3771">
      <c r="A3771" s="18">
        <f>IF('Journal'!A1887="","",'Journal'!A1887)</f>
        <v/>
      </c>
      <c r="B3771" s="21">
        <f>IF('Journal'!B1887="","",'Journal'!B1887)</f>
        <v/>
      </c>
      <c r="C3771" s="5">
        <f>IF('Journal'!C1887="","",'Journal'!C1887)</f>
        <v/>
      </c>
      <c r="D3771" s="5">
        <f>IF('Journal'!D1887="","",IFERROR(LEFT('Journal'!D1887,FIND(" ",'Journal'!D1887)-1),'Journal'!D1887))</f>
        <v/>
      </c>
      <c r="E3771" s="5">
        <f>IF('Journal'!D1887="","",IFERROR(INDEX('Kontoplan'!$B$3:$B$302,MATCH('Journal'!D1887,'Kontoplan'!$H$3:$H$302,0)),""))</f>
        <v/>
      </c>
      <c r="F3771" s="20">
        <f>IF('Journal'!G1887="","",'Journal'!G1887)</f>
        <v/>
      </c>
      <c r="G3771" s="20">
        <f>IF('Journal'!F1887="","",'Journal'!F1887)</f>
        <v/>
      </c>
      <c r="H3771" s="5">
        <f>IF('Journal'!I1887="","",'Journal'!I1887)</f>
        <v/>
      </c>
    </row>
    <row r="3772">
      <c r="A3772" s="18">
        <f>IF('Journal'!A1887="","",'Journal'!A1887)</f>
        <v/>
      </c>
      <c r="B3772" s="21">
        <f>IF('Journal'!B1887="","",'Journal'!B1887)</f>
        <v/>
      </c>
      <c r="C3772" s="5">
        <f>IF('Journal'!C1887="","",'Journal'!C1887)</f>
        <v/>
      </c>
      <c r="D3772" s="5">
        <f>IF('Journal'!E1887="","",IFERROR(LEFT('Journal'!E1887,FIND(" ",'Journal'!E1887)-1),'Journal'!E1887))</f>
        <v/>
      </c>
      <c r="E3772" s="5">
        <f>IF('Journal'!E1887="","",IFERROR(INDEX('Kontoplan'!$B$3:$B$302,MATCH('Journal'!E1887,'Kontoplan'!$H$3:$H$302,0)),""))</f>
        <v/>
      </c>
      <c r="F3772" s="20">
        <f>IF('Journal'!F1887="","",'Journal'!F1887)</f>
        <v/>
      </c>
      <c r="G3772" s="20">
        <f>IF('Journal'!G1887="","",'Journal'!G1887)</f>
        <v/>
      </c>
      <c r="H3772" s="5">
        <f>IF('Journal'!I1887="","",'Journal'!I1887)</f>
        <v/>
      </c>
    </row>
    <row r="3773">
      <c r="A3773" s="18">
        <f>IF('Journal'!A1888="","",'Journal'!A1888)</f>
        <v/>
      </c>
      <c r="B3773" s="21">
        <f>IF('Journal'!B1888="","",'Journal'!B1888)</f>
        <v/>
      </c>
      <c r="C3773" s="5">
        <f>IF('Journal'!C1888="","",'Journal'!C1888)</f>
        <v/>
      </c>
      <c r="D3773" s="5">
        <f>IF('Journal'!D1888="","",IFERROR(LEFT('Journal'!D1888,FIND(" ",'Journal'!D1888)-1),'Journal'!D1888))</f>
        <v/>
      </c>
      <c r="E3773" s="5">
        <f>IF('Journal'!D1888="","",IFERROR(INDEX('Kontoplan'!$B$3:$B$302,MATCH('Journal'!D1888,'Kontoplan'!$H$3:$H$302,0)),""))</f>
        <v/>
      </c>
      <c r="F3773" s="20">
        <f>IF('Journal'!G1888="","",'Journal'!G1888)</f>
        <v/>
      </c>
      <c r="G3773" s="20">
        <f>IF('Journal'!F1888="","",'Journal'!F1888)</f>
        <v/>
      </c>
      <c r="H3773" s="5">
        <f>IF('Journal'!I1888="","",'Journal'!I1888)</f>
        <v/>
      </c>
    </row>
    <row r="3774">
      <c r="A3774" s="18">
        <f>IF('Journal'!A1888="","",'Journal'!A1888)</f>
        <v/>
      </c>
      <c r="B3774" s="21">
        <f>IF('Journal'!B1888="","",'Journal'!B1888)</f>
        <v/>
      </c>
      <c r="C3774" s="5">
        <f>IF('Journal'!C1888="","",'Journal'!C1888)</f>
        <v/>
      </c>
      <c r="D3774" s="5">
        <f>IF('Journal'!E1888="","",IFERROR(LEFT('Journal'!E1888,FIND(" ",'Journal'!E1888)-1),'Journal'!E1888))</f>
        <v/>
      </c>
      <c r="E3774" s="5">
        <f>IF('Journal'!E1888="","",IFERROR(INDEX('Kontoplan'!$B$3:$B$302,MATCH('Journal'!E1888,'Kontoplan'!$H$3:$H$302,0)),""))</f>
        <v/>
      </c>
      <c r="F3774" s="20">
        <f>IF('Journal'!F1888="","",'Journal'!F1888)</f>
        <v/>
      </c>
      <c r="G3774" s="20">
        <f>IF('Journal'!G1888="","",'Journal'!G1888)</f>
        <v/>
      </c>
      <c r="H3774" s="5">
        <f>IF('Journal'!I1888="","",'Journal'!I1888)</f>
        <v/>
      </c>
    </row>
    <row r="3775">
      <c r="A3775" s="18">
        <f>IF('Journal'!A1889="","",'Journal'!A1889)</f>
        <v/>
      </c>
      <c r="B3775" s="21">
        <f>IF('Journal'!B1889="","",'Journal'!B1889)</f>
        <v/>
      </c>
      <c r="C3775" s="5">
        <f>IF('Journal'!C1889="","",'Journal'!C1889)</f>
        <v/>
      </c>
      <c r="D3775" s="5">
        <f>IF('Journal'!D1889="","",IFERROR(LEFT('Journal'!D1889,FIND(" ",'Journal'!D1889)-1),'Journal'!D1889))</f>
        <v/>
      </c>
      <c r="E3775" s="5">
        <f>IF('Journal'!D1889="","",IFERROR(INDEX('Kontoplan'!$B$3:$B$302,MATCH('Journal'!D1889,'Kontoplan'!$H$3:$H$302,0)),""))</f>
        <v/>
      </c>
      <c r="F3775" s="20">
        <f>IF('Journal'!G1889="","",'Journal'!G1889)</f>
        <v/>
      </c>
      <c r="G3775" s="20">
        <f>IF('Journal'!F1889="","",'Journal'!F1889)</f>
        <v/>
      </c>
      <c r="H3775" s="5">
        <f>IF('Journal'!I1889="","",'Journal'!I1889)</f>
        <v/>
      </c>
    </row>
    <row r="3776">
      <c r="A3776" s="18">
        <f>IF('Journal'!A1889="","",'Journal'!A1889)</f>
        <v/>
      </c>
      <c r="B3776" s="21">
        <f>IF('Journal'!B1889="","",'Journal'!B1889)</f>
        <v/>
      </c>
      <c r="C3776" s="5">
        <f>IF('Journal'!C1889="","",'Journal'!C1889)</f>
        <v/>
      </c>
      <c r="D3776" s="5">
        <f>IF('Journal'!E1889="","",IFERROR(LEFT('Journal'!E1889,FIND(" ",'Journal'!E1889)-1),'Journal'!E1889))</f>
        <v/>
      </c>
      <c r="E3776" s="5">
        <f>IF('Journal'!E1889="","",IFERROR(INDEX('Kontoplan'!$B$3:$B$302,MATCH('Journal'!E1889,'Kontoplan'!$H$3:$H$302,0)),""))</f>
        <v/>
      </c>
      <c r="F3776" s="20">
        <f>IF('Journal'!F1889="","",'Journal'!F1889)</f>
        <v/>
      </c>
      <c r="G3776" s="20">
        <f>IF('Journal'!G1889="","",'Journal'!G1889)</f>
        <v/>
      </c>
      <c r="H3776" s="5">
        <f>IF('Journal'!I1889="","",'Journal'!I1889)</f>
        <v/>
      </c>
    </row>
    <row r="3777">
      <c r="A3777" s="18">
        <f>IF('Journal'!A1890="","",'Journal'!A1890)</f>
        <v/>
      </c>
      <c r="B3777" s="21">
        <f>IF('Journal'!B1890="","",'Journal'!B1890)</f>
        <v/>
      </c>
      <c r="C3777" s="5">
        <f>IF('Journal'!C1890="","",'Journal'!C1890)</f>
        <v/>
      </c>
      <c r="D3777" s="5">
        <f>IF('Journal'!D1890="","",IFERROR(LEFT('Journal'!D1890,FIND(" ",'Journal'!D1890)-1),'Journal'!D1890))</f>
        <v/>
      </c>
      <c r="E3777" s="5">
        <f>IF('Journal'!D1890="","",IFERROR(INDEX('Kontoplan'!$B$3:$B$302,MATCH('Journal'!D1890,'Kontoplan'!$H$3:$H$302,0)),""))</f>
        <v/>
      </c>
      <c r="F3777" s="20">
        <f>IF('Journal'!G1890="","",'Journal'!G1890)</f>
        <v/>
      </c>
      <c r="G3777" s="20">
        <f>IF('Journal'!F1890="","",'Journal'!F1890)</f>
        <v/>
      </c>
      <c r="H3777" s="5">
        <f>IF('Journal'!I1890="","",'Journal'!I1890)</f>
        <v/>
      </c>
    </row>
    <row r="3778">
      <c r="A3778" s="18">
        <f>IF('Journal'!A1890="","",'Journal'!A1890)</f>
        <v/>
      </c>
      <c r="B3778" s="21">
        <f>IF('Journal'!B1890="","",'Journal'!B1890)</f>
        <v/>
      </c>
      <c r="C3778" s="5">
        <f>IF('Journal'!C1890="","",'Journal'!C1890)</f>
        <v/>
      </c>
      <c r="D3778" s="5">
        <f>IF('Journal'!E1890="","",IFERROR(LEFT('Journal'!E1890,FIND(" ",'Journal'!E1890)-1),'Journal'!E1890))</f>
        <v/>
      </c>
      <c r="E3778" s="5">
        <f>IF('Journal'!E1890="","",IFERROR(INDEX('Kontoplan'!$B$3:$B$302,MATCH('Journal'!E1890,'Kontoplan'!$H$3:$H$302,0)),""))</f>
        <v/>
      </c>
      <c r="F3778" s="20">
        <f>IF('Journal'!F1890="","",'Journal'!F1890)</f>
        <v/>
      </c>
      <c r="G3778" s="20">
        <f>IF('Journal'!G1890="","",'Journal'!G1890)</f>
        <v/>
      </c>
      <c r="H3778" s="5">
        <f>IF('Journal'!I1890="","",'Journal'!I1890)</f>
        <v/>
      </c>
    </row>
    <row r="3779">
      <c r="A3779" s="18">
        <f>IF('Journal'!A1891="","",'Journal'!A1891)</f>
        <v/>
      </c>
      <c r="B3779" s="21">
        <f>IF('Journal'!B1891="","",'Journal'!B1891)</f>
        <v/>
      </c>
      <c r="C3779" s="5">
        <f>IF('Journal'!C1891="","",'Journal'!C1891)</f>
        <v/>
      </c>
      <c r="D3779" s="5">
        <f>IF('Journal'!D1891="","",IFERROR(LEFT('Journal'!D1891,FIND(" ",'Journal'!D1891)-1),'Journal'!D1891))</f>
        <v/>
      </c>
      <c r="E3779" s="5">
        <f>IF('Journal'!D1891="","",IFERROR(INDEX('Kontoplan'!$B$3:$B$302,MATCH('Journal'!D1891,'Kontoplan'!$H$3:$H$302,0)),""))</f>
        <v/>
      </c>
      <c r="F3779" s="20">
        <f>IF('Journal'!G1891="","",'Journal'!G1891)</f>
        <v/>
      </c>
      <c r="G3779" s="20">
        <f>IF('Journal'!F1891="","",'Journal'!F1891)</f>
        <v/>
      </c>
      <c r="H3779" s="5">
        <f>IF('Journal'!I1891="","",'Journal'!I1891)</f>
        <v/>
      </c>
    </row>
    <row r="3780">
      <c r="A3780" s="18">
        <f>IF('Journal'!A1891="","",'Journal'!A1891)</f>
        <v/>
      </c>
      <c r="B3780" s="21">
        <f>IF('Journal'!B1891="","",'Journal'!B1891)</f>
        <v/>
      </c>
      <c r="C3780" s="5">
        <f>IF('Journal'!C1891="","",'Journal'!C1891)</f>
        <v/>
      </c>
      <c r="D3780" s="5">
        <f>IF('Journal'!E1891="","",IFERROR(LEFT('Journal'!E1891,FIND(" ",'Journal'!E1891)-1),'Journal'!E1891))</f>
        <v/>
      </c>
      <c r="E3780" s="5">
        <f>IF('Journal'!E1891="","",IFERROR(INDEX('Kontoplan'!$B$3:$B$302,MATCH('Journal'!E1891,'Kontoplan'!$H$3:$H$302,0)),""))</f>
        <v/>
      </c>
      <c r="F3780" s="20">
        <f>IF('Journal'!F1891="","",'Journal'!F1891)</f>
        <v/>
      </c>
      <c r="G3780" s="20">
        <f>IF('Journal'!G1891="","",'Journal'!G1891)</f>
        <v/>
      </c>
      <c r="H3780" s="5">
        <f>IF('Journal'!I1891="","",'Journal'!I1891)</f>
        <v/>
      </c>
    </row>
    <row r="3781">
      <c r="A3781" s="18">
        <f>IF('Journal'!A1892="","",'Journal'!A1892)</f>
        <v/>
      </c>
      <c r="B3781" s="21">
        <f>IF('Journal'!B1892="","",'Journal'!B1892)</f>
        <v/>
      </c>
      <c r="C3781" s="5">
        <f>IF('Journal'!C1892="","",'Journal'!C1892)</f>
        <v/>
      </c>
      <c r="D3781" s="5">
        <f>IF('Journal'!D1892="","",IFERROR(LEFT('Journal'!D1892,FIND(" ",'Journal'!D1892)-1),'Journal'!D1892))</f>
        <v/>
      </c>
      <c r="E3781" s="5">
        <f>IF('Journal'!D1892="","",IFERROR(INDEX('Kontoplan'!$B$3:$B$302,MATCH('Journal'!D1892,'Kontoplan'!$H$3:$H$302,0)),""))</f>
        <v/>
      </c>
      <c r="F3781" s="20">
        <f>IF('Journal'!G1892="","",'Journal'!G1892)</f>
        <v/>
      </c>
      <c r="G3781" s="20">
        <f>IF('Journal'!F1892="","",'Journal'!F1892)</f>
        <v/>
      </c>
      <c r="H3781" s="5">
        <f>IF('Journal'!I1892="","",'Journal'!I1892)</f>
        <v/>
      </c>
    </row>
    <row r="3782">
      <c r="A3782" s="18">
        <f>IF('Journal'!A1892="","",'Journal'!A1892)</f>
        <v/>
      </c>
      <c r="B3782" s="21">
        <f>IF('Journal'!B1892="","",'Journal'!B1892)</f>
        <v/>
      </c>
      <c r="C3782" s="5">
        <f>IF('Journal'!C1892="","",'Journal'!C1892)</f>
        <v/>
      </c>
      <c r="D3782" s="5">
        <f>IF('Journal'!E1892="","",IFERROR(LEFT('Journal'!E1892,FIND(" ",'Journal'!E1892)-1),'Journal'!E1892))</f>
        <v/>
      </c>
      <c r="E3782" s="5">
        <f>IF('Journal'!E1892="","",IFERROR(INDEX('Kontoplan'!$B$3:$B$302,MATCH('Journal'!E1892,'Kontoplan'!$H$3:$H$302,0)),""))</f>
        <v/>
      </c>
      <c r="F3782" s="20">
        <f>IF('Journal'!F1892="","",'Journal'!F1892)</f>
        <v/>
      </c>
      <c r="G3782" s="20">
        <f>IF('Journal'!G1892="","",'Journal'!G1892)</f>
        <v/>
      </c>
      <c r="H3782" s="5">
        <f>IF('Journal'!I1892="","",'Journal'!I1892)</f>
        <v/>
      </c>
    </row>
    <row r="3783">
      <c r="A3783" s="18">
        <f>IF('Journal'!A1893="","",'Journal'!A1893)</f>
        <v/>
      </c>
      <c r="B3783" s="21">
        <f>IF('Journal'!B1893="","",'Journal'!B1893)</f>
        <v/>
      </c>
      <c r="C3783" s="5">
        <f>IF('Journal'!C1893="","",'Journal'!C1893)</f>
        <v/>
      </c>
      <c r="D3783" s="5">
        <f>IF('Journal'!D1893="","",IFERROR(LEFT('Journal'!D1893,FIND(" ",'Journal'!D1893)-1),'Journal'!D1893))</f>
        <v/>
      </c>
      <c r="E3783" s="5">
        <f>IF('Journal'!D1893="","",IFERROR(INDEX('Kontoplan'!$B$3:$B$302,MATCH('Journal'!D1893,'Kontoplan'!$H$3:$H$302,0)),""))</f>
        <v/>
      </c>
      <c r="F3783" s="20">
        <f>IF('Journal'!G1893="","",'Journal'!G1893)</f>
        <v/>
      </c>
      <c r="G3783" s="20">
        <f>IF('Journal'!F1893="","",'Journal'!F1893)</f>
        <v/>
      </c>
      <c r="H3783" s="5">
        <f>IF('Journal'!I1893="","",'Journal'!I1893)</f>
        <v/>
      </c>
    </row>
    <row r="3784">
      <c r="A3784" s="18">
        <f>IF('Journal'!A1893="","",'Journal'!A1893)</f>
        <v/>
      </c>
      <c r="B3784" s="21">
        <f>IF('Journal'!B1893="","",'Journal'!B1893)</f>
        <v/>
      </c>
      <c r="C3784" s="5">
        <f>IF('Journal'!C1893="","",'Journal'!C1893)</f>
        <v/>
      </c>
      <c r="D3784" s="5">
        <f>IF('Journal'!E1893="","",IFERROR(LEFT('Journal'!E1893,FIND(" ",'Journal'!E1893)-1),'Journal'!E1893))</f>
        <v/>
      </c>
      <c r="E3784" s="5">
        <f>IF('Journal'!E1893="","",IFERROR(INDEX('Kontoplan'!$B$3:$B$302,MATCH('Journal'!E1893,'Kontoplan'!$H$3:$H$302,0)),""))</f>
        <v/>
      </c>
      <c r="F3784" s="20">
        <f>IF('Journal'!F1893="","",'Journal'!F1893)</f>
        <v/>
      </c>
      <c r="G3784" s="20">
        <f>IF('Journal'!G1893="","",'Journal'!G1893)</f>
        <v/>
      </c>
      <c r="H3784" s="5">
        <f>IF('Journal'!I1893="","",'Journal'!I1893)</f>
        <v/>
      </c>
    </row>
    <row r="3785">
      <c r="A3785" s="18">
        <f>IF('Journal'!A1894="","",'Journal'!A1894)</f>
        <v/>
      </c>
      <c r="B3785" s="21">
        <f>IF('Journal'!B1894="","",'Journal'!B1894)</f>
        <v/>
      </c>
      <c r="C3785" s="5">
        <f>IF('Journal'!C1894="","",'Journal'!C1894)</f>
        <v/>
      </c>
      <c r="D3785" s="5">
        <f>IF('Journal'!D1894="","",IFERROR(LEFT('Journal'!D1894,FIND(" ",'Journal'!D1894)-1),'Journal'!D1894))</f>
        <v/>
      </c>
      <c r="E3785" s="5">
        <f>IF('Journal'!D1894="","",IFERROR(INDEX('Kontoplan'!$B$3:$B$302,MATCH('Journal'!D1894,'Kontoplan'!$H$3:$H$302,0)),""))</f>
        <v/>
      </c>
      <c r="F3785" s="20">
        <f>IF('Journal'!G1894="","",'Journal'!G1894)</f>
        <v/>
      </c>
      <c r="G3785" s="20">
        <f>IF('Journal'!F1894="","",'Journal'!F1894)</f>
        <v/>
      </c>
      <c r="H3785" s="5">
        <f>IF('Journal'!I1894="","",'Journal'!I1894)</f>
        <v/>
      </c>
    </row>
    <row r="3786">
      <c r="A3786" s="18">
        <f>IF('Journal'!A1894="","",'Journal'!A1894)</f>
        <v/>
      </c>
      <c r="B3786" s="21">
        <f>IF('Journal'!B1894="","",'Journal'!B1894)</f>
        <v/>
      </c>
      <c r="C3786" s="5">
        <f>IF('Journal'!C1894="","",'Journal'!C1894)</f>
        <v/>
      </c>
      <c r="D3786" s="5">
        <f>IF('Journal'!E1894="","",IFERROR(LEFT('Journal'!E1894,FIND(" ",'Journal'!E1894)-1),'Journal'!E1894))</f>
        <v/>
      </c>
      <c r="E3786" s="5">
        <f>IF('Journal'!E1894="","",IFERROR(INDEX('Kontoplan'!$B$3:$B$302,MATCH('Journal'!E1894,'Kontoplan'!$H$3:$H$302,0)),""))</f>
        <v/>
      </c>
      <c r="F3786" s="20">
        <f>IF('Journal'!F1894="","",'Journal'!F1894)</f>
        <v/>
      </c>
      <c r="G3786" s="20">
        <f>IF('Journal'!G1894="","",'Journal'!G1894)</f>
        <v/>
      </c>
      <c r="H3786" s="5">
        <f>IF('Journal'!I1894="","",'Journal'!I1894)</f>
        <v/>
      </c>
    </row>
    <row r="3787">
      <c r="A3787" s="18">
        <f>IF('Journal'!A1895="","",'Journal'!A1895)</f>
        <v/>
      </c>
      <c r="B3787" s="21">
        <f>IF('Journal'!B1895="","",'Journal'!B1895)</f>
        <v/>
      </c>
      <c r="C3787" s="5">
        <f>IF('Journal'!C1895="","",'Journal'!C1895)</f>
        <v/>
      </c>
      <c r="D3787" s="5">
        <f>IF('Journal'!D1895="","",IFERROR(LEFT('Journal'!D1895,FIND(" ",'Journal'!D1895)-1),'Journal'!D1895))</f>
        <v/>
      </c>
      <c r="E3787" s="5">
        <f>IF('Journal'!D1895="","",IFERROR(INDEX('Kontoplan'!$B$3:$B$302,MATCH('Journal'!D1895,'Kontoplan'!$H$3:$H$302,0)),""))</f>
        <v/>
      </c>
      <c r="F3787" s="20">
        <f>IF('Journal'!G1895="","",'Journal'!G1895)</f>
        <v/>
      </c>
      <c r="G3787" s="20">
        <f>IF('Journal'!F1895="","",'Journal'!F1895)</f>
        <v/>
      </c>
      <c r="H3787" s="5">
        <f>IF('Journal'!I1895="","",'Journal'!I1895)</f>
        <v/>
      </c>
    </row>
    <row r="3788">
      <c r="A3788" s="18">
        <f>IF('Journal'!A1895="","",'Journal'!A1895)</f>
        <v/>
      </c>
      <c r="B3788" s="21">
        <f>IF('Journal'!B1895="","",'Journal'!B1895)</f>
        <v/>
      </c>
      <c r="C3788" s="5">
        <f>IF('Journal'!C1895="","",'Journal'!C1895)</f>
        <v/>
      </c>
      <c r="D3788" s="5">
        <f>IF('Journal'!E1895="","",IFERROR(LEFT('Journal'!E1895,FIND(" ",'Journal'!E1895)-1),'Journal'!E1895))</f>
        <v/>
      </c>
      <c r="E3788" s="5">
        <f>IF('Journal'!E1895="","",IFERROR(INDEX('Kontoplan'!$B$3:$B$302,MATCH('Journal'!E1895,'Kontoplan'!$H$3:$H$302,0)),""))</f>
        <v/>
      </c>
      <c r="F3788" s="20">
        <f>IF('Journal'!F1895="","",'Journal'!F1895)</f>
        <v/>
      </c>
      <c r="G3788" s="20">
        <f>IF('Journal'!G1895="","",'Journal'!G1895)</f>
        <v/>
      </c>
      <c r="H3788" s="5">
        <f>IF('Journal'!I1895="","",'Journal'!I1895)</f>
        <v/>
      </c>
    </row>
    <row r="3789">
      <c r="A3789" s="18">
        <f>IF('Journal'!A1896="","",'Journal'!A1896)</f>
        <v/>
      </c>
      <c r="B3789" s="21">
        <f>IF('Journal'!B1896="","",'Journal'!B1896)</f>
        <v/>
      </c>
      <c r="C3789" s="5">
        <f>IF('Journal'!C1896="","",'Journal'!C1896)</f>
        <v/>
      </c>
      <c r="D3789" s="5">
        <f>IF('Journal'!D1896="","",IFERROR(LEFT('Journal'!D1896,FIND(" ",'Journal'!D1896)-1),'Journal'!D1896))</f>
        <v/>
      </c>
      <c r="E3789" s="5">
        <f>IF('Journal'!D1896="","",IFERROR(INDEX('Kontoplan'!$B$3:$B$302,MATCH('Journal'!D1896,'Kontoplan'!$H$3:$H$302,0)),""))</f>
        <v/>
      </c>
      <c r="F3789" s="20">
        <f>IF('Journal'!G1896="","",'Journal'!G1896)</f>
        <v/>
      </c>
      <c r="G3789" s="20">
        <f>IF('Journal'!F1896="","",'Journal'!F1896)</f>
        <v/>
      </c>
      <c r="H3789" s="5">
        <f>IF('Journal'!I1896="","",'Journal'!I1896)</f>
        <v/>
      </c>
    </row>
    <row r="3790">
      <c r="A3790" s="18">
        <f>IF('Journal'!A1896="","",'Journal'!A1896)</f>
        <v/>
      </c>
      <c r="B3790" s="21">
        <f>IF('Journal'!B1896="","",'Journal'!B1896)</f>
        <v/>
      </c>
      <c r="C3790" s="5">
        <f>IF('Journal'!C1896="","",'Journal'!C1896)</f>
        <v/>
      </c>
      <c r="D3790" s="5">
        <f>IF('Journal'!E1896="","",IFERROR(LEFT('Journal'!E1896,FIND(" ",'Journal'!E1896)-1),'Journal'!E1896))</f>
        <v/>
      </c>
      <c r="E3790" s="5">
        <f>IF('Journal'!E1896="","",IFERROR(INDEX('Kontoplan'!$B$3:$B$302,MATCH('Journal'!E1896,'Kontoplan'!$H$3:$H$302,0)),""))</f>
        <v/>
      </c>
      <c r="F3790" s="20">
        <f>IF('Journal'!F1896="","",'Journal'!F1896)</f>
        <v/>
      </c>
      <c r="G3790" s="20">
        <f>IF('Journal'!G1896="","",'Journal'!G1896)</f>
        <v/>
      </c>
      <c r="H3790" s="5">
        <f>IF('Journal'!I1896="","",'Journal'!I1896)</f>
        <v/>
      </c>
    </row>
    <row r="3791">
      <c r="A3791" s="18">
        <f>IF('Journal'!A1897="","",'Journal'!A1897)</f>
        <v/>
      </c>
      <c r="B3791" s="21">
        <f>IF('Journal'!B1897="","",'Journal'!B1897)</f>
        <v/>
      </c>
      <c r="C3791" s="5">
        <f>IF('Journal'!C1897="","",'Journal'!C1897)</f>
        <v/>
      </c>
      <c r="D3791" s="5">
        <f>IF('Journal'!D1897="","",IFERROR(LEFT('Journal'!D1897,FIND(" ",'Journal'!D1897)-1),'Journal'!D1897))</f>
        <v/>
      </c>
      <c r="E3791" s="5">
        <f>IF('Journal'!D1897="","",IFERROR(INDEX('Kontoplan'!$B$3:$B$302,MATCH('Journal'!D1897,'Kontoplan'!$H$3:$H$302,0)),""))</f>
        <v/>
      </c>
      <c r="F3791" s="20">
        <f>IF('Journal'!G1897="","",'Journal'!G1897)</f>
        <v/>
      </c>
      <c r="G3791" s="20">
        <f>IF('Journal'!F1897="","",'Journal'!F1897)</f>
        <v/>
      </c>
      <c r="H3791" s="5">
        <f>IF('Journal'!I1897="","",'Journal'!I1897)</f>
        <v/>
      </c>
    </row>
    <row r="3792">
      <c r="A3792" s="18">
        <f>IF('Journal'!A1897="","",'Journal'!A1897)</f>
        <v/>
      </c>
      <c r="B3792" s="21">
        <f>IF('Journal'!B1897="","",'Journal'!B1897)</f>
        <v/>
      </c>
      <c r="C3792" s="5">
        <f>IF('Journal'!C1897="","",'Journal'!C1897)</f>
        <v/>
      </c>
      <c r="D3792" s="5">
        <f>IF('Journal'!E1897="","",IFERROR(LEFT('Journal'!E1897,FIND(" ",'Journal'!E1897)-1),'Journal'!E1897))</f>
        <v/>
      </c>
      <c r="E3792" s="5">
        <f>IF('Journal'!E1897="","",IFERROR(INDEX('Kontoplan'!$B$3:$B$302,MATCH('Journal'!E1897,'Kontoplan'!$H$3:$H$302,0)),""))</f>
        <v/>
      </c>
      <c r="F3792" s="20">
        <f>IF('Journal'!F1897="","",'Journal'!F1897)</f>
        <v/>
      </c>
      <c r="G3792" s="20">
        <f>IF('Journal'!G1897="","",'Journal'!G1897)</f>
        <v/>
      </c>
      <c r="H3792" s="5">
        <f>IF('Journal'!I1897="","",'Journal'!I1897)</f>
        <v/>
      </c>
    </row>
    <row r="3793">
      <c r="A3793" s="18">
        <f>IF('Journal'!A1898="","",'Journal'!A1898)</f>
        <v/>
      </c>
      <c r="B3793" s="21">
        <f>IF('Journal'!B1898="","",'Journal'!B1898)</f>
        <v/>
      </c>
      <c r="C3793" s="5">
        <f>IF('Journal'!C1898="","",'Journal'!C1898)</f>
        <v/>
      </c>
      <c r="D3793" s="5">
        <f>IF('Journal'!D1898="","",IFERROR(LEFT('Journal'!D1898,FIND(" ",'Journal'!D1898)-1),'Journal'!D1898))</f>
        <v/>
      </c>
      <c r="E3793" s="5">
        <f>IF('Journal'!D1898="","",IFERROR(INDEX('Kontoplan'!$B$3:$B$302,MATCH('Journal'!D1898,'Kontoplan'!$H$3:$H$302,0)),""))</f>
        <v/>
      </c>
      <c r="F3793" s="20">
        <f>IF('Journal'!G1898="","",'Journal'!G1898)</f>
        <v/>
      </c>
      <c r="G3793" s="20">
        <f>IF('Journal'!F1898="","",'Journal'!F1898)</f>
        <v/>
      </c>
      <c r="H3793" s="5">
        <f>IF('Journal'!I1898="","",'Journal'!I1898)</f>
        <v/>
      </c>
    </row>
    <row r="3794">
      <c r="A3794" s="18">
        <f>IF('Journal'!A1898="","",'Journal'!A1898)</f>
        <v/>
      </c>
      <c r="B3794" s="21">
        <f>IF('Journal'!B1898="","",'Journal'!B1898)</f>
        <v/>
      </c>
      <c r="C3794" s="5">
        <f>IF('Journal'!C1898="","",'Journal'!C1898)</f>
        <v/>
      </c>
      <c r="D3794" s="5">
        <f>IF('Journal'!E1898="","",IFERROR(LEFT('Journal'!E1898,FIND(" ",'Journal'!E1898)-1),'Journal'!E1898))</f>
        <v/>
      </c>
      <c r="E3794" s="5">
        <f>IF('Journal'!E1898="","",IFERROR(INDEX('Kontoplan'!$B$3:$B$302,MATCH('Journal'!E1898,'Kontoplan'!$H$3:$H$302,0)),""))</f>
        <v/>
      </c>
      <c r="F3794" s="20">
        <f>IF('Journal'!F1898="","",'Journal'!F1898)</f>
        <v/>
      </c>
      <c r="G3794" s="20">
        <f>IF('Journal'!G1898="","",'Journal'!G1898)</f>
        <v/>
      </c>
      <c r="H3794" s="5">
        <f>IF('Journal'!I1898="","",'Journal'!I1898)</f>
        <v/>
      </c>
    </row>
    <row r="3795">
      <c r="A3795" s="18">
        <f>IF('Journal'!A1899="","",'Journal'!A1899)</f>
        <v/>
      </c>
      <c r="B3795" s="21">
        <f>IF('Journal'!B1899="","",'Journal'!B1899)</f>
        <v/>
      </c>
      <c r="C3795" s="5">
        <f>IF('Journal'!C1899="","",'Journal'!C1899)</f>
        <v/>
      </c>
      <c r="D3795" s="5">
        <f>IF('Journal'!D1899="","",IFERROR(LEFT('Journal'!D1899,FIND(" ",'Journal'!D1899)-1),'Journal'!D1899))</f>
        <v/>
      </c>
      <c r="E3795" s="5">
        <f>IF('Journal'!D1899="","",IFERROR(INDEX('Kontoplan'!$B$3:$B$302,MATCH('Journal'!D1899,'Kontoplan'!$H$3:$H$302,0)),""))</f>
        <v/>
      </c>
      <c r="F3795" s="20">
        <f>IF('Journal'!G1899="","",'Journal'!G1899)</f>
        <v/>
      </c>
      <c r="G3795" s="20">
        <f>IF('Journal'!F1899="","",'Journal'!F1899)</f>
        <v/>
      </c>
      <c r="H3795" s="5">
        <f>IF('Journal'!I1899="","",'Journal'!I1899)</f>
        <v/>
      </c>
    </row>
    <row r="3796">
      <c r="A3796" s="18">
        <f>IF('Journal'!A1899="","",'Journal'!A1899)</f>
        <v/>
      </c>
      <c r="B3796" s="21">
        <f>IF('Journal'!B1899="","",'Journal'!B1899)</f>
        <v/>
      </c>
      <c r="C3796" s="5">
        <f>IF('Journal'!C1899="","",'Journal'!C1899)</f>
        <v/>
      </c>
      <c r="D3796" s="5">
        <f>IF('Journal'!E1899="","",IFERROR(LEFT('Journal'!E1899,FIND(" ",'Journal'!E1899)-1),'Journal'!E1899))</f>
        <v/>
      </c>
      <c r="E3796" s="5">
        <f>IF('Journal'!E1899="","",IFERROR(INDEX('Kontoplan'!$B$3:$B$302,MATCH('Journal'!E1899,'Kontoplan'!$H$3:$H$302,0)),""))</f>
        <v/>
      </c>
      <c r="F3796" s="20">
        <f>IF('Journal'!F1899="","",'Journal'!F1899)</f>
        <v/>
      </c>
      <c r="G3796" s="20">
        <f>IF('Journal'!G1899="","",'Journal'!G1899)</f>
        <v/>
      </c>
      <c r="H3796" s="5">
        <f>IF('Journal'!I1899="","",'Journal'!I1899)</f>
        <v/>
      </c>
    </row>
    <row r="3797">
      <c r="A3797" s="18">
        <f>IF('Journal'!A1900="","",'Journal'!A1900)</f>
        <v/>
      </c>
      <c r="B3797" s="21">
        <f>IF('Journal'!B1900="","",'Journal'!B1900)</f>
        <v/>
      </c>
      <c r="C3797" s="5">
        <f>IF('Journal'!C1900="","",'Journal'!C1900)</f>
        <v/>
      </c>
      <c r="D3797" s="5">
        <f>IF('Journal'!D1900="","",IFERROR(LEFT('Journal'!D1900,FIND(" ",'Journal'!D1900)-1),'Journal'!D1900))</f>
        <v/>
      </c>
      <c r="E3797" s="5">
        <f>IF('Journal'!D1900="","",IFERROR(INDEX('Kontoplan'!$B$3:$B$302,MATCH('Journal'!D1900,'Kontoplan'!$H$3:$H$302,0)),""))</f>
        <v/>
      </c>
      <c r="F3797" s="20">
        <f>IF('Journal'!G1900="","",'Journal'!G1900)</f>
        <v/>
      </c>
      <c r="G3797" s="20">
        <f>IF('Journal'!F1900="","",'Journal'!F1900)</f>
        <v/>
      </c>
      <c r="H3797" s="5">
        <f>IF('Journal'!I1900="","",'Journal'!I1900)</f>
        <v/>
      </c>
    </row>
    <row r="3798">
      <c r="A3798" s="18">
        <f>IF('Journal'!A1900="","",'Journal'!A1900)</f>
        <v/>
      </c>
      <c r="B3798" s="21">
        <f>IF('Journal'!B1900="","",'Journal'!B1900)</f>
        <v/>
      </c>
      <c r="C3798" s="5">
        <f>IF('Journal'!C1900="","",'Journal'!C1900)</f>
        <v/>
      </c>
      <c r="D3798" s="5">
        <f>IF('Journal'!E1900="","",IFERROR(LEFT('Journal'!E1900,FIND(" ",'Journal'!E1900)-1),'Journal'!E1900))</f>
        <v/>
      </c>
      <c r="E3798" s="5">
        <f>IF('Journal'!E1900="","",IFERROR(INDEX('Kontoplan'!$B$3:$B$302,MATCH('Journal'!E1900,'Kontoplan'!$H$3:$H$302,0)),""))</f>
        <v/>
      </c>
      <c r="F3798" s="20">
        <f>IF('Journal'!F1900="","",'Journal'!F1900)</f>
        <v/>
      </c>
      <c r="G3798" s="20">
        <f>IF('Journal'!G1900="","",'Journal'!G1900)</f>
        <v/>
      </c>
      <c r="H3798" s="5">
        <f>IF('Journal'!I1900="","",'Journal'!I1900)</f>
        <v/>
      </c>
    </row>
    <row r="3799">
      <c r="A3799" s="18">
        <f>IF('Journal'!A1901="","",'Journal'!A1901)</f>
        <v/>
      </c>
      <c r="B3799" s="21">
        <f>IF('Journal'!B1901="","",'Journal'!B1901)</f>
        <v/>
      </c>
      <c r="C3799" s="5">
        <f>IF('Journal'!C1901="","",'Journal'!C1901)</f>
        <v/>
      </c>
      <c r="D3799" s="5">
        <f>IF('Journal'!D1901="","",IFERROR(LEFT('Journal'!D1901,FIND(" ",'Journal'!D1901)-1),'Journal'!D1901))</f>
        <v/>
      </c>
      <c r="E3799" s="5">
        <f>IF('Journal'!D1901="","",IFERROR(INDEX('Kontoplan'!$B$3:$B$302,MATCH('Journal'!D1901,'Kontoplan'!$H$3:$H$302,0)),""))</f>
        <v/>
      </c>
      <c r="F3799" s="20">
        <f>IF('Journal'!G1901="","",'Journal'!G1901)</f>
        <v/>
      </c>
      <c r="G3799" s="20">
        <f>IF('Journal'!F1901="","",'Journal'!F1901)</f>
        <v/>
      </c>
      <c r="H3799" s="5">
        <f>IF('Journal'!I1901="","",'Journal'!I1901)</f>
        <v/>
      </c>
    </row>
    <row r="3800">
      <c r="A3800" s="18">
        <f>IF('Journal'!A1901="","",'Journal'!A1901)</f>
        <v/>
      </c>
      <c r="B3800" s="21">
        <f>IF('Journal'!B1901="","",'Journal'!B1901)</f>
        <v/>
      </c>
      <c r="C3800" s="5">
        <f>IF('Journal'!C1901="","",'Journal'!C1901)</f>
        <v/>
      </c>
      <c r="D3800" s="5">
        <f>IF('Journal'!E1901="","",IFERROR(LEFT('Journal'!E1901,FIND(" ",'Journal'!E1901)-1),'Journal'!E1901))</f>
        <v/>
      </c>
      <c r="E3800" s="5">
        <f>IF('Journal'!E1901="","",IFERROR(INDEX('Kontoplan'!$B$3:$B$302,MATCH('Journal'!E1901,'Kontoplan'!$H$3:$H$302,0)),""))</f>
        <v/>
      </c>
      <c r="F3800" s="20">
        <f>IF('Journal'!F1901="","",'Journal'!F1901)</f>
        <v/>
      </c>
      <c r="G3800" s="20">
        <f>IF('Journal'!G1901="","",'Journal'!G1901)</f>
        <v/>
      </c>
      <c r="H3800" s="5">
        <f>IF('Journal'!I1901="","",'Journal'!I1901)</f>
        <v/>
      </c>
    </row>
    <row r="3801">
      <c r="A3801" s="18">
        <f>IF('Journal'!A1902="","",'Journal'!A1902)</f>
        <v/>
      </c>
      <c r="B3801" s="21">
        <f>IF('Journal'!B1902="","",'Journal'!B1902)</f>
        <v/>
      </c>
      <c r="C3801" s="5">
        <f>IF('Journal'!C1902="","",'Journal'!C1902)</f>
        <v/>
      </c>
      <c r="D3801" s="5">
        <f>IF('Journal'!D1902="","",IFERROR(LEFT('Journal'!D1902,FIND(" ",'Journal'!D1902)-1),'Journal'!D1902))</f>
        <v/>
      </c>
      <c r="E3801" s="5">
        <f>IF('Journal'!D1902="","",IFERROR(INDEX('Kontoplan'!$B$3:$B$302,MATCH('Journal'!D1902,'Kontoplan'!$H$3:$H$302,0)),""))</f>
        <v/>
      </c>
      <c r="F3801" s="20">
        <f>IF('Journal'!G1902="","",'Journal'!G1902)</f>
        <v/>
      </c>
      <c r="G3801" s="20">
        <f>IF('Journal'!F1902="","",'Journal'!F1902)</f>
        <v/>
      </c>
      <c r="H3801" s="5">
        <f>IF('Journal'!I1902="","",'Journal'!I1902)</f>
        <v/>
      </c>
    </row>
    <row r="3802">
      <c r="A3802" s="18">
        <f>IF('Journal'!A1902="","",'Journal'!A1902)</f>
        <v/>
      </c>
      <c r="B3802" s="21">
        <f>IF('Journal'!B1902="","",'Journal'!B1902)</f>
        <v/>
      </c>
      <c r="C3802" s="5">
        <f>IF('Journal'!C1902="","",'Journal'!C1902)</f>
        <v/>
      </c>
      <c r="D3802" s="5">
        <f>IF('Journal'!E1902="","",IFERROR(LEFT('Journal'!E1902,FIND(" ",'Journal'!E1902)-1),'Journal'!E1902))</f>
        <v/>
      </c>
      <c r="E3802" s="5">
        <f>IF('Journal'!E1902="","",IFERROR(INDEX('Kontoplan'!$B$3:$B$302,MATCH('Journal'!E1902,'Kontoplan'!$H$3:$H$302,0)),""))</f>
        <v/>
      </c>
      <c r="F3802" s="20">
        <f>IF('Journal'!F1902="","",'Journal'!F1902)</f>
        <v/>
      </c>
      <c r="G3802" s="20">
        <f>IF('Journal'!G1902="","",'Journal'!G1902)</f>
        <v/>
      </c>
      <c r="H3802" s="5">
        <f>IF('Journal'!I1902="","",'Journal'!I1902)</f>
        <v/>
      </c>
    </row>
    <row r="3803">
      <c r="A3803" s="18">
        <f>IF('Journal'!A1903="","",'Journal'!A1903)</f>
        <v/>
      </c>
      <c r="B3803" s="21">
        <f>IF('Journal'!B1903="","",'Journal'!B1903)</f>
        <v/>
      </c>
      <c r="C3803" s="5">
        <f>IF('Journal'!C1903="","",'Journal'!C1903)</f>
        <v/>
      </c>
      <c r="D3803" s="5">
        <f>IF('Journal'!D1903="","",IFERROR(LEFT('Journal'!D1903,FIND(" ",'Journal'!D1903)-1),'Journal'!D1903))</f>
        <v/>
      </c>
      <c r="E3803" s="5">
        <f>IF('Journal'!D1903="","",IFERROR(INDEX('Kontoplan'!$B$3:$B$302,MATCH('Journal'!D1903,'Kontoplan'!$H$3:$H$302,0)),""))</f>
        <v/>
      </c>
      <c r="F3803" s="20">
        <f>IF('Journal'!G1903="","",'Journal'!G1903)</f>
        <v/>
      </c>
      <c r="G3803" s="20">
        <f>IF('Journal'!F1903="","",'Journal'!F1903)</f>
        <v/>
      </c>
      <c r="H3803" s="5">
        <f>IF('Journal'!I1903="","",'Journal'!I1903)</f>
        <v/>
      </c>
    </row>
    <row r="3804">
      <c r="A3804" s="18">
        <f>IF('Journal'!A1903="","",'Journal'!A1903)</f>
        <v/>
      </c>
      <c r="B3804" s="21">
        <f>IF('Journal'!B1903="","",'Journal'!B1903)</f>
        <v/>
      </c>
      <c r="C3804" s="5">
        <f>IF('Journal'!C1903="","",'Journal'!C1903)</f>
        <v/>
      </c>
      <c r="D3804" s="5">
        <f>IF('Journal'!E1903="","",IFERROR(LEFT('Journal'!E1903,FIND(" ",'Journal'!E1903)-1),'Journal'!E1903))</f>
        <v/>
      </c>
      <c r="E3804" s="5">
        <f>IF('Journal'!E1903="","",IFERROR(INDEX('Kontoplan'!$B$3:$B$302,MATCH('Journal'!E1903,'Kontoplan'!$H$3:$H$302,0)),""))</f>
        <v/>
      </c>
      <c r="F3804" s="20">
        <f>IF('Journal'!F1903="","",'Journal'!F1903)</f>
        <v/>
      </c>
      <c r="G3804" s="20">
        <f>IF('Journal'!G1903="","",'Journal'!G1903)</f>
        <v/>
      </c>
      <c r="H3804" s="5">
        <f>IF('Journal'!I1903="","",'Journal'!I1903)</f>
        <v/>
      </c>
    </row>
    <row r="3805">
      <c r="A3805" s="18">
        <f>IF('Journal'!A1904="","",'Journal'!A1904)</f>
        <v/>
      </c>
      <c r="B3805" s="21">
        <f>IF('Journal'!B1904="","",'Journal'!B1904)</f>
        <v/>
      </c>
      <c r="C3805" s="5">
        <f>IF('Journal'!C1904="","",'Journal'!C1904)</f>
        <v/>
      </c>
      <c r="D3805" s="5">
        <f>IF('Journal'!D1904="","",IFERROR(LEFT('Journal'!D1904,FIND(" ",'Journal'!D1904)-1),'Journal'!D1904))</f>
        <v/>
      </c>
      <c r="E3805" s="5">
        <f>IF('Journal'!D1904="","",IFERROR(INDEX('Kontoplan'!$B$3:$B$302,MATCH('Journal'!D1904,'Kontoplan'!$H$3:$H$302,0)),""))</f>
        <v/>
      </c>
      <c r="F3805" s="20">
        <f>IF('Journal'!G1904="","",'Journal'!G1904)</f>
        <v/>
      </c>
      <c r="G3805" s="20">
        <f>IF('Journal'!F1904="","",'Journal'!F1904)</f>
        <v/>
      </c>
      <c r="H3805" s="5">
        <f>IF('Journal'!I1904="","",'Journal'!I1904)</f>
        <v/>
      </c>
    </row>
    <row r="3806">
      <c r="A3806" s="18">
        <f>IF('Journal'!A1904="","",'Journal'!A1904)</f>
        <v/>
      </c>
      <c r="B3806" s="21">
        <f>IF('Journal'!B1904="","",'Journal'!B1904)</f>
        <v/>
      </c>
      <c r="C3806" s="5">
        <f>IF('Journal'!C1904="","",'Journal'!C1904)</f>
        <v/>
      </c>
      <c r="D3806" s="5">
        <f>IF('Journal'!E1904="","",IFERROR(LEFT('Journal'!E1904,FIND(" ",'Journal'!E1904)-1),'Journal'!E1904))</f>
        <v/>
      </c>
      <c r="E3806" s="5">
        <f>IF('Journal'!E1904="","",IFERROR(INDEX('Kontoplan'!$B$3:$B$302,MATCH('Journal'!E1904,'Kontoplan'!$H$3:$H$302,0)),""))</f>
        <v/>
      </c>
      <c r="F3806" s="20">
        <f>IF('Journal'!F1904="","",'Journal'!F1904)</f>
        <v/>
      </c>
      <c r="G3806" s="20">
        <f>IF('Journal'!G1904="","",'Journal'!G1904)</f>
        <v/>
      </c>
      <c r="H3806" s="5">
        <f>IF('Journal'!I1904="","",'Journal'!I1904)</f>
        <v/>
      </c>
    </row>
    <row r="3807">
      <c r="A3807" s="18">
        <f>IF('Journal'!A1905="","",'Journal'!A1905)</f>
        <v/>
      </c>
      <c r="B3807" s="21">
        <f>IF('Journal'!B1905="","",'Journal'!B1905)</f>
        <v/>
      </c>
      <c r="C3807" s="5">
        <f>IF('Journal'!C1905="","",'Journal'!C1905)</f>
        <v/>
      </c>
      <c r="D3807" s="5">
        <f>IF('Journal'!D1905="","",IFERROR(LEFT('Journal'!D1905,FIND(" ",'Journal'!D1905)-1),'Journal'!D1905))</f>
        <v/>
      </c>
      <c r="E3807" s="5">
        <f>IF('Journal'!D1905="","",IFERROR(INDEX('Kontoplan'!$B$3:$B$302,MATCH('Journal'!D1905,'Kontoplan'!$H$3:$H$302,0)),""))</f>
        <v/>
      </c>
      <c r="F3807" s="20">
        <f>IF('Journal'!G1905="","",'Journal'!G1905)</f>
        <v/>
      </c>
      <c r="G3807" s="20">
        <f>IF('Journal'!F1905="","",'Journal'!F1905)</f>
        <v/>
      </c>
      <c r="H3807" s="5">
        <f>IF('Journal'!I1905="","",'Journal'!I1905)</f>
        <v/>
      </c>
    </row>
    <row r="3808">
      <c r="A3808" s="18">
        <f>IF('Journal'!A1905="","",'Journal'!A1905)</f>
        <v/>
      </c>
      <c r="B3808" s="21">
        <f>IF('Journal'!B1905="","",'Journal'!B1905)</f>
        <v/>
      </c>
      <c r="C3808" s="5">
        <f>IF('Journal'!C1905="","",'Journal'!C1905)</f>
        <v/>
      </c>
      <c r="D3808" s="5">
        <f>IF('Journal'!E1905="","",IFERROR(LEFT('Journal'!E1905,FIND(" ",'Journal'!E1905)-1),'Journal'!E1905))</f>
        <v/>
      </c>
      <c r="E3808" s="5">
        <f>IF('Journal'!E1905="","",IFERROR(INDEX('Kontoplan'!$B$3:$B$302,MATCH('Journal'!E1905,'Kontoplan'!$H$3:$H$302,0)),""))</f>
        <v/>
      </c>
      <c r="F3808" s="20">
        <f>IF('Journal'!F1905="","",'Journal'!F1905)</f>
        <v/>
      </c>
      <c r="G3808" s="20">
        <f>IF('Journal'!G1905="","",'Journal'!G1905)</f>
        <v/>
      </c>
      <c r="H3808" s="5">
        <f>IF('Journal'!I1905="","",'Journal'!I1905)</f>
        <v/>
      </c>
    </row>
    <row r="3809">
      <c r="A3809" s="18">
        <f>IF('Journal'!A1906="","",'Journal'!A1906)</f>
        <v/>
      </c>
      <c r="B3809" s="21">
        <f>IF('Journal'!B1906="","",'Journal'!B1906)</f>
        <v/>
      </c>
      <c r="C3809" s="5">
        <f>IF('Journal'!C1906="","",'Journal'!C1906)</f>
        <v/>
      </c>
      <c r="D3809" s="5">
        <f>IF('Journal'!D1906="","",IFERROR(LEFT('Journal'!D1906,FIND(" ",'Journal'!D1906)-1),'Journal'!D1906))</f>
        <v/>
      </c>
      <c r="E3809" s="5">
        <f>IF('Journal'!D1906="","",IFERROR(INDEX('Kontoplan'!$B$3:$B$302,MATCH('Journal'!D1906,'Kontoplan'!$H$3:$H$302,0)),""))</f>
        <v/>
      </c>
      <c r="F3809" s="20">
        <f>IF('Journal'!G1906="","",'Journal'!G1906)</f>
        <v/>
      </c>
      <c r="G3809" s="20">
        <f>IF('Journal'!F1906="","",'Journal'!F1906)</f>
        <v/>
      </c>
      <c r="H3809" s="5">
        <f>IF('Journal'!I1906="","",'Journal'!I1906)</f>
        <v/>
      </c>
    </row>
    <row r="3810">
      <c r="A3810" s="18">
        <f>IF('Journal'!A1906="","",'Journal'!A1906)</f>
        <v/>
      </c>
      <c r="B3810" s="21">
        <f>IF('Journal'!B1906="","",'Journal'!B1906)</f>
        <v/>
      </c>
      <c r="C3810" s="5">
        <f>IF('Journal'!C1906="","",'Journal'!C1906)</f>
        <v/>
      </c>
      <c r="D3810" s="5">
        <f>IF('Journal'!E1906="","",IFERROR(LEFT('Journal'!E1906,FIND(" ",'Journal'!E1906)-1),'Journal'!E1906))</f>
        <v/>
      </c>
      <c r="E3810" s="5">
        <f>IF('Journal'!E1906="","",IFERROR(INDEX('Kontoplan'!$B$3:$B$302,MATCH('Journal'!E1906,'Kontoplan'!$H$3:$H$302,0)),""))</f>
        <v/>
      </c>
      <c r="F3810" s="20">
        <f>IF('Journal'!F1906="","",'Journal'!F1906)</f>
        <v/>
      </c>
      <c r="G3810" s="20">
        <f>IF('Journal'!G1906="","",'Journal'!G1906)</f>
        <v/>
      </c>
      <c r="H3810" s="5">
        <f>IF('Journal'!I1906="","",'Journal'!I1906)</f>
        <v/>
      </c>
    </row>
    <row r="3811">
      <c r="A3811" s="18">
        <f>IF('Journal'!A1907="","",'Journal'!A1907)</f>
        <v/>
      </c>
      <c r="B3811" s="21">
        <f>IF('Journal'!B1907="","",'Journal'!B1907)</f>
        <v/>
      </c>
      <c r="C3811" s="5">
        <f>IF('Journal'!C1907="","",'Journal'!C1907)</f>
        <v/>
      </c>
      <c r="D3811" s="5">
        <f>IF('Journal'!D1907="","",IFERROR(LEFT('Journal'!D1907,FIND(" ",'Journal'!D1907)-1),'Journal'!D1907))</f>
        <v/>
      </c>
      <c r="E3811" s="5">
        <f>IF('Journal'!D1907="","",IFERROR(INDEX('Kontoplan'!$B$3:$B$302,MATCH('Journal'!D1907,'Kontoplan'!$H$3:$H$302,0)),""))</f>
        <v/>
      </c>
      <c r="F3811" s="20">
        <f>IF('Journal'!G1907="","",'Journal'!G1907)</f>
        <v/>
      </c>
      <c r="G3811" s="20">
        <f>IF('Journal'!F1907="","",'Journal'!F1907)</f>
        <v/>
      </c>
      <c r="H3811" s="5">
        <f>IF('Journal'!I1907="","",'Journal'!I1907)</f>
        <v/>
      </c>
    </row>
    <row r="3812">
      <c r="A3812" s="18">
        <f>IF('Journal'!A1907="","",'Journal'!A1907)</f>
        <v/>
      </c>
      <c r="B3812" s="21">
        <f>IF('Journal'!B1907="","",'Journal'!B1907)</f>
        <v/>
      </c>
      <c r="C3812" s="5">
        <f>IF('Journal'!C1907="","",'Journal'!C1907)</f>
        <v/>
      </c>
      <c r="D3812" s="5">
        <f>IF('Journal'!E1907="","",IFERROR(LEFT('Journal'!E1907,FIND(" ",'Journal'!E1907)-1),'Journal'!E1907))</f>
        <v/>
      </c>
      <c r="E3812" s="5">
        <f>IF('Journal'!E1907="","",IFERROR(INDEX('Kontoplan'!$B$3:$B$302,MATCH('Journal'!E1907,'Kontoplan'!$H$3:$H$302,0)),""))</f>
        <v/>
      </c>
      <c r="F3812" s="20">
        <f>IF('Journal'!F1907="","",'Journal'!F1907)</f>
        <v/>
      </c>
      <c r="G3812" s="20">
        <f>IF('Journal'!G1907="","",'Journal'!G1907)</f>
        <v/>
      </c>
      <c r="H3812" s="5">
        <f>IF('Journal'!I1907="","",'Journal'!I1907)</f>
        <v/>
      </c>
    </row>
    <row r="3813">
      <c r="A3813" s="18">
        <f>IF('Journal'!A1908="","",'Journal'!A1908)</f>
        <v/>
      </c>
      <c r="B3813" s="21">
        <f>IF('Journal'!B1908="","",'Journal'!B1908)</f>
        <v/>
      </c>
      <c r="C3813" s="5">
        <f>IF('Journal'!C1908="","",'Journal'!C1908)</f>
        <v/>
      </c>
      <c r="D3813" s="5">
        <f>IF('Journal'!D1908="","",IFERROR(LEFT('Journal'!D1908,FIND(" ",'Journal'!D1908)-1),'Journal'!D1908))</f>
        <v/>
      </c>
      <c r="E3813" s="5">
        <f>IF('Journal'!D1908="","",IFERROR(INDEX('Kontoplan'!$B$3:$B$302,MATCH('Journal'!D1908,'Kontoplan'!$H$3:$H$302,0)),""))</f>
        <v/>
      </c>
      <c r="F3813" s="20">
        <f>IF('Journal'!G1908="","",'Journal'!G1908)</f>
        <v/>
      </c>
      <c r="G3813" s="20">
        <f>IF('Journal'!F1908="","",'Journal'!F1908)</f>
        <v/>
      </c>
      <c r="H3813" s="5">
        <f>IF('Journal'!I1908="","",'Journal'!I1908)</f>
        <v/>
      </c>
    </row>
    <row r="3814">
      <c r="A3814" s="18">
        <f>IF('Journal'!A1908="","",'Journal'!A1908)</f>
        <v/>
      </c>
      <c r="B3814" s="21">
        <f>IF('Journal'!B1908="","",'Journal'!B1908)</f>
        <v/>
      </c>
      <c r="C3814" s="5">
        <f>IF('Journal'!C1908="","",'Journal'!C1908)</f>
        <v/>
      </c>
      <c r="D3814" s="5">
        <f>IF('Journal'!E1908="","",IFERROR(LEFT('Journal'!E1908,FIND(" ",'Journal'!E1908)-1),'Journal'!E1908))</f>
        <v/>
      </c>
      <c r="E3814" s="5">
        <f>IF('Journal'!E1908="","",IFERROR(INDEX('Kontoplan'!$B$3:$B$302,MATCH('Journal'!E1908,'Kontoplan'!$H$3:$H$302,0)),""))</f>
        <v/>
      </c>
      <c r="F3814" s="20">
        <f>IF('Journal'!F1908="","",'Journal'!F1908)</f>
        <v/>
      </c>
      <c r="G3814" s="20">
        <f>IF('Journal'!G1908="","",'Journal'!G1908)</f>
        <v/>
      </c>
      <c r="H3814" s="5">
        <f>IF('Journal'!I1908="","",'Journal'!I1908)</f>
        <v/>
      </c>
    </row>
    <row r="3815">
      <c r="A3815" s="18">
        <f>IF('Journal'!A1909="","",'Journal'!A1909)</f>
        <v/>
      </c>
      <c r="B3815" s="21">
        <f>IF('Journal'!B1909="","",'Journal'!B1909)</f>
        <v/>
      </c>
      <c r="C3815" s="5">
        <f>IF('Journal'!C1909="","",'Journal'!C1909)</f>
        <v/>
      </c>
      <c r="D3815" s="5">
        <f>IF('Journal'!D1909="","",IFERROR(LEFT('Journal'!D1909,FIND(" ",'Journal'!D1909)-1),'Journal'!D1909))</f>
        <v/>
      </c>
      <c r="E3815" s="5">
        <f>IF('Journal'!D1909="","",IFERROR(INDEX('Kontoplan'!$B$3:$B$302,MATCH('Journal'!D1909,'Kontoplan'!$H$3:$H$302,0)),""))</f>
        <v/>
      </c>
      <c r="F3815" s="20">
        <f>IF('Journal'!G1909="","",'Journal'!G1909)</f>
        <v/>
      </c>
      <c r="G3815" s="20">
        <f>IF('Journal'!F1909="","",'Journal'!F1909)</f>
        <v/>
      </c>
      <c r="H3815" s="5">
        <f>IF('Journal'!I1909="","",'Journal'!I1909)</f>
        <v/>
      </c>
    </row>
    <row r="3816">
      <c r="A3816" s="18">
        <f>IF('Journal'!A1909="","",'Journal'!A1909)</f>
        <v/>
      </c>
      <c r="B3816" s="21">
        <f>IF('Journal'!B1909="","",'Journal'!B1909)</f>
        <v/>
      </c>
      <c r="C3816" s="5">
        <f>IF('Journal'!C1909="","",'Journal'!C1909)</f>
        <v/>
      </c>
      <c r="D3816" s="5">
        <f>IF('Journal'!E1909="","",IFERROR(LEFT('Journal'!E1909,FIND(" ",'Journal'!E1909)-1),'Journal'!E1909))</f>
        <v/>
      </c>
      <c r="E3816" s="5">
        <f>IF('Journal'!E1909="","",IFERROR(INDEX('Kontoplan'!$B$3:$B$302,MATCH('Journal'!E1909,'Kontoplan'!$H$3:$H$302,0)),""))</f>
        <v/>
      </c>
      <c r="F3816" s="20">
        <f>IF('Journal'!F1909="","",'Journal'!F1909)</f>
        <v/>
      </c>
      <c r="G3816" s="20">
        <f>IF('Journal'!G1909="","",'Journal'!G1909)</f>
        <v/>
      </c>
      <c r="H3816" s="5">
        <f>IF('Journal'!I1909="","",'Journal'!I1909)</f>
        <v/>
      </c>
    </row>
    <row r="3817">
      <c r="A3817" s="18">
        <f>IF('Journal'!A1910="","",'Journal'!A1910)</f>
        <v/>
      </c>
      <c r="B3817" s="21">
        <f>IF('Journal'!B1910="","",'Journal'!B1910)</f>
        <v/>
      </c>
      <c r="C3817" s="5">
        <f>IF('Journal'!C1910="","",'Journal'!C1910)</f>
        <v/>
      </c>
      <c r="D3817" s="5">
        <f>IF('Journal'!D1910="","",IFERROR(LEFT('Journal'!D1910,FIND(" ",'Journal'!D1910)-1),'Journal'!D1910))</f>
        <v/>
      </c>
      <c r="E3817" s="5">
        <f>IF('Journal'!D1910="","",IFERROR(INDEX('Kontoplan'!$B$3:$B$302,MATCH('Journal'!D1910,'Kontoplan'!$H$3:$H$302,0)),""))</f>
        <v/>
      </c>
      <c r="F3817" s="20">
        <f>IF('Journal'!G1910="","",'Journal'!G1910)</f>
        <v/>
      </c>
      <c r="G3817" s="20">
        <f>IF('Journal'!F1910="","",'Journal'!F1910)</f>
        <v/>
      </c>
      <c r="H3817" s="5">
        <f>IF('Journal'!I1910="","",'Journal'!I1910)</f>
        <v/>
      </c>
    </row>
    <row r="3818">
      <c r="A3818" s="18">
        <f>IF('Journal'!A1910="","",'Journal'!A1910)</f>
        <v/>
      </c>
      <c r="B3818" s="21">
        <f>IF('Journal'!B1910="","",'Journal'!B1910)</f>
        <v/>
      </c>
      <c r="C3818" s="5">
        <f>IF('Journal'!C1910="","",'Journal'!C1910)</f>
        <v/>
      </c>
      <c r="D3818" s="5">
        <f>IF('Journal'!E1910="","",IFERROR(LEFT('Journal'!E1910,FIND(" ",'Journal'!E1910)-1),'Journal'!E1910))</f>
        <v/>
      </c>
      <c r="E3818" s="5">
        <f>IF('Journal'!E1910="","",IFERROR(INDEX('Kontoplan'!$B$3:$B$302,MATCH('Journal'!E1910,'Kontoplan'!$H$3:$H$302,0)),""))</f>
        <v/>
      </c>
      <c r="F3818" s="20">
        <f>IF('Journal'!F1910="","",'Journal'!F1910)</f>
        <v/>
      </c>
      <c r="G3818" s="20">
        <f>IF('Journal'!G1910="","",'Journal'!G1910)</f>
        <v/>
      </c>
      <c r="H3818" s="5">
        <f>IF('Journal'!I1910="","",'Journal'!I1910)</f>
        <v/>
      </c>
    </row>
    <row r="3819">
      <c r="A3819" s="18">
        <f>IF('Journal'!A1911="","",'Journal'!A1911)</f>
        <v/>
      </c>
      <c r="B3819" s="21">
        <f>IF('Journal'!B1911="","",'Journal'!B1911)</f>
        <v/>
      </c>
      <c r="C3819" s="5">
        <f>IF('Journal'!C1911="","",'Journal'!C1911)</f>
        <v/>
      </c>
      <c r="D3819" s="5">
        <f>IF('Journal'!D1911="","",IFERROR(LEFT('Journal'!D1911,FIND(" ",'Journal'!D1911)-1),'Journal'!D1911))</f>
        <v/>
      </c>
      <c r="E3819" s="5">
        <f>IF('Journal'!D1911="","",IFERROR(INDEX('Kontoplan'!$B$3:$B$302,MATCH('Journal'!D1911,'Kontoplan'!$H$3:$H$302,0)),""))</f>
        <v/>
      </c>
      <c r="F3819" s="20">
        <f>IF('Journal'!G1911="","",'Journal'!G1911)</f>
        <v/>
      </c>
      <c r="G3819" s="20">
        <f>IF('Journal'!F1911="","",'Journal'!F1911)</f>
        <v/>
      </c>
      <c r="H3819" s="5">
        <f>IF('Journal'!I1911="","",'Journal'!I1911)</f>
        <v/>
      </c>
    </row>
    <row r="3820">
      <c r="A3820" s="18">
        <f>IF('Journal'!A1911="","",'Journal'!A1911)</f>
        <v/>
      </c>
      <c r="B3820" s="21">
        <f>IF('Journal'!B1911="","",'Journal'!B1911)</f>
        <v/>
      </c>
      <c r="C3820" s="5">
        <f>IF('Journal'!C1911="","",'Journal'!C1911)</f>
        <v/>
      </c>
      <c r="D3820" s="5">
        <f>IF('Journal'!E1911="","",IFERROR(LEFT('Journal'!E1911,FIND(" ",'Journal'!E1911)-1),'Journal'!E1911))</f>
        <v/>
      </c>
      <c r="E3820" s="5">
        <f>IF('Journal'!E1911="","",IFERROR(INDEX('Kontoplan'!$B$3:$B$302,MATCH('Journal'!E1911,'Kontoplan'!$H$3:$H$302,0)),""))</f>
        <v/>
      </c>
      <c r="F3820" s="20">
        <f>IF('Journal'!F1911="","",'Journal'!F1911)</f>
        <v/>
      </c>
      <c r="G3820" s="20">
        <f>IF('Journal'!G1911="","",'Journal'!G1911)</f>
        <v/>
      </c>
      <c r="H3820" s="5">
        <f>IF('Journal'!I1911="","",'Journal'!I1911)</f>
        <v/>
      </c>
    </row>
    <row r="3821">
      <c r="A3821" s="18">
        <f>IF('Journal'!A1912="","",'Journal'!A1912)</f>
        <v/>
      </c>
      <c r="B3821" s="21">
        <f>IF('Journal'!B1912="","",'Journal'!B1912)</f>
        <v/>
      </c>
      <c r="C3821" s="5">
        <f>IF('Journal'!C1912="","",'Journal'!C1912)</f>
        <v/>
      </c>
      <c r="D3821" s="5">
        <f>IF('Journal'!D1912="","",IFERROR(LEFT('Journal'!D1912,FIND(" ",'Journal'!D1912)-1),'Journal'!D1912))</f>
        <v/>
      </c>
      <c r="E3821" s="5">
        <f>IF('Journal'!D1912="","",IFERROR(INDEX('Kontoplan'!$B$3:$B$302,MATCH('Journal'!D1912,'Kontoplan'!$H$3:$H$302,0)),""))</f>
        <v/>
      </c>
      <c r="F3821" s="20">
        <f>IF('Journal'!G1912="","",'Journal'!G1912)</f>
        <v/>
      </c>
      <c r="G3821" s="20">
        <f>IF('Journal'!F1912="","",'Journal'!F1912)</f>
        <v/>
      </c>
      <c r="H3821" s="5">
        <f>IF('Journal'!I1912="","",'Journal'!I1912)</f>
        <v/>
      </c>
    </row>
    <row r="3822">
      <c r="A3822" s="18">
        <f>IF('Journal'!A1912="","",'Journal'!A1912)</f>
        <v/>
      </c>
      <c r="B3822" s="21">
        <f>IF('Journal'!B1912="","",'Journal'!B1912)</f>
        <v/>
      </c>
      <c r="C3822" s="5">
        <f>IF('Journal'!C1912="","",'Journal'!C1912)</f>
        <v/>
      </c>
      <c r="D3822" s="5">
        <f>IF('Journal'!E1912="","",IFERROR(LEFT('Journal'!E1912,FIND(" ",'Journal'!E1912)-1),'Journal'!E1912))</f>
        <v/>
      </c>
      <c r="E3822" s="5">
        <f>IF('Journal'!E1912="","",IFERROR(INDEX('Kontoplan'!$B$3:$B$302,MATCH('Journal'!E1912,'Kontoplan'!$H$3:$H$302,0)),""))</f>
        <v/>
      </c>
      <c r="F3822" s="20">
        <f>IF('Journal'!F1912="","",'Journal'!F1912)</f>
        <v/>
      </c>
      <c r="G3822" s="20">
        <f>IF('Journal'!G1912="","",'Journal'!G1912)</f>
        <v/>
      </c>
      <c r="H3822" s="5">
        <f>IF('Journal'!I1912="","",'Journal'!I1912)</f>
        <v/>
      </c>
    </row>
    <row r="3823">
      <c r="A3823" s="18">
        <f>IF('Journal'!A1913="","",'Journal'!A1913)</f>
        <v/>
      </c>
      <c r="B3823" s="21">
        <f>IF('Journal'!B1913="","",'Journal'!B1913)</f>
        <v/>
      </c>
      <c r="C3823" s="5">
        <f>IF('Journal'!C1913="","",'Journal'!C1913)</f>
        <v/>
      </c>
      <c r="D3823" s="5">
        <f>IF('Journal'!D1913="","",IFERROR(LEFT('Journal'!D1913,FIND(" ",'Journal'!D1913)-1),'Journal'!D1913))</f>
        <v/>
      </c>
      <c r="E3823" s="5">
        <f>IF('Journal'!D1913="","",IFERROR(INDEX('Kontoplan'!$B$3:$B$302,MATCH('Journal'!D1913,'Kontoplan'!$H$3:$H$302,0)),""))</f>
        <v/>
      </c>
      <c r="F3823" s="20">
        <f>IF('Journal'!G1913="","",'Journal'!G1913)</f>
        <v/>
      </c>
      <c r="G3823" s="20">
        <f>IF('Journal'!F1913="","",'Journal'!F1913)</f>
        <v/>
      </c>
      <c r="H3823" s="5">
        <f>IF('Journal'!I1913="","",'Journal'!I1913)</f>
        <v/>
      </c>
    </row>
    <row r="3824">
      <c r="A3824" s="18">
        <f>IF('Journal'!A1913="","",'Journal'!A1913)</f>
        <v/>
      </c>
      <c r="B3824" s="21">
        <f>IF('Journal'!B1913="","",'Journal'!B1913)</f>
        <v/>
      </c>
      <c r="C3824" s="5">
        <f>IF('Journal'!C1913="","",'Journal'!C1913)</f>
        <v/>
      </c>
      <c r="D3824" s="5">
        <f>IF('Journal'!E1913="","",IFERROR(LEFT('Journal'!E1913,FIND(" ",'Journal'!E1913)-1),'Journal'!E1913))</f>
        <v/>
      </c>
      <c r="E3824" s="5">
        <f>IF('Journal'!E1913="","",IFERROR(INDEX('Kontoplan'!$B$3:$B$302,MATCH('Journal'!E1913,'Kontoplan'!$H$3:$H$302,0)),""))</f>
        <v/>
      </c>
      <c r="F3824" s="20">
        <f>IF('Journal'!F1913="","",'Journal'!F1913)</f>
        <v/>
      </c>
      <c r="G3824" s="20">
        <f>IF('Journal'!G1913="","",'Journal'!G1913)</f>
        <v/>
      </c>
      <c r="H3824" s="5">
        <f>IF('Journal'!I1913="","",'Journal'!I1913)</f>
        <v/>
      </c>
    </row>
    <row r="3825">
      <c r="A3825" s="18">
        <f>IF('Journal'!A1914="","",'Journal'!A1914)</f>
        <v/>
      </c>
      <c r="B3825" s="21">
        <f>IF('Journal'!B1914="","",'Journal'!B1914)</f>
        <v/>
      </c>
      <c r="C3825" s="5">
        <f>IF('Journal'!C1914="","",'Journal'!C1914)</f>
        <v/>
      </c>
      <c r="D3825" s="5">
        <f>IF('Journal'!D1914="","",IFERROR(LEFT('Journal'!D1914,FIND(" ",'Journal'!D1914)-1),'Journal'!D1914))</f>
        <v/>
      </c>
      <c r="E3825" s="5">
        <f>IF('Journal'!D1914="","",IFERROR(INDEX('Kontoplan'!$B$3:$B$302,MATCH('Journal'!D1914,'Kontoplan'!$H$3:$H$302,0)),""))</f>
        <v/>
      </c>
      <c r="F3825" s="20">
        <f>IF('Journal'!G1914="","",'Journal'!G1914)</f>
        <v/>
      </c>
      <c r="G3825" s="20">
        <f>IF('Journal'!F1914="","",'Journal'!F1914)</f>
        <v/>
      </c>
      <c r="H3825" s="5">
        <f>IF('Journal'!I1914="","",'Journal'!I1914)</f>
        <v/>
      </c>
    </row>
    <row r="3826">
      <c r="A3826" s="18">
        <f>IF('Journal'!A1914="","",'Journal'!A1914)</f>
        <v/>
      </c>
      <c r="B3826" s="21">
        <f>IF('Journal'!B1914="","",'Journal'!B1914)</f>
        <v/>
      </c>
      <c r="C3826" s="5">
        <f>IF('Journal'!C1914="","",'Journal'!C1914)</f>
        <v/>
      </c>
      <c r="D3826" s="5">
        <f>IF('Journal'!E1914="","",IFERROR(LEFT('Journal'!E1914,FIND(" ",'Journal'!E1914)-1),'Journal'!E1914))</f>
        <v/>
      </c>
      <c r="E3826" s="5">
        <f>IF('Journal'!E1914="","",IFERROR(INDEX('Kontoplan'!$B$3:$B$302,MATCH('Journal'!E1914,'Kontoplan'!$H$3:$H$302,0)),""))</f>
        <v/>
      </c>
      <c r="F3826" s="20">
        <f>IF('Journal'!F1914="","",'Journal'!F1914)</f>
        <v/>
      </c>
      <c r="G3826" s="20">
        <f>IF('Journal'!G1914="","",'Journal'!G1914)</f>
        <v/>
      </c>
      <c r="H3826" s="5">
        <f>IF('Journal'!I1914="","",'Journal'!I1914)</f>
        <v/>
      </c>
    </row>
    <row r="3827">
      <c r="A3827" s="18">
        <f>IF('Journal'!A1915="","",'Journal'!A1915)</f>
        <v/>
      </c>
      <c r="B3827" s="21">
        <f>IF('Journal'!B1915="","",'Journal'!B1915)</f>
        <v/>
      </c>
      <c r="C3827" s="5">
        <f>IF('Journal'!C1915="","",'Journal'!C1915)</f>
        <v/>
      </c>
      <c r="D3827" s="5">
        <f>IF('Journal'!D1915="","",IFERROR(LEFT('Journal'!D1915,FIND(" ",'Journal'!D1915)-1),'Journal'!D1915))</f>
        <v/>
      </c>
      <c r="E3827" s="5">
        <f>IF('Journal'!D1915="","",IFERROR(INDEX('Kontoplan'!$B$3:$B$302,MATCH('Journal'!D1915,'Kontoplan'!$H$3:$H$302,0)),""))</f>
        <v/>
      </c>
      <c r="F3827" s="20">
        <f>IF('Journal'!G1915="","",'Journal'!G1915)</f>
        <v/>
      </c>
      <c r="G3827" s="20">
        <f>IF('Journal'!F1915="","",'Journal'!F1915)</f>
        <v/>
      </c>
      <c r="H3827" s="5">
        <f>IF('Journal'!I1915="","",'Journal'!I1915)</f>
        <v/>
      </c>
    </row>
    <row r="3828">
      <c r="A3828" s="18">
        <f>IF('Journal'!A1915="","",'Journal'!A1915)</f>
        <v/>
      </c>
      <c r="B3828" s="21">
        <f>IF('Journal'!B1915="","",'Journal'!B1915)</f>
        <v/>
      </c>
      <c r="C3828" s="5">
        <f>IF('Journal'!C1915="","",'Journal'!C1915)</f>
        <v/>
      </c>
      <c r="D3828" s="5">
        <f>IF('Journal'!E1915="","",IFERROR(LEFT('Journal'!E1915,FIND(" ",'Journal'!E1915)-1),'Journal'!E1915))</f>
        <v/>
      </c>
      <c r="E3828" s="5">
        <f>IF('Journal'!E1915="","",IFERROR(INDEX('Kontoplan'!$B$3:$B$302,MATCH('Journal'!E1915,'Kontoplan'!$H$3:$H$302,0)),""))</f>
        <v/>
      </c>
      <c r="F3828" s="20">
        <f>IF('Journal'!F1915="","",'Journal'!F1915)</f>
        <v/>
      </c>
      <c r="G3828" s="20">
        <f>IF('Journal'!G1915="","",'Journal'!G1915)</f>
        <v/>
      </c>
      <c r="H3828" s="5">
        <f>IF('Journal'!I1915="","",'Journal'!I1915)</f>
        <v/>
      </c>
    </row>
    <row r="3829">
      <c r="A3829" s="18">
        <f>IF('Journal'!A1916="","",'Journal'!A1916)</f>
        <v/>
      </c>
      <c r="B3829" s="21">
        <f>IF('Journal'!B1916="","",'Journal'!B1916)</f>
        <v/>
      </c>
      <c r="C3829" s="5">
        <f>IF('Journal'!C1916="","",'Journal'!C1916)</f>
        <v/>
      </c>
      <c r="D3829" s="5">
        <f>IF('Journal'!D1916="","",IFERROR(LEFT('Journal'!D1916,FIND(" ",'Journal'!D1916)-1),'Journal'!D1916))</f>
        <v/>
      </c>
      <c r="E3829" s="5">
        <f>IF('Journal'!D1916="","",IFERROR(INDEX('Kontoplan'!$B$3:$B$302,MATCH('Journal'!D1916,'Kontoplan'!$H$3:$H$302,0)),""))</f>
        <v/>
      </c>
      <c r="F3829" s="20">
        <f>IF('Journal'!G1916="","",'Journal'!G1916)</f>
        <v/>
      </c>
      <c r="G3829" s="20">
        <f>IF('Journal'!F1916="","",'Journal'!F1916)</f>
        <v/>
      </c>
      <c r="H3829" s="5">
        <f>IF('Journal'!I1916="","",'Journal'!I1916)</f>
        <v/>
      </c>
    </row>
    <row r="3830">
      <c r="A3830" s="18">
        <f>IF('Journal'!A1916="","",'Journal'!A1916)</f>
        <v/>
      </c>
      <c r="B3830" s="21">
        <f>IF('Journal'!B1916="","",'Journal'!B1916)</f>
        <v/>
      </c>
      <c r="C3830" s="5">
        <f>IF('Journal'!C1916="","",'Journal'!C1916)</f>
        <v/>
      </c>
      <c r="D3830" s="5">
        <f>IF('Journal'!E1916="","",IFERROR(LEFT('Journal'!E1916,FIND(" ",'Journal'!E1916)-1),'Journal'!E1916))</f>
        <v/>
      </c>
      <c r="E3830" s="5">
        <f>IF('Journal'!E1916="","",IFERROR(INDEX('Kontoplan'!$B$3:$B$302,MATCH('Journal'!E1916,'Kontoplan'!$H$3:$H$302,0)),""))</f>
        <v/>
      </c>
      <c r="F3830" s="20">
        <f>IF('Journal'!F1916="","",'Journal'!F1916)</f>
        <v/>
      </c>
      <c r="G3830" s="20">
        <f>IF('Journal'!G1916="","",'Journal'!G1916)</f>
        <v/>
      </c>
      <c r="H3830" s="5">
        <f>IF('Journal'!I1916="","",'Journal'!I1916)</f>
        <v/>
      </c>
    </row>
    <row r="3831">
      <c r="A3831" s="18">
        <f>IF('Journal'!A1917="","",'Journal'!A1917)</f>
        <v/>
      </c>
      <c r="B3831" s="21">
        <f>IF('Journal'!B1917="","",'Journal'!B1917)</f>
        <v/>
      </c>
      <c r="C3831" s="5">
        <f>IF('Journal'!C1917="","",'Journal'!C1917)</f>
        <v/>
      </c>
      <c r="D3831" s="5">
        <f>IF('Journal'!D1917="","",IFERROR(LEFT('Journal'!D1917,FIND(" ",'Journal'!D1917)-1),'Journal'!D1917))</f>
        <v/>
      </c>
      <c r="E3831" s="5">
        <f>IF('Journal'!D1917="","",IFERROR(INDEX('Kontoplan'!$B$3:$B$302,MATCH('Journal'!D1917,'Kontoplan'!$H$3:$H$302,0)),""))</f>
        <v/>
      </c>
      <c r="F3831" s="20">
        <f>IF('Journal'!G1917="","",'Journal'!G1917)</f>
        <v/>
      </c>
      <c r="G3831" s="20">
        <f>IF('Journal'!F1917="","",'Journal'!F1917)</f>
        <v/>
      </c>
      <c r="H3831" s="5">
        <f>IF('Journal'!I1917="","",'Journal'!I1917)</f>
        <v/>
      </c>
    </row>
    <row r="3832">
      <c r="A3832" s="18">
        <f>IF('Journal'!A1917="","",'Journal'!A1917)</f>
        <v/>
      </c>
      <c r="B3832" s="21">
        <f>IF('Journal'!B1917="","",'Journal'!B1917)</f>
        <v/>
      </c>
      <c r="C3832" s="5">
        <f>IF('Journal'!C1917="","",'Journal'!C1917)</f>
        <v/>
      </c>
      <c r="D3832" s="5">
        <f>IF('Journal'!E1917="","",IFERROR(LEFT('Journal'!E1917,FIND(" ",'Journal'!E1917)-1),'Journal'!E1917))</f>
        <v/>
      </c>
      <c r="E3832" s="5">
        <f>IF('Journal'!E1917="","",IFERROR(INDEX('Kontoplan'!$B$3:$B$302,MATCH('Journal'!E1917,'Kontoplan'!$H$3:$H$302,0)),""))</f>
        <v/>
      </c>
      <c r="F3832" s="20">
        <f>IF('Journal'!F1917="","",'Journal'!F1917)</f>
        <v/>
      </c>
      <c r="G3832" s="20">
        <f>IF('Journal'!G1917="","",'Journal'!G1917)</f>
        <v/>
      </c>
      <c r="H3832" s="5">
        <f>IF('Journal'!I1917="","",'Journal'!I1917)</f>
        <v/>
      </c>
    </row>
    <row r="3833">
      <c r="A3833" s="18">
        <f>IF('Journal'!A1918="","",'Journal'!A1918)</f>
        <v/>
      </c>
      <c r="B3833" s="21">
        <f>IF('Journal'!B1918="","",'Journal'!B1918)</f>
        <v/>
      </c>
      <c r="C3833" s="5">
        <f>IF('Journal'!C1918="","",'Journal'!C1918)</f>
        <v/>
      </c>
      <c r="D3833" s="5">
        <f>IF('Journal'!D1918="","",IFERROR(LEFT('Journal'!D1918,FIND(" ",'Journal'!D1918)-1),'Journal'!D1918))</f>
        <v/>
      </c>
      <c r="E3833" s="5">
        <f>IF('Journal'!D1918="","",IFERROR(INDEX('Kontoplan'!$B$3:$B$302,MATCH('Journal'!D1918,'Kontoplan'!$H$3:$H$302,0)),""))</f>
        <v/>
      </c>
      <c r="F3833" s="20">
        <f>IF('Journal'!G1918="","",'Journal'!G1918)</f>
        <v/>
      </c>
      <c r="G3833" s="20">
        <f>IF('Journal'!F1918="","",'Journal'!F1918)</f>
        <v/>
      </c>
      <c r="H3833" s="5">
        <f>IF('Journal'!I1918="","",'Journal'!I1918)</f>
        <v/>
      </c>
    </row>
    <row r="3834">
      <c r="A3834" s="18">
        <f>IF('Journal'!A1918="","",'Journal'!A1918)</f>
        <v/>
      </c>
      <c r="B3834" s="21">
        <f>IF('Journal'!B1918="","",'Journal'!B1918)</f>
        <v/>
      </c>
      <c r="C3834" s="5">
        <f>IF('Journal'!C1918="","",'Journal'!C1918)</f>
        <v/>
      </c>
      <c r="D3834" s="5">
        <f>IF('Journal'!E1918="","",IFERROR(LEFT('Journal'!E1918,FIND(" ",'Journal'!E1918)-1),'Journal'!E1918))</f>
        <v/>
      </c>
      <c r="E3834" s="5">
        <f>IF('Journal'!E1918="","",IFERROR(INDEX('Kontoplan'!$B$3:$B$302,MATCH('Journal'!E1918,'Kontoplan'!$H$3:$H$302,0)),""))</f>
        <v/>
      </c>
      <c r="F3834" s="20">
        <f>IF('Journal'!F1918="","",'Journal'!F1918)</f>
        <v/>
      </c>
      <c r="G3834" s="20">
        <f>IF('Journal'!G1918="","",'Journal'!G1918)</f>
        <v/>
      </c>
      <c r="H3834" s="5">
        <f>IF('Journal'!I1918="","",'Journal'!I1918)</f>
        <v/>
      </c>
    </row>
    <row r="3835">
      <c r="A3835" s="18">
        <f>IF('Journal'!A1919="","",'Journal'!A1919)</f>
        <v/>
      </c>
      <c r="B3835" s="21">
        <f>IF('Journal'!B1919="","",'Journal'!B1919)</f>
        <v/>
      </c>
      <c r="C3835" s="5">
        <f>IF('Journal'!C1919="","",'Journal'!C1919)</f>
        <v/>
      </c>
      <c r="D3835" s="5">
        <f>IF('Journal'!D1919="","",IFERROR(LEFT('Journal'!D1919,FIND(" ",'Journal'!D1919)-1),'Journal'!D1919))</f>
        <v/>
      </c>
      <c r="E3835" s="5">
        <f>IF('Journal'!D1919="","",IFERROR(INDEX('Kontoplan'!$B$3:$B$302,MATCH('Journal'!D1919,'Kontoplan'!$H$3:$H$302,0)),""))</f>
        <v/>
      </c>
      <c r="F3835" s="20">
        <f>IF('Journal'!G1919="","",'Journal'!G1919)</f>
        <v/>
      </c>
      <c r="G3835" s="20">
        <f>IF('Journal'!F1919="","",'Journal'!F1919)</f>
        <v/>
      </c>
      <c r="H3835" s="5">
        <f>IF('Journal'!I1919="","",'Journal'!I1919)</f>
        <v/>
      </c>
    </row>
    <row r="3836">
      <c r="A3836" s="18">
        <f>IF('Journal'!A1919="","",'Journal'!A1919)</f>
        <v/>
      </c>
      <c r="B3836" s="21">
        <f>IF('Journal'!B1919="","",'Journal'!B1919)</f>
        <v/>
      </c>
      <c r="C3836" s="5">
        <f>IF('Journal'!C1919="","",'Journal'!C1919)</f>
        <v/>
      </c>
      <c r="D3836" s="5">
        <f>IF('Journal'!E1919="","",IFERROR(LEFT('Journal'!E1919,FIND(" ",'Journal'!E1919)-1),'Journal'!E1919))</f>
        <v/>
      </c>
      <c r="E3836" s="5">
        <f>IF('Journal'!E1919="","",IFERROR(INDEX('Kontoplan'!$B$3:$B$302,MATCH('Journal'!E1919,'Kontoplan'!$H$3:$H$302,0)),""))</f>
        <v/>
      </c>
      <c r="F3836" s="20">
        <f>IF('Journal'!F1919="","",'Journal'!F1919)</f>
        <v/>
      </c>
      <c r="G3836" s="20">
        <f>IF('Journal'!G1919="","",'Journal'!G1919)</f>
        <v/>
      </c>
      <c r="H3836" s="5">
        <f>IF('Journal'!I1919="","",'Journal'!I1919)</f>
        <v/>
      </c>
    </row>
    <row r="3837">
      <c r="A3837" s="18">
        <f>IF('Journal'!A1920="","",'Journal'!A1920)</f>
        <v/>
      </c>
      <c r="B3837" s="21">
        <f>IF('Journal'!B1920="","",'Journal'!B1920)</f>
        <v/>
      </c>
      <c r="C3837" s="5">
        <f>IF('Journal'!C1920="","",'Journal'!C1920)</f>
        <v/>
      </c>
      <c r="D3837" s="5">
        <f>IF('Journal'!D1920="","",IFERROR(LEFT('Journal'!D1920,FIND(" ",'Journal'!D1920)-1),'Journal'!D1920))</f>
        <v/>
      </c>
      <c r="E3837" s="5">
        <f>IF('Journal'!D1920="","",IFERROR(INDEX('Kontoplan'!$B$3:$B$302,MATCH('Journal'!D1920,'Kontoplan'!$H$3:$H$302,0)),""))</f>
        <v/>
      </c>
      <c r="F3837" s="20">
        <f>IF('Journal'!G1920="","",'Journal'!G1920)</f>
        <v/>
      </c>
      <c r="G3837" s="20">
        <f>IF('Journal'!F1920="","",'Journal'!F1920)</f>
        <v/>
      </c>
      <c r="H3837" s="5">
        <f>IF('Journal'!I1920="","",'Journal'!I1920)</f>
        <v/>
      </c>
    </row>
    <row r="3838">
      <c r="A3838" s="18">
        <f>IF('Journal'!A1920="","",'Journal'!A1920)</f>
        <v/>
      </c>
      <c r="B3838" s="21">
        <f>IF('Journal'!B1920="","",'Journal'!B1920)</f>
        <v/>
      </c>
      <c r="C3838" s="5">
        <f>IF('Journal'!C1920="","",'Journal'!C1920)</f>
        <v/>
      </c>
      <c r="D3838" s="5">
        <f>IF('Journal'!E1920="","",IFERROR(LEFT('Journal'!E1920,FIND(" ",'Journal'!E1920)-1),'Journal'!E1920))</f>
        <v/>
      </c>
      <c r="E3838" s="5">
        <f>IF('Journal'!E1920="","",IFERROR(INDEX('Kontoplan'!$B$3:$B$302,MATCH('Journal'!E1920,'Kontoplan'!$H$3:$H$302,0)),""))</f>
        <v/>
      </c>
      <c r="F3838" s="20">
        <f>IF('Journal'!F1920="","",'Journal'!F1920)</f>
        <v/>
      </c>
      <c r="G3838" s="20">
        <f>IF('Journal'!G1920="","",'Journal'!G1920)</f>
        <v/>
      </c>
      <c r="H3838" s="5">
        <f>IF('Journal'!I1920="","",'Journal'!I1920)</f>
        <v/>
      </c>
    </row>
    <row r="3839">
      <c r="A3839" s="18">
        <f>IF('Journal'!A1921="","",'Journal'!A1921)</f>
        <v/>
      </c>
      <c r="B3839" s="21">
        <f>IF('Journal'!B1921="","",'Journal'!B1921)</f>
        <v/>
      </c>
      <c r="C3839" s="5">
        <f>IF('Journal'!C1921="","",'Journal'!C1921)</f>
        <v/>
      </c>
      <c r="D3839" s="5">
        <f>IF('Journal'!D1921="","",IFERROR(LEFT('Journal'!D1921,FIND(" ",'Journal'!D1921)-1),'Journal'!D1921))</f>
        <v/>
      </c>
      <c r="E3839" s="5">
        <f>IF('Journal'!D1921="","",IFERROR(INDEX('Kontoplan'!$B$3:$B$302,MATCH('Journal'!D1921,'Kontoplan'!$H$3:$H$302,0)),""))</f>
        <v/>
      </c>
      <c r="F3839" s="20">
        <f>IF('Journal'!G1921="","",'Journal'!G1921)</f>
        <v/>
      </c>
      <c r="G3839" s="20">
        <f>IF('Journal'!F1921="","",'Journal'!F1921)</f>
        <v/>
      </c>
      <c r="H3839" s="5">
        <f>IF('Journal'!I1921="","",'Journal'!I1921)</f>
        <v/>
      </c>
    </row>
    <row r="3840">
      <c r="A3840" s="18">
        <f>IF('Journal'!A1921="","",'Journal'!A1921)</f>
        <v/>
      </c>
      <c r="B3840" s="21">
        <f>IF('Journal'!B1921="","",'Journal'!B1921)</f>
        <v/>
      </c>
      <c r="C3840" s="5">
        <f>IF('Journal'!C1921="","",'Journal'!C1921)</f>
        <v/>
      </c>
      <c r="D3840" s="5">
        <f>IF('Journal'!E1921="","",IFERROR(LEFT('Journal'!E1921,FIND(" ",'Journal'!E1921)-1),'Journal'!E1921))</f>
        <v/>
      </c>
      <c r="E3840" s="5">
        <f>IF('Journal'!E1921="","",IFERROR(INDEX('Kontoplan'!$B$3:$B$302,MATCH('Journal'!E1921,'Kontoplan'!$H$3:$H$302,0)),""))</f>
        <v/>
      </c>
      <c r="F3840" s="20">
        <f>IF('Journal'!F1921="","",'Journal'!F1921)</f>
        <v/>
      </c>
      <c r="G3840" s="20">
        <f>IF('Journal'!G1921="","",'Journal'!G1921)</f>
        <v/>
      </c>
      <c r="H3840" s="5">
        <f>IF('Journal'!I1921="","",'Journal'!I1921)</f>
        <v/>
      </c>
    </row>
    <row r="3841">
      <c r="A3841" s="18">
        <f>IF('Journal'!A1922="","",'Journal'!A1922)</f>
        <v/>
      </c>
      <c r="B3841" s="21">
        <f>IF('Journal'!B1922="","",'Journal'!B1922)</f>
        <v/>
      </c>
      <c r="C3841" s="5">
        <f>IF('Journal'!C1922="","",'Journal'!C1922)</f>
        <v/>
      </c>
      <c r="D3841" s="5">
        <f>IF('Journal'!D1922="","",IFERROR(LEFT('Journal'!D1922,FIND(" ",'Journal'!D1922)-1),'Journal'!D1922))</f>
        <v/>
      </c>
      <c r="E3841" s="5">
        <f>IF('Journal'!D1922="","",IFERROR(INDEX('Kontoplan'!$B$3:$B$302,MATCH('Journal'!D1922,'Kontoplan'!$H$3:$H$302,0)),""))</f>
        <v/>
      </c>
      <c r="F3841" s="20">
        <f>IF('Journal'!G1922="","",'Journal'!G1922)</f>
        <v/>
      </c>
      <c r="G3841" s="20">
        <f>IF('Journal'!F1922="","",'Journal'!F1922)</f>
        <v/>
      </c>
      <c r="H3841" s="5">
        <f>IF('Journal'!I1922="","",'Journal'!I1922)</f>
        <v/>
      </c>
    </row>
    <row r="3842">
      <c r="A3842" s="18">
        <f>IF('Journal'!A1922="","",'Journal'!A1922)</f>
        <v/>
      </c>
      <c r="B3842" s="21">
        <f>IF('Journal'!B1922="","",'Journal'!B1922)</f>
        <v/>
      </c>
      <c r="C3842" s="5">
        <f>IF('Journal'!C1922="","",'Journal'!C1922)</f>
        <v/>
      </c>
      <c r="D3842" s="5">
        <f>IF('Journal'!E1922="","",IFERROR(LEFT('Journal'!E1922,FIND(" ",'Journal'!E1922)-1),'Journal'!E1922))</f>
        <v/>
      </c>
      <c r="E3842" s="5">
        <f>IF('Journal'!E1922="","",IFERROR(INDEX('Kontoplan'!$B$3:$B$302,MATCH('Journal'!E1922,'Kontoplan'!$H$3:$H$302,0)),""))</f>
        <v/>
      </c>
      <c r="F3842" s="20">
        <f>IF('Journal'!F1922="","",'Journal'!F1922)</f>
        <v/>
      </c>
      <c r="G3842" s="20">
        <f>IF('Journal'!G1922="","",'Journal'!G1922)</f>
        <v/>
      </c>
      <c r="H3842" s="5">
        <f>IF('Journal'!I1922="","",'Journal'!I1922)</f>
        <v/>
      </c>
    </row>
    <row r="3843">
      <c r="A3843" s="18">
        <f>IF('Journal'!A1923="","",'Journal'!A1923)</f>
        <v/>
      </c>
      <c r="B3843" s="21">
        <f>IF('Journal'!B1923="","",'Journal'!B1923)</f>
        <v/>
      </c>
      <c r="C3843" s="5">
        <f>IF('Journal'!C1923="","",'Journal'!C1923)</f>
        <v/>
      </c>
      <c r="D3843" s="5">
        <f>IF('Journal'!D1923="","",IFERROR(LEFT('Journal'!D1923,FIND(" ",'Journal'!D1923)-1),'Journal'!D1923))</f>
        <v/>
      </c>
      <c r="E3843" s="5">
        <f>IF('Journal'!D1923="","",IFERROR(INDEX('Kontoplan'!$B$3:$B$302,MATCH('Journal'!D1923,'Kontoplan'!$H$3:$H$302,0)),""))</f>
        <v/>
      </c>
      <c r="F3843" s="20">
        <f>IF('Journal'!G1923="","",'Journal'!G1923)</f>
        <v/>
      </c>
      <c r="G3843" s="20">
        <f>IF('Journal'!F1923="","",'Journal'!F1923)</f>
        <v/>
      </c>
      <c r="H3843" s="5">
        <f>IF('Journal'!I1923="","",'Journal'!I1923)</f>
        <v/>
      </c>
    </row>
    <row r="3844">
      <c r="A3844" s="18">
        <f>IF('Journal'!A1923="","",'Journal'!A1923)</f>
        <v/>
      </c>
      <c r="B3844" s="21">
        <f>IF('Journal'!B1923="","",'Journal'!B1923)</f>
        <v/>
      </c>
      <c r="C3844" s="5">
        <f>IF('Journal'!C1923="","",'Journal'!C1923)</f>
        <v/>
      </c>
      <c r="D3844" s="5">
        <f>IF('Journal'!E1923="","",IFERROR(LEFT('Journal'!E1923,FIND(" ",'Journal'!E1923)-1),'Journal'!E1923))</f>
        <v/>
      </c>
      <c r="E3844" s="5">
        <f>IF('Journal'!E1923="","",IFERROR(INDEX('Kontoplan'!$B$3:$B$302,MATCH('Journal'!E1923,'Kontoplan'!$H$3:$H$302,0)),""))</f>
        <v/>
      </c>
      <c r="F3844" s="20">
        <f>IF('Journal'!F1923="","",'Journal'!F1923)</f>
        <v/>
      </c>
      <c r="G3844" s="20">
        <f>IF('Journal'!G1923="","",'Journal'!G1923)</f>
        <v/>
      </c>
      <c r="H3844" s="5">
        <f>IF('Journal'!I1923="","",'Journal'!I1923)</f>
        <v/>
      </c>
    </row>
    <row r="3845">
      <c r="A3845" s="18">
        <f>IF('Journal'!A1924="","",'Journal'!A1924)</f>
        <v/>
      </c>
      <c r="B3845" s="21">
        <f>IF('Journal'!B1924="","",'Journal'!B1924)</f>
        <v/>
      </c>
      <c r="C3845" s="5">
        <f>IF('Journal'!C1924="","",'Journal'!C1924)</f>
        <v/>
      </c>
      <c r="D3845" s="5">
        <f>IF('Journal'!D1924="","",IFERROR(LEFT('Journal'!D1924,FIND(" ",'Journal'!D1924)-1),'Journal'!D1924))</f>
        <v/>
      </c>
      <c r="E3845" s="5">
        <f>IF('Journal'!D1924="","",IFERROR(INDEX('Kontoplan'!$B$3:$B$302,MATCH('Journal'!D1924,'Kontoplan'!$H$3:$H$302,0)),""))</f>
        <v/>
      </c>
      <c r="F3845" s="20">
        <f>IF('Journal'!G1924="","",'Journal'!G1924)</f>
        <v/>
      </c>
      <c r="G3845" s="20">
        <f>IF('Journal'!F1924="","",'Journal'!F1924)</f>
        <v/>
      </c>
      <c r="H3845" s="5">
        <f>IF('Journal'!I1924="","",'Journal'!I1924)</f>
        <v/>
      </c>
    </row>
    <row r="3846">
      <c r="A3846" s="18">
        <f>IF('Journal'!A1924="","",'Journal'!A1924)</f>
        <v/>
      </c>
      <c r="B3846" s="21">
        <f>IF('Journal'!B1924="","",'Journal'!B1924)</f>
        <v/>
      </c>
      <c r="C3846" s="5">
        <f>IF('Journal'!C1924="","",'Journal'!C1924)</f>
        <v/>
      </c>
      <c r="D3846" s="5">
        <f>IF('Journal'!E1924="","",IFERROR(LEFT('Journal'!E1924,FIND(" ",'Journal'!E1924)-1),'Journal'!E1924))</f>
        <v/>
      </c>
      <c r="E3846" s="5">
        <f>IF('Journal'!E1924="","",IFERROR(INDEX('Kontoplan'!$B$3:$B$302,MATCH('Journal'!E1924,'Kontoplan'!$H$3:$H$302,0)),""))</f>
        <v/>
      </c>
      <c r="F3846" s="20">
        <f>IF('Journal'!F1924="","",'Journal'!F1924)</f>
        <v/>
      </c>
      <c r="G3846" s="20">
        <f>IF('Journal'!G1924="","",'Journal'!G1924)</f>
        <v/>
      </c>
      <c r="H3846" s="5">
        <f>IF('Journal'!I1924="","",'Journal'!I1924)</f>
        <v/>
      </c>
    </row>
    <row r="3847">
      <c r="A3847" s="18">
        <f>IF('Journal'!A1925="","",'Journal'!A1925)</f>
        <v/>
      </c>
      <c r="B3847" s="21">
        <f>IF('Journal'!B1925="","",'Journal'!B1925)</f>
        <v/>
      </c>
      <c r="C3847" s="5">
        <f>IF('Journal'!C1925="","",'Journal'!C1925)</f>
        <v/>
      </c>
      <c r="D3847" s="5">
        <f>IF('Journal'!D1925="","",IFERROR(LEFT('Journal'!D1925,FIND(" ",'Journal'!D1925)-1),'Journal'!D1925))</f>
        <v/>
      </c>
      <c r="E3847" s="5">
        <f>IF('Journal'!D1925="","",IFERROR(INDEX('Kontoplan'!$B$3:$B$302,MATCH('Journal'!D1925,'Kontoplan'!$H$3:$H$302,0)),""))</f>
        <v/>
      </c>
      <c r="F3847" s="20">
        <f>IF('Journal'!G1925="","",'Journal'!G1925)</f>
        <v/>
      </c>
      <c r="G3847" s="20">
        <f>IF('Journal'!F1925="","",'Journal'!F1925)</f>
        <v/>
      </c>
      <c r="H3847" s="5">
        <f>IF('Journal'!I1925="","",'Journal'!I1925)</f>
        <v/>
      </c>
    </row>
    <row r="3848">
      <c r="A3848" s="18">
        <f>IF('Journal'!A1925="","",'Journal'!A1925)</f>
        <v/>
      </c>
      <c r="B3848" s="21">
        <f>IF('Journal'!B1925="","",'Journal'!B1925)</f>
        <v/>
      </c>
      <c r="C3848" s="5">
        <f>IF('Journal'!C1925="","",'Journal'!C1925)</f>
        <v/>
      </c>
      <c r="D3848" s="5">
        <f>IF('Journal'!E1925="","",IFERROR(LEFT('Journal'!E1925,FIND(" ",'Journal'!E1925)-1),'Journal'!E1925))</f>
        <v/>
      </c>
      <c r="E3848" s="5">
        <f>IF('Journal'!E1925="","",IFERROR(INDEX('Kontoplan'!$B$3:$B$302,MATCH('Journal'!E1925,'Kontoplan'!$H$3:$H$302,0)),""))</f>
        <v/>
      </c>
      <c r="F3848" s="20">
        <f>IF('Journal'!F1925="","",'Journal'!F1925)</f>
        <v/>
      </c>
      <c r="G3848" s="20">
        <f>IF('Journal'!G1925="","",'Journal'!G1925)</f>
        <v/>
      </c>
      <c r="H3848" s="5">
        <f>IF('Journal'!I1925="","",'Journal'!I1925)</f>
        <v/>
      </c>
    </row>
    <row r="3849">
      <c r="A3849" s="18">
        <f>IF('Journal'!A1926="","",'Journal'!A1926)</f>
        <v/>
      </c>
      <c r="B3849" s="21">
        <f>IF('Journal'!B1926="","",'Journal'!B1926)</f>
        <v/>
      </c>
      <c r="C3849" s="5">
        <f>IF('Journal'!C1926="","",'Journal'!C1926)</f>
        <v/>
      </c>
      <c r="D3849" s="5">
        <f>IF('Journal'!D1926="","",IFERROR(LEFT('Journal'!D1926,FIND(" ",'Journal'!D1926)-1),'Journal'!D1926))</f>
        <v/>
      </c>
      <c r="E3849" s="5">
        <f>IF('Journal'!D1926="","",IFERROR(INDEX('Kontoplan'!$B$3:$B$302,MATCH('Journal'!D1926,'Kontoplan'!$H$3:$H$302,0)),""))</f>
        <v/>
      </c>
      <c r="F3849" s="20">
        <f>IF('Journal'!G1926="","",'Journal'!G1926)</f>
        <v/>
      </c>
      <c r="G3849" s="20">
        <f>IF('Journal'!F1926="","",'Journal'!F1926)</f>
        <v/>
      </c>
      <c r="H3849" s="5">
        <f>IF('Journal'!I1926="","",'Journal'!I1926)</f>
        <v/>
      </c>
    </row>
    <row r="3850">
      <c r="A3850" s="18">
        <f>IF('Journal'!A1926="","",'Journal'!A1926)</f>
        <v/>
      </c>
      <c r="B3850" s="21">
        <f>IF('Journal'!B1926="","",'Journal'!B1926)</f>
        <v/>
      </c>
      <c r="C3850" s="5">
        <f>IF('Journal'!C1926="","",'Journal'!C1926)</f>
        <v/>
      </c>
      <c r="D3850" s="5">
        <f>IF('Journal'!E1926="","",IFERROR(LEFT('Journal'!E1926,FIND(" ",'Journal'!E1926)-1),'Journal'!E1926))</f>
        <v/>
      </c>
      <c r="E3850" s="5">
        <f>IF('Journal'!E1926="","",IFERROR(INDEX('Kontoplan'!$B$3:$B$302,MATCH('Journal'!E1926,'Kontoplan'!$H$3:$H$302,0)),""))</f>
        <v/>
      </c>
      <c r="F3850" s="20">
        <f>IF('Journal'!F1926="","",'Journal'!F1926)</f>
        <v/>
      </c>
      <c r="G3850" s="20">
        <f>IF('Journal'!G1926="","",'Journal'!G1926)</f>
        <v/>
      </c>
      <c r="H3850" s="5">
        <f>IF('Journal'!I1926="","",'Journal'!I1926)</f>
        <v/>
      </c>
    </row>
    <row r="3851">
      <c r="A3851" s="18">
        <f>IF('Journal'!A1927="","",'Journal'!A1927)</f>
        <v/>
      </c>
      <c r="B3851" s="21">
        <f>IF('Journal'!B1927="","",'Journal'!B1927)</f>
        <v/>
      </c>
      <c r="C3851" s="5">
        <f>IF('Journal'!C1927="","",'Journal'!C1927)</f>
        <v/>
      </c>
      <c r="D3851" s="5">
        <f>IF('Journal'!D1927="","",IFERROR(LEFT('Journal'!D1927,FIND(" ",'Journal'!D1927)-1),'Journal'!D1927))</f>
        <v/>
      </c>
      <c r="E3851" s="5">
        <f>IF('Journal'!D1927="","",IFERROR(INDEX('Kontoplan'!$B$3:$B$302,MATCH('Journal'!D1927,'Kontoplan'!$H$3:$H$302,0)),""))</f>
        <v/>
      </c>
      <c r="F3851" s="20">
        <f>IF('Journal'!G1927="","",'Journal'!G1927)</f>
        <v/>
      </c>
      <c r="G3851" s="20">
        <f>IF('Journal'!F1927="","",'Journal'!F1927)</f>
        <v/>
      </c>
      <c r="H3851" s="5">
        <f>IF('Journal'!I1927="","",'Journal'!I1927)</f>
        <v/>
      </c>
    </row>
    <row r="3852">
      <c r="A3852" s="18">
        <f>IF('Journal'!A1927="","",'Journal'!A1927)</f>
        <v/>
      </c>
      <c r="B3852" s="21">
        <f>IF('Journal'!B1927="","",'Journal'!B1927)</f>
        <v/>
      </c>
      <c r="C3852" s="5">
        <f>IF('Journal'!C1927="","",'Journal'!C1927)</f>
        <v/>
      </c>
      <c r="D3852" s="5">
        <f>IF('Journal'!E1927="","",IFERROR(LEFT('Journal'!E1927,FIND(" ",'Journal'!E1927)-1),'Journal'!E1927))</f>
        <v/>
      </c>
      <c r="E3852" s="5">
        <f>IF('Journal'!E1927="","",IFERROR(INDEX('Kontoplan'!$B$3:$B$302,MATCH('Journal'!E1927,'Kontoplan'!$H$3:$H$302,0)),""))</f>
        <v/>
      </c>
      <c r="F3852" s="20">
        <f>IF('Journal'!F1927="","",'Journal'!F1927)</f>
        <v/>
      </c>
      <c r="G3852" s="20">
        <f>IF('Journal'!G1927="","",'Journal'!G1927)</f>
        <v/>
      </c>
      <c r="H3852" s="5">
        <f>IF('Journal'!I1927="","",'Journal'!I1927)</f>
        <v/>
      </c>
    </row>
    <row r="3853">
      <c r="A3853" s="18">
        <f>IF('Journal'!A1928="","",'Journal'!A1928)</f>
        <v/>
      </c>
      <c r="B3853" s="21">
        <f>IF('Journal'!B1928="","",'Journal'!B1928)</f>
        <v/>
      </c>
      <c r="C3853" s="5">
        <f>IF('Journal'!C1928="","",'Journal'!C1928)</f>
        <v/>
      </c>
      <c r="D3853" s="5">
        <f>IF('Journal'!D1928="","",IFERROR(LEFT('Journal'!D1928,FIND(" ",'Journal'!D1928)-1),'Journal'!D1928))</f>
        <v/>
      </c>
      <c r="E3853" s="5">
        <f>IF('Journal'!D1928="","",IFERROR(INDEX('Kontoplan'!$B$3:$B$302,MATCH('Journal'!D1928,'Kontoplan'!$H$3:$H$302,0)),""))</f>
        <v/>
      </c>
      <c r="F3853" s="20">
        <f>IF('Journal'!G1928="","",'Journal'!G1928)</f>
        <v/>
      </c>
      <c r="G3853" s="20">
        <f>IF('Journal'!F1928="","",'Journal'!F1928)</f>
        <v/>
      </c>
      <c r="H3853" s="5">
        <f>IF('Journal'!I1928="","",'Journal'!I1928)</f>
        <v/>
      </c>
    </row>
    <row r="3854">
      <c r="A3854" s="18">
        <f>IF('Journal'!A1928="","",'Journal'!A1928)</f>
        <v/>
      </c>
      <c r="B3854" s="21">
        <f>IF('Journal'!B1928="","",'Journal'!B1928)</f>
        <v/>
      </c>
      <c r="C3854" s="5">
        <f>IF('Journal'!C1928="","",'Journal'!C1928)</f>
        <v/>
      </c>
      <c r="D3854" s="5">
        <f>IF('Journal'!E1928="","",IFERROR(LEFT('Journal'!E1928,FIND(" ",'Journal'!E1928)-1),'Journal'!E1928))</f>
        <v/>
      </c>
      <c r="E3854" s="5">
        <f>IF('Journal'!E1928="","",IFERROR(INDEX('Kontoplan'!$B$3:$B$302,MATCH('Journal'!E1928,'Kontoplan'!$H$3:$H$302,0)),""))</f>
        <v/>
      </c>
      <c r="F3854" s="20">
        <f>IF('Journal'!F1928="","",'Journal'!F1928)</f>
        <v/>
      </c>
      <c r="G3854" s="20">
        <f>IF('Journal'!G1928="","",'Journal'!G1928)</f>
        <v/>
      </c>
      <c r="H3854" s="5">
        <f>IF('Journal'!I1928="","",'Journal'!I1928)</f>
        <v/>
      </c>
    </row>
    <row r="3855">
      <c r="A3855" s="18">
        <f>IF('Journal'!A1929="","",'Journal'!A1929)</f>
        <v/>
      </c>
      <c r="B3855" s="21">
        <f>IF('Journal'!B1929="","",'Journal'!B1929)</f>
        <v/>
      </c>
      <c r="C3855" s="5">
        <f>IF('Journal'!C1929="","",'Journal'!C1929)</f>
        <v/>
      </c>
      <c r="D3855" s="5">
        <f>IF('Journal'!D1929="","",IFERROR(LEFT('Journal'!D1929,FIND(" ",'Journal'!D1929)-1),'Journal'!D1929))</f>
        <v/>
      </c>
      <c r="E3855" s="5">
        <f>IF('Journal'!D1929="","",IFERROR(INDEX('Kontoplan'!$B$3:$B$302,MATCH('Journal'!D1929,'Kontoplan'!$H$3:$H$302,0)),""))</f>
        <v/>
      </c>
      <c r="F3855" s="20">
        <f>IF('Journal'!G1929="","",'Journal'!G1929)</f>
        <v/>
      </c>
      <c r="G3855" s="20">
        <f>IF('Journal'!F1929="","",'Journal'!F1929)</f>
        <v/>
      </c>
      <c r="H3855" s="5">
        <f>IF('Journal'!I1929="","",'Journal'!I1929)</f>
        <v/>
      </c>
    </row>
    <row r="3856">
      <c r="A3856" s="18">
        <f>IF('Journal'!A1929="","",'Journal'!A1929)</f>
        <v/>
      </c>
      <c r="B3856" s="21">
        <f>IF('Journal'!B1929="","",'Journal'!B1929)</f>
        <v/>
      </c>
      <c r="C3856" s="5">
        <f>IF('Journal'!C1929="","",'Journal'!C1929)</f>
        <v/>
      </c>
      <c r="D3856" s="5">
        <f>IF('Journal'!E1929="","",IFERROR(LEFT('Journal'!E1929,FIND(" ",'Journal'!E1929)-1),'Journal'!E1929))</f>
        <v/>
      </c>
      <c r="E3856" s="5">
        <f>IF('Journal'!E1929="","",IFERROR(INDEX('Kontoplan'!$B$3:$B$302,MATCH('Journal'!E1929,'Kontoplan'!$H$3:$H$302,0)),""))</f>
        <v/>
      </c>
      <c r="F3856" s="20">
        <f>IF('Journal'!F1929="","",'Journal'!F1929)</f>
        <v/>
      </c>
      <c r="G3856" s="20">
        <f>IF('Journal'!G1929="","",'Journal'!G1929)</f>
        <v/>
      </c>
      <c r="H3856" s="5">
        <f>IF('Journal'!I1929="","",'Journal'!I1929)</f>
        <v/>
      </c>
    </row>
    <row r="3857">
      <c r="A3857" s="18">
        <f>IF('Journal'!A1930="","",'Journal'!A1930)</f>
        <v/>
      </c>
      <c r="B3857" s="21">
        <f>IF('Journal'!B1930="","",'Journal'!B1930)</f>
        <v/>
      </c>
      <c r="C3857" s="5">
        <f>IF('Journal'!C1930="","",'Journal'!C1930)</f>
        <v/>
      </c>
      <c r="D3857" s="5">
        <f>IF('Journal'!D1930="","",IFERROR(LEFT('Journal'!D1930,FIND(" ",'Journal'!D1930)-1),'Journal'!D1930))</f>
        <v/>
      </c>
      <c r="E3857" s="5">
        <f>IF('Journal'!D1930="","",IFERROR(INDEX('Kontoplan'!$B$3:$B$302,MATCH('Journal'!D1930,'Kontoplan'!$H$3:$H$302,0)),""))</f>
        <v/>
      </c>
      <c r="F3857" s="20">
        <f>IF('Journal'!G1930="","",'Journal'!G1930)</f>
        <v/>
      </c>
      <c r="G3857" s="20">
        <f>IF('Journal'!F1930="","",'Journal'!F1930)</f>
        <v/>
      </c>
      <c r="H3857" s="5">
        <f>IF('Journal'!I1930="","",'Journal'!I1930)</f>
        <v/>
      </c>
    </row>
    <row r="3858">
      <c r="A3858" s="18">
        <f>IF('Journal'!A1930="","",'Journal'!A1930)</f>
        <v/>
      </c>
      <c r="B3858" s="21">
        <f>IF('Journal'!B1930="","",'Journal'!B1930)</f>
        <v/>
      </c>
      <c r="C3858" s="5">
        <f>IF('Journal'!C1930="","",'Journal'!C1930)</f>
        <v/>
      </c>
      <c r="D3858" s="5">
        <f>IF('Journal'!E1930="","",IFERROR(LEFT('Journal'!E1930,FIND(" ",'Journal'!E1930)-1),'Journal'!E1930))</f>
        <v/>
      </c>
      <c r="E3858" s="5">
        <f>IF('Journal'!E1930="","",IFERROR(INDEX('Kontoplan'!$B$3:$B$302,MATCH('Journal'!E1930,'Kontoplan'!$H$3:$H$302,0)),""))</f>
        <v/>
      </c>
      <c r="F3858" s="20">
        <f>IF('Journal'!F1930="","",'Journal'!F1930)</f>
        <v/>
      </c>
      <c r="G3858" s="20">
        <f>IF('Journal'!G1930="","",'Journal'!G1930)</f>
        <v/>
      </c>
      <c r="H3858" s="5">
        <f>IF('Journal'!I1930="","",'Journal'!I1930)</f>
        <v/>
      </c>
    </row>
    <row r="3859">
      <c r="A3859" s="18">
        <f>IF('Journal'!A1931="","",'Journal'!A1931)</f>
        <v/>
      </c>
      <c r="B3859" s="21">
        <f>IF('Journal'!B1931="","",'Journal'!B1931)</f>
        <v/>
      </c>
      <c r="C3859" s="5">
        <f>IF('Journal'!C1931="","",'Journal'!C1931)</f>
        <v/>
      </c>
      <c r="D3859" s="5">
        <f>IF('Journal'!D1931="","",IFERROR(LEFT('Journal'!D1931,FIND(" ",'Journal'!D1931)-1),'Journal'!D1931))</f>
        <v/>
      </c>
      <c r="E3859" s="5">
        <f>IF('Journal'!D1931="","",IFERROR(INDEX('Kontoplan'!$B$3:$B$302,MATCH('Journal'!D1931,'Kontoplan'!$H$3:$H$302,0)),""))</f>
        <v/>
      </c>
      <c r="F3859" s="20">
        <f>IF('Journal'!G1931="","",'Journal'!G1931)</f>
        <v/>
      </c>
      <c r="G3859" s="20">
        <f>IF('Journal'!F1931="","",'Journal'!F1931)</f>
        <v/>
      </c>
      <c r="H3859" s="5">
        <f>IF('Journal'!I1931="","",'Journal'!I1931)</f>
        <v/>
      </c>
    </row>
    <row r="3860">
      <c r="A3860" s="18">
        <f>IF('Journal'!A1931="","",'Journal'!A1931)</f>
        <v/>
      </c>
      <c r="B3860" s="21">
        <f>IF('Journal'!B1931="","",'Journal'!B1931)</f>
        <v/>
      </c>
      <c r="C3860" s="5">
        <f>IF('Journal'!C1931="","",'Journal'!C1931)</f>
        <v/>
      </c>
      <c r="D3860" s="5">
        <f>IF('Journal'!E1931="","",IFERROR(LEFT('Journal'!E1931,FIND(" ",'Journal'!E1931)-1),'Journal'!E1931))</f>
        <v/>
      </c>
      <c r="E3860" s="5">
        <f>IF('Journal'!E1931="","",IFERROR(INDEX('Kontoplan'!$B$3:$B$302,MATCH('Journal'!E1931,'Kontoplan'!$H$3:$H$302,0)),""))</f>
        <v/>
      </c>
      <c r="F3860" s="20">
        <f>IF('Journal'!F1931="","",'Journal'!F1931)</f>
        <v/>
      </c>
      <c r="G3860" s="20">
        <f>IF('Journal'!G1931="","",'Journal'!G1931)</f>
        <v/>
      </c>
      <c r="H3860" s="5">
        <f>IF('Journal'!I1931="","",'Journal'!I1931)</f>
        <v/>
      </c>
    </row>
    <row r="3861">
      <c r="A3861" s="18">
        <f>IF('Journal'!A1932="","",'Journal'!A1932)</f>
        <v/>
      </c>
      <c r="B3861" s="21">
        <f>IF('Journal'!B1932="","",'Journal'!B1932)</f>
        <v/>
      </c>
      <c r="C3861" s="5">
        <f>IF('Journal'!C1932="","",'Journal'!C1932)</f>
        <v/>
      </c>
      <c r="D3861" s="5">
        <f>IF('Journal'!D1932="","",IFERROR(LEFT('Journal'!D1932,FIND(" ",'Journal'!D1932)-1),'Journal'!D1932))</f>
        <v/>
      </c>
      <c r="E3861" s="5">
        <f>IF('Journal'!D1932="","",IFERROR(INDEX('Kontoplan'!$B$3:$B$302,MATCH('Journal'!D1932,'Kontoplan'!$H$3:$H$302,0)),""))</f>
        <v/>
      </c>
      <c r="F3861" s="20">
        <f>IF('Journal'!G1932="","",'Journal'!G1932)</f>
        <v/>
      </c>
      <c r="G3861" s="20">
        <f>IF('Journal'!F1932="","",'Journal'!F1932)</f>
        <v/>
      </c>
      <c r="H3861" s="5">
        <f>IF('Journal'!I1932="","",'Journal'!I1932)</f>
        <v/>
      </c>
    </row>
    <row r="3862">
      <c r="A3862" s="18">
        <f>IF('Journal'!A1932="","",'Journal'!A1932)</f>
        <v/>
      </c>
      <c r="B3862" s="21">
        <f>IF('Journal'!B1932="","",'Journal'!B1932)</f>
        <v/>
      </c>
      <c r="C3862" s="5">
        <f>IF('Journal'!C1932="","",'Journal'!C1932)</f>
        <v/>
      </c>
      <c r="D3862" s="5">
        <f>IF('Journal'!E1932="","",IFERROR(LEFT('Journal'!E1932,FIND(" ",'Journal'!E1932)-1),'Journal'!E1932))</f>
        <v/>
      </c>
      <c r="E3862" s="5">
        <f>IF('Journal'!E1932="","",IFERROR(INDEX('Kontoplan'!$B$3:$B$302,MATCH('Journal'!E1932,'Kontoplan'!$H$3:$H$302,0)),""))</f>
        <v/>
      </c>
      <c r="F3862" s="20">
        <f>IF('Journal'!F1932="","",'Journal'!F1932)</f>
        <v/>
      </c>
      <c r="G3862" s="20">
        <f>IF('Journal'!G1932="","",'Journal'!G1932)</f>
        <v/>
      </c>
      <c r="H3862" s="5">
        <f>IF('Journal'!I1932="","",'Journal'!I1932)</f>
        <v/>
      </c>
    </row>
    <row r="3863">
      <c r="A3863" s="18">
        <f>IF('Journal'!A1933="","",'Journal'!A1933)</f>
        <v/>
      </c>
      <c r="B3863" s="21">
        <f>IF('Journal'!B1933="","",'Journal'!B1933)</f>
        <v/>
      </c>
      <c r="C3863" s="5">
        <f>IF('Journal'!C1933="","",'Journal'!C1933)</f>
        <v/>
      </c>
      <c r="D3863" s="5">
        <f>IF('Journal'!D1933="","",IFERROR(LEFT('Journal'!D1933,FIND(" ",'Journal'!D1933)-1),'Journal'!D1933))</f>
        <v/>
      </c>
      <c r="E3863" s="5">
        <f>IF('Journal'!D1933="","",IFERROR(INDEX('Kontoplan'!$B$3:$B$302,MATCH('Journal'!D1933,'Kontoplan'!$H$3:$H$302,0)),""))</f>
        <v/>
      </c>
      <c r="F3863" s="20">
        <f>IF('Journal'!G1933="","",'Journal'!G1933)</f>
        <v/>
      </c>
      <c r="G3863" s="20">
        <f>IF('Journal'!F1933="","",'Journal'!F1933)</f>
        <v/>
      </c>
      <c r="H3863" s="5">
        <f>IF('Journal'!I1933="","",'Journal'!I1933)</f>
        <v/>
      </c>
    </row>
    <row r="3864">
      <c r="A3864" s="18">
        <f>IF('Journal'!A1933="","",'Journal'!A1933)</f>
        <v/>
      </c>
      <c r="B3864" s="21">
        <f>IF('Journal'!B1933="","",'Journal'!B1933)</f>
        <v/>
      </c>
      <c r="C3864" s="5">
        <f>IF('Journal'!C1933="","",'Journal'!C1933)</f>
        <v/>
      </c>
      <c r="D3864" s="5">
        <f>IF('Journal'!E1933="","",IFERROR(LEFT('Journal'!E1933,FIND(" ",'Journal'!E1933)-1),'Journal'!E1933))</f>
        <v/>
      </c>
      <c r="E3864" s="5">
        <f>IF('Journal'!E1933="","",IFERROR(INDEX('Kontoplan'!$B$3:$B$302,MATCH('Journal'!E1933,'Kontoplan'!$H$3:$H$302,0)),""))</f>
        <v/>
      </c>
      <c r="F3864" s="20">
        <f>IF('Journal'!F1933="","",'Journal'!F1933)</f>
        <v/>
      </c>
      <c r="G3864" s="20">
        <f>IF('Journal'!G1933="","",'Journal'!G1933)</f>
        <v/>
      </c>
      <c r="H3864" s="5">
        <f>IF('Journal'!I1933="","",'Journal'!I1933)</f>
        <v/>
      </c>
    </row>
    <row r="3865">
      <c r="A3865" s="18">
        <f>IF('Journal'!A1934="","",'Journal'!A1934)</f>
        <v/>
      </c>
      <c r="B3865" s="21">
        <f>IF('Journal'!B1934="","",'Journal'!B1934)</f>
        <v/>
      </c>
      <c r="C3865" s="5">
        <f>IF('Journal'!C1934="","",'Journal'!C1934)</f>
        <v/>
      </c>
      <c r="D3865" s="5">
        <f>IF('Journal'!D1934="","",IFERROR(LEFT('Journal'!D1934,FIND(" ",'Journal'!D1934)-1),'Journal'!D1934))</f>
        <v/>
      </c>
      <c r="E3865" s="5">
        <f>IF('Journal'!D1934="","",IFERROR(INDEX('Kontoplan'!$B$3:$B$302,MATCH('Journal'!D1934,'Kontoplan'!$H$3:$H$302,0)),""))</f>
        <v/>
      </c>
      <c r="F3865" s="20">
        <f>IF('Journal'!G1934="","",'Journal'!G1934)</f>
        <v/>
      </c>
      <c r="G3865" s="20">
        <f>IF('Journal'!F1934="","",'Journal'!F1934)</f>
        <v/>
      </c>
      <c r="H3865" s="5">
        <f>IF('Journal'!I1934="","",'Journal'!I1934)</f>
        <v/>
      </c>
    </row>
    <row r="3866">
      <c r="A3866" s="18">
        <f>IF('Journal'!A1934="","",'Journal'!A1934)</f>
        <v/>
      </c>
      <c r="B3866" s="21">
        <f>IF('Journal'!B1934="","",'Journal'!B1934)</f>
        <v/>
      </c>
      <c r="C3866" s="5">
        <f>IF('Journal'!C1934="","",'Journal'!C1934)</f>
        <v/>
      </c>
      <c r="D3866" s="5">
        <f>IF('Journal'!E1934="","",IFERROR(LEFT('Journal'!E1934,FIND(" ",'Journal'!E1934)-1),'Journal'!E1934))</f>
        <v/>
      </c>
      <c r="E3866" s="5">
        <f>IF('Journal'!E1934="","",IFERROR(INDEX('Kontoplan'!$B$3:$B$302,MATCH('Journal'!E1934,'Kontoplan'!$H$3:$H$302,0)),""))</f>
        <v/>
      </c>
      <c r="F3866" s="20">
        <f>IF('Journal'!F1934="","",'Journal'!F1934)</f>
        <v/>
      </c>
      <c r="G3866" s="20">
        <f>IF('Journal'!G1934="","",'Journal'!G1934)</f>
        <v/>
      </c>
      <c r="H3866" s="5">
        <f>IF('Journal'!I1934="","",'Journal'!I1934)</f>
        <v/>
      </c>
    </row>
    <row r="3867">
      <c r="A3867" s="18">
        <f>IF('Journal'!A1935="","",'Journal'!A1935)</f>
        <v/>
      </c>
      <c r="B3867" s="21">
        <f>IF('Journal'!B1935="","",'Journal'!B1935)</f>
        <v/>
      </c>
      <c r="C3867" s="5">
        <f>IF('Journal'!C1935="","",'Journal'!C1935)</f>
        <v/>
      </c>
      <c r="D3867" s="5">
        <f>IF('Journal'!D1935="","",IFERROR(LEFT('Journal'!D1935,FIND(" ",'Journal'!D1935)-1),'Journal'!D1935))</f>
        <v/>
      </c>
      <c r="E3867" s="5">
        <f>IF('Journal'!D1935="","",IFERROR(INDEX('Kontoplan'!$B$3:$B$302,MATCH('Journal'!D1935,'Kontoplan'!$H$3:$H$302,0)),""))</f>
        <v/>
      </c>
      <c r="F3867" s="20">
        <f>IF('Journal'!G1935="","",'Journal'!G1935)</f>
        <v/>
      </c>
      <c r="G3867" s="20">
        <f>IF('Journal'!F1935="","",'Journal'!F1935)</f>
        <v/>
      </c>
      <c r="H3867" s="5">
        <f>IF('Journal'!I1935="","",'Journal'!I1935)</f>
        <v/>
      </c>
    </row>
    <row r="3868">
      <c r="A3868" s="18">
        <f>IF('Journal'!A1935="","",'Journal'!A1935)</f>
        <v/>
      </c>
      <c r="B3868" s="21">
        <f>IF('Journal'!B1935="","",'Journal'!B1935)</f>
        <v/>
      </c>
      <c r="C3868" s="5">
        <f>IF('Journal'!C1935="","",'Journal'!C1935)</f>
        <v/>
      </c>
      <c r="D3868" s="5">
        <f>IF('Journal'!E1935="","",IFERROR(LEFT('Journal'!E1935,FIND(" ",'Journal'!E1935)-1),'Journal'!E1935))</f>
        <v/>
      </c>
      <c r="E3868" s="5">
        <f>IF('Journal'!E1935="","",IFERROR(INDEX('Kontoplan'!$B$3:$B$302,MATCH('Journal'!E1935,'Kontoplan'!$H$3:$H$302,0)),""))</f>
        <v/>
      </c>
      <c r="F3868" s="20">
        <f>IF('Journal'!F1935="","",'Journal'!F1935)</f>
        <v/>
      </c>
      <c r="G3868" s="20">
        <f>IF('Journal'!G1935="","",'Journal'!G1935)</f>
        <v/>
      </c>
      <c r="H3868" s="5">
        <f>IF('Journal'!I1935="","",'Journal'!I1935)</f>
        <v/>
      </c>
    </row>
    <row r="3869">
      <c r="A3869" s="18">
        <f>IF('Journal'!A1936="","",'Journal'!A1936)</f>
        <v/>
      </c>
      <c r="B3869" s="21">
        <f>IF('Journal'!B1936="","",'Journal'!B1936)</f>
        <v/>
      </c>
      <c r="C3869" s="5">
        <f>IF('Journal'!C1936="","",'Journal'!C1936)</f>
        <v/>
      </c>
      <c r="D3869" s="5">
        <f>IF('Journal'!D1936="","",IFERROR(LEFT('Journal'!D1936,FIND(" ",'Journal'!D1936)-1),'Journal'!D1936))</f>
        <v/>
      </c>
      <c r="E3869" s="5">
        <f>IF('Journal'!D1936="","",IFERROR(INDEX('Kontoplan'!$B$3:$B$302,MATCH('Journal'!D1936,'Kontoplan'!$H$3:$H$302,0)),""))</f>
        <v/>
      </c>
      <c r="F3869" s="20">
        <f>IF('Journal'!G1936="","",'Journal'!G1936)</f>
        <v/>
      </c>
      <c r="G3869" s="20">
        <f>IF('Journal'!F1936="","",'Journal'!F1936)</f>
        <v/>
      </c>
      <c r="H3869" s="5">
        <f>IF('Journal'!I1936="","",'Journal'!I1936)</f>
        <v/>
      </c>
    </row>
    <row r="3870">
      <c r="A3870" s="18">
        <f>IF('Journal'!A1936="","",'Journal'!A1936)</f>
        <v/>
      </c>
      <c r="B3870" s="21">
        <f>IF('Journal'!B1936="","",'Journal'!B1936)</f>
        <v/>
      </c>
      <c r="C3870" s="5">
        <f>IF('Journal'!C1936="","",'Journal'!C1936)</f>
        <v/>
      </c>
      <c r="D3870" s="5">
        <f>IF('Journal'!E1936="","",IFERROR(LEFT('Journal'!E1936,FIND(" ",'Journal'!E1936)-1),'Journal'!E1936))</f>
        <v/>
      </c>
      <c r="E3870" s="5">
        <f>IF('Journal'!E1936="","",IFERROR(INDEX('Kontoplan'!$B$3:$B$302,MATCH('Journal'!E1936,'Kontoplan'!$H$3:$H$302,0)),""))</f>
        <v/>
      </c>
      <c r="F3870" s="20">
        <f>IF('Journal'!F1936="","",'Journal'!F1936)</f>
        <v/>
      </c>
      <c r="G3870" s="20">
        <f>IF('Journal'!G1936="","",'Journal'!G1936)</f>
        <v/>
      </c>
      <c r="H3870" s="5">
        <f>IF('Journal'!I1936="","",'Journal'!I1936)</f>
        <v/>
      </c>
    </row>
    <row r="3871">
      <c r="A3871" s="18">
        <f>IF('Journal'!A1937="","",'Journal'!A1937)</f>
        <v/>
      </c>
      <c r="B3871" s="21">
        <f>IF('Journal'!B1937="","",'Journal'!B1937)</f>
        <v/>
      </c>
      <c r="C3871" s="5">
        <f>IF('Journal'!C1937="","",'Journal'!C1937)</f>
        <v/>
      </c>
      <c r="D3871" s="5">
        <f>IF('Journal'!D1937="","",IFERROR(LEFT('Journal'!D1937,FIND(" ",'Journal'!D1937)-1),'Journal'!D1937))</f>
        <v/>
      </c>
      <c r="E3871" s="5">
        <f>IF('Journal'!D1937="","",IFERROR(INDEX('Kontoplan'!$B$3:$B$302,MATCH('Journal'!D1937,'Kontoplan'!$H$3:$H$302,0)),""))</f>
        <v/>
      </c>
      <c r="F3871" s="20">
        <f>IF('Journal'!G1937="","",'Journal'!G1937)</f>
        <v/>
      </c>
      <c r="G3871" s="20">
        <f>IF('Journal'!F1937="","",'Journal'!F1937)</f>
        <v/>
      </c>
      <c r="H3871" s="5">
        <f>IF('Journal'!I1937="","",'Journal'!I1937)</f>
        <v/>
      </c>
    </row>
    <row r="3872">
      <c r="A3872" s="18">
        <f>IF('Journal'!A1937="","",'Journal'!A1937)</f>
        <v/>
      </c>
      <c r="B3872" s="21">
        <f>IF('Journal'!B1937="","",'Journal'!B1937)</f>
        <v/>
      </c>
      <c r="C3872" s="5">
        <f>IF('Journal'!C1937="","",'Journal'!C1937)</f>
        <v/>
      </c>
      <c r="D3872" s="5">
        <f>IF('Journal'!E1937="","",IFERROR(LEFT('Journal'!E1937,FIND(" ",'Journal'!E1937)-1),'Journal'!E1937))</f>
        <v/>
      </c>
      <c r="E3872" s="5">
        <f>IF('Journal'!E1937="","",IFERROR(INDEX('Kontoplan'!$B$3:$B$302,MATCH('Journal'!E1937,'Kontoplan'!$H$3:$H$302,0)),""))</f>
        <v/>
      </c>
      <c r="F3872" s="20">
        <f>IF('Journal'!F1937="","",'Journal'!F1937)</f>
        <v/>
      </c>
      <c r="G3872" s="20">
        <f>IF('Journal'!G1937="","",'Journal'!G1937)</f>
        <v/>
      </c>
      <c r="H3872" s="5">
        <f>IF('Journal'!I1937="","",'Journal'!I1937)</f>
        <v/>
      </c>
    </row>
    <row r="3873">
      <c r="A3873" s="18">
        <f>IF('Journal'!A1938="","",'Journal'!A1938)</f>
        <v/>
      </c>
      <c r="B3873" s="21">
        <f>IF('Journal'!B1938="","",'Journal'!B1938)</f>
        <v/>
      </c>
      <c r="C3873" s="5">
        <f>IF('Journal'!C1938="","",'Journal'!C1938)</f>
        <v/>
      </c>
      <c r="D3873" s="5">
        <f>IF('Journal'!D1938="","",IFERROR(LEFT('Journal'!D1938,FIND(" ",'Journal'!D1938)-1),'Journal'!D1938))</f>
        <v/>
      </c>
      <c r="E3873" s="5">
        <f>IF('Journal'!D1938="","",IFERROR(INDEX('Kontoplan'!$B$3:$B$302,MATCH('Journal'!D1938,'Kontoplan'!$H$3:$H$302,0)),""))</f>
        <v/>
      </c>
      <c r="F3873" s="20">
        <f>IF('Journal'!G1938="","",'Journal'!G1938)</f>
        <v/>
      </c>
      <c r="G3873" s="20">
        <f>IF('Journal'!F1938="","",'Journal'!F1938)</f>
        <v/>
      </c>
      <c r="H3873" s="5">
        <f>IF('Journal'!I1938="","",'Journal'!I1938)</f>
        <v/>
      </c>
    </row>
    <row r="3874">
      <c r="A3874" s="18">
        <f>IF('Journal'!A1938="","",'Journal'!A1938)</f>
        <v/>
      </c>
      <c r="B3874" s="21">
        <f>IF('Journal'!B1938="","",'Journal'!B1938)</f>
        <v/>
      </c>
      <c r="C3874" s="5">
        <f>IF('Journal'!C1938="","",'Journal'!C1938)</f>
        <v/>
      </c>
      <c r="D3874" s="5">
        <f>IF('Journal'!E1938="","",IFERROR(LEFT('Journal'!E1938,FIND(" ",'Journal'!E1938)-1),'Journal'!E1938))</f>
        <v/>
      </c>
      <c r="E3874" s="5">
        <f>IF('Journal'!E1938="","",IFERROR(INDEX('Kontoplan'!$B$3:$B$302,MATCH('Journal'!E1938,'Kontoplan'!$H$3:$H$302,0)),""))</f>
        <v/>
      </c>
      <c r="F3874" s="20">
        <f>IF('Journal'!F1938="","",'Journal'!F1938)</f>
        <v/>
      </c>
      <c r="G3874" s="20">
        <f>IF('Journal'!G1938="","",'Journal'!G1938)</f>
        <v/>
      </c>
      <c r="H3874" s="5">
        <f>IF('Journal'!I1938="","",'Journal'!I1938)</f>
        <v/>
      </c>
    </row>
    <row r="3875">
      <c r="A3875" s="18">
        <f>IF('Journal'!A1939="","",'Journal'!A1939)</f>
        <v/>
      </c>
      <c r="B3875" s="21">
        <f>IF('Journal'!B1939="","",'Journal'!B1939)</f>
        <v/>
      </c>
      <c r="C3875" s="5">
        <f>IF('Journal'!C1939="","",'Journal'!C1939)</f>
        <v/>
      </c>
      <c r="D3875" s="5">
        <f>IF('Journal'!D1939="","",IFERROR(LEFT('Journal'!D1939,FIND(" ",'Journal'!D1939)-1),'Journal'!D1939))</f>
        <v/>
      </c>
      <c r="E3875" s="5">
        <f>IF('Journal'!D1939="","",IFERROR(INDEX('Kontoplan'!$B$3:$B$302,MATCH('Journal'!D1939,'Kontoplan'!$H$3:$H$302,0)),""))</f>
        <v/>
      </c>
      <c r="F3875" s="20">
        <f>IF('Journal'!G1939="","",'Journal'!G1939)</f>
        <v/>
      </c>
      <c r="G3875" s="20">
        <f>IF('Journal'!F1939="","",'Journal'!F1939)</f>
        <v/>
      </c>
      <c r="H3875" s="5">
        <f>IF('Journal'!I1939="","",'Journal'!I1939)</f>
        <v/>
      </c>
    </row>
    <row r="3876">
      <c r="A3876" s="18">
        <f>IF('Journal'!A1939="","",'Journal'!A1939)</f>
        <v/>
      </c>
      <c r="B3876" s="21">
        <f>IF('Journal'!B1939="","",'Journal'!B1939)</f>
        <v/>
      </c>
      <c r="C3876" s="5">
        <f>IF('Journal'!C1939="","",'Journal'!C1939)</f>
        <v/>
      </c>
      <c r="D3876" s="5">
        <f>IF('Journal'!E1939="","",IFERROR(LEFT('Journal'!E1939,FIND(" ",'Journal'!E1939)-1),'Journal'!E1939))</f>
        <v/>
      </c>
      <c r="E3876" s="5">
        <f>IF('Journal'!E1939="","",IFERROR(INDEX('Kontoplan'!$B$3:$B$302,MATCH('Journal'!E1939,'Kontoplan'!$H$3:$H$302,0)),""))</f>
        <v/>
      </c>
      <c r="F3876" s="20">
        <f>IF('Journal'!F1939="","",'Journal'!F1939)</f>
        <v/>
      </c>
      <c r="G3876" s="20">
        <f>IF('Journal'!G1939="","",'Journal'!G1939)</f>
        <v/>
      </c>
      <c r="H3876" s="5">
        <f>IF('Journal'!I1939="","",'Journal'!I1939)</f>
        <v/>
      </c>
    </row>
    <row r="3877">
      <c r="A3877" s="18">
        <f>IF('Journal'!A1940="","",'Journal'!A1940)</f>
        <v/>
      </c>
      <c r="B3877" s="21">
        <f>IF('Journal'!B1940="","",'Journal'!B1940)</f>
        <v/>
      </c>
      <c r="C3877" s="5">
        <f>IF('Journal'!C1940="","",'Journal'!C1940)</f>
        <v/>
      </c>
      <c r="D3877" s="5">
        <f>IF('Journal'!D1940="","",IFERROR(LEFT('Journal'!D1940,FIND(" ",'Journal'!D1940)-1),'Journal'!D1940))</f>
        <v/>
      </c>
      <c r="E3877" s="5">
        <f>IF('Journal'!D1940="","",IFERROR(INDEX('Kontoplan'!$B$3:$B$302,MATCH('Journal'!D1940,'Kontoplan'!$H$3:$H$302,0)),""))</f>
        <v/>
      </c>
      <c r="F3877" s="20">
        <f>IF('Journal'!G1940="","",'Journal'!G1940)</f>
        <v/>
      </c>
      <c r="G3877" s="20">
        <f>IF('Journal'!F1940="","",'Journal'!F1940)</f>
        <v/>
      </c>
      <c r="H3877" s="5">
        <f>IF('Journal'!I1940="","",'Journal'!I1940)</f>
        <v/>
      </c>
    </row>
    <row r="3878">
      <c r="A3878" s="18">
        <f>IF('Journal'!A1940="","",'Journal'!A1940)</f>
        <v/>
      </c>
      <c r="B3878" s="21">
        <f>IF('Journal'!B1940="","",'Journal'!B1940)</f>
        <v/>
      </c>
      <c r="C3878" s="5">
        <f>IF('Journal'!C1940="","",'Journal'!C1940)</f>
        <v/>
      </c>
      <c r="D3878" s="5">
        <f>IF('Journal'!E1940="","",IFERROR(LEFT('Journal'!E1940,FIND(" ",'Journal'!E1940)-1),'Journal'!E1940))</f>
        <v/>
      </c>
      <c r="E3878" s="5">
        <f>IF('Journal'!E1940="","",IFERROR(INDEX('Kontoplan'!$B$3:$B$302,MATCH('Journal'!E1940,'Kontoplan'!$H$3:$H$302,0)),""))</f>
        <v/>
      </c>
      <c r="F3878" s="20">
        <f>IF('Journal'!F1940="","",'Journal'!F1940)</f>
        <v/>
      </c>
      <c r="G3878" s="20">
        <f>IF('Journal'!G1940="","",'Journal'!G1940)</f>
        <v/>
      </c>
      <c r="H3878" s="5">
        <f>IF('Journal'!I1940="","",'Journal'!I1940)</f>
        <v/>
      </c>
    </row>
    <row r="3879">
      <c r="A3879" s="18">
        <f>IF('Journal'!A1941="","",'Journal'!A1941)</f>
        <v/>
      </c>
      <c r="B3879" s="21">
        <f>IF('Journal'!B1941="","",'Journal'!B1941)</f>
        <v/>
      </c>
      <c r="C3879" s="5">
        <f>IF('Journal'!C1941="","",'Journal'!C1941)</f>
        <v/>
      </c>
      <c r="D3879" s="5">
        <f>IF('Journal'!D1941="","",IFERROR(LEFT('Journal'!D1941,FIND(" ",'Journal'!D1941)-1),'Journal'!D1941))</f>
        <v/>
      </c>
      <c r="E3879" s="5">
        <f>IF('Journal'!D1941="","",IFERROR(INDEX('Kontoplan'!$B$3:$B$302,MATCH('Journal'!D1941,'Kontoplan'!$H$3:$H$302,0)),""))</f>
        <v/>
      </c>
      <c r="F3879" s="20">
        <f>IF('Journal'!G1941="","",'Journal'!G1941)</f>
        <v/>
      </c>
      <c r="G3879" s="20">
        <f>IF('Journal'!F1941="","",'Journal'!F1941)</f>
        <v/>
      </c>
      <c r="H3879" s="5">
        <f>IF('Journal'!I1941="","",'Journal'!I1941)</f>
        <v/>
      </c>
    </row>
    <row r="3880">
      <c r="A3880" s="18">
        <f>IF('Journal'!A1941="","",'Journal'!A1941)</f>
        <v/>
      </c>
      <c r="B3880" s="21">
        <f>IF('Journal'!B1941="","",'Journal'!B1941)</f>
        <v/>
      </c>
      <c r="C3880" s="5">
        <f>IF('Journal'!C1941="","",'Journal'!C1941)</f>
        <v/>
      </c>
      <c r="D3880" s="5">
        <f>IF('Journal'!E1941="","",IFERROR(LEFT('Journal'!E1941,FIND(" ",'Journal'!E1941)-1),'Journal'!E1941))</f>
        <v/>
      </c>
      <c r="E3880" s="5">
        <f>IF('Journal'!E1941="","",IFERROR(INDEX('Kontoplan'!$B$3:$B$302,MATCH('Journal'!E1941,'Kontoplan'!$H$3:$H$302,0)),""))</f>
        <v/>
      </c>
      <c r="F3880" s="20">
        <f>IF('Journal'!F1941="","",'Journal'!F1941)</f>
        <v/>
      </c>
      <c r="G3880" s="20">
        <f>IF('Journal'!G1941="","",'Journal'!G1941)</f>
        <v/>
      </c>
      <c r="H3880" s="5">
        <f>IF('Journal'!I1941="","",'Journal'!I1941)</f>
        <v/>
      </c>
    </row>
    <row r="3881">
      <c r="A3881" s="18">
        <f>IF('Journal'!A1942="","",'Journal'!A1942)</f>
        <v/>
      </c>
      <c r="B3881" s="21">
        <f>IF('Journal'!B1942="","",'Journal'!B1942)</f>
        <v/>
      </c>
      <c r="C3881" s="5">
        <f>IF('Journal'!C1942="","",'Journal'!C1942)</f>
        <v/>
      </c>
      <c r="D3881" s="5">
        <f>IF('Journal'!D1942="","",IFERROR(LEFT('Journal'!D1942,FIND(" ",'Journal'!D1942)-1),'Journal'!D1942))</f>
        <v/>
      </c>
      <c r="E3881" s="5">
        <f>IF('Journal'!D1942="","",IFERROR(INDEX('Kontoplan'!$B$3:$B$302,MATCH('Journal'!D1942,'Kontoplan'!$H$3:$H$302,0)),""))</f>
        <v/>
      </c>
      <c r="F3881" s="20">
        <f>IF('Journal'!G1942="","",'Journal'!G1942)</f>
        <v/>
      </c>
      <c r="G3881" s="20">
        <f>IF('Journal'!F1942="","",'Journal'!F1942)</f>
        <v/>
      </c>
      <c r="H3881" s="5">
        <f>IF('Journal'!I1942="","",'Journal'!I1942)</f>
        <v/>
      </c>
    </row>
    <row r="3882">
      <c r="A3882" s="18">
        <f>IF('Journal'!A1942="","",'Journal'!A1942)</f>
        <v/>
      </c>
      <c r="B3882" s="21">
        <f>IF('Journal'!B1942="","",'Journal'!B1942)</f>
        <v/>
      </c>
      <c r="C3882" s="5">
        <f>IF('Journal'!C1942="","",'Journal'!C1942)</f>
        <v/>
      </c>
      <c r="D3882" s="5">
        <f>IF('Journal'!E1942="","",IFERROR(LEFT('Journal'!E1942,FIND(" ",'Journal'!E1942)-1),'Journal'!E1942))</f>
        <v/>
      </c>
      <c r="E3882" s="5">
        <f>IF('Journal'!E1942="","",IFERROR(INDEX('Kontoplan'!$B$3:$B$302,MATCH('Journal'!E1942,'Kontoplan'!$H$3:$H$302,0)),""))</f>
        <v/>
      </c>
      <c r="F3882" s="20">
        <f>IF('Journal'!F1942="","",'Journal'!F1942)</f>
        <v/>
      </c>
      <c r="G3882" s="20">
        <f>IF('Journal'!G1942="","",'Journal'!G1942)</f>
        <v/>
      </c>
      <c r="H3882" s="5">
        <f>IF('Journal'!I1942="","",'Journal'!I1942)</f>
        <v/>
      </c>
    </row>
    <row r="3883">
      <c r="A3883" s="18">
        <f>IF('Journal'!A1943="","",'Journal'!A1943)</f>
        <v/>
      </c>
      <c r="B3883" s="21">
        <f>IF('Journal'!B1943="","",'Journal'!B1943)</f>
        <v/>
      </c>
      <c r="C3883" s="5">
        <f>IF('Journal'!C1943="","",'Journal'!C1943)</f>
        <v/>
      </c>
      <c r="D3883" s="5">
        <f>IF('Journal'!D1943="","",IFERROR(LEFT('Journal'!D1943,FIND(" ",'Journal'!D1943)-1),'Journal'!D1943))</f>
        <v/>
      </c>
      <c r="E3883" s="5">
        <f>IF('Journal'!D1943="","",IFERROR(INDEX('Kontoplan'!$B$3:$B$302,MATCH('Journal'!D1943,'Kontoplan'!$H$3:$H$302,0)),""))</f>
        <v/>
      </c>
      <c r="F3883" s="20">
        <f>IF('Journal'!G1943="","",'Journal'!G1943)</f>
        <v/>
      </c>
      <c r="G3883" s="20">
        <f>IF('Journal'!F1943="","",'Journal'!F1943)</f>
        <v/>
      </c>
      <c r="H3883" s="5">
        <f>IF('Journal'!I1943="","",'Journal'!I1943)</f>
        <v/>
      </c>
    </row>
    <row r="3884">
      <c r="A3884" s="18">
        <f>IF('Journal'!A1943="","",'Journal'!A1943)</f>
        <v/>
      </c>
      <c r="B3884" s="21">
        <f>IF('Journal'!B1943="","",'Journal'!B1943)</f>
        <v/>
      </c>
      <c r="C3884" s="5">
        <f>IF('Journal'!C1943="","",'Journal'!C1943)</f>
        <v/>
      </c>
      <c r="D3884" s="5">
        <f>IF('Journal'!E1943="","",IFERROR(LEFT('Journal'!E1943,FIND(" ",'Journal'!E1943)-1),'Journal'!E1943))</f>
        <v/>
      </c>
      <c r="E3884" s="5">
        <f>IF('Journal'!E1943="","",IFERROR(INDEX('Kontoplan'!$B$3:$B$302,MATCH('Journal'!E1943,'Kontoplan'!$H$3:$H$302,0)),""))</f>
        <v/>
      </c>
      <c r="F3884" s="20">
        <f>IF('Journal'!F1943="","",'Journal'!F1943)</f>
        <v/>
      </c>
      <c r="G3884" s="20">
        <f>IF('Journal'!G1943="","",'Journal'!G1943)</f>
        <v/>
      </c>
      <c r="H3884" s="5">
        <f>IF('Journal'!I1943="","",'Journal'!I1943)</f>
        <v/>
      </c>
    </row>
    <row r="3885">
      <c r="A3885" s="18">
        <f>IF('Journal'!A1944="","",'Journal'!A1944)</f>
        <v/>
      </c>
      <c r="B3885" s="21">
        <f>IF('Journal'!B1944="","",'Journal'!B1944)</f>
        <v/>
      </c>
      <c r="C3885" s="5">
        <f>IF('Journal'!C1944="","",'Journal'!C1944)</f>
        <v/>
      </c>
      <c r="D3885" s="5">
        <f>IF('Journal'!D1944="","",IFERROR(LEFT('Journal'!D1944,FIND(" ",'Journal'!D1944)-1),'Journal'!D1944))</f>
        <v/>
      </c>
      <c r="E3885" s="5">
        <f>IF('Journal'!D1944="","",IFERROR(INDEX('Kontoplan'!$B$3:$B$302,MATCH('Journal'!D1944,'Kontoplan'!$H$3:$H$302,0)),""))</f>
        <v/>
      </c>
      <c r="F3885" s="20">
        <f>IF('Journal'!G1944="","",'Journal'!G1944)</f>
        <v/>
      </c>
      <c r="G3885" s="20">
        <f>IF('Journal'!F1944="","",'Journal'!F1944)</f>
        <v/>
      </c>
      <c r="H3885" s="5">
        <f>IF('Journal'!I1944="","",'Journal'!I1944)</f>
        <v/>
      </c>
    </row>
    <row r="3886">
      <c r="A3886" s="18">
        <f>IF('Journal'!A1944="","",'Journal'!A1944)</f>
        <v/>
      </c>
      <c r="B3886" s="21">
        <f>IF('Journal'!B1944="","",'Journal'!B1944)</f>
        <v/>
      </c>
      <c r="C3886" s="5">
        <f>IF('Journal'!C1944="","",'Journal'!C1944)</f>
        <v/>
      </c>
      <c r="D3886" s="5">
        <f>IF('Journal'!E1944="","",IFERROR(LEFT('Journal'!E1944,FIND(" ",'Journal'!E1944)-1),'Journal'!E1944))</f>
        <v/>
      </c>
      <c r="E3886" s="5">
        <f>IF('Journal'!E1944="","",IFERROR(INDEX('Kontoplan'!$B$3:$B$302,MATCH('Journal'!E1944,'Kontoplan'!$H$3:$H$302,0)),""))</f>
        <v/>
      </c>
      <c r="F3886" s="20">
        <f>IF('Journal'!F1944="","",'Journal'!F1944)</f>
        <v/>
      </c>
      <c r="G3886" s="20">
        <f>IF('Journal'!G1944="","",'Journal'!G1944)</f>
        <v/>
      </c>
      <c r="H3886" s="5">
        <f>IF('Journal'!I1944="","",'Journal'!I1944)</f>
        <v/>
      </c>
    </row>
    <row r="3887">
      <c r="A3887" s="18">
        <f>IF('Journal'!A1945="","",'Journal'!A1945)</f>
        <v/>
      </c>
      <c r="B3887" s="21">
        <f>IF('Journal'!B1945="","",'Journal'!B1945)</f>
        <v/>
      </c>
      <c r="C3887" s="5">
        <f>IF('Journal'!C1945="","",'Journal'!C1945)</f>
        <v/>
      </c>
      <c r="D3887" s="5">
        <f>IF('Journal'!D1945="","",IFERROR(LEFT('Journal'!D1945,FIND(" ",'Journal'!D1945)-1),'Journal'!D1945))</f>
        <v/>
      </c>
      <c r="E3887" s="5">
        <f>IF('Journal'!D1945="","",IFERROR(INDEX('Kontoplan'!$B$3:$B$302,MATCH('Journal'!D1945,'Kontoplan'!$H$3:$H$302,0)),""))</f>
        <v/>
      </c>
      <c r="F3887" s="20">
        <f>IF('Journal'!G1945="","",'Journal'!G1945)</f>
        <v/>
      </c>
      <c r="G3887" s="20">
        <f>IF('Journal'!F1945="","",'Journal'!F1945)</f>
        <v/>
      </c>
      <c r="H3887" s="5">
        <f>IF('Journal'!I1945="","",'Journal'!I1945)</f>
        <v/>
      </c>
    </row>
    <row r="3888">
      <c r="A3888" s="18">
        <f>IF('Journal'!A1945="","",'Journal'!A1945)</f>
        <v/>
      </c>
      <c r="B3888" s="21">
        <f>IF('Journal'!B1945="","",'Journal'!B1945)</f>
        <v/>
      </c>
      <c r="C3888" s="5">
        <f>IF('Journal'!C1945="","",'Journal'!C1945)</f>
        <v/>
      </c>
      <c r="D3888" s="5">
        <f>IF('Journal'!E1945="","",IFERROR(LEFT('Journal'!E1945,FIND(" ",'Journal'!E1945)-1),'Journal'!E1945))</f>
        <v/>
      </c>
      <c r="E3888" s="5">
        <f>IF('Journal'!E1945="","",IFERROR(INDEX('Kontoplan'!$B$3:$B$302,MATCH('Journal'!E1945,'Kontoplan'!$H$3:$H$302,0)),""))</f>
        <v/>
      </c>
      <c r="F3888" s="20">
        <f>IF('Journal'!F1945="","",'Journal'!F1945)</f>
        <v/>
      </c>
      <c r="G3888" s="20">
        <f>IF('Journal'!G1945="","",'Journal'!G1945)</f>
        <v/>
      </c>
      <c r="H3888" s="5">
        <f>IF('Journal'!I1945="","",'Journal'!I1945)</f>
        <v/>
      </c>
    </row>
    <row r="3889">
      <c r="A3889" s="18">
        <f>IF('Journal'!A1946="","",'Journal'!A1946)</f>
        <v/>
      </c>
      <c r="B3889" s="21">
        <f>IF('Journal'!B1946="","",'Journal'!B1946)</f>
        <v/>
      </c>
      <c r="C3889" s="5">
        <f>IF('Journal'!C1946="","",'Journal'!C1946)</f>
        <v/>
      </c>
      <c r="D3889" s="5">
        <f>IF('Journal'!D1946="","",IFERROR(LEFT('Journal'!D1946,FIND(" ",'Journal'!D1946)-1),'Journal'!D1946))</f>
        <v/>
      </c>
      <c r="E3889" s="5">
        <f>IF('Journal'!D1946="","",IFERROR(INDEX('Kontoplan'!$B$3:$B$302,MATCH('Journal'!D1946,'Kontoplan'!$H$3:$H$302,0)),""))</f>
        <v/>
      </c>
      <c r="F3889" s="20">
        <f>IF('Journal'!G1946="","",'Journal'!G1946)</f>
        <v/>
      </c>
      <c r="G3889" s="20">
        <f>IF('Journal'!F1946="","",'Journal'!F1946)</f>
        <v/>
      </c>
      <c r="H3889" s="5">
        <f>IF('Journal'!I1946="","",'Journal'!I1946)</f>
        <v/>
      </c>
    </row>
    <row r="3890">
      <c r="A3890" s="18">
        <f>IF('Journal'!A1946="","",'Journal'!A1946)</f>
        <v/>
      </c>
      <c r="B3890" s="21">
        <f>IF('Journal'!B1946="","",'Journal'!B1946)</f>
        <v/>
      </c>
      <c r="C3890" s="5">
        <f>IF('Journal'!C1946="","",'Journal'!C1946)</f>
        <v/>
      </c>
      <c r="D3890" s="5">
        <f>IF('Journal'!E1946="","",IFERROR(LEFT('Journal'!E1946,FIND(" ",'Journal'!E1946)-1),'Journal'!E1946))</f>
        <v/>
      </c>
      <c r="E3890" s="5">
        <f>IF('Journal'!E1946="","",IFERROR(INDEX('Kontoplan'!$B$3:$B$302,MATCH('Journal'!E1946,'Kontoplan'!$H$3:$H$302,0)),""))</f>
        <v/>
      </c>
      <c r="F3890" s="20">
        <f>IF('Journal'!F1946="","",'Journal'!F1946)</f>
        <v/>
      </c>
      <c r="G3890" s="20">
        <f>IF('Journal'!G1946="","",'Journal'!G1946)</f>
        <v/>
      </c>
      <c r="H3890" s="5">
        <f>IF('Journal'!I1946="","",'Journal'!I1946)</f>
        <v/>
      </c>
    </row>
    <row r="3891">
      <c r="A3891" s="18">
        <f>IF('Journal'!A1947="","",'Journal'!A1947)</f>
        <v/>
      </c>
      <c r="B3891" s="21">
        <f>IF('Journal'!B1947="","",'Journal'!B1947)</f>
        <v/>
      </c>
      <c r="C3891" s="5">
        <f>IF('Journal'!C1947="","",'Journal'!C1947)</f>
        <v/>
      </c>
      <c r="D3891" s="5">
        <f>IF('Journal'!D1947="","",IFERROR(LEFT('Journal'!D1947,FIND(" ",'Journal'!D1947)-1),'Journal'!D1947))</f>
        <v/>
      </c>
      <c r="E3891" s="5">
        <f>IF('Journal'!D1947="","",IFERROR(INDEX('Kontoplan'!$B$3:$B$302,MATCH('Journal'!D1947,'Kontoplan'!$H$3:$H$302,0)),""))</f>
        <v/>
      </c>
      <c r="F3891" s="20">
        <f>IF('Journal'!G1947="","",'Journal'!G1947)</f>
        <v/>
      </c>
      <c r="G3891" s="20">
        <f>IF('Journal'!F1947="","",'Journal'!F1947)</f>
        <v/>
      </c>
      <c r="H3891" s="5">
        <f>IF('Journal'!I1947="","",'Journal'!I1947)</f>
        <v/>
      </c>
    </row>
    <row r="3892">
      <c r="A3892" s="18">
        <f>IF('Journal'!A1947="","",'Journal'!A1947)</f>
        <v/>
      </c>
      <c r="B3892" s="21">
        <f>IF('Journal'!B1947="","",'Journal'!B1947)</f>
        <v/>
      </c>
      <c r="C3892" s="5">
        <f>IF('Journal'!C1947="","",'Journal'!C1947)</f>
        <v/>
      </c>
      <c r="D3892" s="5">
        <f>IF('Journal'!E1947="","",IFERROR(LEFT('Journal'!E1947,FIND(" ",'Journal'!E1947)-1),'Journal'!E1947))</f>
        <v/>
      </c>
      <c r="E3892" s="5">
        <f>IF('Journal'!E1947="","",IFERROR(INDEX('Kontoplan'!$B$3:$B$302,MATCH('Journal'!E1947,'Kontoplan'!$H$3:$H$302,0)),""))</f>
        <v/>
      </c>
      <c r="F3892" s="20">
        <f>IF('Journal'!F1947="","",'Journal'!F1947)</f>
        <v/>
      </c>
      <c r="G3892" s="20">
        <f>IF('Journal'!G1947="","",'Journal'!G1947)</f>
        <v/>
      </c>
      <c r="H3892" s="5">
        <f>IF('Journal'!I1947="","",'Journal'!I1947)</f>
        <v/>
      </c>
    </row>
    <row r="3893">
      <c r="A3893" s="18">
        <f>IF('Journal'!A1948="","",'Journal'!A1948)</f>
        <v/>
      </c>
      <c r="B3893" s="21">
        <f>IF('Journal'!B1948="","",'Journal'!B1948)</f>
        <v/>
      </c>
      <c r="C3893" s="5">
        <f>IF('Journal'!C1948="","",'Journal'!C1948)</f>
        <v/>
      </c>
      <c r="D3893" s="5">
        <f>IF('Journal'!D1948="","",IFERROR(LEFT('Journal'!D1948,FIND(" ",'Journal'!D1948)-1),'Journal'!D1948))</f>
        <v/>
      </c>
      <c r="E3893" s="5">
        <f>IF('Journal'!D1948="","",IFERROR(INDEX('Kontoplan'!$B$3:$B$302,MATCH('Journal'!D1948,'Kontoplan'!$H$3:$H$302,0)),""))</f>
        <v/>
      </c>
      <c r="F3893" s="20">
        <f>IF('Journal'!G1948="","",'Journal'!G1948)</f>
        <v/>
      </c>
      <c r="G3893" s="20">
        <f>IF('Journal'!F1948="","",'Journal'!F1948)</f>
        <v/>
      </c>
      <c r="H3893" s="5">
        <f>IF('Journal'!I1948="","",'Journal'!I1948)</f>
        <v/>
      </c>
    </row>
    <row r="3894">
      <c r="A3894" s="18">
        <f>IF('Journal'!A1948="","",'Journal'!A1948)</f>
        <v/>
      </c>
      <c r="B3894" s="21">
        <f>IF('Journal'!B1948="","",'Journal'!B1948)</f>
        <v/>
      </c>
      <c r="C3894" s="5">
        <f>IF('Journal'!C1948="","",'Journal'!C1948)</f>
        <v/>
      </c>
      <c r="D3894" s="5">
        <f>IF('Journal'!E1948="","",IFERROR(LEFT('Journal'!E1948,FIND(" ",'Journal'!E1948)-1),'Journal'!E1948))</f>
        <v/>
      </c>
      <c r="E3894" s="5">
        <f>IF('Journal'!E1948="","",IFERROR(INDEX('Kontoplan'!$B$3:$B$302,MATCH('Journal'!E1948,'Kontoplan'!$H$3:$H$302,0)),""))</f>
        <v/>
      </c>
      <c r="F3894" s="20">
        <f>IF('Journal'!F1948="","",'Journal'!F1948)</f>
        <v/>
      </c>
      <c r="G3894" s="20">
        <f>IF('Journal'!G1948="","",'Journal'!G1948)</f>
        <v/>
      </c>
      <c r="H3894" s="5">
        <f>IF('Journal'!I1948="","",'Journal'!I1948)</f>
        <v/>
      </c>
    </row>
    <row r="3895">
      <c r="A3895" s="18">
        <f>IF('Journal'!A1949="","",'Journal'!A1949)</f>
        <v/>
      </c>
      <c r="B3895" s="21">
        <f>IF('Journal'!B1949="","",'Journal'!B1949)</f>
        <v/>
      </c>
      <c r="C3895" s="5">
        <f>IF('Journal'!C1949="","",'Journal'!C1949)</f>
        <v/>
      </c>
      <c r="D3895" s="5">
        <f>IF('Journal'!D1949="","",IFERROR(LEFT('Journal'!D1949,FIND(" ",'Journal'!D1949)-1),'Journal'!D1949))</f>
        <v/>
      </c>
      <c r="E3895" s="5">
        <f>IF('Journal'!D1949="","",IFERROR(INDEX('Kontoplan'!$B$3:$B$302,MATCH('Journal'!D1949,'Kontoplan'!$H$3:$H$302,0)),""))</f>
        <v/>
      </c>
      <c r="F3895" s="20">
        <f>IF('Journal'!G1949="","",'Journal'!G1949)</f>
        <v/>
      </c>
      <c r="G3895" s="20">
        <f>IF('Journal'!F1949="","",'Journal'!F1949)</f>
        <v/>
      </c>
      <c r="H3895" s="5">
        <f>IF('Journal'!I1949="","",'Journal'!I1949)</f>
        <v/>
      </c>
    </row>
    <row r="3896">
      <c r="A3896" s="18">
        <f>IF('Journal'!A1949="","",'Journal'!A1949)</f>
        <v/>
      </c>
      <c r="B3896" s="21">
        <f>IF('Journal'!B1949="","",'Journal'!B1949)</f>
        <v/>
      </c>
      <c r="C3896" s="5">
        <f>IF('Journal'!C1949="","",'Journal'!C1949)</f>
        <v/>
      </c>
      <c r="D3896" s="5">
        <f>IF('Journal'!E1949="","",IFERROR(LEFT('Journal'!E1949,FIND(" ",'Journal'!E1949)-1),'Journal'!E1949))</f>
        <v/>
      </c>
      <c r="E3896" s="5">
        <f>IF('Journal'!E1949="","",IFERROR(INDEX('Kontoplan'!$B$3:$B$302,MATCH('Journal'!E1949,'Kontoplan'!$H$3:$H$302,0)),""))</f>
        <v/>
      </c>
      <c r="F3896" s="20">
        <f>IF('Journal'!F1949="","",'Journal'!F1949)</f>
        <v/>
      </c>
      <c r="G3896" s="20">
        <f>IF('Journal'!G1949="","",'Journal'!G1949)</f>
        <v/>
      </c>
      <c r="H3896" s="5">
        <f>IF('Journal'!I1949="","",'Journal'!I1949)</f>
        <v/>
      </c>
    </row>
    <row r="3897">
      <c r="A3897" s="18">
        <f>IF('Journal'!A1950="","",'Journal'!A1950)</f>
        <v/>
      </c>
      <c r="B3897" s="21">
        <f>IF('Journal'!B1950="","",'Journal'!B1950)</f>
        <v/>
      </c>
      <c r="C3897" s="5">
        <f>IF('Journal'!C1950="","",'Journal'!C1950)</f>
        <v/>
      </c>
      <c r="D3897" s="5">
        <f>IF('Journal'!D1950="","",IFERROR(LEFT('Journal'!D1950,FIND(" ",'Journal'!D1950)-1),'Journal'!D1950))</f>
        <v/>
      </c>
      <c r="E3897" s="5">
        <f>IF('Journal'!D1950="","",IFERROR(INDEX('Kontoplan'!$B$3:$B$302,MATCH('Journal'!D1950,'Kontoplan'!$H$3:$H$302,0)),""))</f>
        <v/>
      </c>
      <c r="F3897" s="20">
        <f>IF('Journal'!G1950="","",'Journal'!G1950)</f>
        <v/>
      </c>
      <c r="G3897" s="20">
        <f>IF('Journal'!F1950="","",'Journal'!F1950)</f>
        <v/>
      </c>
      <c r="H3897" s="5">
        <f>IF('Journal'!I1950="","",'Journal'!I1950)</f>
        <v/>
      </c>
    </row>
    <row r="3898">
      <c r="A3898" s="18">
        <f>IF('Journal'!A1950="","",'Journal'!A1950)</f>
        <v/>
      </c>
      <c r="B3898" s="21">
        <f>IF('Journal'!B1950="","",'Journal'!B1950)</f>
        <v/>
      </c>
      <c r="C3898" s="5">
        <f>IF('Journal'!C1950="","",'Journal'!C1950)</f>
        <v/>
      </c>
      <c r="D3898" s="5">
        <f>IF('Journal'!E1950="","",IFERROR(LEFT('Journal'!E1950,FIND(" ",'Journal'!E1950)-1),'Journal'!E1950))</f>
        <v/>
      </c>
      <c r="E3898" s="5">
        <f>IF('Journal'!E1950="","",IFERROR(INDEX('Kontoplan'!$B$3:$B$302,MATCH('Journal'!E1950,'Kontoplan'!$H$3:$H$302,0)),""))</f>
        <v/>
      </c>
      <c r="F3898" s="20">
        <f>IF('Journal'!F1950="","",'Journal'!F1950)</f>
        <v/>
      </c>
      <c r="G3898" s="20">
        <f>IF('Journal'!G1950="","",'Journal'!G1950)</f>
        <v/>
      </c>
      <c r="H3898" s="5">
        <f>IF('Journal'!I1950="","",'Journal'!I1950)</f>
        <v/>
      </c>
    </row>
    <row r="3899">
      <c r="A3899" s="18">
        <f>IF('Journal'!A1951="","",'Journal'!A1951)</f>
        <v/>
      </c>
      <c r="B3899" s="21">
        <f>IF('Journal'!B1951="","",'Journal'!B1951)</f>
        <v/>
      </c>
      <c r="C3899" s="5">
        <f>IF('Journal'!C1951="","",'Journal'!C1951)</f>
        <v/>
      </c>
      <c r="D3899" s="5">
        <f>IF('Journal'!D1951="","",IFERROR(LEFT('Journal'!D1951,FIND(" ",'Journal'!D1951)-1),'Journal'!D1951))</f>
        <v/>
      </c>
      <c r="E3899" s="5">
        <f>IF('Journal'!D1951="","",IFERROR(INDEX('Kontoplan'!$B$3:$B$302,MATCH('Journal'!D1951,'Kontoplan'!$H$3:$H$302,0)),""))</f>
        <v/>
      </c>
      <c r="F3899" s="20">
        <f>IF('Journal'!G1951="","",'Journal'!G1951)</f>
        <v/>
      </c>
      <c r="G3899" s="20">
        <f>IF('Journal'!F1951="","",'Journal'!F1951)</f>
        <v/>
      </c>
      <c r="H3899" s="5">
        <f>IF('Journal'!I1951="","",'Journal'!I1951)</f>
        <v/>
      </c>
    </row>
    <row r="3900">
      <c r="A3900" s="18">
        <f>IF('Journal'!A1951="","",'Journal'!A1951)</f>
        <v/>
      </c>
      <c r="B3900" s="21">
        <f>IF('Journal'!B1951="","",'Journal'!B1951)</f>
        <v/>
      </c>
      <c r="C3900" s="5">
        <f>IF('Journal'!C1951="","",'Journal'!C1951)</f>
        <v/>
      </c>
      <c r="D3900" s="5">
        <f>IF('Journal'!E1951="","",IFERROR(LEFT('Journal'!E1951,FIND(" ",'Journal'!E1951)-1),'Journal'!E1951))</f>
        <v/>
      </c>
      <c r="E3900" s="5">
        <f>IF('Journal'!E1951="","",IFERROR(INDEX('Kontoplan'!$B$3:$B$302,MATCH('Journal'!E1951,'Kontoplan'!$H$3:$H$302,0)),""))</f>
        <v/>
      </c>
      <c r="F3900" s="20">
        <f>IF('Journal'!F1951="","",'Journal'!F1951)</f>
        <v/>
      </c>
      <c r="G3900" s="20">
        <f>IF('Journal'!G1951="","",'Journal'!G1951)</f>
        <v/>
      </c>
      <c r="H3900" s="5">
        <f>IF('Journal'!I1951="","",'Journal'!I1951)</f>
        <v/>
      </c>
    </row>
    <row r="3901">
      <c r="A3901" s="18">
        <f>IF('Journal'!A1952="","",'Journal'!A1952)</f>
        <v/>
      </c>
      <c r="B3901" s="21">
        <f>IF('Journal'!B1952="","",'Journal'!B1952)</f>
        <v/>
      </c>
      <c r="C3901" s="5">
        <f>IF('Journal'!C1952="","",'Journal'!C1952)</f>
        <v/>
      </c>
      <c r="D3901" s="5">
        <f>IF('Journal'!D1952="","",IFERROR(LEFT('Journal'!D1952,FIND(" ",'Journal'!D1952)-1),'Journal'!D1952))</f>
        <v/>
      </c>
      <c r="E3901" s="5">
        <f>IF('Journal'!D1952="","",IFERROR(INDEX('Kontoplan'!$B$3:$B$302,MATCH('Journal'!D1952,'Kontoplan'!$H$3:$H$302,0)),""))</f>
        <v/>
      </c>
      <c r="F3901" s="20">
        <f>IF('Journal'!G1952="","",'Journal'!G1952)</f>
        <v/>
      </c>
      <c r="G3901" s="20">
        <f>IF('Journal'!F1952="","",'Journal'!F1952)</f>
        <v/>
      </c>
      <c r="H3901" s="5">
        <f>IF('Journal'!I1952="","",'Journal'!I1952)</f>
        <v/>
      </c>
    </row>
    <row r="3902">
      <c r="A3902" s="18">
        <f>IF('Journal'!A1952="","",'Journal'!A1952)</f>
        <v/>
      </c>
      <c r="B3902" s="21">
        <f>IF('Journal'!B1952="","",'Journal'!B1952)</f>
        <v/>
      </c>
      <c r="C3902" s="5">
        <f>IF('Journal'!C1952="","",'Journal'!C1952)</f>
        <v/>
      </c>
      <c r="D3902" s="5">
        <f>IF('Journal'!E1952="","",IFERROR(LEFT('Journal'!E1952,FIND(" ",'Journal'!E1952)-1),'Journal'!E1952))</f>
        <v/>
      </c>
      <c r="E3902" s="5">
        <f>IF('Journal'!E1952="","",IFERROR(INDEX('Kontoplan'!$B$3:$B$302,MATCH('Journal'!E1952,'Kontoplan'!$H$3:$H$302,0)),""))</f>
        <v/>
      </c>
      <c r="F3902" s="20">
        <f>IF('Journal'!F1952="","",'Journal'!F1952)</f>
        <v/>
      </c>
      <c r="G3902" s="20">
        <f>IF('Journal'!G1952="","",'Journal'!G1952)</f>
        <v/>
      </c>
      <c r="H3902" s="5">
        <f>IF('Journal'!I1952="","",'Journal'!I1952)</f>
        <v/>
      </c>
    </row>
    <row r="3903">
      <c r="A3903" s="18">
        <f>IF('Journal'!A1953="","",'Journal'!A1953)</f>
        <v/>
      </c>
      <c r="B3903" s="21">
        <f>IF('Journal'!B1953="","",'Journal'!B1953)</f>
        <v/>
      </c>
      <c r="C3903" s="5">
        <f>IF('Journal'!C1953="","",'Journal'!C1953)</f>
        <v/>
      </c>
      <c r="D3903" s="5">
        <f>IF('Journal'!D1953="","",IFERROR(LEFT('Journal'!D1953,FIND(" ",'Journal'!D1953)-1),'Journal'!D1953))</f>
        <v/>
      </c>
      <c r="E3903" s="5">
        <f>IF('Journal'!D1953="","",IFERROR(INDEX('Kontoplan'!$B$3:$B$302,MATCH('Journal'!D1953,'Kontoplan'!$H$3:$H$302,0)),""))</f>
        <v/>
      </c>
      <c r="F3903" s="20">
        <f>IF('Journal'!G1953="","",'Journal'!G1953)</f>
        <v/>
      </c>
      <c r="G3903" s="20">
        <f>IF('Journal'!F1953="","",'Journal'!F1953)</f>
        <v/>
      </c>
      <c r="H3903" s="5">
        <f>IF('Journal'!I1953="","",'Journal'!I1953)</f>
        <v/>
      </c>
    </row>
    <row r="3904">
      <c r="A3904" s="18">
        <f>IF('Journal'!A1953="","",'Journal'!A1953)</f>
        <v/>
      </c>
      <c r="B3904" s="21">
        <f>IF('Journal'!B1953="","",'Journal'!B1953)</f>
        <v/>
      </c>
      <c r="C3904" s="5">
        <f>IF('Journal'!C1953="","",'Journal'!C1953)</f>
        <v/>
      </c>
      <c r="D3904" s="5">
        <f>IF('Journal'!E1953="","",IFERROR(LEFT('Journal'!E1953,FIND(" ",'Journal'!E1953)-1),'Journal'!E1953))</f>
        <v/>
      </c>
      <c r="E3904" s="5">
        <f>IF('Journal'!E1953="","",IFERROR(INDEX('Kontoplan'!$B$3:$B$302,MATCH('Journal'!E1953,'Kontoplan'!$H$3:$H$302,0)),""))</f>
        <v/>
      </c>
      <c r="F3904" s="20">
        <f>IF('Journal'!F1953="","",'Journal'!F1953)</f>
        <v/>
      </c>
      <c r="G3904" s="20">
        <f>IF('Journal'!G1953="","",'Journal'!G1953)</f>
        <v/>
      </c>
      <c r="H3904" s="5">
        <f>IF('Journal'!I1953="","",'Journal'!I1953)</f>
        <v/>
      </c>
    </row>
    <row r="3905">
      <c r="A3905" s="18">
        <f>IF('Journal'!A1954="","",'Journal'!A1954)</f>
        <v/>
      </c>
      <c r="B3905" s="21">
        <f>IF('Journal'!B1954="","",'Journal'!B1954)</f>
        <v/>
      </c>
      <c r="C3905" s="5">
        <f>IF('Journal'!C1954="","",'Journal'!C1954)</f>
        <v/>
      </c>
      <c r="D3905" s="5">
        <f>IF('Journal'!D1954="","",IFERROR(LEFT('Journal'!D1954,FIND(" ",'Journal'!D1954)-1),'Journal'!D1954))</f>
        <v/>
      </c>
      <c r="E3905" s="5">
        <f>IF('Journal'!D1954="","",IFERROR(INDEX('Kontoplan'!$B$3:$B$302,MATCH('Journal'!D1954,'Kontoplan'!$H$3:$H$302,0)),""))</f>
        <v/>
      </c>
      <c r="F3905" s="20">
        <f>IF('Journal'!G1954="","",'Journal'!G1954)</f>
        <v/>
      </c>
      <c r="G3905" s="20">
        <f>IF('Journal'!F1954="","",'Journal'!F1954)</f>
        <v/>
      </c>
      <c r="H3905" s="5">
        <f>IF('Journal'!I1954="","",'Journal'!I1954)</f>
        <v/>
      </c>
    </row>
    <row r="3906">
      <c r="A3906" s="18">
        <f>IF('Journal'!A1954="","",'Journal'!A1954)</f>
        <v/>
      </c>
      <c r="B3906" s="21">
        <f>IF('Journal'!B1954="","",'Journal'!B1954)</f>
        <v/>
      </c>
      <c r="C3906" s="5">
        <f>IF('Journal'!C1954="","",'Journal'!C1954)</f>
        <v/>
      </c>
      <c r="D3906" s="5">
        <f>IF('Journal'!E1954="","",IFERROR(LEFT('Journal'!E1954,FIND(" ",'Journal'!E1954)-1),'Journal'!E1954))</f>
        <v/>
      </c>
      <c r="E3906" s="5">
        <f>IF('Journal'!E1954="","",IFERROR(INDEX('Kontoplan'!$B$3:$B$302,MATCH('Journal'!E1954,'Kontoplan'!$H$3:$H$302,0)),""))</f>
        <v/>
      </c>
      <c r="F3906" s="20">
        <f>IF('Journal'!F1954="","",'Journal'!F1954)</f>
        <v/>
      </c>
      <c r="G3906" s="20">
        <f>IF('Journal'!G1954="","",'Journal'!G1954)</f>
        <v/>
      </c>
      <c r="H3906" s="5">
        <f>IF('Journal'!I1954="","",'Journal'!I1954)</f>
        <v/>
      </c>
    </row>
    <row r="3907">
      <c r="A3907" s="18">
        <f>IF('Journal'!A1955="","",'Journal'!A1955)</f>
        <v/>
      </c>
      <c r="B3907" s="21">
        <f>IF('Journal'!B1955="","",'Journal'!B1955)</f>
        <v/>
      </c>
      <c r="C3907" s="5">
        <f>IF('Journal'!C1955="","",'Journal'!C1955)</f>
        <v/>
      </c>
      <c r="D3907" s="5">
        <f>IF('Journal'!D1955="","",IFERROR(LEFT('Journal'!D1955,FIND(" ",'Journal'!D1955)-1),'Journal'!D1955))</f>
        <v/>
      </c>
      <c r="E3907" s="5">
        <f>IF('Journal'!D1955="","",IFERROR(INDEX('Kontoplan'!$B$3:$B$302,MATCH('Journal'!D1955,'Kontoplan'!$H$3:$H$302,0)),""))</f>
        <v/>
      </c>
      <c r="F3907" s="20">
        <f>IF('Journal'!G1955="","",'Journal'!G1955)</f>
        <v/>
      </c>
      <c r="G3907" s="20">
        <f>IF('Journal'!F1955="","",'Journal'!F1955)</f>
        <v/>
      </c>
      <c r="H3907" s="5">
        <f>IF('Journal'!I1955="","",'Journal'!I1955)</f>
        <v/>
      </c>
    </row>
    <row r="3908">
      <c r="A3908" s="18">
        <f>IF('Journal'!A1955="","",'Journal'!A1955)</f>
        <v/>
      </c>
      <c r="B3908" s="21">
        <f>IF('Journal'!B1955="","",'Journal'!B1955)</f>
        <v/>
      </c>
      <c r="C3908" s="5">
        <f>IF('Journal'!C1955="","",'Journal'!C1955)</f>
        <v/>
      </c>
      <c r="D3908" s="5">
        <f>IF('Journal'!E1955="","",IFERROR(LEFT('Journal'!E1955,FIND(" ",'Journal'!E1955)-1),'Journal'!E1955))</f>
        <v/>
      </c>
      <c r="E3908" s="5">
        <f>IF('Journal'!E1955="","",IFERROR(INDEX('Kontoplan'!$B$3:$B$302,MATCH('Journal'!E1955,'Kontoplan'!$H$3:$H$302,0)),""))</f>
        <v/>
      </c>
      <c r="F3908" s="20">
        <f>IF('Journal'!F1955="","",'Journal'!F1955)</f>
        <v/>
      </c>
      <c r="G3908" s="20">
        <f>IF('Journal'!G1955="","",'Journal'!G1955)</f>
        <v/>
      </c>
      <c r="H3908" s="5">
        <f>IF('Journal'!I1955="","",'Journal'!I1955)</f>
        <v/>
      </c>
    </row>
    <row r="3909">
      <c r="A3909" s="18">
        <f>IF('Journal'!A1956="","",'Journal'!A1956)</f>
        <v/>
      </c>
      <c r="B3909" s="21">
        <f>IF('Journal'!B1956="","",'Journal'!B1956)</f>
        <v/>
      </c>
      <c r="C3909" s="5">
        <f>IF('Journal'!C1956="","",'Journal'!C1956)</f>
        <v/>
      </c>
      <c r="D3909" s="5">
        <f>IF('Journal'!D1956="","",IFERROR(LEFT('Journal'!D1956,FIND(" ",'Journal'!D1956)-1),'Journal'!D1956))</f>
        <v/>
      </c>
      <c r="E3909" s="5">
        <f>IF('Journal'!D1956="","",IFERROR(INDEX('Kontoplan'!$B$3:$B$302,MATCH('Journal'!D1956,'Kontoplan'!$H$3:$H$302,0)),""))</f>
        <v/>
      </c>
      <c r="F3909" s="20">
        <f>IF('Journal'!G1956="","",'Journal'!G1956)</f>
        <v/>
      </c>
      <c r="G3909" s="20">
        <f>IF('Journal'!F1956="","",'Journal'!F1956)</f>
        <v/>
      </c>
      <c r="H3909" s="5">
        <f>IF('Journal'!I1956="","",'Journal'!I1956)</f>
        <v/>
      </c>
    </row>
    <row r="3910">
      <c r="A3910" s="18">
        <f>IF('Journal'!A1956="","",'Journal'!A1956)</f>
        <v/>
      </c>
      <c r="B3910" s="21">
        <f>IF('Journal'!B1956="","",'Journal'!B1956)</f>
        <v/>
      </c>
      <c r="C3910" s="5">
        <f>IF('Journal'!C1956="","",'Journal'!C1956)</f>
        <v/>
      </c>
      <c r="D3910" s="5">
        <f>IF('Journal'!E1956="","",IFERROR(LEFT('Journal'!E1956,FIND(" ",'Journal'!E1956)-1),'Journal'!E1956))</f>
        <v/>
      </c>
      <c r="E3910" s="5">
        <f>IF('Journal'!E1956="","",IFERROR(INDEX('Kontoplan'!$B$3:$B$302,MATCH('Journal'!E1956,'Kontoplan'!$H$3:$H$302,0)),""))</f>
        <v/>
      </c>
      <c r="F3910" s="20">
        <f>IF('Journal'!F1956="","",'Journal'!F1956)</f>
        <v/>
      </c>
      <c r="G3910" s="20">
        <f>IF('Journal'!G1956="","",'Journal'!G1956)</f>
        <v/>
      </c>
      <c r="H3910" s="5">
        <f>IF('Journal'!I1956="","",'Journal'!I1956)</f>
        <v/>
      </c>
    </row>
    <row r="3911">
      <c r="A3911" s="18">
        <f>IF('Journal'!A1957="","",'Journal'!A1957)</f>
        <v/>
      </c>
      <c r="B3911" s="21">
        <f>IF('Journal'!B1957="","",'Journal'!B1957)</f>
        <v/>
      </c>
      <c r="C3911" s="5">
        <f>IF('Journal'!C1957="","",'Journal'!C1957)</f>
        <v/>
      </c>
      <c r="D3911" s="5">
        <f>IF('Journal'!D1957="","",IFERROR(LEFT('Journal'!D1957,FIND(" ",'Journal'!D1957)-1),'Journal'!D1957))</f>
        <v/>
      </c>
      <c r="E3911" s="5">
        <f>IF('Journal'!D1957="","",IFERROR(INDEX('Kontoplan'!$B$3:$B$302,MATCH('Journal'!D1957,'Kontoplan'!$H$3:$H$302,0)),""))</f>
        <v/>
      </c>
      <c r="F3911" s="20">
        <f>IF('Journal'!G1957="","",'Journal'!G1957)</f>
        <v/>
      </c>
      <c r="G3911" s="20">
        <f>IF('Journal'!F1957="","",'Journal'!F1957)</f>
        <v/>
      </c>
      <c r="H3911" s="5">
        <f>IF('Journal'!I1957="","",'Journal'!I1957)</f>
        <v/>
      </c>
    </row>
    <row r="3912">
      <c r="A3912" s="18">
        <f>IF('Journal'!A1957="","",'Journal'!A1957)</f>
        <v/>
      </c>
      <c r="B3912" s="21">
        <f>IF('Journal'!B1957="","",'Journal'!B1957)</f>
        <v/>
      </c>
      <c r="C3912" s="5">
        <f>IF('Journal'!C1957="","",'Journal'!C1957)</f>
        <v/>
      </c>
      <c r="D3912" s="5">
        <f>IF('Journal'!E1957="","",IFERROR(LEFT('Journal'!E1957,FIND(" ",'Journal'!E1957)-1),'Journal'!E1957))</f>
        <v/>
      </c>
      <c r="E3912" s="5">
        <f>IF('Journal'!E1957="","",IFERROR(INDEX('Kontoplan'!$B$3:$B$302,MATCH('Journal'!E1957,'Kontoplan'!$H$3:$H$302,0)),""))</f>
        <v/>
      </c>
      <c r="F3912" s="20">
        <f>IF('Journal'!F1957="","",'Journal'!F1957)</f>
        <v/>
      </c>
      <c r="G3912" s="20">
        <f>IF('Journal'!G1957="","",'Journal'!G1957)</f>
        <v/>
      </c>
      <c r="H3912" s="5">
        <f>IF('Journal'!I1957="","",'Journal'!I1957)</f>
        <v/>
      </c>
    </row>
    <row r="3913">
      <c r="A3913" s="18">
        <f>IF('Journal'!A1958="","",'Journal'!A1958)</f>
        <v/>
      </c>
      <c r="B3913" s="21">
        <f>IF('Journal'!B1958="","",'Journal'!B1958)</f>
        <v/>
      </c>
      <c r="C3913" s="5">
        <f>IF('Journal'!C1958="","",'Journal'!C1958)</f>
        <v/>
      </c>
      <c r="D3913" s="5">
        <f>IF('Journal'!D1958="","",IFERROR(LEFT('Journal'!D1958,FIND(" ",'Journal'!D1958)-1),'Journal'!D1958))</f>
        <v/>
      </c>
      <c r="E3913" s="5">
        <f>IF('Journal'!D1958="","",IFERROR(INDEX('Kontoplan'!$B$3:$B$302,MATCH('Journal'!D1958,'Kontoplan'!$H$3:$H$302,0)),""))</f>
        <v/>
      </c>
      <c r="F3913" s="20">
        <f>IF('Journal'!G1958="","",'Journal'!G1958)</f>
        <v/>
      </c>
      <c r="G3913" s="20">
        <f>IF('Journal'!F1958="","",'Journal'!F1958)</f>
        <v/>
      </c>
      <c r="H3913" s="5">
        <f>IF('Journal'!I1958="","",'Journal'!I1958)</f>
        <v/>
      </c>
    </row>
    <row r="3914">
      <c r="A3914" s="18">
        <f>IF('Journal'!A1958="","",'Journal'!A1958)</f>
        <v/>
      </c>
      <c r="B3914" s="21">
        <f>IF('Journal'!B1958="","",'Journal'!B1958)</f>
        <v/>
      </c>
      <c r="C3914" s="5">
        <f>IF('Journal'!C1958="","",'Journal'!C1958)</f>
        <v/>
      </c>
      <c r="D3914" s="5">
        <f>IF('Journal'!E1958="","",IFERROR(LEFT('Journal'!E1958,FIND(" ",'Journal'!E1958)-1),'Journal'!E1958))</f>
        <v/>
      </c>
      <c r="E3914" s="5">
        <f>IF('Journal'!E1958="","",IFERROR(INDEX('Kontoplan'!$B$3:$B$302,MATCH('Journal'!E1958,'Kontoplan'!$H$3:$H$302,0)),""))</f>
        <v/>
      </c>
      <c r="F3914" s="20">
        <f>IF('Journal'!F1958="","",'Journal'!F1958)</f>
        <v/>
      </c>
      <c r="G3914" s="20">
        <f>IF('Journal'!G1958="","",'Journal'!G1958)</f>
        <v/>
      </c>
      <c r="H3914" s="5">
        <f>IF('Journal'!I1958="","",'Journal'!I1958)</f>
        <v/>
      </c>
    </row>
    <row r="3915">
      <c r="A3915" s="18">
        <f>IF('Journal'!A1959="","",'Journal'!A1959)</f>
        <v/>
      </c>
      <c r="B3915" s="21">
        <f>IF('Journal'!B1959="","",'Journal'!B1959)</f>
        <v/>
      </c>
      <c r="C3915" s="5">
        <f>IF('Journal'!C1959="","",'Journal'!C1959)</f>
        <v/>
      </c>
      <c r="D3915" s="5">
        <f>IF('Journal'!D1959="","",IFERROR(LEFT('Journal'!D1959,FIND(" ",'Journal'!D1959)-1),'Journal'!D1959))</f>
        <v/>
      </c>
      <c r="E3915" s="5">
        <f>IF('Journal'!D1959="","",IFERROR(INDEX('Kontoplan'!$B$3:$B$302,MATCH('Journal'!D1959,'Kontoplan'!$H$3:$H$302,0)),""))</f>
        <v/>
      </c>
      <c r="F3915" s="20">
        <f>IF('Journal'!G1959="","",'Journal'!G1959)</f>
        <v/>
      </c>
      <c r="G3915" s="20">
        <f>IF('Journal'!F1959="","",'Journal'!F1959)</f>
        <v/>
      </c>
      <c r="H3915" s="5">
        <f>IF('Journal'!I1959="","",'Journal'!I1959)</f>
        <v/>
      </c>
    </row>
    <row r="3916">
      <c r="A3916" s="18">
        <f>IF('Journal'!A1959="","",'Journal'!A1959)</f>
        <v/>
      </c>
      <c r="B3916" s="21">
        <f>IF('Journal'!B1959="","",'Journal'!B1959)</f>
        <v/>
      </c>
      <c r="C3916" s="5">
        <f>IF('Journal'!C1959="","",'Journal'!C1959)</f>
        <v/>
      </c>
      <c r="D3916" s="5">
        <f>IF('Journal'!E1959="","",IFERROR(LEFT('Journal'!E1959,FIND(" ",'Journal'!E1959)-1),'Journal'!E1959))</f>
        <v/>
      </c>
      <c r="E3916" s="5">
        <f>IF('Journal'!E1959="","",IFERROR(INDEX('Kontoplan'!$B$3:$B$302,MATCH('Journal'!E1959,'Kontoplan'!$H$3:$H$302,0)),""))</f>
        <v/>
      </c>
      <c r="F3916" s="20">
        <f>IF('Journal'!F1959="","",'Journal'!F1959)</f>
        <v/>
      </c>
      <c r="G3916" s="20">
        <f>IF('Journal'!G1959="","",'Journal'!G1959)</f>
        <v/>
      </c>
      <c r="H3916" s="5">
        <f>IF('Journal'!I1959="","",'Journal'!I1959)</f>
        <v/>
      </c>
    </row>
    <row r="3917">
      <c r="A3917" s="18">
        <f>IF('Journal'!A1960="","",'Journal'!A1960)</f>
        <v/>
      </c>
      <c r="B3917" s="21">
        <f>IF('Journal'!B1960="","",'Journal'!B1960)</f>
        <v/>
      </c>
      <c r="C3917" s="5">
        <f>IF('Journal'!C1960="","",'Journal'!C1960)</f>
        <v/>
      </c>
      <c r="D3917" s="5">
        <f>IF('Journal'!D1960="","",IFERROR(LEFT('Journal'!D1960,FIND(" ",'Journal'!D1960)-1),'Journal'!D1960))</f>
        <v/>
      </c>
      <c r="E3917" s="5">
        <f>IF('Journal'!D1960="","",IFERROR(INDEX('Kontoplan'!$B$3:$B$302,MATCH('Journal'!D1960,'Kontoplan'!$H$3:$H$302,0)),""))</f>
        <v/>
      </c>
      <c r="F3917" s="20">
        <f>IF('Journal'!G1960="","",'Journal'!G1960)</f>
        <v/>
      </c>
      <c r="G3917" s="20">
        <f>IF('Journal'!F1960="","",'Journal'!F1960)</f>
        <v/>
      </c>
      <c r="H3917" s="5">
        <f>IF('Journal'!I1960="","",'Journal'!I1960)</f>
        <v/>
      </c>
    </row>
    <row r="3918">
      <c r="A3918" s="18">
        <f>IF('Journal'!A1960="","",'Journal'!A1960)</f>
        <v/>
      </c>
      <c r="B3918" s="21">
        <f>IF('Journal'!B1960="","",'Journal'!B1960)</f>
        <v/>
      </c>
      <c r="C3918" s="5">
        <f>IF('Journal'!C1960="","",'Journal'!C1960)</f>
        <v/>
      </c>
      <c r="D3918" s="5">
        <f>IF('Journal'!E1960="","",IFERROR(LEFT('Journal'!E1960,FIND(" ",'Journal'!E1960)-1),'Journal'!E1960))</f>
        <v/>
      </c>
      <c r="E3918" s="5">
        <f>IF('Journal'!E1960="","",IFERROR(INDEX('Kontoplan'!$B$3:$B$302,MATCH('Journal'!E1960,'Kontoplan'!$H$3:$H$302,0)),""))</f>
        <v/>
      </c>
      <c r="F3918" s="20">
        <f>IF('Journal'!F1960="","",'Journal'!F1960)</f>
        <v/>
      </c>
      <c r="G3918" s="20">
        <f>IF('Journal'!G1960="","",'Journal'!G1960)</f>
        <v/>
      </c>
      <c r="H3918" s="5">
        <f>IF('Journal'!I1960="","",'Journal'!I1960)</f>
        <v/>
      </c>
    </row>
    <row r="3919">
      <c r="A3919" s="18">
        <f>IF('Journal'!A1961="","",'Journal'!A1961)</f>
        <v/>
      </c>
      <c r="B3919" s="21">
        <f>IF('Journal'!B1961="","",'Journal'!B1961)</f>
        <v/>
      </c>
      <c r="C3919" s="5">
        <f>IF('Journal'!C1961="","",'Journal'!C1961)</f>
        <v/>
      </c>
      <c r="D3919" s="5">
        <f>IF('Journal'!D1961="","",IFERROR(LEFT('Journal'!D1961,FIND(" ",'Journal'!D1961)-1),'Journal'!D1961))</f>
        <v/>
      </c>
      <c r="E3919" s="5">
        <f>IF('Journal'!D1961="","",IFERROR(INDEX('Kontoplan'!$B$3:$B$302,MATCH('Journal'!D1961,'Kontoplan'!$H$3:$H$302,0)),""))</f>
        <v/>
      </c>
      <c r="F3919" s="20">
        <f>IF('Journal'!G1961="","",'Journal'!G1961)</f>
        <v/>
      </c>
      <c r="G3919" s="20">
        <f>IF('Journal'!F1961="","",'Journal'!F1961)</f>
        <v/>
      </c>
      <c r="H3919" s="5">
        <f>IF('Journal'!I1961="","",'Journal'!I1961)</f>
        <v/>
      </c>
    </row>
    <row r="3920">
      <c r="A3920" s="18">
        <f>IF('Journal'!A1961="","",'Journal'!A1961)</f>
        <v/>
      </c>
      <c r="B3920" s="21">
        <f>IF('Journal'!B1961="","",'Journal'!B1961)</f>
        <v/>
      </c>
      <c r="C3920" s="5">
        <f>IF('Journal'!C1961="","",'Journal'!C1961)</f>
        <v/>
      </c>
      <c r="D3920" s="5">
        <f>IF('Journal'!E1961="","",IFERROR(LEFT('Journal'!E1961,FIND(" ",'Journal'!E1961)-1),'Journal'!E1961))</f>
        <v/>
      </c>
      <c r="E3920" s="5">
        <f>IF('Journal'!E1961="","",IFERROR(INDEX('Kontoplan'!$B$3:$B$302,MATCH('Journal'!E1961,'Kontoplan'!$H$3:$H$302,0)),""))</f>
        <v/>
      </c>
      <c r="F3920" s="20">
        <f>IF('Journal'!F1961="","",'Journal'!F1961)</f>
        <v/>
      </c>
      <c r="G3920" s="20">
        <f>IF('Journal'!G1961="","",'Journal'!G1961)</f>
        <v/>
      </c>
      <c r="H3920" s="5">
        <f>IF('Journal'!I1961="","",'Journal'!I1961)</f>
        <v/>
      </c>
    </row>
    <row r="3921">
      <c r="A3921" s="18">
        <f>IF('Journal'!A1962="","",'Journal'!A1962)</f>
        <v/>
      </c>
      <c r="B3921" s="21">
        <f>IF('Journal'!B1962="","",'Journal'!B1962)</f>
        <v/>
      </c>
      <c r="C3921" s="5">
        <f>IF('Journal'!C1962="","",'Journal'!C1962)</f>
        <v/>
      </c>
      <c r="D3921" s="5">
        <f>IF('Journal'!D1962="","",IFERROR(LEFT('Journal'!D1962,FIND(" ",'Journal'!D1962)-1),'Journal'!D1962))</f>
        <v/>
      </c>
      <c r="E3921" s="5">
        <f>IF('Journal'!D1962="","",IFERROR(INDEX('Kontoplan'!$B$3:$B$302,MATCH('Journal'!D1962,'Kontoplan'!$H$3:$H$302,0)),""))</f>
        <v/>
      </c>
      <c r="F3921" s="20">
        <f>IF('Journal'!G1962="","",'Journal'!G1962)</f>
        <v/>
      </c>
      <c r="G3921" s="20">
        <f>IF('Journal'!F1962="","",'Journal'!F1962)</f>
        <v/>
      </c>
      <c r="H3921" s="5">
        <f>IF('Journal'!I1962="","",'Journal'!I1962)</f>
        <v/>
      </c>
    </row>
    <row r="3922">
      <c r="A3922" s="18">
        <f>IF('Journal'!A1962="","",'Journal'!A1962)</f>
        <v/>
      </c>
      <c r="B3922" s="21">
        <f>IF('Journal'!B1962="","",'Journal'!B1962)</f>
        <v/>
      </c>
      <c r="C3922" s="5">
        <f>IF('Journal'!C1962="","",'Journal'!C1962)</f>
        <v/>
      </c>
      <c r="D3922" s="5">
        <f>IF('Journal'!E1962="","",IFERROR(LEFT('Journal'!E1962,FIND(" ",'Journal'!E1962)-1),'Journal'!E1962))</f>
        <v/>
      </c>
      <c r="E3922" s="5">
        <f>IF('Journal'!E1962="","",IFERROR(INDEX('Kontoplan'!$B$3:$B$302,MATCH('Journal'!E1962,'Kontoplan'!$H$3:$H$302,0)),""))</f>
        <v/>
      </c>
      <c r="F3922" s="20">
        <f>IF('Journal'!F1962="","",'Journal'!F1962)</f>
        <v/>
      </c>
      <c r="G3922" s="20">
        <f>IF('Journal'!G1962="","",'Journal'!G1962)</f>
        <v/>
      </c>
      <c r="H3922" s="5">
        <f>IF('Journal'!I1962="","",'Journal'!I1962)</f>
        <v/>
      </c>
    </row>
    <row r="3923">
      <c r="A3923" s="18">
        <f>IF('Journal'!A1963="","",'Journal'!A1963)</f>
        <v/>
      </c>
      <c r="B3923" s="21">
        <f>IF('Journal'!B1963="","",'Journal'!B1963)</f>
        <v/>
      </c>
      <c r="C3923" s="5">
        <f>IF('Journal'!C1963="","",'Journal'!C1963)</f>
        <v/>
      </c>
      <c r="D3923" s="5">
        <f>IF('Journal'!D1963="","",IFERROR(LEFT('Journal'!D1963,FIND(" ",'Journal'!D1963)-1),'Journal'!D1963))</f>
        <v/>
      </c>
      <c r="E3923" s="5">
        <f>IF('Journal'!D1963="","",IFERROR(INDEX('Kontoplan'!$B$3:$B$302,MATCH('Journal'!D1963,'Kontoplan'!$H$3:$H$302,0)),""))</f>
        <v/>
      </c>
      <c r="F3923" s="20">
        <f>IF('Journal'!G1963="","",'Journal'!G1963)</f>
        <v/>
      </c>
      <c r="G3923" s="20">
        <f>IF('Journal'!F1963="","",'Journal'!F1963)</f>
        <v/>
      </c>
      <c r="H3923" s="5">
        <f>IF('Journal'!I1963="","",'Journal'!I1963)</f>
        <v/>
      </c>
    </row>
    <row r="3924">
      <c r="A3924" s="18">
        <f>IF('Journal'!A1963="","",'Journal'!A1963)</f>
        <v/>
      </c>
      <c r="B3924" s="21">
        <f>IF('Journal'!B1963="","",'Journal'!B1963)</f>
        <v/>
      </c>
      <c r="C3924" s="5">
        <f>IF('Journal'!C1963="","",'Journal'!C1963)</f>
        <v/>
      </c>
      <c r="D3924" s="5">
        <f>IF('Journal'!E1963="","",IFERROR(LEFT('Journal'!E1963,FIND(" ",'Journal'!E1963)-1),'Journal'!E1963))</f>
        <v/>
      </c>
      <c r="E3924" s="5">
        <f>IF('Journal'!E1963="","",IFERROR(INDEX('Kontoplan'!$B$3:$B$302,MATCH('Journal'!E1963,'Kontoplan'!$H$3:$H$302,0)),""))</f>
        <v/>
      </c>
      <c r="F3924" s="20">
        <f>IF('Journal'!F1963="","",'Journal'!F1963)</f>
        <v/>
      </c>
      <c r="G3924" s="20">
        <f>IF('Journal'!G1963="","",'Journal'!G1963)</f>
        <v/>
      </c>
      <c r="H3924" s="5">
        <f>IF('Journal'!I1963="","",'Journal'!I1963)</f>
        <v/>
      </c>
    </row>
    <row r="3925">
      <c r="A3925" s="18">
        <f>IF('Journal'!A1964="","",'Journal'!A1964)</f>
        <v/>
      </c>
      <c r="B3925" s="21">
        <f>IF('Journal'!B1964="","",'Journal'!B1964)</f>
        <v/>
      </c>
      <c r="C3925" s="5">
        <f>IF('Journal'!C1964="","",'Journal'!C1964)</f>
        <v/>
      </c>
      <c r="D3925" s="5">
        <f>IF('Journal'!D1964="","",IFERROR(LEFT('Journal'!D1964,FIND(" ",'Journal'!D1964)-1),'Journal'!D1964))</f>
        <v/>
      </c>
      <c r="E3925" s="5">
        <f>IF('Journal'!D1964="","",IFERROR(INDEX('Kontoplan'!$B$3:$B$302,MATCH('Journal'!D1964,'Kontoplan'!$H$3:$H$302,0)),""))</f>
        <v/>
      </c>
      <c r="F3925" s="20">
        <f>IF('Journal'!G1964="","",'Journal'!G1964)</f>
        <v/>
      </c>
      <c r="G3925" s="20">
        <f>IF('Journal'!F1964="","",'Journal'!F1964)</f>
        <v/>
      </c>
      <c r="H3925" s="5">
        <f>IF('Journal'!I1964="","",'Journal'!I1964)</f>
        <v/>
      </c>
    </row>
    <row r="3926">
      <c r="A3926" s="18">
        <f>IF('Journal'!A1964="","",'Journal'!A1964)</f>
        <v/>
      </c>
      <c r="B3926" s="21">
        <f>IF('Journal'!B1964="","",'Journal'!B1964)</f>
        <v/>
      </c>
      <c r="C3926" s="5">
        <f>IF('Journal'!C1964="","",'Journal'!C1964)</f>
        <v/>
      </c>
      <c r="D3926" s="5">
        <f>IF('Journal'!E1964="","",IFERROR(LEFT('Journal'!E1964,FIND(" ",'Journal'!E1964)-1),'Journal'!E1964))</f>
        <v/>
      </c>
      <c r="E3926" s="5">
        <f>IF('Journal'!E1964="","",IFERROR(INDEX('Kontoplan'!$B$3:$B$302,MATCH('Journal'!E1964,'Kontoplan'!$H$3:$H$302,0)),""))</f>
        <v/>
      </c>
      <c r="F3926" s="20">
        <f>IF('Journal'!F1964="","",'Journal'!F1964)</f>
        <v/>
      </c>
      <c r="G3926" s="20">
        <f>IF('Journal'!G1964="","",'Journal'!G1964)</f>
        <v/>
      </c>
      <c r="H3926" s="5">
        <f>IF('Journal'!I1964="","",'Journal'!I1964)</f>
        <v/>
      </c>
    </row>
    <row r="3927">
      <c r="A3927" s="18">
        <f>IF('Journal'!A1965="","",'Journal'!A1965)</f>
        <v/>
      </c>
      <c r="B3927" s="21">
        <f>IF('Journal'!B1965="","",'Journal'!B1965)</f>
        <v/>
      </c>
      <c r="C3927" s="5">
        <f>IF('Journal'!C1965="","",'Journal'!C1965)</f>
        <v/>
      </c>
      <c r="D3927" s="5">
        <f>IF('Journal'!D1965="","",IFERROR(LEFT('Journal'!D1965,FIND(" ",'Journal'!D1965)-1),'Journal'!D1965))</f>
        <v/>
      </c>
      <c r="E3927" s="5">
        <f>IF('Journal'!D1965="","",IFERROR(INDEX('Kontoplan'!$B$3:$B$302,MATCH('Journal'!D1965,'Kontoplan'!$H$3:$H$302,0)),""))</f>
        <v/>
      </c>
      <c r="F3927" s="20">
        <f>IF('Journal'!G1965="","",'Journal'!G1965)</f>
        <v/>
      </c>
      <c r="G3927" s="20">
        <f>IF('Journal'!F1965="","",'Journal'!F1965)</f>
        <v/>
      </c>
      <c r="H3927" s="5">
        <f>IF('Journal'!I1965="","",'Journal'!I1965)</f>
        <v/>
      </c>
    </row>
    <row r="3928">
      <c r="A3928" s="18">
        <f>IF('Journal'!A1965="","",'Journal'!A1965)</f>
        <v/>
      </c>
      <c r="B3928" s="21">
        <f>IF('Journal'!B1965="","",'Journal'!B1965)</f>
        <v/>
      </c>
      <c r="C3928" s="5">
        <f>IF('Journal'!C1965="","",'Journal'!C1965)</f>
        <v/>
      </c>
      <c r="D3928" s="5">
        <f>IF('Journal'!E1965="","",IFERROR(LEFT('Journal'!E1965,FIND(" ",'Journal'!E1965)-1),'Journal'!E1965))</f>
        <v/>
      </c>
      <c r="E3928" s="5">
        <f>IF('Journal'!E1965="","",IFERROR(INDEX('Kontoplan'!$B$3:$B$302,MATCH('Journal'!E1965,'Kontoplan'!$H$3:$H$302,0)),""))</f>
        <v/>
      </c>
      <c r="F3928" s="20">
        <f>IF('Journal'!F1965="","",'Journal'!F1965)</f>
        <v/>
      </c>
      <c r="G3928" s="20">
        <f>IF('Journal'!G1965="","",'Journal'!G1965)</f>
        <v/>
      </c>
      <c r="H3928" s="5">
        <f>IF('Journal'!I1965="","",'Journal'!I1965)</f>
        <v/>
      </c>
    </row>
    <row r="3929">
      <c r="A3929" s="18">
        <f>IF('Journal'!A1966="","",'Journal'!A1966)</f>
        <v/>
      </c>
      <c r="B3929" s="21">
        <f>IF('Journal'!B1966="","",'Journal'!B1966)</f>
        <v/>
      </c>
      <c r="C3929" s="5">
        <f>IF('Journal'!C1966="","",'Journal'!C1966)</f>
        <v/>
      </c>
      <c r="D3929" s="5">
        <f>IF('Journal'!D1966="","",IFERROR(LEFT('Journal'!D1966,FIND(" ",'Journal'!D1966)-1),'Journal'!D1966))</f>
        <v/>
      </c>
      <c r="E3929" s="5">
        <f>IF('Journal'!D1966="","",IFERROR(INDEX('Kontoplan'!$B$3:$B$302,MATCH('Journal'!D1966,'Kontoplan'!$H$3:$H$302,0)),""))</f>
        <v/>
      </c>
      <c r="F3929" s="20">
        <f>IF('Journal'!G1966="","",'Journal'!G1966)</f>
        <v/>
      </c>
      <c r="G3929" s="20">
        <f>IF('Journal'!F1966="","",'Journal'!F1966)</f>
        <v/>
      </c>
      <c r="H3929" s="5">
        <f>IF('Journal'!I1966="","",'Journal'!I1966)</f>
        <v/>
      </c>
    </row>
    <row r="3930">
      <c r="A3930" s="18">
        <f>IF('Journal'!A1966="","",'Journal'!A1966)</f>
        <v/>
      </c>
      <c r="B3930" s="21">
        <f>IF('Journal'!B1966="","",'Journal'!B1966)</f>
        <v/>
      </c>
      <c r="C3930" s="5">
        <f>IF('Journal'!C1966="","",'Journal'!C1966)</f>
        <v/>
      </c>
      <c r="D3930" s="5">
        <f>IF('Journal'!E1966="","",IFERROR(LEFT('Journal'!E1966,FIND(" ",'Journal'!E1966)-1),'Journal'!E1966))</f>
        <v/>
      </c>
      <c r="E3930" s="5">
        <f>IF('Journal'!E1966="","",IFERROR(INDEX('Kontoplan'!$B$3:$B$302,MATCH('Journal'!E1966,'Kontoplan'!$H$3:$H$302,0)),""))</f>
        <v/>
      </c>
      <c r="F3930" s="20">
        <f>IF('Journal'!F1966="","",'Journal'!F1966)</f>
        <v/>
      </c>
      <c r="G3930" s="20">
        <f>IF('Journal'!G1966="","",'Journal'!G1966)</f>
        <v/>
      </c>
      <c r="H3930" s="5">
        <f>IF('Journal'!I1966="","",'Journal'!I1966)</f>
        <v/>
      </c>
    </row>
    <row r="3931">
      <c r="A3931" s="18">
        <f>IF('Journal'!A1967="","",'Journal'!A1967)</f>
        <v/>
      </c>
      <c r="B3931" s="21">
        <f>IF('Journal'!B1967="","",'Journal'!B1967)</f>
        <v/>
      </c>
      <c r="C3931" s="5">
        <f>IF('Journal'!C1967="","",'Journal'!C1967)</f>
        <v/>
      </c>
      <c r="D3931" s="5">
        <f>IF('Journal'!D1967="","",IFERROR(LEFT('Journal'!D1967,FIND(" ",'Journal'!D1967)-1),'Journal'!D1967))</f>
        <v/>
      </c>
      <c r="E3931" s="5">
        <f>IF('Journal'!D1967="","",IFERROR(INDEX('Kontoplan'!$B$3:$B$302,MATCH('Journal'!D1967,'Kontoplan'!$H$3:$H$302,0)),""))</f>
        <v/>
      </c>
      <c r="F3931" s="20">
        <f>IF('Journal'!G1967="","",'Journal'!G1967)</f>
        <v/>
      </c>
      <c r="G3931" s="20">
        <f>IF('Journal'!F1967="","",'Journal'!F1967)</f>
        <v/>
      </c>
      <c r="H3931" s="5">
        <f>IF('Journal'!I1967="","",'Journal'!I1967)</f>
        <v/>
      </c>
    </row>
    <row r="3932">
      <c r="A3932" s="18">
        <f>IF('Journal'!A1967="","",'Journal'!A1967)</f>
        <v/>
      </c>
      <c r="B3932" s="21">
        <f>IF('Journal'!B1967="","",'Journal'!B1967)</f>
        <v/>
      </c>
      <c r="C3932" s="5">
        <f>IF('Journal'!C1967="","",'Journal'!C1967)</f>
        <v/>
      </c>
      <c r="D3932" s="5">
        <f>IF('Journal'!E1967="","",IFERROR(LEFT('Journal'!E1967,FIND(" ",'Journal'!E1967)-1),'Journal'!E1967))</f>
        <v/>
      </c>
      <c r="E3932" s="5">
        <f>IF('Journal'!E1967="","",IFERROR(INDEX('Kontoplan'!$B$3:$B$302,MATCH('Journal'!E1967,'Kontoplan'!$H$3:$H$302,0)),""))</f>
        <v/>
      </c>
      <c r="F3932" s="20">
        <f>IF('Journal'!F1967="","",'Journal'!F1967)</f>
        <v/>
      </c>
      <c r="G3932" s="20">
        <f>IF('Journal'!G1967="","",'Journal'!G1967)</f>
        <v/>
      </c>
      <c r="H3932" s="5">
        <f>IF('Journal'!I1967="","",'Journal'!I1967)</f>
        <v/>
      </c>
    </row>
    <row r="3933">
      <c r="A3933" s="18">
        <f>IF('Journal'!A1968="","",'Journal'!A1968)</f>
        <v/>
      </c>
      <c r="B3933" s="21">
        <f>IF('Journal'!B1968="","",'Journal'!B1968)</f>
        <v/>
      </c>
      <c r="C3933" s="5">
        <f>IF('Journal'!C1968="","",'Journal'!C1968)</f>
        <v/>
      </c>
      <c r="D3933" s="5">
        <f>IF('Journal'!D1968="","",IFERROR(LEFT('Journal'!D1968,FIND(" ",'Journal'!D1968)-1),'Journal'!D1968))</f>
        <v/>
      </c>
      <c r="E3933" s="5">
        <f>IF('Journal'!D1968="","",IFERROR(INDEX('Kontoplan'!$B$3:$B$302,MATCH('Journal'!D1968,'Kontoplan'!$H$3:$H$302,0)),""))</f>
        <v/>
      </c>
      <c r="F3933" s="20">
        <f>IF('Journal'!G1968="","",'Journal'!G1968)</f>
        <v/>
      </c>
      <c r="G3933" s="20">
        <f>IF('Journal'!F1968="","",'Journal'!F1968)</f>
        <v/>
      </c>
      <c r="H3933" s="5">
        <f>IF('Journal'!I1968="","",'Journal'!I1968)</f>
        <v/>
      </c>
    </row>
    <row r="3934">
      <c r="A3934" s="18">
        <f>IF('Journal'!A1968="","",'Journal'!A1968)</f>
        <v/>
      </c>
      <c r="B3934" s="21">
        <f>IF('Journal'!B1968="","",'Journal'!B1968)</f>
        <v/>
      </c>
      <c r="C3934" s="5">
        <f>IF('Journal'!C1968="","",'Journal'!C1968)</f>
        <v/>
      </c>
      <c r="D3934" s="5">
        <f>IF('Journal'!E1968="","",IFERROR(LEFT('Journal'!E1968,FIND(" ",'Journal'!E1968)-1),'Journal'!E1968))</f>
        <v/>
      </c>
      <c r="E3934" s="5">
        <f>IF('Journal'!E1968="","",IFERROR(INDEX('Kontoplan'!$B$3:$B$302,MATCH('Journal'!E1968,'Kontoplan'!$H$3:$H$302,0)),""))</f>
        <v/>
      </c>
      <c r="F3934" s="20">
        <f>IF('Journal'!F1968="","",'Journal'!F1968)</f>
        <v/>
      </c>
      <c r="G3934" s="20">
        <f>IF('Journal'!G1968="","",'Journal'!G1968)</f>
        <v/>
      </c>
      <c r="H3934" s="5">
        <f>IF('Journal'!I1968="","",'Journal'!I1968)</f>
        <v/>
      </c>
    </row>
    <row r="3935">
      <c r="A3935" s="18">
        <f>IF('Journal'!A1969="","",'Journal'!A1969)</f>
        <v/>
      </c>
      <c r="B3935" s="21">
        <f>IF('Journal'!B1969="","",'Journal'!B1969)</f>
        <v/>
      </c>
      <c r="C3935" s="5">
        <f>IF('Journal'!C1969="","",'Journal'!C1969)</f>
        <v/>
      </c>
      <c r="D3935" s="5">
        <f>IF('Journal'!D1969="","",IFERROR(LEFT('Journal'!D1969,FIND(" ",'Journal'!D1969)-1),'Journal'!D1969))</f>
        <v/>
      </c>
      <c r="E3935" s="5">
        <f>IF('Journal'!D1969="","",IFERROR(INDEX('Kontoplan'!$B$3:$B$302,MATCH('Journal'!D1969,'Kontoplan'!$H$3:$H$302,0)),""))</f>
        <v/>
      </c>
      <c r="F3935" s="20">
        <f>IF('Journal'!G1969="","",'Journal'!G1969)</f>
        <v/>
      </c>
      <c r="G3935" s="20">
        <f>IF('Journal'!F1969="","",'Journal'!F1969)</f>
        <v/>
      </c>
      <c r="H3935" s="5">
        <f>IF('Journal'!I1969="","",'Journal'!I1969)</f>
        <v/>
      </c>
    </row>
    <row r="3936">
      <c r="A3936" s="18">
        <f>IF('Journal'!A1969="","",'Journal'!A1969)</f>
        <v/>
      </c>
      <c r="B3936" s="21">
        <f>IF('Journal'!B1969="","",'Journal'!B1969)</f>
        <v/>
      </c>
      <c r="C3936" s="5">
        <f>IF('Journal'!C1969="","",'Journal'!C1969)</f>
        <v/>
      </c>
      <c r="D3936" s="5">
        <f>IF('Journal'!E1969="","",IFERROR(LEFT('Journal'!E1969,FIND(" ",'Journal'!E1969)-1),'Journal'!E1969))</f>
        <v/>
      </c>
      <c r="E3936" s="5">
        <f>IF('Journal'!E1969="","",IFERROR(INDEX('Kontoplan'!$B$3:$B$302,MATCH('Journal'!E1969,'Kontoplan'!$H$3:$H$302,0)),""))</f>
        <v/>
      </c>
      <c r="F3936" s="20">
        <f>IF('Journal'!F1969="","",'Journal'!F1969)</f>
        <v/>
      </c>
      <c r="G3936" s="20">
        <f>IF('Journal'!G1969="","",'Journal'!G1969)</f>
        <v/>
      </c>
      <c r="H3936" s="5">
        <f>IF('Journal'!I1969="","",'Journal'!I1969)</f>
        <v/>
      </c>
    </row>
    <row r="3937">
      <c r="A3937" s="18">
        <f>IF('Journal'!A1970="","",'Journal'!A1970)</f>
        <v/>
      </c>
      <c r="B3937" s="21">
        <f>IF('Journal'!B1970="","",'Journal'!B1970)</f>
        <v/>
      </c>
      <c r="C3937" s="5">
        <f>IF('Journal'!C1970="","",'Journal'!C1970)</f>
        <v/>
      </c>
      <c r="D3937" s="5">
        <f>IF('Journal'!D1970="","",IFERROR(LEFT('Journal'!D1970,FIND(" ",'Journal'!D1970)-1),'Journal'!D1970))</f>
        <v/>
      </c>
      <c r="E3937" s="5">
        <f>IF('Journal'!D1970="","",IFERROR(INDEX('Kontoplan'!$B$3:$B$302,MATCH('Journal'!D1970,'Kontoplan'!$H$3:$H$302,0)),""))</f>
        <v/>
      </c>
      <c r="F3937" s="20">
        <f>IF('Journal'!G1970="","",'Journal'!G1970)</f>
        <v/>
      </c>
      <c r="G3937" s="20">
        <f>IF('Journal'!F1970="","",'Journal'!F1970)</f>
        <v/>
      </c>
      <c r="H3937" s="5">
        <f>IF('Journal'!I1970="","",'Journal'!I1970)</f>
        <v/>
      </c>
    </row>
    <row r="3938">
      <c r="A3938" s="18">
        <f>IF('Journal'!A1970="","",'Journal'!A1970)</f>
        <v/>
      </c>
      <c r="B3938" s="21">
        <f>IF('Journal'!B1970="","",'Journal'!B1970)</f>
        <v/>
      </c>
      <c r="C3938" s="5">
        <f>IF('Journal'!C1970="","",'Journal'!C1970)</f>
        <v/>
      </c>
      <c r="D3938" s="5">
        <f>IF('Journal'!E1970="","",IFERROR(LEFT('Journal'!E1970,FIND(" ",'Journal'!E1970)-1),'Journal'!E1970))</f>
        <v/>
      </c>
      <c r="E3938" s="5">
        <f>IF('Journal'!E1970="","",IFERROR(INDEX('Kontoplan'!$B$3:$B$302,MATCH('Journal'!E1970,'Kontoplan'!$H$3:$H$302,0)),""))</f>
        <v/>
      </c>
      <c r="F3938" s="20">
        <f>IF('Journal'!F1970="","",'Journal'!F1970)</f>
        <v/>
      </c>
      <c r="G3938" s="20">
        <f>IF('Journal'!G1970="","",'Journal'!G1970)</f>
        <v/>
      </c>
      <c r="H3938" s="5">
        <f>IF('Journal'!I1970="","",'Journal'!I1970)</f>
        <v/>
      </c>
    </row>
    <row r="3939">
      <c r="A3939" s="18">
        <f>IF('Journal'!A1971="","",'Journal'!A1971)</f>
        <v/>
      </c>
      <c r="B3939" s="21">
        <f>IF('Journal'!B1971="","",'Journal'!B1971)</f>
        <v/>
      </c>
      <c r="C3939" s="5">
        <f>IF('Journal'!C1971="","",'Journal'!C1971)</f>
        <v/>
      </c>
      <c r="D3939" s="5">
        <f>IF('Journal'!D1971="","",IFERROR(LEFT('Journal'!D1971,FIND(" ",'Journal'!D1971)-1),'Journal'!D1971))</f>
        <v/>
      </c>
      <c r="E3939" s="5">
        <f>IF('Journal'!D1971="","",IFERROR(INDEX('Kontoplan'!$B$3:$B$302,MATCH('Journal'!D1971,'Kontoplan'!$H$3:$H$302,0)),""))</f>
        <v/>
      </c>
      <c r="F3939" s="20">
        <f>IF('Journal'!G1971="","",'Journal'!G1971)</f>
        <v/>
      </c>
      <c r="G3939" s="20">
        <f>IF('Journal'!F1971="","",'Journal'!F1971)</f>
        <v/>
      </c>
      <c r="H3939" s="5">
        <f>IF('Journal'!I1971="","",'Journal'!I1971)</f>
        <v/>
      </c>
    </row>
    <row r="3940">
      <c r="A3940" s="18">
        <f>IF('Journal'!A1971="","",'Journal'!A1971)</f>
        <v/>
      </c>
      <c r="B3940" s="21">
        <f>IF('Journal'!B1971="","",'Journal'!B1971)</f>
        <v/>
      </c>
      <c r="C3940" s="5">
        <f>IF('Journal'!C1971="","",'Journal'!C1971)</f>
        <v/>
      </c>
      <c r="D3940" s="5">
        <f>IF('Journal'!E1971="","",IFERROR(LEFT('Journal'!E1971,FIND(" ",'Journal'!E1971)-1),'Journal'!E1971))</f>
        <v/>
      </c>
      <c r="E3940" s="5">
        <f>IF('Journal'!E1971="","",IFERROR(INDEX('Kontoplan'!$B$3:$B$302,MATCH('Journal'!E1971,'Kontoplan'!$H$3:$H$302,0)),""))</f>
        <v/>
      </c>
      <c r="F3940" s="20">
        <f>IF('Journal'!F1971="","",'Journal'!F1971)</f>
        <v/>
      </c>
      <c r="G3940" s="20">
        <f>IF('Journal'!G1971="","",'Journal'!G1971)</f>
        <v/>
      </c>
      <c r="H3940" s="5">
        <f>IF('Journal'!I1971="","",'Journal'!I1971)</f>
        <v/>
      </c>
    </row>
    <row r="3941">
      <c r="A3941" s="18">
        <f>IF('Journal'!A1972="","",'Journal'!A1972)</f>
        <v/>
      </c>
      <c r="B3941" s="21">
        <f>IF('Journal'!B1972="","",'Journal'!B1972)</f>
        <v/>
      </c>
      <c r="C3941" s="5">
        <f>IF('Journal'!C1972="","",'Journal'!C1972)</f>
        <v/>
      </c>
      <c r="D3941" s="5">
        <f>IF('Journal'!D1972="","",IFERROR(LEFT('Journal'!D1972,FIND(" ",'Journal'!D1972)-1),'Journal'!D1972))</f>
        <v/>
      </c>
      <c r="E3941" s="5">
        <f>IF('Journal'!D1972="","",IFERROR(INDEX('Kontoplan'!$B$3:$B$302,MATCH('Journal'!D1972,'Kontoplan'!$H$3:$H$302,0)),""))</f>
        <v/>
      </c>
      <c r="F3941" s="20">
        <f>IF('Journal'!G1972="","",'Journal'!G1972)</f>
        <v/>
      </c>
      <c r="G3941" s="20">
        <f>IF('Journal'!F1972="","",'Journal'!F1972)</f>
        <v/>
      </c>
      <c r="H3941" s="5">
        <f>IF('Journal'!I1972="","",'Journal'!I1972)</f>
        <v/>
      </c>
    </row>
    <row r="3942">
      <c r="A3942" s="18">
        <f>IF('Journal'!A1972="","",'Journal'!A1972)</f>
        <v/>
      </c>
      <c r="B3942" s="21">
        <f>IF('Journal'!B1972="","",'Journal'!B1972)</f>
        <v/>
      </c>
      <c r="C3942" s="5">
        <f>IF('Journal'!C1972="","",'Journal'!C1972)</f>
        <v/>
      </c>
      <c r="D3942" s="5">
        <f>IF('Journal'!E1972="","",IFERROR(LEFT('Journal'!E1972,FIND(" ",'Journal'!E1972)-1),'Journal'!E1972))</f>
        <v/>
      </c>
      <c r="E3942" s="5">
        <f>IF('Journal'!E1972="","",IFERROR(INDEX('Kontoplan'!$B$3:$B$302,MATCH('Journal'!E1972,'Kontoplan'!$H$3:$H$302,0)),""))</f>
        <v/>
      </c>
      <c r="F3942" s="20">
        <f>IF('Journal'!F1972="","",'Journal'!F1972)</f>
        <v/>
      </c>
      <c r="G3942" s="20">
        <f>IF('Journal'!G1972="","",'Journal'!G1972)</f>
        <v/>
      </c>
      <c r="H3942" s="5">
        <f>IF('Journal'!I1972="","",'Journal'!I1972)</f>
        <v/>
      </c>
    </row>
    <row r="3943">
      <c r="A3943" s="18">
        <f>IF('Journal'!A1973="","",'Journal'!A1973)</f>
        <v/>
      </c>
      <c r="B3943" s="21">
        <f>IF('Journal'!B1973="","",'Journal'!B1973)</f>
        <v/>
      </c>
      <c r="C3943" s="5">
        <f>IF('Journal'!C1973="","",'Journal'!C1973)</f>
        <v/>
      </c>
      <c r="D3943" s="5">
        <f>IF('Journal'!D1973="","",IFERROR(LEFT('Journal'!D1973,FIND(" ",'Journal'!D1973)-1),'Journal'!D1973))</f>
        <v/>
      </c>
      <c r="E3943" s="5">
        <f>IF('Journal'!D1973="","",IFERROR(INDEX('Kontoplan'!$B$3:$B$302,MATCH('Journal'!D1973,'Kontoplan'!$H$3:$H$302,0)),""))</f>
        <v/>
      </c>
      <c r="F3943" s="20">
        <f>IF('Journal'!G1973="","",'Journal'!G1973)</f>
        <v/>
      </c>
      <c r="G3943" s="20">
        <f>IF('Journal'!F1973="","",'Journal'!F1973)</f>
        <v/>
      </c>
      <c r="H3943" s="5">
        <f>IF('Journal'!I1973="","",'Journal'!I1973)</f>
        <v/>
      </c>
    </row>
    <row r="3944">
      <c r="A3944" s="18">
        <f>IF('Journal'!A1973="","",'Journal'!A1973)</f>
        <v/>
      </c>
      <c r="B3944" s="21">
        <f>IF('Journal'!B1973="","",'Journal'!B1973)</f>
        <v/>
      </c>
      <c r="C3944" s="5">
        <f>IF('Journal'!C1973="","",'Journal'!C1973)</f>
        <v/>
      </c>
      <c r="D3944" s="5">
        <f>IF('Journal'!E1973="","",IFERROR(LEFT('Journal'!E1973,FIND(" ",'Journal'!E1973)-1),'Journal'!E1973))</f>
        <v/>
      </c>
      <c r="E3944" s="5">
        <f>IF('Journal'!E1973="","",IFERROR(INDEX('Kontoplan'!$B$3:$B$302,MATCH('Journal'!E1973,'Kontoplan'!$H$3:$H$302,0)),""))</f>
        <v/>
      </c>
      <c r="F3944" s="20">
        <f>IF('Journal'!F1973="","",'Journal'!F1973)</f>
        <v/>
      </c>
      <c r="G3944" s="20">
        <f>IF('Journal'!G1973="","",'Journal'!G1973)</f>
        <v/>
      </c>
      <c r="H3944" s="5">
        <f>IF('Journal'!I1973="","",'Journal'!I1973)</f>
        <v/>
      </c>
    </row>
    <row r="3945">
      <c r="A3945" s="18">
        <f>IF('Journal'!A1974="","",'Journal'!A1974)</f>
        <v/>
      </c>
      <c r="B3945" s="21">
        <f>IF('Journal'!B1974="","",'Journal'!B1974)</f>
        <v/>
      </c>
      <c r="C3945" s="5">
        <f>IF('Journal'!C1974="","",'Journal'!C1974)</f>
        <v/>
      </c>
      <c r="D3945" s="5">
        <f>IF('Journal'!D1974="","",IFERROR(LEFT('Journal'!D1974,FIND(" ",'Journal'!D1974)-1),'Journal'!D1974))</f>
        <v/>
      </c>
      <c r="E3945" s="5">
        <f>IF('Journal'!D1974="","",IFERROR(INDEX('Kontoplan'!$B$3:$B$302,MATCH('Journal'!D1974,'Kontoplan'!$H$3:$H$302,0)),""))</f>
        <v/>
      </c>
      <c r="F3945" s="20">
        <f>IF('Journal'!G1974="","",'Journal'!G1974)</f>
        <v/>
      </c>
      <c r="G3945" s="20">
        <f>IF('Journal'!F1974="","",'Journal'!F1974)</f>
        <v/>
      </c>
      <c r="H3945" s="5">
        <f>IF('Journal'!I1974="","",'Journal'!I1974)</f>
        <v/>
      </c>
    </row>
    <row r="3946">
      <c r="A3946" s="18">
        <f>IF('Journal'!A1974="","",'Journal'!A1974)</f>
        <v/>
      </c>
      <c r="B3946" s="21">
        <f>IF('Journal'!B1974="","",'Journal'!B1974)</f>
        <v/>
      </c>
      <c r="C3946" s="5">
        <f>IF('Journal'!C1974="","",'Journal'!C1974)</f>
        <v/>
      </c>
      <c r="D3946" s="5">
        <f>IF('Journal'!E1974="","",IFERROR(LEFT('Journal'!E1974,FIND(" ",'Journal'!E1974)-1),'Journal'!E1974))</f>
        <v/>
      </c>
      <c r="E3946" s="5">
        <f>IF('Journal'!E1974="","",IFERROR(INDEX('Kontoplan'!$B$3:$B$302,MATCH('Journal'!E1974,'Kontoplan'!$H$3:$H$302,0)),""))</f>
        <v/>
      </c>
      <c r="F3946" s="20">
        <f>IF('Journal'!F1974="","",'Journal'!F1974)</f>
        <v/>
      </c>
      <c r="G3946" s="20">
        <f>IF('Journal'!G1974="","",'Journal'!G1974)</f>
        <v/>
      </c>
      <c r="H3946" s="5">
        <f>IF('Journal'!I1974="","",'Journal'!I1974)</f>
        <v/>
      </c>
    </row>
    <row r="3947">
      <c r="A3947" s="18">
        <f>IF('Journal'!A1975="","",'Journal'!A1975)</f>
        <v/>
      </c>
      <c r="B3947" s="21">
        <f>IF('Journal'!B1975="","",'Journal'!B1975)</f>
        <v/>
      </c>
      <c r="C3947" s="5">
        <f>IF('Journal'!C1975="","",'Journal'!C1975)</f>
        <v/>
      </c>
      <c r="D3947" s="5">
        <f>IF('Journal'!D1975="","",IFERROR(LEFT('Journal'!D1975,FIND(" ",'Journal'!D1975)-1),'Journal'!D1975))</f>
        <v/>
      </c>
      <c r="E3947" s="5">
        <f>IF('Journal'!D1975="","",IFERROR(INDEX('Kontoplan'!$B$3:$B$302,MATCH('Journal'!D1975,'Kontoplan'!$H$3:$H$302,0)),""))</f>
        <v/>
      </c>
      <c r="F3947" s="20">
        <f>IF('Journal'!G1975="","",'Journal'!G1975)</f>
        <v/>
      </c>
      <c r="G3947" s="20">
        <f>IF('Journal'!F1975="","",'Journal'!F1975)</f>
        <v/>
      </c>
      <c r="H3947" s="5">
        <f>IF('Journal'!I1975="","",'Journal'!I1975)</f>
        <v/>
      </c>
    </row>
    <row r="3948">
      <c r="A3948" s="18">
        <f>IF('Journal'!A1975="","",'Journal'!A1975)</f>
        <v/>
      </c>
      <c r="B3948" s="21">
        <f>IF('Journal'!B1975="","",'Journal'!B1975)</f>
        <v/>
      </c>
      <c r="C3948" s="5">
        <f>IF('Journal'!C1975="","",'Journal'!C1975)</f>
        <v/>
      </c>
      <c r="D3948" s="5">
        <f>IF('Journal'!E1975="","",IFERROR(LEFT('Journal'!E1975,FIND(" ",'Journal'!E1975)-1),'Journal'!E1975))</f>
        <v/>
      </c>
      <c r="E3948" s="5">
        <f>IF('Journal'!E1975="","",IFERROR(INDEX('Kontoplan'!$B$3:$B$302,MATCH('Journal'!E1975,'Kontoplan'!$H$3:$H$302,0)),""))</f>
        <v/>
      </c>
      <c r="F3948" s="20">
        <f>IF('Journal'!F1975="","",'Journal'!F1975)</f>
        <v/>
      </c>
      <c r="G3948" s="20">
        <f>IF('Journal'!G1975="","",'Journal'!G1975)</f>
        <v/>
      </c>
      <c r="H3948" s="5">
        <f>IF('Journal'!I1975="","",'Journal'!I1975)</f>
        <v/>
      </c>
    </row>
    <row r="3949">
      <c r="A3949" s="18">
        <f>IF('Journal'!A1976="","",'Journal'!A1976)</f>
        <v/>
      </c>
      <c r="B3949" s="21">
        <f>IF('Journal'!B1976="","",'Journal'!B1976)</f>
        <v/>
      </c>
      <c r="C3949" s="5">
        <f>IF('Journal'!C1976="","",'Journal'!C1976)</f>
        <v/>
      </c>
      <c r="D3949" s="5">
        <f>IF('Journal'!D1976="","",IFERROR(LEFT('Journal'!D1976,FIND(" ",'Journal'!D1976)-1),'Journal'!D1976))</f>
        <v/>
      </c>
      <c r="E3949" s="5">
        <f>IF('Journal'!D1976="","",IFERROR(INDEX('Kontoplan'!$B$3:$B$302,MATCH('Journal'!D1976,'Kontoplan'!$H$3:$H$302,0)),""))</f>
        <v/>
      </c>
      <c r="F3949" s="20">
        <f>IF('Journal'!G1976="","",'Journal'!G1976)</f>
        <v/>
      </c>
      <c r="G3949" s="20">
        <f>IF('Journal'!F1976="","",'Journal'!F1976)</f>
        <v/>
      </c>
      <c r="H3949" s="5">
        <f>IF('Journal'!I1976="","",'Journal'!I1976)</f>
        <v/>
      </c>
    </row>
    <row r="3950">
      <c r="A3950" s="18">
        <f>IF('Journal'!A1976="","",'Journal'!A1976)</f>
        <v/>
      </c>
      <c r="B3950" s="21">
        <f>IF('Journal'!B1976="","",'Journal'!B1976)</f>
        <v/>
      </c>
      <c r="C3950" s="5">
        <f>IF('Journal'!C1976="","",'Journal'!C1976)</f>
        <v/>
      </c>
      <c r="D3950" s="5">
        <f>IF('Journal'!E1976="","",IFERROR(LEFT('Journal'!E1976,FIND(" ",'Journal'!E1976)-1),'Journal'!E1976))</f>
        <v/>
      </c>
      <c r="E3950" s="5">
        <f>IF('Journal'!E1976="","",IFERROR(INDEX('Kontoplan'!$B$3:$B$302,MATCH('Journal'!E1976,'Kontoplan'!$H$3:$H$302,0)),""))</f>
        <v/>
      </c>
      <c r="F3950" s="20">
        <f>IF('Journal'!F1976="","",'Journal'!F1976)</f>
        <v/>
      </c>
      <c r="G3950" s="20">
        <f>IF('Journal'!G1976="","",'Journal'!G1976)</f>
        <v/>
      </c>
      <c r="H3950" s="5">
        <f>IF('Journal'!I1976="","",'Journal'!I1976)</f>
        <v/>
      </c>
    </row>
    <row r="3951">
      <c r="A3951" s="18">
        <f>IF('Journal'!A1977="","",'Journal'!A1977)</f>
        <v/>
      </c>
      <c r="B3951" s="21">
        <f>IF('Journal'!B1977="","",'Journal'!B1977)</f>
        <v/>
      </c>
      <c r="C3951" s="5">
        <f>IF('Journal'!C1977="","",'Journal'!C1977)</f>
        <v/>
      </c>
      <c r="D3951" s="5">
        <f>IF('Journal'!D1977="","",IFERROR(LEFT('Journal'!D1977,FIND(" ",'Journal'!D1977)-1),'Journal'!D1977))</f>
        <v/>
      </c>
      <c r="E3951" s="5">
        <f>IF('Journal'!D1977="","",IFERROR(INDEX('Kontoplan'!$B$3:$B$302,MATCH('Journal'!D1977,'Kontoplan'!$H$3:$H$302,0)),""))</f>
        <v/>
      </c>
      <c r="F3951" s="20">
        <f>IF('Journal'!G1977="","",'Journal'!G1977)</f>
        <v/>
      </c>
      <c r="G3951" s="20">
        <f>IF('Journal'!F1977="","",'Journal'!F1977)</f>
        <v/>
      </c>
      <c r="H3951" s="5">
        <f>IF('Journal'!I1977="","",'Journal'!I1977)</f>
        <v/>
      </c>
    </row>
    <row r="3952">
      <c r="A3952" s="18">
        <f>IF('Journal'!A1977="","",'Journal'!A1977)</f>
        <v/>
      </c>
      <c r="B3952" s="21">
        <f>IF('Journal'!B1977="","",'Journal'!B1977)</f>
        <v/>
      </c>
      <c r="C3952" s="5">
        <f>IF('Journal'!C1977="","",'Journal'!C1977)</f>
        <v/>
      </c>
      <c r="D3952" s="5">
        <f>IF('Journal'!E1977="","",IFERROR(LEFT('Journal'!E1977,FIND(" ",'Journal'!E1977)-1),'Journal'!E1977))</f>
        <v/>
      </c>
      <c r="E3952" s="5">
        <f>IF('Journal'!E1977="","",IFERROR(INDEX('Kontoplan'!$B$3:$B$302,MATCH('Journal'!E1977,'Kontoplan'!$H$3:$H$302,0)),""))</f>
        <v/>
      </c>
      <c r="F3952" s="20">
        <f>IF('Journal'!F1977="","",'Journal'!F1977)</f>
        <v/>
      </c>
      <c r="G3952" s="20">
        <f>IF('Journal'!G1977="","",'Journal'!G1977)</f>
        <v/>
      </c>
      <c r="H3952" s="5">
        <f>IF('Journal'!I1977="","",'Journal'!I1977)</f>
        <v/>
      </c>
    </row>
    <row r="3953">
      <c r="A3953" s="18">
        <f>IF('Journal'!A1978="","",'Journal'!A1978)</f>
        <v/>
      </c>
      <c r="B3953" s="21">
        <f>IF('Journal'!B1978="","",'Journal'!B1978)</f>
        <v/>
      </c>
      <c r="C3953" s="5">
        <f>IF('Journal'!C1978="","",'Journal'!C1978)</f>
        <v/>
      </c>
      <c r="D3953" s="5">
        <f>IF('Journal'!D1978="","",IFERROR(LEFT('Journal'!D1978,FIND(" ",'Journal'!D1978)-1),'Journal'!D1978))</f>
        <v/>
      </c>
      <c r="E3953" s="5">
        <f>IF('Journal'!D1978="","",IFERROR(INDEX('Kontoplan'!$B$3:$B$302,MATCH('Journal'!D1978,'Kontoplan'!$H$3:$H$302,0)),""))</f>
        <v/>
      </c>
      <c r="F3953" s="20">
        <f>IF('Journal'!G1978="","",'Journal'!G1978)</f>
        <v/>
      </c>
      <c r="G3953" s="20">
        <f>IF('Journal'!F1978="","",'Journal'!F1978)</f>
        <v/>
      </c>
      <c r="H3953" s="5">
        <f>IF('Journal'!I1978="","",'Journal'!I1978)</f>
        <v/>
      </c>
    </row>
    <row r="3954">
      <c r="A3954" s="18">
        <f>IF('Journal'!A1978="","",'Journal'!A1978)</f>
        <v/>
      </c>
      <c r="B3954" s="21">
        <f>IF('Journal'!B1978="","",'Journal'!B1978)</f>
        <v/>
      </c>
      <c r="C3954" s="5">
        <f>IF('Journal'!C1978="","",'Journal'!C1978)</f>
        <v/>
      </c>
      <c r="D3954" s="5">
        <f>IF('Journal'!E1978="","",IFERROR(LEFT('Journal'!E1978,FIND(" ",'Journal'!E1978)-1),'Journal'!E1978))</f>
        <v/>
      </c>
      <c r="E3954" s="5">
        <f>IF('Journal'!E1978="","",IFERROR(INDEX('Kontoplan'!$B$3:$B$302,MATCH('Journal'!E1978,'Kontoplan'!$H$3:$H$302,0)),""))</f>
        <v/>
      </c>
      <c r="F3954" s="20">
        <f>IF('Journal'!F1978="","",'Journal'!F1978)</f>
        <v/>
      </c>
      <c r="G3954" s="20">
        <f>IF('Journal'!G1978="","",'Journal'!G1978)</f>
        <v/>
      </c>
      <c r="H3954" s="5">
        <f>IF('Journal'!I1978="","",'Journal'!I1978)</f>
        <v/>
      </c>
    </row>
    <row r="3955">
      <c r="A3955" s="18">
        <f>IF('Journal'!A1979="","",'Journal'!A1979)</f>
        <v/>
      </c>
      <c r="B3955" s="21">
        <f>IF('Journal'!B1979="","",'Journal'!B1979)</f>
        <v/>
      </c>
      <c r="C3955" s="5">
        <f>IF('Journal'!C1979="","",'Journal'!C1979)</f>
        <v/>
      </c>
      <c r="D3955" s="5">
        <f>IF('Journal'!D1979="","",IFERROR(LEFT('Journal'!D1979,FIND(" ",'Journal'!D1979)-1),'Journal'!D1979))</f>
        <v/>
      </c>
      <c r="E3955" s="5">
        <f>IF('Journal'!D1979="","",IFERROR(INDEX('Kontoplan'!$B$3:$B$302,MATCH('Journal'!D1979,'Kontoplan'!$H$3:$H$302,0)),""))</f>
        <v/>
      </c>
      <c r="F3955" s="20">
        <f>IF('Journal'!G1979="","",'Journal'!G1979)</f>
        <v/>
      </c>
      <c r="G3955" s="20">
        <f>IF('Journal'!F1979="","",'Journal'!F1979)</f>
        <v/>
      </c>
      <c r="H3955" s="5">
        <f>IF('Journal'!I1979="","",'Journal'!I1979)</f>
        <v/>
      </c>
    </row>
    <row r="3956">
      <c r="A3956" s="18">
        <f>IF('Journal'!A1979="","",'Journal'!A1979)</f>
        <v/>
      </c>
      <c r="B3956" s="21">
        <f>IF('Journal'!B1979="","",'Journal'!B1979)</f>
        <v/>
      </c>
      <c r="C3956" s="5">
        <f>IF('Journal'!C1979="","",'Journal'!C1979)</f>
        <v/>
      </c>
      <c r="D3956" s="5">
        <f>IF('Journal'!E1979="","",IFERROR(LEFT('Journal'!E1979,FIND(" ",'Journal'!E1979)-1),'Journal'!E1979))</f>
        <v/>
      </c>
      <c r="E3956" s="5">
        <f>IF('Journal'!E1979="","",IFERROR(INDEX('Kontoplan'!$B$3:$B$302,MATCH('Journal'!E1979,'Kontoplan'!$H$3:$H$302,0)),""))</f>
        <v/>
      </c>
      <c r="F3956" s="20">
        <f>IF('Journal'!F1979="","",'Journal'!F1979)</f>
        <v/>
      </c>
      <c r="G3956" s="20">
        <f>IF('Journal'!G1979="","",'Journal'!G1979)</f>
        <v/>
      </c>
      <c r="H3956" s="5">
        <f>IF('Journal'!I1979="","",'Journal'!I1979)</f>
        <v/>
      </c>
    </row>
    <row r="3957">
      <c r="A3957" s="18">
        <f>IF('Journal'!A1980="","",'Journal'!A1980)</f>
        <v/>
      </c>
      <c r="B3957" s="21">
        <f>IF('Journal'!B1980="","",'Journal'!B1980)</f>
        <v/>
      </c>
      <c r="C3957" s="5">
        <f>IF('Journal'!C1980="","",'Journal'!C1980)</f>
        <v/>
      </c>
      <c r="D3957" s="5">
        <f>IF('Journal'!D1980="","",IFERROR(LEFT('Journal'!D1980,FIND(" ",'Journal'!D1980)-1),'Journal'!D1980))</f>
        <v/>
      </c>
      <c r="E3957" s="5">
        <f>IF('Journal'!D1980="","",IFERROR(INDEX('Kontoplan'!$B$3:$B$302,MATCH('Journal'!D1980,'Kontoplan'!$H$3:$H$302,0)),""))</f>
        <v/>
      </c>
      <c r="F3957" s="20">
        <f>IF('Journal'!G1980="","",'Journal'!G1980)</f>
        <v/>
      </c>
      <c r="G3957" s="20">
        <f>IF('Journal'!F1980="","",'Journal'!F1980)</f>
        <v/>
      </c>
      <c r="H3957" s="5">
        <f>IF('Journal'!I1980="","",'Journal'!I1980)</f>
        <v/>
      </c>
    </row>
    <row r="3958">
      <c r="A3958" s="18">
        <f>IF('Journal'!A1980="","",'Journal'!A1980)</f>
        <v/>
      </c>
      <c r="B3958" s="21">
        <f>IF('Journal'!B1980="","",'Journal'!B1980)</f>
        <v/>
      </c>
      <c r="C3958" s="5">
        <f>IF('Journal'!C1980="","",'Journal'!C1980)</f>
        <v/>
      </c>
      <c r="D3958" s="5">
        <f>IF('Journal'!E1980="","",IFERROR(LEFT('Journal'!E1980,FIND(" ",'Journal'!E1980)-1),'Journal'!E1980))</f>
        <v/>
      </c>
      <c r="E3958" s="5">
        <f>IF('Journal'!E1980="","",IFERROR(INDEX('Kontoplan'!$B$3:$B$302,MATCH('Journal'!E1980,'Kontoplan'!$H$3:$H$302,0)),""))</f>
        <v/>
      </c>
      <c r="F3958" s="20">
        <f>IF('Journal'!F1980="","",'Journal'!F1980)</f>
        <v/>
      </c>
      <c r="G3958" s="20">
        <f>IF('Journal'!G1980="","",'Journal'!G1980)</f>
        <v/>
      </c>
      <c r="H3958" s="5">
        <f>IF('Journal'!I1980="","",'Journal'!I1980)</f>
        <v/>
      </c>
    </row>
    <row r="3959">
      <c r="A3959" s="18">
        <f>IF('Journal'!A1981="","",'Journal'!A1981)</f>
        <v/>
      </c>
      <c r="B3959" s="21">
        <f>IF('Journal'!B1981="","",'Journal'!B1981)</f>
        <v/>
      </c>
      <c r="C3959" s="5">
        <f>IF('Journal'!C1981="","",'Journal'!C1981)</f>
        <v/>
      </c>
      <c r="D3959" s="5">
        <f>IF('Journal'!D1981="","",IFERROR(LEFT('Journal'!D1981,FIND(" ",'Journal'!D1981)-1),'Journal'!D1981))</f>
        <v/>
      </c>
      <c r="E3959" s="5">
        <f>IF('Journal'!D1981="","",IFERROR(INDEX('Kontoplan'!$B$3:$B$302,MATCH('Journal'!D1981,'Kontoplan'!$H$3:$H$302,0)),""))</f>
        <v/>
      </c>
      <c r="F3959" s="20">
        <f>IF('Journal'!G1981="","",'Journal'!G1981)</f>
        <v/>
      </c>
      <c r="G3959" s="20">
        <f>IF('Journal'!F1981="","",'Journal'!F1981)</f>
        <v/>
      </c>
      <c r="H3959" s="5">
        <f>IF('Journal'!I1981="","",'Journal'!I1981)</f>
        <v/>
      </c>
    </row>
    <row r="3960">
      <c r="A3960" s="18">
        <f>IF('Journal'!A1981="","",'Journal'!A1981)</f>
        <v/>
      </c>
      <c r="B3960" s="21">
        <f>IF('Journal'!B1981="","",'Journal'!B1981)</f>
        <v/>
      </c>
      <c r="C3960" s="5">
        <f>IF('Journal'!C1981="","",'Journal'!C1981)</f>
        <v/>
      </c>
      <c r="D3960" s="5">
        <f>IF('Journal'!E1981="","",IFERROR(LEFT('Journal'!E1981,FIND(" ",'Journal'!E1981)-1),'Journal'!E1981))</f>
        <v/>
      </c>
      <c r="E3960" s="5">
        <f>IF('Journal'!E1981="","",IFERROR(INDEX('Kontoplan'!$B$3:$B$302,MATCH('Journal'!E1981,'Kontoplan'!$H$3:$H$302,0)),""))</f>
        <v/>
      </c>
      <c r="F3960" s="20">
        <f>IF('Journal'!F1981="","",'Journal'!F1981)</f>
        <v/>
      </c>
      <c r="G3960" s="20">
        <f>IF('Journal'!G1981="","",'Journal'!G1981)</f>
        <v/>
      </c>
      <c r="H3960" s="5">
        <f>IF('Journal'!I1981="","",'Journal'!I1981)</f>
        <v/>
      </c>
    </row>
    <row r="3961">
      <c r="A3961" s="18">
        <f>IF('Journal'!A1982="","",'Journal'!A1982)</f>
        <v/>
      </c>
      <c r="B3961" s="21">
        <f>IF('Journal'!B1982="","",'Journal'!B1982)</f>
        <v/>
      </c>
      <c r="C3961" s="5">
        <f>IF('Journal'!C1982="","",'Journal'!C1982)</f>
        <v/>
      </c>
      <c r="D3961" s="5">
        <f>IF('Journal'!D1982="","",IFERROR(LEFT('Journal'!D1982,FIND(" ",'Journal'!D1982)-1),'Journal'!D1982))</f>
        <v/>
      </c>
      <c r="E3961" s="5">
        <f>IF('Journal'!D1982="","",IFERROR(INDEX('Kontoplan'!$B$3:$B$302,MATCH('Journal'!D1982,'Kontoplan'!$H$3:$H$302,0)),""))</f>
        <v/>
      </c>
      <c r="F3961" s="20">
        <f>IF('Journal'!G1982="","",'Journal'!G1982)</f>
        <v/>
      </c>
      <c r="G3961" s="20">
        <f>IF('Journal'!F1982="","",'Journal'!F1982)</f>
        <v/>
      </c>
      <c r="H3961" s="5">
        <f>IF('Journal'!I1982="","",'Journal'!I1982)</f>
        <v/>
      </c>
    </row>
    <row r="3962">
      <c r="A3962" s="18">
        <f>IF('Journal'!A1982="","",'Journal'!A1982)</f>
        <v/>
      </c>
      <c r="B3962" s="21">
        <f>IF('Journal'!B1982="","",'Journal'!B1982)</f>
        <v/>
      </c>
      <c r="C3962" s="5">
        <f>IF('Journal'!C1982="","",'Journal'!C1982)</f>
        <v/>
      </c>
      <c r="D3962" s="5">
        <f>IF('Journal'!E1982="","",IFERROR(LEFT('Journal'!E1982,FIND(" ",'Journal'!E1982)-1),'Journal'!E1982))</f>
        <v/>
      </c>
      <c r="E3962" s="5">
        <f>IF('Journal'!E1982="","",IFERROR(INDEX('Kontoplan'!$B$3:$B$302,MATCH('Journal'!E1982,'Kontoplan'!$H$3:$H$302,0)),""))</f>
        <v/>
      </c>
      <c r="F3962" s="20">
        <f>IF('Journal'!F1982="","",'Journal'!F1982)</f>
        <v/>
      </c>
      <c r="G3962" s="20">
        <f>IF('Journal'!G1982="","",'Journal'!G1982)</f>
        <v/>
      </c>
      <c r="H3962" s="5">
        <f>IF('Journal'!I1982="","",'Journal'!I1982)</f>
        <v/>
      </c>
    </row>
    <row r="3963">
      <c r="A3963" s="18">
        <f>IF('Journal'!A1983="","",'Journal'!A1983)</f>
        <v/>
      </c>
      <c r="B3963" s="21">
        <f>IF('Journal'!B1983="","",'Journal'!B1983)</f>
        <v/>
      </c>
      <c r="C3963" s="5">
        <f>IF('Journal'!C1983="","",'Journal'!C1983)</f>
        <v/>
      </c>
      <c r="D3963" s="5">
        <f>IF('Journal'!D1983="","",IFERROR(LEFT('Journal'!D1983,FIND(" ",'Journal'!D1983)-1),'Journal'!D1983))</f>
        <v/>
      </c>
      <c r="E3963" s="5">
        <f>IF('Journal'!D1983="","",IFERROR(INDEX('Kontoplan'!$B$3:$B$302,MATCH('Journal'!D1983,'Kontoplan'!$H$3:$H$302,0)),""))</f>
        <v/>
      </c>
      <c r="F3963" s="20">
        <f>IF('Journal'!G1983="","",'Journal'!G1983)</f>
        <v/>
      </c>
      <c r="G3963" s="20">
        <f>IF('Journal'!F1983="","",'Journal'!F1983)</f>
        <v/>
      </c>
      <c r="H3963" s="5">
        <f>IF('Journal'!I1983="","",'Journal'!I1983)</f>
        <v/>
      </c>
    </row>
    <row r="3964">
      <c r="A3964" s="18">
        <f>IF('Journal'!A1983="","",'Journal'!A1983)</f>
        <v/>
      </c>
      <c r="B3964" s="21">
        <f>IF('Journal'!B1983="","",'Journal'!B1983)</f>
        <v/>
      </c>
      <c r="C3964" s="5">
        <f>IF('Journal'!C1983="","",'Journal'!C1983)</f>
        <v/>
      </c>
      <c r="D3964" s="5">
        <f>IF('Journal'!E1983="","",IFERROR(LEFT('Journal'!E1983,FIND(" ",'Journal'!E1983)-1),'Journal'!E1983))</f>
        <v/>
      </c>
      <c r="E3964" s="5">
        <f>IF('Journal'!E1983="","",IFERROR(INDEX('Kontoplan'!$B$3:$B$302,MATCH('Journal'!E1983,'Kontoplan'!$H$3:$H$302,0)),""))</f>
        <v/>
      </c>
      <c r="F3964" s="20">
        <f>IF('Journal'!F1983="","",'Journal'!F1983)</f>
        <v/>
      </c>
      <c r="G3964" s="20">
        <f>IF('Journal'!G1983="","",'Journal'!G1983)</f>
        <v/>
      </c>
      <c r="H3964" s="5">
        <f>IF('Journal'!I1983="","",'Journal'!I1983)</f>
        <v/>
      </c>
    </row>
    <row r="3965">
      <c r="A3965" s="18">
        <f>IF('Journal'!A1984="","",'Journal'!A1984)</f>
        <v/>
      </c>
      <c r="B3965" s="21">
        <f>IF('Journal'!B1984="","",'Journal'!B1984)</f>
        <v/>
      </c>
      <c r="C3965" s="5">
        <f>IF('Journal'!C1984="","",'Journal'!C1984)</f>
        <v/>
      </c>
      <c r="D3965" s="5">
        <f>IF('Journal'!D1984="","",IFERROR(LEFT('Journal'!D1984,FIND(" ",'Journal'!D1984)-1),'Journal'!D1984))</f>
        <v/>
      </c>
      <c r="E3965" s="5">
        <f>IF('Journal'!D1984="","",IFERROR(INDEX('Kontoplan'!$B$3:$B$302,MATCH('Journal'!D1984,'Kontoplan'!$H$3:$H$302,0)),""))</f>
        <v/>
      </c>
      <c r="F3965" s="20">
        <f>IF('Journal'!G1984="","",'Journal'!G1984)</f>
        <v/>
      </c>
      <c r="G3965" s="20">
        <f>IF('Journal'!F1984="","",'Journal'!F1984)</f>
        <v/>
      </c>
      <c r="H3965" s="5">
        <f>IF('Journal'!I1984="","",'Journal'!I1984)</f>
        <v/>
      </c>
    </row>
    <row r="3966">
      <c r="A3966" s="18">
        <f>IF('Journal'!A1984="","",'Journal'!A1984)</f>
        <v/>
      </c>
      <c r="B3966" s="21">
        <f>IF('Journal'!B1984="","",'Journal'!B1984)</f>
        <v/>
      </c>
      <c r="C3966" s="5">
        <f>IF('Journal'!C1984="","",'Journal'!C1984)</f>
        <v/>
      </c>
      <c r="D3966" s="5">
        <f>IF('Journal'!E1984="","",IFERROR(LEFT('Journal'!E1984,FIND(" ",'Journal'!E1984)-1),'Journal'!E1984))</f>
        <v/>
      </c>
      <c r="E3966" s="5">
        <f>IF('Journal'!E1984="","",IFERROR(INDEX('Kontoplan'!$B$3:$B$302,MATCH('Journal'!E1984,'Kontoplan'!$H$3:$H$302,0)),""))</f>
        <v/>
      </c>
      <c r="F3966" s="20">
        <f>IF('Journal'!F1984="","",'Journal'!F1984)</f>
        <v/>
      </c>
      <c r="G3966" s="20">
        <f>IF('Journal'!G1984="","",'Journal'!G1984)</f>
        <v/>
      </c>
      <c r="H3966" s="5">
        <f>IF('Journal'!I1984="","",'Journal'!I1984)</f>
        <v/>
      </c>
    </row>
    <row r="3967">
      <c r="A3967" s="18">
        <f>IF('Journal'!A1985="","",'Journal'!A1985)</f>
        <v/>
      </c>
      <c r="B3967" s="21">
        <f>IF('Journal'!B1985="","",'Journal'!B1985)</f>
        <v/>
      </c>
      <c r="C3967" s="5">
        <f>IF('Journal'!C1985="","",'Journal'!C1985)</f>
        <v/>
      </c>
      <c r="D3967" s="5">
        <f>IF('Journal'!D1985="","",IFERROR(LEFT('Journal'!D1985,FIND(" ",'Journal'!D1985)-1),'Journal'!D1985))</f>
        <v/>
      </c>
      <c r="E3967" s="5">
        <f>IF('Journal'!D1985="","",IFERROR(INDEX('Kontoplan'!$B$3:$B$302,MATCH('Journal'!D1985,'Kontoplan'!$H$3:$H$302,0)),""))</f>
        <v/>
      </c>
      <c r="F3967" s="20">
        <f>IF('Journal'!G1985="","",'Journal'!G1985)</f>
        <v/>
      </c>
      <c r="G3967" s="20">
        <f>IF('Journal'!F1985="","",'Journal'!F1985)</f>
        <v/>
      </c>
      <c r="H3967" s="5">
        <f>IF('Journal'!I1985="","",'Journal'!I1985)</f>
        <v/>
      </c>
    </row>
    <row r="3968">
      <c r="A3968" s="18">
        <f>IF('Journal'!A1985="","",'Journal'!A1985)</f>
        <v/>
      </c>
      <c r="B3968" s="21">
        <f>IF('Journal'!B1985="","",'Journal'!B1985)</f>
        <v/>
      </c>
      <c r="C3968" s="5">
        <f>IF('Journal'!C1985="","",'Journal'!C1985)</f>
        <v/>
      </c>
      <c r="D3968" s="5">
        <f>IF('Journal'!E1985="","",IFERROR(LEFT('Journal'!E1985,FIND(" ",'Journal'!E1985)-1),'Journal'!E1985))</f>
        <v/>
      </c>
      <c r="E3968" s="5">
        <f>IF('Journal'!E1985="","",IFERROR(INDEX('Kontoplan'!$B$3:$B$302,MATCH('Journal'!E1985,'Kontoplan'!$H$3:$H$302,0)),""))</f>
        <v/>
      </c>
      <c r="F3968" s="20">
        <f>IF('Journal'!F1985="","",'Journal'!F1985)</f>
        <v/>
      </c>
      <c r="G3968" s="20">
        <f>IF('Journal'!G1985="","",'Journal'!G1985)</f>
        <v/>
      </c>
      <c r="H3968" s="5">
        <f>IF('Journal'!I1985="","",'Journal'!I1985)</f>
        <v/>
      </c>
    </row>
    <row r="3969">
      <c r="A3969" s="18">
        <f>IF('Journal'!A1986="","",'Journal'!A1986)</f>
        <v/>
      </c>
      <c r="B3969" s="21">
        <f>IF('Journal'!B1986="","",'Journal'!B1986)</f>
        <v/>
      </c>
      <c r="C3969" s="5">
        <f>IF('Journal'!C1986="","",'Journal'!C1986)</f>
        <v/>
      </c>
      <c r="D3969" s="5">
        <f>IF('Journal'!D1986="","",IFERROR(LEFT('Journal'!D1986,FIND(" ",'Journal'!D1986)-1),'Journal'!D1986))</f>
        <v/>
      </c>
      <c r="E3969" s="5">
        <f>IF('Journal'!D1986="","",IFERROR(INDEX('Kontoplan'!$B$3:$B$302,MATCH('Journal'!D1986,'Kontoplan'!$H$3:$H$302,0)),""))</f>
        <v/>
      </c>
      <c r="F3969" s="20">
        <f>IF('Journal'!G1986="","",'Journal'!G1986)</f>
        <v/>
      </c>
      <c r="G3969" s="20">
        <f>IF('Journal'!F1986="","",'Journal'!F1986)</f>
        <v/>
      </c>
      <c r="H3969" s="5">
        <f>IF('Journal'!I1986="","",'Journal'!I1986)</f>
        <v/>
      </c>
    </row>
    <row r="3970">
      <c r="A3970" s="18">
        <f>IF('Journal'!A1986="","",'Journal'!A1986)</f>
        <v/>
      </c>
      <c r="B3970" s="21">
        <f>IF('Journal'!B1986="","",'Journal'!B1986)</f>
        <v/>
      </c>
      <c r="C3970" s="5">
        <f>IF('Journal'!C1986="","",'Journal'!C1986)</f>
        <v/>
      </c>
      <c r="D3970" s="5">
        <f>IF('Journal'!E1986="","",IFERROR(LEFT('Journal'!E1986,FIND(" ",'Journal'!E1986)-1),'Journal'!E1986))</f>
        <v/>
      </c>
      <c r="E3970" s="5">
        <f>IF('Journal'!E1986="","",IFERROR(INDEX('Kontoplan'!$B$3:$B$302,MATCH('Journal'!E1986,'Kontoplan'!$H$3:$H$302,0)),""))</f>
        <v/>
      </c>
      <c r="F3970" s="20">
        <f>IF('Journal'!F1986="","",'Journal'!F1986)</f>
        <v/>
      </c>
      <c r="G3970" s="20">
        <f>IF('Journal'!G1986="","",'Journal'!G1986)</f>
        <v/>
      </c>
      <c r="H3970" s="5">
        <f>IF('Journal'!I1986="","",'Journal'!I1986)</f>
        <v/>
      </c>
    </row>
    <row r="3971">
      <c r="A3971" s="18">
        <f>IF('Journal'!A1987="","",'Journal'!A1987)</f>
        <v/>
      </c>
      <c r="B3971" s="21">
        <f>IF('Journal'!B1987="","",'Journal'!B1987)</f>
        <v/>
      </c>
      <c r="C3971" s="5">
        <f>IF('Journal'!C1987="","",'Journal'!C1987)</f>
        <v/>
      </c>
      <c r="D3971" s="5">
        <f>IF('Journal'!D1987="","",IFERROR(LEFT('Journal'!D1987,FIND(" ",'Journal'!D1987)-1),'Journal'!D1987))</f>
        <v/>
      </c>
      <c r="E3971" s="5">
        <f>IF('Journal'!D1987="","",IFERROR(INDEX('Kontoplan'!$B$3:$B$302,MATCH('Journal'!D1987,'Kontoplan'!$H$3:$H$302,0)),""))</f>
        <v/>
      </c>
      <c r="F3971" s="20">
        <f>IF('Journal'!G1987="","",'Journal'!G1987)</f>
        <v/>
      </c>
      <c r="G3971" s="20">
        <f>IF('Journal'!F1987="","",'Journal'!F1987)</f>
        <v/>
      </c>
      <c r="H3971" s="5">
        <f>IF('Journal'!I1987="","",'Journal'!I1987)</f>
        <v/>
      </c>
    </row>
    <row r="3972">
      <c r="A3972" s="18">
        <f>IF('Journal'!A1987="","",'Journal'!A1987)</f>
        <v/>
      </c>
      <c r="B3972" s="21">
        <f>IF('Journal'!B1987="","",'Journal'!B1987)</f>
        <v/>
      </c>
      <c r="C3972" s="5">
        <f>IF('Journal'!C1987="","",'Journal'!C1987)</f>
        <v/>
      </c>
      <c r="D3972" s="5">
        <f>IF('Journal'!E1987="","",IFERROR(LEFT('Journal'!E1987,FIND(" ",'Journal'!E1987)-1),'Journal'!E1987))</f>
        <v/>
      </c>
      <c r="E3972" s="5">
        <f>IF('Journal'!E1987="","",IFERROR(INDEX('Kontoplan'!$B$3:$B$302,MATCH('Journal'!E1987,'Kontoplan'!$H$3:$H$302,0)),""))</f>
        <v/>
      </c>
      <c r="F3972" s="20">
        <f>IF('Journal'!F1987="","",'Journal'!F1987)</f>
        <v/>
      </c>
      <c r="G3972" s="20">
        <f>IF('Journal'!G1987="","",'Journal'!G1987)</f>
        <v/>
      </c>
      <c r="H3972" s="5">
        <f>IF('Journal'!I1987="","",'Journal'!I1987)</f>
        <v/>
      </c>
    </row>
    <row r="3973">
      <c r="A3973" s="18">
        <f>IF('Journal'!A1988="","",'Journal'!A1988)</f>
        <v/>
      </c>
      <c r="B3973" s="21">
        <f>IF('Journal'!B1988="","",'Journal'!B1988)</f>
        <v/>
      </c>
      <c r="C3973" s="5">
        <f>IF('Journal'!C1988="","",'Journal'!C1988)</f>
        <v/>
      </c>
      <c r="D3973" s="5">
        <f>IF('Journal'!D1988="","",IFERROR(LEFT('Journal'!D1988,FIND(" ",'Journal'!D1988)-1),'Journal'!D1988))</f>
        <v/>
      </c>
      <c r="E3973" s="5">
        <f>IF('Journal'!D1988="","",IFERROR(INDEX('Kontoplan'!$B$3:$B$302,MATCH('Journal'!D1988,'Kontoplan'!$H$3:$H$302,0)),""))</f>
        <v/>
      </c>
      <c r="F3973" s="20">
        <f>IF('Journal'!G1988="","",'Journal'!G1988)</f>
        <v/>
      </c>
      <c r="G3973" s="20">
        <f>IF('Journal'!F1988="","",'Journal'!F1988)</f>
        <v/>
      </c>
      <c r="H3973" s="5">
        <f>IF('Journal'!I1988="","",'Journal'!I1988)</f>
        <v/>
      </c>
    </row>
    <row r="3974">
      <c r="A3974" s="18">
        <f>IF('Journal'!A1988="","",'Journal'!A1988)</f>
        <v/>
      </c>
      <c r="B3974" s="21">
        <f>IF('Journal'!B1988="","",'Journal'!B1988)</f>
        <v/>
      </c>
      <c r="C3974" s="5">
        <f>IF('Journal'!C1988="","",'Journal'!C1988)</f>
        <v/>
      </c>
      <c r="D3974" s="5">
        <f>IF('Journal'!E1988="","",IFERROR(LEFT('Journal'!E1988,FIND(" ",'Journal'!E1988)-1),'Journal'!E1988))</f>
        <v/>
      </c>
      <c r="E3974" s="5">
        <f>IF('Journal'!E1988="","",IFERROR(INDEX('Kontoplan'!$B$3:$B$302,MATCH('Journal'!E1988,'Kontoplan'!$H$3:$H$302,0)),""))</f>
        <v/>
      </c>
      <c r="F3974" s="20">
        <f>IF('Journal'!F1988="","",'Journal'!F1988)</f>
        <v/>
      </c>
      <c r="G3974" s="20">
        <f>IF('Journal'!G1988="","",'Journal'!G1988)</f>
        <v/>
      </c>
      <c r="H3974" s="5">
        <f>IF('Journal'!I1988="","",'Journal'!I1988)</f>
        <v/>
      </c>
    </row>
    <row r="3975">
      <c r="A3975" s="18">
        <f>IF('Journal'!A1989="","",'Journal'!A1989)</f>
        <v/>
      </c>
      <c r="B3975" s="21">
        <f>IF('Journal'!B1989="","",'Journal'!B1989)</f>
        <v/>
      </c>
      <c r="C3975" s="5">
        <f>IF('Journal'!C1989="","",'Journal'!C1989)</f>
        <v/>
      </c>
      <c r="D3975" s="5">
        <f>IF('Journal'!D1989="","",IFERROR(LEFT('Journal'!D1989,FIND(" ",'Journal'!D1989)-1),'Journal'!D1989))</f>
        <v/>
      </c>
      <c r="E3975" s="5">
        <f>IF('Journal'!D1989="","",IFERROR(INDEX('Kontoplan'!$B$3:$B$302,MATCH('Journal'!D1989,'Kontoplan'!$H$3:$H$302,0)),""))</f>
        <v/>
      </c>
      <c r="F3975" s="20">
        <f>IF('Journal'!G1989="","",'Journal'!G1989)</f>
        <v/>
      </c>
      <c r="G3975" s="20">
        <f>IF('Journal'!F1989="","",'Journal'!F1989)</f>
        <v/>
      </c>
      <c r="H3975" s="5">
        <f>IF('Journal'!I1989="","",'Journal'!I1989)</f>
        <v/>
      </c>
    </row>
    <row r="3976">
      <c r="A3976" s="18">
        <f>IF('Journal'!A1989="","",'Journal'!A1989)</f>
        <v/>
      </c>
      <c r="B3976" s="21">
        <f>IF('Journal'!B1989="","",'Journal'!B1989)</f>
        <v/>
      </c>
      <c r="C3976" s="5">
        <f>IF('Journal'!C1989="","",'Journal'!C1989)</f>
        <v/>
      </c>
      <c r="D3976" s="5">
        <f>IF('Journal'!E1989="","",IFERROR(LEFT('Journal'!E1989,FIND(" ",'Journal'!E1989)-1),'Journal'!E1989))</f>
        <v/>
      </c>
      <c r="E3976" s="5">
        <f>IF('Journal'!E1989="","",IFERROR(INDEX('Kontoplan'!$B$3:$B$302,MATCH('Journal'!E1989,'Kontoplan'!$H$3:$H$302,0)),""))</f>
        <v/>
      </c>
      <c r="F3976" s="20">
        <f>IF('Journal'!F1989="","",'Journal'!F1989)</f>
        <v/>
      </c>
      <c r="G3976" s="20">
        <f>IF('Journal'!G1989="","",'Journal'!G1989)</f>
        <v/>
      </c>
      <c r="H3976" s="5">
        <f>IF('Journal'!I1989="","",'Journal'!I1989)</f>
        <v/>
      </c>
    </row>
    <row r="3977">
      <c r="A3977" s="18">
        <f>IF('Journal'!A1990="","",'Journal'!A1990)</f>
        <v/>
      </c>
      <c r="B3977" s="21">
        <f>IF('Journal'!B1990="","",'Journal'!B1990)</f>
        <v/>
      </c>
      <c r="C3977" s="5">
        <f>IF('Journal'!C1990="","",'Journal'!C1990)</f>
        <v/>
      </c>
      <c r="D3977" s="5">
        <f>IF('Journal'!D1990="","",IFERROR(LEFT('Journal'!D1990,FIND(" ",'Journal'!D1990)-1),'Journal'!D1990))</f>
        <v/>
      </c>
      <c r="E3977" s="5">
        <f>IF('Journal'!D1990="","",IFERROR(INDEX('Kontoplan'!$B$3:$B$302,MATCH('Journal'!D1990,'Kontoplan'!$H$3:$H$302,0)),""))</f>
        <v/>
      </c>
      <c r="F3977" s="20">
        <f>IF('Journal'!G1990="","",'Journal'!G1990)</f>
        <v/>
      </c>
      <c r="G3977" s="20">
        <f>IF('Journal'!F1990="","",'Journal'!F1990)</f>
        <v/>
      </c>
      <c r="H3977" s="5">
        <f>IF('Journal'!I1990="","",'Journal'!I1990)</f>
        <v/>
      </c>
    </row>
    <row r="3978">
      <c r="A3978" s="18">
        <f>IF('Journal'!A1990="","",'Journal'!A1990)</f>
        <v/>
      </c>
      <c r="B3978" s="21">
        <f>IF('Journal'!B1990="","",'Journal'!B1990)</f>
        <v/>
      </c>
      <c r="C3978" s="5">
        <f>IF('Journal'!C1990="","",'Journal'!C1990)</f>
        <v/>
      </c>
      <c r="D3978" s="5">
        <f>IF('Journal'!E1990="","",IFERROR(LEFT('Journal'!E1990,FIND(" ",'Journal'!E1990)-1),'Journal'!E1990))</f>
        <v/>
      </c>
      <c r="E3978" s="5">
        <f>IF('Journal'!E1990="","",IFERROR(INDEX('Kontoplan'!$B$3:$B$302,MATCH('Journal'!E1990,'Kontoplan'!$H$3:$H$302,0)),""))</f>
        <v/>
      </c>
      <c r="F3978" s="20">
        <f>IF('Journal'!F1990="","",'Journal'!F1990)</f>
        <v/>
      </c>
      <c r="G3978" s="20">
        <f>IF('Journal'!G1990="","",'Journal'!G1990)</f>
        <v/>
      </c>
      <c r="H3978" s="5">
        <f>IF('Journal'!I1990="","",'Journal'!I1990)</f>
        <v/>
      </c>
    </row>
    <row r="3979">
      <c r="A3979" s="18">
        <f>IF('Journal'!A1991="","",'Journal'!A1991)</f>
        <v/>
      </c>
      <c r="B3979" s="21">
        <f>IF('Journal'!B1991="","",'Journal'!B1991)</f>
        <v/>
      </c>
      <c r="C3979" s="5">
        <f>IF('Journal'!C1991="","",'Journal'!C1991)</f>
        <v/>
      </c>
      <c r="D3979" s="5">
        <f>IF('Journal'!D1991="","",IFERROR(LEFT('Journal'!D1991,FIND(" ",'Journal'!D1991)-1),'Journal'!D1991))</f>
        <v/>
      </c>
      <c r="E3979" s="5">
        <f>IF('Journal'!D1991="","",IFERROR(INDEX('Kontoplan'!$B$3:$B$302,MATCH('Journal'!D1991,'Kontoplan'!$H$3:$H$302,0)),""))</f>
        <v/>
      </c>
      <c r="F3979" s="20">
        <f>IF('Journal'!G1991="","",'Journal'!G1991)</f>
        <v/>
      </c>
      <c r="G3979" s="20">
        <f>IF('Journal'!F1991="","",'Journal'!F1991)</f>
        <v/>
      </c>
      <c r="H3979" s="5">
        <f>IF('Journal'!I1991="","",'Journal'!I1991)</f>
        <v/>
      </c>
    </row>
    <row r="3980">
      <c r="A3980" s="18">
        <f>IF('Journal'!A1991="","",'Journal'!A1991)</f>
        <v/>
      </c>
      <c r="B3980" s="21">
        <f>IF('Journal'!B1991="","",'Journal'!B1991)</f>
        <v/>
      </c>
      <c r="C3980" s="5">
        <f>IF('Journal'!C1991="","",'Journal'!C1991)</f>
        <v/>
      </c>
      <c r="D3980" s="5">
        <f>IF('Journal'!E1991="","",IFERROR(LEFT('Journal'!E1991,FIND(" ",'Journal'!E1991)-1),'Journal'!E1991))</f>
        <v/>
      </c>
      <c r="E3980" s="5">
        <f>IF('Journal'!E1991="","",IFERROR(INDEX('Kontoplan'!$B$3:$B$302,MATCH('Journal'!E1991,'Kontoplan'!$H$3:$H$302,0)),""))</f>
        <v/>
      </c>
      <c r="F3980" s="20">
        <f>IF('Journal'!F1991="","",'Journal'!F1991)</f>
        <v/>
      </c>
      <c r="G3980" s="20">
        <f>IF('Journal'!G1991="","",'Journal'!G1991)</f>
        <v/>
      </c>
      <c r="H3980" s="5">
        <f>IF('Journal'!I1991="","",'Journal'!I1991)</f>
        <v/>
      </c>
    </row>
    <row r="3981">
      <c r="A3981" s="18">
        <f>IF('Journal'!A1992="","",'Journal'!A1992)</f>
        <v/>
      </c>
      <c r="B3981" s="21">
        <f>IF('Journal'!B1992="","",'Journal'!B1992)</f>
        <v/>
      </c>
      <c r="C3981" s="5">
        <f>IF('Journal'!C1992="","",'Journal'!C1992)</f>
        <v/>
      </c>
      <c r="D3981" s="5">
        <f>IF('Journal'!D1992="","",IFERROR(LEFT('Journal'!D1992,FIND(" ",'Journal'!D1992)-1),'Journal'!D1992))</f>
        <v/>
      </c>
      <c r="E3981" s="5">
        <f>IF('Journal'!D1992="","",IFERROR(INDEX('Kontoplan'!$B$3:$B$302,MATCH('Journal'!D1992,'Kontoplan'!$H$3:$H$302,0)),""))</f>
        <v/>
      </c>
      <c r="F3981" s="20">
        <f>IF('Journal'!G1992="","",'Journal'!G1992)</f>
        <v/>
      </c>
      <c r="G3981" s="20">
        <f>IF('Journal'!F1992="","",'Journal'!F1992)</f>
        <v/>
      </c>
      <c r="H3981" s="5">
        <f>IF('Journal'!I1992="","",'Journal'!I1992)</f>
        <v/>
      </c>
    </row>
    <row r="3982">
      <c r="A3982" s="18">
        <f>IF('Journal'!A1992="","",'Journal'!A1992)</f>
        <v/>
      </c>
      <c r="B3982" s="21">
        <f>IF('Journal'!B1992="","",'Journal'!B1992)</f>
        <v/>
      </c>
      <c r="C3982" s="5">
        <f>IF('Journal'!C1992="","",'Journal'!C1992)</f>
        <v/>
      </c>
      <c r="D3982" s="5">
        <f>IF('Journal'!E1992="","",IFERROR(LEFT('Journal'!E1992,FIND(" ",'Journal'!E1992)-1),'Journal'!E1992))</f>
        <v/>
      </c>
      <c r="E3982" s="5">
        <f>IF('Journal'!E1992="","",IFERROR(INDEX('Kontoplan'!$B$3:$B$302,MATCH('Journal'!E1992,'Kontoplan'!$H$3:$H$302,0)),""))</f>
        <v/>
      </c>
      <c r="F3982" s="20">
        <f>IF('Journal'!F1992="","",'Journal'!F1992)</f>
        <v/>
      </c>
      <c r="G3982" s="20">
        <f>IF('Journal'!G1992="","",'Journal'!G1992)</f>
        <v/>
      </c>
      <c r="H3982" s="5">
        <f>IF('Journal'!I1992="","",'Journal'!I1992)</f>
        <v/>
      </c>
    </row>
    <row r="3983">
      <c r="A3983" s="18">
        <f>IF('Journal'!A1993="","",'Journal'!A1993)</f>
        <v/>
      </c>
      <c r="B3983" s="21">
        <f>IF('Journal'!B1993="","",'Journal'!B1993)</f>
        <v/>
      </c>
      <c r="C3983" s="5">
        <f>IF('Journal'!C1993="","",'Journal'!C1993)</f>
        <v/>
      </c>
      <c r="D3983" s="5">
        <f>IF('Journal'!D1993="","",IFERROR(LEFT('Journal'!D1993,FIND(" ",'Journal'!D1993)-1),'Journal'!D1993))</f>
        <v/>
      </c>
      <c r="E3983" s="5">
        <f>IF('Journal'!D1993="","",IFERROR(INDEX('Kontoplan'!$B$3:$B$302,MATCH('Journal'!D1993,'Kontoplan'!$H$3:$H$302,0)),""))</f>
        <v/>
      </c>
      <c r="F3983" s="20">
        <f>IF('Journal'!G1993="","",'Journal'!G1993)</f>
        <v/>
      </c>
      <c r="G3983" s="20">
        <f>IF('Journal'!F1993="","",'Journal'!F1993)</f>
        <v/>
      </c>
      <c r="H3983" s="5">
        <f>IF('Journal'!I1993="","",'Journal'!I1993)</f>
        <v/>
      </c>
    </row>
    <row r="3984">
      <c r="A3984" s="18">
        <f>IF('Journal'!A1993="","",'Journal'!A1993)</f>
        <v/>
      </c>
      <c r="B3984" s="21">
        <f>IF('Journal'!B1993="","",'Journal'!B1993)</f>
        <v/>
      </c>
      <c r="C3984" s="5">
        <f>IF('Journal'!C1993="","",'Journal'!C1993)</f>
        <v/>
      </c>
      <c r="D3984" s="5">
        <f>IF('Journal'!E1993="","",IFERROR(LEFT('Journal'!E1993,FIND(" ",'Journal'!E1993)-1),'Journal'!E1993))</f>
        <v/>
      </c>
      <c r="E3984" s="5">
        <f>IF('Journal'!E1993="","",IFERROR(INDEX('Kontoplan'!$B$3:$B$302,MATCH('Journal'!E1993,'Kontoplan'!$H$3:$H$302,0)),""))</f>
        <v/>
      </c>
      <c r="F3984" s="20">
        <f>IF('Journal'!F1993="","",'Journal'!F1993)</f>
        <v/>
      </c>
      <c r="G3984" s="20">
        <f>IF('Journal'!G1993="","",'Journal'!G1993)</f>
        <v/>
      </c>
      <c r="H3984" s="5">
        <f>IF('Journal'!I1993="","",'Journal'!I1993)</f>
        <v/>
      </c>
    </row>
    <row r="3985">
      <c r="A3985" s="18">
        <f>IF('Journal'!A1994="","",'Journal'!A1994)</f>
        <v/>
      </c>
      <c r="B3985" s="21">
        <f>IF('Journal'!B1994="","",'Journal'!B1994)</f>
        <v/>
      </c>
      <c r="C3985" s="5">
        <f>IF('Journal'!C1994="","",'Journal'!C1994)</f>
        <v/>
      </c>
      <c r="D3985" s="5">
        <f>IF('Journal'!D1994="","",IFERROR(LEFT('Journal'!D1994,FIND(" ",'Journal'!D1994)-1),'Journal'!D1994))</f>
        <v/>
      </c>
      <c r="E3985" s="5">
        <f>IF('Journal'!D1994="","",IFERROR(INDEX('Kontoplan'!$B$3:$B$302,MATCH('Journal'!D1994,'Kontoplan'!$H$3:$H$302,0)),""))</f>
        <v/>
      </c>
      <c r="F3985" s="20">
        <f>IF('Journal'!G1994="","",'Journal'!G1994)</f>
        <v/>
      </c>
      <c r="G3985" s="20">
        <f>IF('Journal'!F1994="","",'Journal'!F1994)</f>
        <v/>
      </c>
      <c r="H3985" s="5">
        <f>IF('Journal'!I1994="","",'Journal'!I1994)</f>
        <v/>
      </c>
    </row>
    <row r="3986">
      <c r="A3986" s="18">
        <f>IF('Journal'!A1994="","",'Journal'!A1994)</f>
        <v/>
      </c>
      <c r="B3986" s="21">
        <f>IF('Journal'!B1994="","",'Journal'!B1994)</f>
        <v/>
      </c>
      <c r="C3986" s="5">
        <f>IF('Journal'!C1994="","",'Journal'!C1994)</f>
        <v/>
      </c>
      <c r="D3986" s="5">
        <f>IF('Journal'!E1994="","",IFERROR(LEFT('Journal'!E1994,FIND(" ",'Journal'!E1994)-1),'Journal'!E1994))</f>
        <v/>
      </c>
      <c r="E3986" s="5">
        <f>IF('Journal'!E1994="","",IFERROR(INDEX('Kontoplan'!$B$3:$B$302,MATCH('Journal'!E1994,'Kontoplan'!$H$3:$H$302,0)),""))</f>
        <v/>
      </c>
      <c r="F3986" s="20">
        <f>IF('Journal'!F1994="","",'Journal'!F1994)</f>
        <v/>
      </c>
      <c r="G3986" s="20">
        <f>IF('Journal'!G1994="","",'Journal'!G1994)</f>
        <v/>
      </c>
      <c r="H3986" s="5">
        <f>IF('Journal'!I1994="","",'Journal'!I1994)</f>
        <v/>
      </c>
    </row>
    <row r="3987">
      <c r="A3987" s="18">
        <f>IF('Journal'!A1995="","",'Journal'!A1995)</f>
        <v/>
      </c>
      <c r="B3987" s="21">
        <f>IF('Journal'!B1995="","",'Journal'!B1995)</f>
        <v/>
      </c>
      <c r="C3987" s="5">
        <f>IF('Journal'!C1995="","",'Journal'!C1995)</f>
        <v/>
      </c>
      <c r="D3987" s="5">
        <f>IF('Journal'!D1995="","",IFERROR(LEFT('Journal'!D1995,FIND(" ",'Journal'!D1995)-1),'Journal'!D1995))</f>
        <v/>
      </c>
      <c r="E3987" s="5">
        <f>IF('Journal'!D1995="","",IFERROR(INDEX('Kontoplan'!$B$3:$B$302,MATCH('Journal'!D1995,'Kontoplan'!$H$3:$H$302,0)),""))</f>
        <v/>
      </c>
      <c r="F3987" s="20">
        <f>IF('Journal'!G1995="","",'Journal'!G1995)</f>
        <v/>
      </c>
      <c r="G3987" s="20">
        <f>IF('Journal'!F1995="","",'Journal'!F1995)</f>
        <v/>
      </c>
      <c r="H3987" s="5">
        <f>IF('Journal'!I1995="","",'Journal'!I1995)</f>
        <v/>
      </c>
    </row>
    <row r="3988">
      <c r="A3988" s="18">
        <f>IF('Journal'!A1995="","",'Journal'!A1995)</f>
        <v/>
      </c>
      <c r="B3988" s="21">
        <f>IF('Journal'!B1995="","",'Journal'!B1995)</f>
        <v/>
      </c>
      <c r="C3988" s="5">
        <f>IF('Journal'!C1995="","",'Journal'!C1995)</f>
        <v/>
      </c>
      <c r="D3988" s="5">
        <f>IF('Journal'!E1995="","",IFERROR(LEFT('Journal'!E1995,FIND(" ",'Journal'!E1995)-1),'Journal'!E1995))</f>
        <v/>
      </c>
      <c r="E3988" s="5">
        <f>IF('Journal'!E1995="","",IFERROR(INDEX('Kontoplan'!$B$3:$B$302,MATCH('Journal'!E1995,'Kontoplan'!$H$3:$H$302,0)),""))</f>
        <v/>
      </c>
      <c r="F3988" s="20">
        <f>IF('Journal'!F1995="","",'Journal'!F1995)</f>
        <v/>
      </c>
      <c r="G3988" s="20">
        <f>IF('Journal'!G1995="","",'Journal'!G1995)</f>
        <v/>
      </c>
      <c r="H3988" s="5">
        <f>IF('Journal'!I1995="","",'Journal'!I1995)</f>
        <v/>
      </c>
    </row>
    <row r="3989">
      <c r="A3989" s="18">
        <f>IF('Journal'!A1996="","",'Journal'!A1996)</f>
        <v/>
      </c>
      <c r="B3989" s="21">
        <f>IF('Journal'!B1996="","",'Journal'!B1996)</f>
        <v/>
      </c>
      <c r="C3989" s="5">
        <f>IF('Journal'!C1996="","",'Journal'!C1996)</f>
        <v/>
      </c>
      <c r="D3989" s="5">
        <f>IF('Journal'!D1996="","",IFERROR(LEFT('Journal'!D1996,FIND(" ",'Journal'!D1996)-1),'Journal'!D1996))</f>
        <v/>
      </c>
      <c r="E3989" s="5">
        <f>IF('Journal'!D1996="","",IFERROR(INDEX('Kontoplan'!$B$3:$B$302,MATCH('Journal'!D1996,'Kontoplan'!$H$3:$H$302,0)),""))</f>
        <v/>
      </c>
      <c r="F3989" s="20">
        <f>IF('Journal'!G1996="","",'Journal'!G1996)</f>
        <v/>
      </c>
      <c r="G3989" s="20">
        <f>IF('Journal'!F1996="","",'Journal'!F1996)</f>
        <v/>
      </c>
      <c r="H3989" s="5">
        <f>IF('Journal'!I1996="","",'Journal'!I1996)</f>
        <v/>
      </c>
    </row>
    <row r="3990">
      <c r="A3990" s="18">
        <f>IF('Journal'!A1996="","",'Journal'!A1996)</f>
        <v/>
      </c>
      <c r="B3990" s="21">
        <f>IF('Journal'!B1996="","",'Journal'!B1996)</f>
        <v/>
      </c>
      <c r="C3990" s="5">
        <f>IF('Journal'!C1996="","",'Journal'!C1996)</f>
        <v/>
      </c>
      <c r="D3990" s="5">
        <f>IF('Journal'!E1996="","",IFERROR(LEFT('Journal'!E1996,FIND(" ",'Journal'!E1996)-1),'Journal'!E1996))</f>
        <v/>
      </c>
      <c r="E3990" s="5">
        <f>IF('Journal'!E1996="","",IFERROR(INDEX('Kontoplan'!$B$3:$B$302,MATCH('Journal'!E1996,'Kontoplan'!$H$3:$H$302,0)),""))</f>
        <v/>
      </c>
      <c r="F3990" s="20">
        <f>IF('Journal'!F1996="","",'Journal'!F1996)</f>
        <v/>
      </c>
      <c r="G3990" s="20">
        <f>IF('Journal'!G1996="","",'Journal'!G1996)</f>
        <v/>
      </c>
      <c r="H3990" s="5">
        <f>IF('Journal'!I1996="","",'Journal'!I1996)</f>
        <v/>
      </c>
    </row>
    <row r="3991">
      <c r="A3991" s="18">
        <f>IF('Journal'!A1997="","",'Journal'!A1997)</f>
        <v/>
      </c>
      <c r="B3991" s="21">
        <f>IF('Journal'!B1997="","",'Journal'!B1997)</f>
        <v/>
      </c>
      <c r="C3991" s="5">
        <f>IF('Journal'!C1997="","",'Journal'!C1997)</f>
        <v/>
      </c>
      <c r="D3991" s="5">
        <f>IF('Journal'!D1997="","",IFERROR(LEFT('Journal'!D1997,FIND(" ",'Journal'!D1997)-1),'Journal'!D1997))</f>
        <v/>
      </c>
      <c r="E3991" s="5">
        <f>IF('Journal'!D1997="","",IFERROR(INDEX('Kontoplan'!$B$3:$B$302,MATCH('Journal'!D1997,'Kontoplan'!$H$3:$H$302,0)),""))</f>
        <v/>
      </c>
      <c r="F3991" s="20">
        <f>IF('Journal'!G1997="","",'Journal'!G1997)</f>
        <v/>
      </c>
      <c r="G3991" s="20">
        <f>IF('Journal'!F1997="","",'Journal'!F1997)</f>
        <v/>
      </c>
      <c r="H3991" s="5">
        <f>IF('Journal'!I1997="","",'Journal'!I1997)</f>
        <v/>
      </c>
    </row>
    <row r="3992">
      <c r="A3992" s="18">
        <f>IF('Journal'!A1997="","",'Journal'!A1997)</f>
        <v/>
      </c>
      <c r="B3992" s="21">
        <f>IF('Journal'!B1997="","",'Journal'!B1997)</f>
        <v/>
      </c>
      <c r="C3992" s="5">
        <f>IF('Journal'!C1997="","",'Journal'!C1997)</f>
        <v/>
      </c>
      <c r="D3992" s="5">
        <f>IF('Journal'!E1997="","",IFERROR(LEFT('Journal'!E1997,FIND(" ",'Journal'!E1997)-1),'Journal'!E1997))</f>
        <v/>
      </c>
      <c r="E3992" s="5">
        <f>IF('Journal'!E1997="","",IFERROR(INDEX('Kontoplan'!$B$3:$B$302,MATCH('Journal'!E1997,'Kontoplan'!$H$3:$H$302,0)),""))</f>
        <v/>
      </c>
      <c r="F3992" s="20">
        <f>IF('Journal'!F1997="","",'Journal'!F1997)</f>
        <v/>
      </c>
      <c r="G3992" s="20">
        <f>IF('Journal'!G1997="","",'Journal'!G1997)</f>
        <v/>
      </c>
      <c r="H3992" s="5">
        <f>IF('Journal'!I1997="","",'Journal'!I1997)</f>
        <v/>
      </c>
    </row>
    <row r="3993">
      <c r="A3993" s="18">
        <f>IF('Journal'!A1998="","",'Journal'!A1998)</f>
        <v/>
      </c>
      <c r="B3993" s="21">
        <f>IF('Journal'!B1998="","",'Journal'!B1998)</f>
        <v/>
      </c>
      <c r="C3993" s="5">
        <f>IF('Journal'!C1998="","",'Journal'!C1998)</f>
        <v/>
      </c>
      <c r="D3993" s="5">
        <f>IF('Journal'!D1998="","",IFERROR(LEFT('Journal'!D1998,FIND(" ",'Journal'!D1998)-1),'Journal'!D1998))</f>
        <v/>
      </c>
      <c r="E3993" s="5">
        <f>IF('Journal'!D1998="","",IFERROR(INDEX('Kontoplan'!$B$3:$B$302,MATCH('Journal'!D1998,'Kontoplan'!$H$3:$H$302,0)),""))</f>
        <v/>
      </c>
      <c r="F3993" s="20">
        <f>IF('Journal'!G1998="","",'Journal'!G1998)</f>
        <v/>
      </c>
      <c r="G3993" s="20">
        <f>IF('Journal'!F1998="","",'Journal'!F1998)</f>
        <v/>
      </c>
      <c r="H3993" s="5">
        <f>IF('Journal'!I1998="","",'Journal'!I1998)</f>
        <v/>
      </c>
    </row>
    <row r="3994">
      <c r="A3994" s="18">
        <f>IF('Journal'!A1998="","",'Journal'!A1998)</f>
        <v/>
      </c>
      <c r="B3994" s="21">
        <f>IF('Journal'!B1998="","",'Journal'!B1998)</f>
        <v/>
      </c>
      <c r="C3994" s="5">
        <f>IF('Journal'!C1998="","",'Journal'!C1998)</f>
        <v/>
      </c>
      <c r="D3994" s="5">
        <f>IF('Journal'!E1998="","",IFERROR(LEFT('Journal'!E1998,FIND(" ",'Journal'!E1998)-1),'Journal'!E1998))</f>
        <v/>
      </c>
      <c r="E3994" s="5">
        <f>IF('Journal'!E1998="","",IFERROR(INDEX('Kontoplan'!$B$3:$B$302,MATCH('Journal'!E1998,'Kontoplan'!$H$3:$H$302,0)),""))</f>
        <v/>
      </c>
      <c r="F3994" s="20">
        <f>IF('Journal'!F1998="","",'Journal'!F1998)</f>
        <v/>
      </c>
      <c r="G3994" s="20">
        <f>IF('Journal'!G1998="","",'Journal'!G1998)</f>
        <v/>
      </c>
      <c r="H3994" s="5">
        <f>IF('Journal'!I1998="","",'Journal'!I1998)</f>
        <v/>
      </c>
    </row>
    <row r="3995">
      <c r="A3995" s="18">
        <f>IF('Journal'!A1999="","",'Journal'!A1999)</f>
        <v/>
      </c>
      <c r="B3995" s="21">
        <f>IF('Journal'!B1999="","",'Journal'!B1999)</f>
        <v/>
      </c>
      <c r="C3995" s="5">
        <f>IF('Journal'!C1999="","",'Journal'!C1999)</f>
        <v/>
      </c>
      <c r="D3995" s="5">
        <f>IF('Journal'!D1999="","",IFERROR(LEFT('Journal'!D1999,FIND(" ",'Journal'!D1999)-1),'Journal'!D1999))</f>
        <v/>
      </c>
      <c r="E3995" s="5">
        <f>IF('Journal'!D1999="","",IFERROR(INDEX('Kontoplan'!$B$3:$B$302,MATCH('Journal'!D1999,'Kontoplan'!$H$3:$H$302,0)),""))</f>
        <v/>
      </c>
      <c r="F3995" s="20">
        <f>IF('Journal'!G1999="","",'Journal'!G1999)</f>
        <v/>
      </c>
      <c r="G3995" s="20">
        <f>IF('Journal'!F1999="","",'Journal'!F1999)</f>
        <v/>
      </c>
      <c r="H3995" s="5">
        <f>IF('Journal'!I1999="","",'Journal'!I1999)</f>
        <v/>
      </c>
    </row>
    <row r="3996">
      <c r="A3996" s="18">
        <f>IF('Journal'!A1999="","",'Journal'!A1999)</f>
        <v/>
      </c>
      <c r="B3996" s="21">
        <f>IF('Journal'!B1999="","",'Journal'!B1999)</f>
        <v/>
      </c>
      <c r="C3996" s="5">
        <f>IF('Journal'!C1999="","",'Journal'!C1999)</f>
        <v/>
      </c>
      <c r="D3996" s="5">
        <f>IF('Journal'!E1999="","",IFERROR(LEFT('Journal'!E1999,FIND(" ",'Journal'!E1999)-1),'Journal'!E1999))</f>
        <v/>
      </c>
      <c r="E3996" s="5">
        <f>IF('Journal'!E1999="","",IFERROR(INDEX('Kontoplan'!$B$3:$B$302,MATCH('Journal'!E1999,'Kontoplan'!$H$3:$H$302,0)),""))</f>
        <v/>
      </c>
      <c r="F3996" s="20">
        <f>IF('Journal'!F1999="","",'Journal'!F1999)</f>
        <v/>
      </c>
      <c r="G3996" s="20">
        <f>IF('Journal'!G1999="","",'Journal'!G1999)</f>
        <v/>
      </c>
      <c r="H3996" s="5">
        <f>IF('Journal'!I1999="","",'Journal'!I1999)</f>
        <v/>
      </c>
    </row>
    <row r="3997">
      <c r="A3997" s="18">
        <f>IF('Journal'!A2000="","",'Journal'!A2000)</f>
        <v/>
      </c>
      <c r="B3997" s="21">
        <f>IF('Journal'!B2000="","",'Journal'!B2000)</f>
        <v/>
      </c>
      <c r="C3997" s="5">
        <f>IF('Journal'!C2000="","",'Journal'!C2000)</f>
        <v/>
      </c>
      <c r="D3997" s="5">
        <f>IF('Journal'!D2000="","",IFERROR(LEFT('Journal'!D2000,FIND(" ",'Journal'!D2000)-1),'Journal'!D2000))</f>
        <v/>
      </c>
      <c r="E3997" s="5">
        <f>IF('Journal'!D2000="","",IFERROR(INDEX('Kontoplan'!$B$3:$B$302,MATCH('Journal'!D2000,'Kontoplan'!$H$3:$H$302,0)),""))</f>
        <v/>
      </c>
      <c r="F3997" s="20">
        <f>IF('Journal'!G2000="","",'Journal'!G2000)</f>
        <v/>
      </c>
      <c r="G3997" s="20">
        <f>IF('Journal'!F2000="","",'Journal'!F2000)</f>
        <v/>
      </c>
      <c r="H3997" s="5">
        <f>IF('Journal'!I2000="","",'Journal'!I2000)</f>
        <v/>
      </c>
    </row>
    <row r="3998">
      <c r="A3998" s="18">
        <f>IF('Journal'!A2000="","",'Journal'!A2000)</f>
        <v/>
      </c>
      <c r="B3998" s="21">
        <f>IF('Journal'!B2000="","",'Journal'!B2000)</f>
        <v/>
      </c>
      <c r="C3998" s="5">
        <f>IF('Journal'!C2000="","",'Journal'!C2000)</f>
        <v/>
      </c>
      <c r="D3998" s="5">
        <f>IF('Journal'!E2000="","",IFERROR(LEFT('Journal'!E2000,FIND(" ",'Journal'!E2000)-1),'Journal'!E2000))</f>
        <v/>
      </c>
      <c r="E3998" s="5">
        <f>IF('Journal'!E2000="","",IFERROR(INDEX('Kontoplan'!$B$3:$B$302,MATCH('Journal'!E2000,'Kontoplan'!$H$3:$H$302,0)),""))</f>
        <v/>
      </c>
      <c r="F3998" s="20">
        <f>IF('Journal'!F2000="","",'Journal'!F2000)</f>
        <v/>
      </c>
      <c r="G3998" s="20">
        <f>IF('Journal'!G2000="","",'Journal'!G2000)</f>
        <v/>
      </c>
      <c r="H3998" s="5">
        <f>IF('Journal'!I2000="","",'Journal'!I2000)</f>
        <v/>
      </c>
    </row>
    <row r="3999">
      <c r="A3999" s="18">
        <f>IF('Journal'!A2001="","",'Journal'!A2001)</f>
        <v/>
      </c>
      <c r="B3999" s="21">
        <f>IF('Journal'!B2001="","",'Journal'!B2001)</f>
        <v/>
      </c>
      <c r="C3999" s="5">
        <f>IF('Journal'!C2001="","",'Journal'!C2001)</f>
        <v/>
      </c>
      <c r="D3999" s="5">
        <f>IF('Journal'!D2001="","",IFERROR(LEFT('Journal'!D2001,FIND(" ",'Journal'!D2001)-1),'Journal'!D2001))</f>
        <v/>
      </c>
      <c r="E3999" s="5">
        <f>IF('Journal'!D2001="","",IFERROR(INDEX('Kontoplan'!$B$3:$B$302,MATCH('Journal'!D2001,'Kontoplan'!$H$3:$H$302,0)),""))</f>
        <v/>
      </c>
      <c r="F3999" s="20">
        <f>IF('Journal'!G2001="","",'Journal'!G2001)</f>
        <v/>
      </c>
      <c r="G3999" s="20">
        <f>IF('Journal'!F2001="","",'Journal'!F2001)</f>
        <v/>
      </c>
      <c r="H3999" s="5">
        <f>IF('Journal'!I2001="","",'Journal'!I2001)</f>
        <v/>
      </c>
    </row>
    <row r="4000">
      <c r="A4000" s="18">
        <f>IF('Journal'!A2001="","",'Journal'!A2001)</f>
        <v/>
      </c>
      <c r="B4000" s="21">
        <f>IF('Journal'!B2001="","",'Journal'!B2001)</f>
        <v/>
      </c>
      <c r="C4000" s="5">
        <f>IF('Journal'!C2001="","",'Journal'!C2001)</f>
        <v/>
      </c>
      <c r="D4000" s="5">
        <f>IF('Journal'!E2001="","",IFERROR(LEFT('Journal'!E2001,FIND(" ",'Journal'!E2001)-1),'Journal'!E2001))</f>
        <v/>
      </c>
      <c r="E4000" s="5">
        <f>IF('Journal'!E2001="","",IFERROR(INDEX('Kontoplan'!$B$3:$B$302,MATCH('Journal'!E2001,'Kontoplan'!$H$3:$H$302,0)),""))</f>
        <v/>
      </c>
      <c r="F4000" s="20">
        <f>IF('Journal'!F2001="","",'Journal'!F2001)</f>
        <v/>
      </c>
      <c r="G4000" s="20">
        <f>IF('Journal'!G2001="","",'Journal'!G2001)</f>
        <v/>
      </c>
      <c r="H4000" s="5">
        <f>IF('Journal'!I2001="","",'Journal'!I2001)</f>
        <v/>
      </c>
    </row>
    <row r="4001">
      <c r="A4001" s="18">
        <f>IF('Journal'!A2002="","",'Journal'!A2002)</f>
        <v/>
      </c>
      <c r="B4001" s="21">
        <f>IF('Journal'!B2002="","",'Journal'!B2002)</f>
        <v/>
      </c>
      <c r="C4001" s="5">
        <f>IF('Journal'!C2002="","",'Journal'!C2002)</f>
        <v/>
      </c>
      <c r="D4001" s="5">
        <f>IF('Journal'!D2002="","",IFERROR(LEFT('Journal'!D2002,FIND(" ",'Journal'!D2002)-1),'Journal'!D2002))</f>
        <v/>
      </c>
      <c r="E4001" s="5">
        <f>IF('Journal'!D2002="","",IFERROR(INDEX('Kontoplan'!$B$3:$B$302,MATCH('Journal'!D2002,'Kontoplan'!$H$3:$H$302,0)),""))</f>
        <v/>
      </c>
      <c r="F4001" s="20">
        <f>IF('Journal'!G2002="","",'Journal'!G2002)</f>
        <v/>
      </c>
      <c r="G4001" s="20">
        <f>IF('Journal'!F2002="","",'Journal'!F2002)</f>
        <v/>
      </c>
      <c r="H4001" s="5">
        <f>IF('Journal'!I2002="","",'Journal'!I2002)</f>
        <v/>
      </c>
    </row>
    <row r="4002">
      <c r="A4002" s="18">
        <f>IF('Journal'!A2002="","",'Journal'!A2002)</f>
        <v/>
      </c>
      <c r="B4002" s="21">
        <f>IF('Journal'!B2002="","",'Journal'!B2002)</f>
        <v/>
      </c>
      <c r="C4002" s="5">
        <f>IF('Journal'!C2002="","",'Journal'!C2002)</f>
        <v/>
      </c>
      <c r="D4002" s="5">
        <f>IF('Journal'!E2002="","",IFERROR(LEFT('Journal'!E2002,FIND(" ",'Journal'!E2002)-1),'Journal'!E2002))</f>
        <v/>
      </c>
      <c r="E4002" s="5">
        <f>IF('Journal'!E2002="","",IFERROR(INDEX('Kontoplan'!$B$3:$B$302,MATCH('Journal'!E2002,'Kontoplan'!$H$3:$H$302,0)),""))</f>
        <v/>
      </c>
      <c r="F4002" s="20">
        <f>IF('Journal'!F2002="","",'Journal'!F2002)</f>
        <v/>
      </c>
      <c r="G4002" s="20">
        <f>IF('Journal'!G2002="","",'Journal'!G2002)</f>
        <v/>
      </c>
      <c r="H4002" s="5">
        <f>IF('Journal'!I2002="","",'Journal'!I2002)</f>
        <v/>
      </c>
    </row>
    <row r="4003">
      <c r="A4003" s="15" t="inlineStr">
        <is>
          <t>Sum</t>
        </is>
      </c>
      <c r="F4003" s="16">
        <f>SUM(F3:F4002)</f>
        <v/>
      </c>
      <c r="G4003" s="16">
        <f>SUM(G3:G4002)</f>
        <v/>
      </c>
    </row>
    <row r="4004">
      <c r="A4004" s="15" t="inlineStr">
        <is>
          <t>Differanse (skal være 0)</t>
        </is>
      </c>
      <c r="G4004" s="16">
        <f>F4003-G4003</f>
        <v/>
      </c>
    </row>
  </sheetData>
  <sheetProtection selectLockedCells="0" selectUnlockedCells="0" sheet="1" objects="0" insertRows="1" insertHyperlinks="1" autoFilter="1" scenarios="0" formatColumns="1" deleteColumns="1" insertColumns="1" pivotTables="1" deleteRows="1" formatCells="1" formatRows="1" sort="1"/>
  <mergeCells count="1">
    <mergeCell ref="A2:H2"/>
  </mergeCells>
  <conditionalFormatting sqref="G4004">
    <cfRule type="expression" priority="1" dxfId="0" stopIfTrue="0">
      <formula>ROUND(G4004,2)&lt;&gt;0</formula>
    </cfRule>
  </conditionalFormatting>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102"/>
  <sheetViews>
    <sheetView workbookViewId="0">
      <pane ySplit="2" topLeftCell="A3" activePane="bottomLeft" state="frozen"/>
      <selection pane="bottomLeft" activeCell="A1" sqref="A1"/>
    </sheetView>
  </sheetViews>
  <sheetFormatPr baseColWidth="8" defaultRowHeight="15"/>
  <cols>
    <col width="12" customWidth="1" min="1" max="1"/>
    <col width="30" customWidth="1" min="2" max="2"/>
    <col width="7" customWidth="1" min="3" max="3"/>
    <col width="16" customWidth="1" min="4" max="4"/>
    <col width="18" customWidth="1" min="5" max="5"/>
    <col width="14" customWidth="1" min="6" max="6"/>
    <col width="14" customWidth="1" min="7" max="7"/>
    <col width="16" customWidth="1" min="8" max="8"/>
    <col width="18" customWidth="1" min="9" max="9"/>
    <col width="14" customWidth="1" min="10" max="10"/>
    <col width="16" customWidth="1" min="11" max="11"/>
    <col width="14" customWidth="1" min="12" max="12"/>
    <col width="30" customWidth="1" min="13" max="13"/>
  </cols>
  <sheetData>
    <row r="1">
      <c r="A1" s="10" t="inlineStr">
        <is>
          <t>Org.nr.</t>
        </is>
      </c>
      <c r="B1" s="10" t="inlineStr">
        <is>
          <t>Selskapets navn</t>
        </is>
      </c>
      <c r="C1" s="10" t="inlineStr">
        <is>
          <t>Land</t>
        </is>
      </c>
      <c r="D1" s="10" t="inlineStr">
        <is>
          <t>Utenlandsk ID</t>
        </is>
      </c>
      <c r="E1" s="10" t="inlineStr">
        <is>
          <t>Type</t>
        </is>
      </c>
      <c r="F1" s="10" t="inlineStr">
        <is>
          <t>Eierandel 31.12.2027 (%)</t>
        </is>
      </c>
      <c r="G1" s="10" t="inlineStr">
        <is>
          <t>Stemmeandel (%) hvis annen</t>
        </is>
      </c>
      <c r="H1" s="10" t="inlineStr">
        <is>
          <t>Kostpris</t>
        </is>
      </c>
      <c r="I1" s="10" t="inlineStr">
        <is>
          <t>Bokført verdi 31.12.2027 (bare ved delt konto)</t>
        </is>
      </c>
      <c r="J1" s="10" t="inlineStr">
        <is>
          <t>Dato utbytte ble vedtatt</t>
        </is>
      </c>
      <c r="K1" s="10" t="inlineStr">
        <is>
          <t>Markedsverdi 31.12.2027</t>
        </is>
      </c>
      <c r="L1" s="10" t="inlineStr">
        <is>
          <t>Andel aksjer i fondet (%)</t>
        </is>
      </c>
      <c r="M1" s="10" t="inlineStr">
        <is>
          <t>Merknad</t>
        </is>
      </c>
    </row>
    <row r="2" ht="30" customHeight="1">
      <c r="A2" s="11" t="inlineStr">
        <is>
          <t>Én rad per selskap eller fond selskapet eier. Beløpene henter vi fra «Journal». Fyll bare ut bokført verdi hvis flere aksjeposter står på samme konto.</t>
        </is>
      </c>
    </row>
    <row r="3">
      <c r="A3" s="6" t="n"/>
      <c r="B3" s="8" t="n"/>
      <c r="C3" s="8" t="n"/>
      <c r="D3" s="6" t="n"/>
      <c r="E3" s="8" t="n"/>
      <c r="F3" s="22" t="n"/>
      <c r="G3" s="22" t="n"/>
      <c r="H3" s="14" t="n"/>
      <c r="I3" s="14" t="n"/>
      <c r="J3" s="9" t="n"/>
      <c r="K3" s="14" t="n"/>
      <c r="L3" s="22" t="n"/>
      <c r="M3" s="8" t="n"/>
    </row>
    <row r="4">
      <c r="A4" s="6" t="n"/>
      <c r="B4" s="8" t="n"/>
      <c r="C4" s="8" t="n"/>
      <c r="D4" s="6" t="n"/>
      <c r="E4" s="8" t="n"/>
      <c r="F4" s="22" t="n"/>
      <c r="G4" s="22" t="n"/>
      <c r="H4" s="14" t="n"/>
      <c r="I4" s="14" t="n"/>
      <c r="J4" s="9" t="n"/>
      <c r="K4" s="14" t="n"/>
      <c r="L4" s="22" t="n"/>
      <c r="M4" s="8" t="n"/>
    </row>
    <row r="5">
      <c r="A5" s="6" t="n"/>
      <c r="B5" s="8" t="n"/>
      <c r="C5" s="8" t="n"/>
      <c r="D5" s="6" t="n"/>
      <c r="E5" s="8" t="n"/>
      <c r="F5" s="22" t="n"/>
      <c r="G5" s="22" t="n"/>
      <c r="H5" s="14" t="n"/>
      <c r="I5" s="14" t="n"/>
      <c r="J5" s="9" t="n"/>
      <c r="K5" s="14" t="n"/>
      <c r="L5" s="22" t="n"/>
      <c r="M5" s="8" t="n"/>
    </row>
    <row r="6">
      <c r="A6" s="6" t="n"/>
      <c r="B6" s="8" t="n"/>
      <c r="C6" s="8" t="n"/>
      <c r="D6" s="6" t="n"/>
      <c r="E6" s="8" t="n"/>
      <c r="F6" s="22" t="n"/>
      <c r="G6" s="22" t="n"/>
      <c r="H6" s="14" t="n"/>
      <c r="I6" s="14" t="n"/>
      <c r="J6" s="9" t="n"/>
      <c r="K6" s="14" t="n"/>
      <c r="L6" s="22" t="n"/>
      <c r="M6" s="8" t="n"/>
    </row>
    <row r="7">
      <c r="A7" s="6" t="n"/>
      <c r="B7" s="8" t="n"/>
      <c r="C7" s="8" t="n"/>
      <c r="D7" s="6" t="n"/>
      <c r="E7" s="8" t="n"/>
      <c r="F7" s="22" t="n"/>
      <c r="G7" s="22" t="n"/>
      <c r="H7" s="14" t="n"/>
      <c r="I7" s="14" t="n"/>
      <c r="J7" s="9" t="n"/>
      <c r="K7" s="14" t="n"/>
      <c r="L7" s="22" t="n"/>
      <c r="M7" s="8" t="n"/>
    </row>
    <row r="8">
      <c r="A8" s="6" t="n"/>
      <c r="B8" s="8" t="n"/>
      <c r="C8" s="8" t="n"/>
      <c r="D8" s="6" t="n"/>
      <c r="E8" s="8" t="n"/>
      <c r="F8" s="22" t="n"/>
      <c r="G8" s="22" t="n"/>
      <c r="H8" s="14" t="n"/>
      <c r="I8" s="14" t="n"/>
      <c r="J8" s="9" t="n"/>
      <c r="K8" s="14" t="n"/>
      <c r="L8" s="22" t="n"/>
      <c r="M8" s="8" t="n"/>
    </row>
    <row r="9">
      <c r="A9" s="6" t="n"/>
      <c r="B9" s="8" t="n"/>
      <c r="C9" s="8" t="n"/>
      <c r="D9" s="6" t="n"/>
      <c r="E9" s="8" t="n"/>
      <c r="F9" s="22" t="n"/>
      <c r="G9" s="22" t="n"/>
      <c r="H9" s="14" t="n"/>
      <c r="I9" s="14" t="n"/>
      <c r="J9" s="9" t="n"/>
      <c r="K9" s="14" t="n"/>
      <c r="L9" s="22" t="n"/>
      <c r="M9" s="8" t="n"/>
    </row>
    <row r="10">
      <c r="A10" s="6" t="n"/>
      <c r="B10" s="8" t="n"/>
      <c r="C10" s="8" t="n"/>
      <c r="D10" s="6" t="n"/>
      <c r="E10" s="8" t="n"/>
      <c r="F10" s="22" t="n"/>
      <c r="G10" s="22" t="n"/>
      <c r="H10" s="14" t="n"/>
      <c r="I10" s="14" t="n"/>
      <c r="J10" s="9" t="n"/>
      <c r="K10" s="14" t="n"/>
      <c r="L10" s="22" t="n"/>
      <c r="M10" s="8" t="n"/>
    </row>
    <row r="11">
      <c r="A11" s="6" t="n"/>
      <c r="B11" s="8" t="n"/>
      <c r="C11" s="8" t="n"/>
      <c r="D11" s="6" t="n"/>
      <c r="E11" s="8" t="n"/>
      <c r="F11" s="22" t="n"/>
      <c r="G11" s="22" t="n"/>
      <c r="H11" s="14" t="n"/>
      <c r="I11" s="14" t="n"/>
      <c r="J11" s="9" t="n"/>
      <c r="K11" s="14" t="n"/>
      <c r="L11" s="22" t="n"/>
      <c r="M11" s="8" t="n"/>
    </row>
    <row r="12">
      <c r="A12" s="6" t="n"/>
      <c r="B12" s="8" t="n"/>
      <c r="C12" s="8" t="n"/>
      <c r="D12" s="6" t="n"/>
      <c r="E12" s="8" t="n"/>
      <c r="F12" s="22" t="n"/>
      <c r="G12" s="22" t="n"/>
      <c r="H12" s="14" t="n"/>
      <c r="I12" s="14" t="n"/>
      <c r="J12" s="9" t="n"/>
      <c r="K12" s="14" t="n"/>
      <c r="L12" s="22" t="n"/>
      <c r="M12" s="8" t="n"/>
    </row>
    <row r="13">
      <c r="A13" s="6" t="n"/>
      <c r="B13" s="8" t="n"/>
      <c r="C13" s="8" t="n"/>
      <c r="D13" s="6" t="n"/>
      <c r="E13" s="8" t="n"/>
      <c r="F13" s="22" t="n"/>
      <c r="G13" s="22" t="n"/>
      <c r="H13" s="14" t="n"/>
      <c r="I13" s="14" t="n"/>
      <c r="J13" s="9" t="n"/>
      <c r="K13" s="14" t="n"/>
      <c r="L13" s="22" t="n"/>
      <c r="M13" s="8" t="n"/>
    </row>
    <row r="14">
      <c r="A14" s="6" t="n"/>
      <c r="B14" s="8" t="n"/>
      <c r="C14" s="8" t="n"/>
      <c r="D14" s="6" t="n"/>
      <c r="E14" s="8" t="n"/>
      <c r="F14" s="22" t="n"/>
      <c r="G14" s="22" t="n"/>
      <c r="H14" s="14" t="n"/>
      <c r="I14" s="14" t="n"/>
      <c r="J14" s="9" t="n"/>
      <c r="K14" s="14" t="n"/>
      <c r="L14" s="22" t="n"/>
      <c r="M14" s="8" t="n"/>
    </row>
    <row r="15">
      <c r="A15" s="6" t="n"/>
      <c r="B15" s="8" t="n"/>
      <c r="C15" s="8" t="n"/>
      <c r="D15" s="6" t="n"/>
      <c r="E15" s="8" t="n"/>
      <c r="F15" s="22" t="n"/>
      <c r="G15" s="22" t="n"/>
      <c r="H15" s="14" t="n"/>
      <c r="I15" s="14" t="n"/>
      <c r="J15" s="9" t="n"/>
      <c r="K15" s="14" t="n"/>
      <c r="L15" s="22" t="n"/>
      <c r="M15" s="8" t="n"/>
    </row>
    <row r="16">
      <c r="A16" s="6" t="n"/>
      <c r="B16" s="8" t="n"/>
      <c r="C16" s="8" t="n"/>
      <c r="D16" s="6" t="n"/>
      <c r="E16" s="8" t="n"/>
      <c r="F16" s="22" t="n"/>
      <c r="G16" s="22" t="n"/>
      <c r="H16" s="14" t="n"/>
      <c r="I16" s="14" t="n"/>
      <c r="J16" s="9" t="n"/>
      <c r="K16" s="14" t="n"/>
      <c r="L16" s="22" t="n"/>
      <c r="M16" s="8" t="n"/>
    </row>
    <row r="17">
      <c r="A17" s="6" t="n"/>
      <c r="B17" s="8" t="n"/>
      <c r="C17" s="8" t="n"/>
      <c r="D17" s="6" t="n"/>
      <c r="E17" s="8" t="n"/>
      <c r="F17" s="22" t="n"/>
      <c r="G17" s="22" t="n"/>
      <c r="H17" s="14" t="n"/>
      <c r="I17" s="14" t="n"/>
      <c r="J17" s="9" t="n"/>
      <c r="K17" s="14" t="n"/>
      <c r="L17" s="22" t="n"/>
      <c r="M17" s="8" t="n"/>
    </row>
    <row r="18">
      <c r="A18" s="6" t="n"/>
      <c r="B18" s="8" t="n"/>
      <c r="C18" s="8" t="n"/>
      <c r="D18" s="6" t="n"/>
      <c r="E18" s="8" t="n"/>
      <c r="F18" s="22" t="n"/>
      <c r="G18" s="22" t="n"/>
      <c r="H18" s="14" t="n"/>
      <c r="I18" s="14" t="n"/>
      <c r="J18" s="9" t="n"/>
      <c r="K18" s="14" t="n"/>
      <c r="L18" s="22" t="n"/>
      <c r="M18" s="8" t="n"/>
    </row>
    <row r="19">
      <c r="A19" s="6" t="n"/>
      <c r="B19" s="8" t="n"/>
      <c r="C19" s="8" t="n"/>
      <c r="D19" s="6" t="n"/>
      <c r="E19" s="8" t="n"/>
      <c r="F19" s="22" t="n"/>
      <c r="G19" s="22" t="n"/>
      <c r="H19" s="14" t="n"/>
      <c r="I19" s="14" t="n"/>
      <c r="J19" s="9" t="n"/>
      <c r="K19" s="14" t="n"/>
      <c r="L19" s="22" t="n"/>
      <c r="M19" s="8" t="n"/>
    </row>
    <row r="20">
      <c r="A20" s="6" t="n"/>
      <c r="B20" s="8" t="n"/>
      <c r="C20" s="8" t="n"/>
      <c r="D20" s="6" t="n"/>
      <c r="E20" s="8" t="n"/>
      <c r="F20" s="22" t="n"/>
      <c r="G20" s="22" t="n"/>
      <c r="H20" s="14" t="n"/>
      <c r="I20" s="14" t="n"/>
      <c r="J20" s="9" t="n"/>
      <c r="K20" s="14" t="n"/>
      <c r="L20" s="22" t="n"/>
      <c r="M20" s="8" t="n"/>
    </row>
    <row r="21">
      <c r="A21" s="6" t="n"/>
      <c r="B21" s="8" t="n"/>
      <c r="C21" s="8" t="n"/>
      <c r="D21" s="6" t="n"/>
      <c r="E21" s="8" t="n"/>
      <c r="F21" s="22" t="n"/>
      <c r="G21" s="22" t="n"/>
      <c r="H21" s="14" t="n"/>
      <c r="I21" s="14" t="n"/>
      <c r="J21" s="9" t="n"/>
      <c r="K21" s="14" t="n"/>
      <c r="L21" s="22" t="n"/>
      <c r="M21" s="8" t="n"/>
    </row>
    <row r="22">
      <c r="A22" s="6" t="n"/>
      <c r="B22" s="8" t="n"/>
      <c r="C22" s="8" t="n"/>
      <c r="D22" s="6" t="n"/>
      <c r="E22" s="8" t="n"/>
      <c r="F22" s="22" t="n"/>
      <c r="G22" s="22" t="n"/>
      <c r="H22" s="14" t="n"/>
      <c r="I22" s="14" t="n"/>
      <c r="J22" s="9" t="n"/>
      <c r="K22" s="14" t="n"/>
      <c r="L22" s="22" t="n"/>
      <c r="M22" s="8" t="n"/>
    </row>
    <row r="23">
      <c r="A23" s="6" t="n"/>
      <c r="B23" s="8" t="n"/>
      <c r="C23" s="8" t="n"/>
      <c r="D23" s="6" t="n"/>
      <c r="E23" s="8" t="n"/>
      <c r="F23" s="22" t="n"/>
      <c r="G23" s="22" t="n"/>
      <c r="H23" s="14" t="n"/>
      <c r="I23" s="14" t="n"/>
      <c r="J23" s="9" t="n"/>
      <c r="K23" s="14" t="n"/>
      <c r="L23" s="22" t="n"/>
      <c r="M23" s="8" t="n"/>
    </row>
    <row r="24">
      <c r="A24" s="6" t="n"/>
      <c r="B24" s="8" t="n"/>
      <c r="C24" s="8" t="n"/>
      <c r="D24" s="6" t="n"/>
      <c r="E24" s="8" t="n"/>
      <c r="F24" s="22" t="n"/>
      <c r="G24" s="22" t="n"/>
      <c r="H24" s="14" t="n"/>
      <c r="I24" s="14" t="n"/>
      <c r="J24" s="9" t="n"/>
      <c r="K24" s="14" t="n"/>
      <c r="L24" s="22" t="n"/>
      <c r="M24" s="8" t="n"/>
    </row>
    <row r="25">
      <c r="A25" s="6" t="n"/>
      <c r="B25" s="8" t="n"/>
      <c r="C25" s="8" t="n"/>
      <c r="D25" s="6" t="n"/>
      <c r="E25" s="8" t="n"/>
      <c r="F25" s="22" t="n"/>
      <c r="G25" s="22" t="n"/>
      <c r="H25" s="14" t="n"/>
      <c r="I25" s="14" t="n"/>
      <c r="J25" s="9" t="n"/>
      <c r="K25" s="14" t="n"/>
      <c r="L25" s="22" t="n"/>
      <c r="M25" s="8" t="n"/>
    </row>
    <row r="26">
      <c r="A26" s="6" t="n"/>
      <c r="B26" s="8" t="n"/>
      <c r="C26" s="8" t="n"/>
      <c r="D26" s="6" t="n"/>
      <c r="E26" s="8" t="n"/>
      <c r="F26" s="22" t="n"/>
      <c r="G26" s="22" t="n"/>
      <c r="H26" s="14" t="n"/>
      <c r="I26" s="14" t="n"/>
      <c r="J26" s="9" t="n"/>
      <c r="K26" s="14" t="n"/>
      <c r="L26" s="22" t="n"/>
      <c r="M26" s="8" t="n"/>
    </row>
    <row r="27">
      <c r="A27" s="6" t="n"/>
      <c r="B27" s="8" t="n"/>
      <c r="C27" s="8" t="n"/>
      <c r="D27" s="6" t="n"/>
      <c r="E27" s="8" t="n"/>
      <c r="F27" s="22" t="n"/>
      <c r="G27" s="22" t="n"/>
      <c r="H27" s="14" t="n"/>
      <c r="I27" s="14" t="n"/>
      <c r="J27" s="9" t="n"/>
      <c r="K27" s="14" t="n"/>
      <c r="L27" s="22" t="n"/>
      <c r="M27" s="8" t="n"/>
    </row>
    <row r="28">
      <c r="A28" s="6" t="n"/>
      <c r="B28" s="8" t="n"/>
      <c r="C28" s="8" t="n"/>
      <c r="D28" s="6" t="n"/>
      <c r="E28" s="8" t="n"/>
      <c r="F28" s="22" t="n"/>
      <c r="G28" s="22" t="n"/>
      <c r="H28" s="14" t="n"/>
      <c r="I28" s="14" t="n"/>
      <c r="J28" s="9" t="n"/>
      <c r="K28" s="14" t="n"/>
      <c r="L28" s="22" t="n"/>
      <c r="M28" s="8" t="n"/>
    </row>
    <row r="29">
      <c r="A29" s="6" t="n"/>
      <c r="B29" s="8" t="n"/>
      <c r="C29" s="8" t="n"/>
      <c r="D29" s="6" t="n"/>
      <c r="E29" s="8" t="n"/>
      <c r="F29" s="22" t="n"/>
      <c r="G29" s="22" t="n"/>
      <c r="H29" s="14" t="n"/>
      <c r="I29" s="14" t="n"/>
      <c r="J29" s="9" t="n"/>
      <c r="K29" s="14" t="n"/>
      <c r="L29" s="22" t="n"/>
      <c r="M29" s="8" t="n"/>
    </row>
    <row r="30">
      <c r="A30" s="6" t="n"/>
      <c r="B30" s="8" t="n"/>
      <c r="C30" s="8" t="n"/>
      <c r="D30" s="6" t="n"/>
      <c r="E30" s="8" t="n"/>
      <c r="F30" s="22" t="n"/>
      <c r="G30" s="22" t="n"/>
      <c r="H30" s="14" t="n"/>
      <c r="I30" s="14" t="n"/>
      <c r="J30" s="9" t="n"/>
      <c r="K30" s="14" t="n"/>
      <c r="L30" s="22" t="n"/>
      <c r="M30" s="8" t="n"/>
    </row>
    <row r="31">
      <c r="A31" s="6" t="n"/>
      <c r="B31" s="8" t="n"/>
      <c r="C31" s="8" t="n"/>
      <c r="D31" s="6" t="n"/>
      <c r="E31" s="8" t="n"/>
      <c r="F31" s="22" t="n"/>
      <c r="G31" s="22" t="n"/>
      <c r="H31" s="14" t="n"/>
      <c r="I31" s="14" t="n"/>
      <c r="J31" s="9" t="n"/>
      <c r="K31" s="14" t="n"/>
      <c r="L31" s="22" t="n"/>
      <c r="M31" s="8" t="n"/>
    </row>
    <row r="32">
      <c r="A32" s="6" t="n"/>
      <c r="B32" s="8" t="n"/>
      <c r="C32" s="8" t="n"/>
      <c r="D32" s="6" t="n"/>
      <c r="E32" s="8" t="n"/>
      <c r="F32" s="22" t="n"/>
      <c r="G32" s="22" t="n"/>
      <c r="H32" s="14" t="n"/>
      <c r="I32" s="14" t="n"/>
      <c r="J32" s="9" t="n"/>
      <c r="K32" s="14" t="n"/>
      <c r="L32" s="22" t="n"/>
      <c r="M32" s="8" t="n"/>
    </row>
    <row r="33">
      <c r="A33" s="6" t="n"/>
      <c r="B33" s="8" t="n"/>
      <c r="C33" s="8" t="n"/>
      <c r="D33" s="6" t="n"/>
      <c r="E33" s="8" t="n"/>
      <c r="F33" s="22" t="n"/>
      <c r="G33" s="22" t="n"/>
      <c r="H33" s="14" t="n"/>
      <c r="I33" s="14" t="n"/>
      <c r="J33" s="9" t="n"/>
      <c r="K33" s="14" t="n"/>
      <c r="L33" s="22" t="n"/>
      <c r="M33" s="8" t="n"/>
    </row>
    <row r="34">
      <c r="A34" s="6" t="n"/>
      <c r="B34" s="8" t="n"/>
      <c r="C34" s="8" t="n"/>
      <c r="D34" s="6" t="n"/>
      <c r="E34" s="8" t="n"/>
      <c r="F34" s="22" t="n"/>
      <c r="G34" s="22" t="n"/>
      <c r="H34" s="14" t="n"/>
      <c r="I34" s="14" t="n"/>
      <c r="J34" s="9" t="n"/>
      <c r="K34" s="14" t="n"/>
      <c r="L34" s="22" t="n"/>
      <c r="M34" s="8" t="n"/>
    </row>
    <row r="35">
      <c r="A35" s="6" t="n"/>
      <c r="B35" s="8" t="n"/>
      <c r="C35" s="8" t="n"/>
      <c r="D35" s="6" t="n"/>
      <c r="E35" s="8" t="n"/>
      <c r="F35" s="22" t="n"/>
      <c r="G35" s="22" t="n"/>
      <c r="H35" s="14" t="n"/>
      <c r="I35" s="14" t="n"/>
      <c r="J35" s="9" t="n"/>
      <c r="K35" s="14" t="n"/>
      <c r="L35" s="22" t="n"/>
      <c r="M35" s="8" t="n"/>
    </row>
    <row r="36">
      <c r="A36" s="6" t="n"/>
      <c r="B36" s="8" t="n"/>
      <c r="C36" s="8" t="n"/>
      <c r="D36" s="6" t="n"/>
      <c r="E36" s="8" t="n"/>
      <c r="F36" s="22" t="n"/>
      <c r="G36" s="22" t="n"/>
      <c r="H36" s="14" t="n"/>
      <c r="I36" s="14" t="n"/>
      <c r="J36" s="9" t="n"/>
      <c r="K36" s="14" t="n"/>
      <c r="L36" s="22" t="n"/>
      <c r="M36" s="8" t="n"/>
    </row>
    <row r="37">
      <c r="A37" s="6" t="n"/>
      <c r="B37" s="8" t="n"/>
      <c r="C37" s="8" t="n"/>
      <c r="D37" s="6" t="n"/>
      <c r="E37" s="8" t="n"/>
      <c r="F37" s="22" t="n"/>
      <c r="G37" s="22" t="n"/>
      <c r="H37" s="14" t="n"/>
      <c r="I37" s="14" t="n"/>
      <c r="J37" s="9" t="n"/>
      <c r="K37" s="14" t="n"/>
      <c r="L37" s="22" t="n"/>
      <c r="M37" s="8" t="n"/>
    </row>
    <row r="38">
      <c r="A38" s="6" t="n"/>
      <c r="B38" s="8" t="n"/>
      <c r="C38" s="8" t="n"/>
      <c r="D38" s="6" t="n"/>
      <c r="E38" s="8" t="n"/>
      <c r="F38" s="22" t="n"/>
      <c r="G38" s="22" t="n"/>
      <c r="H38" s="14" t="n"/>
      <c r="I38" s="14" t="n"/>
      <c r="J38" s="9" t="n"/>
      <c r="K38" s="14" t="n"/>
      <c r="L38" s="22" t="n"/>
      <c r="M38" s="8" t="n"/>
    </row>
    <row r="39">
      <c r="A39" s="6" t="n"/>
      <c r="B39" s="8" t="n"/>
      <c r="C39" s="8" t="n"/>
      <c r="D39" s="6" t="n"/>
      <c r="E39" s="8" t="n"/>
      <c r="F39" s="22" t="n"/>
      <c r="G39" s="22" t="n"/>
      <c r="H39" s="14" t="n"/>
      <c r="I39" s="14" t="n"/>
      <c r="J39" s="9" t="n"/>
      <c r="K39" s="14" t="n"/>
      <c r="L39" s="22" t="n"/>
      <c r="M39" s="8" t="n"/>
    </row>
    <row r="40">
      <c r="A40" s="6" t="n"/>
      <c r="B40" s="8" t="n"/>
      <c r="C40" s="8" t="n"/>
      <c r="D40" s="6" t="n"/>
      <c r="E40" s="8" t="n"/>
      <c r="F40" s="22" t="n"/>
      <c r="G40" s="22" t="n"/>
      <c r="H40" s="14" t="n"/>
      <c r="I40" s="14" t="n"/>
      <c r="J40" s="9" t="n"/>
      <c r="K40" s="14" t="n"/>
      <c r="L40" s="22" t="n"/>
      <c r="M40" s="8" t="n"/>
    </row>
    <row r="41">
      <c r="A41" s="6" t="n"/>
      <c r="B41" s="8" t="n"/>
      <c r="C41" s="8" t="n"/>
      <c r="D41" s="6" t="n"/>
      <c r="E41" s="8" t="n"/>
      <c r="F41" s="22" t="n"/>
      <c r="G41" s="22" t="n"/>
      <c r="H41" s="14" t="n"/>
      <c r="I41" s="14" t="n"/>
      <c r="J41" s="9" t="n"/>
      <c r="K41" s="14" t="n"/>
      <c r="L41" s="22" t="n"/>
      <c r="M41" s="8" t="n"/>
    </row>
    <row r="42">
      <c r="A42" s="6" t="n"/>
      <c r="B42" s="8" t="n"/>
      <c r="C42" s="8" t="n"/>
      <c r="D42" s="6" t="n"/>
      <c r="E42" s="8" t="n"/>
      <c r="F42" s="22" t="n"/>
      <c r="G42" s="22" t="n"/>
      <c r="H42" s="14" t="n"/>
      <c r="I42" s="14" t="n"/>
      <c r="J42" s="9" t="n"/>
      <c r="K42" s="14" t="n"/>
      <c r="L42" s="22" t="n"/>
      <c r="M42" s="8" t="n"/>
    </row>
    <row r="43">
      <c r="A43" s="6" t="n"/>
      <c r="B43" s="8" t="n"/>
      <c r="C43" s="8" t="n"/>
      <c r="D43" s="6" t="n"/>
      <c r="E43" s="8" t="n"/>
      <c r="F43" s="22" t="n"/>
      <c r="G43" s="22" t="n"/>
      <c r="H43" s="14" t="n"/>
      <c r="I43" s="14" t="n"/>
      <c r="J43" s="9" t="n"/>
      <c r="K43" s="14" t="n"/>
      <c r="L43" s="22" t="n"/>
      <c r="M43" s="8" t="n"/>
    </row>
    <row r="44">
      <c r="A44" s="6" t="n"/>
      <c r="B44" s="8" t="n"/>
      <c r="C44" s="8" t="n"/>
      <c r="D44" s="6" t="n"/>
      <c r="E44" s="8" t="n"/>
      <c r="F44" s="22" t="n"/>
      <c r="G44" s="22" t="n"/>
      <c r="H44" s="14" t="n"/>
      <c r="I44" s="14" t="n"/>
      <c r="J44" s="9" t="n"/>
      <c r="K44" s="14" t="n"/>
      <c r="L44" s="22" t="n"/>
      <c r="M44" s="8" t="n"/>
    </row>
    <row r="45">
      <c r="A45" s="6" t="n"/>
      <c r="B45" s="8" t="n"/>
      <c r="C45" s="8" t="n"/>
      <c r="D45" s="6" t="n"/>
      <c r="E45" s="8" t="n"/>
      <c r="F45" s="22" t="n"/>
      <c r="G45" s="22" t="n"/>
      <c r="H45" s="14" t="n"/>
      <c r="I45" s="14" t="n"/>
      <c r="J45" s="9" t="n"/>
      <c r="K45" s="14" t="n"/>
      <c r="L45" s="22" t="n"/>
      <c r="M45" s="8" t="n"/>
    </row>
    <row r="46">
      <c r="A46" s="6" t="n"/>
      <c r="B46" s="8" t="n"/>
      <c r="C46" s="8" t="n"/>
      <c r="D46" s="6" t="n"/>
      <c r="E46" s="8" t="n"/>
      <c r="F46" s="22" t="n"/>
      <c r="G46" s="22" t="n"/>
      <c r="H46" s="14" t="n"/>
      <c r="I46" s="14" t="n"/>
      <c r="J46" s="9" t="n"/>
      <c r="K46" s="14" t="n"/>
      <c r="L46" s="22" t="n"/>
      <c r="M46" s="8" t="n"/>
    </row>
    <row r="47">
      <c r="A47" s="6" t="n"/>
      <c r="B47" s="8" t="n"/>
      <c r="C47" s="8" t="n"/>
      <c r="D47" s="6" t="n"/>
      <c r="E47" s="8" t="n"/>
      <c r="F47" s="22" t="n"/>
      <c r="G47" s="22" t="n"/>
      <c r="H47" s="14" t="n"/>
      <c r="I47" s="14" t="n"/>
      <c r="J47" s="9" t="n"/>
      <c r="K47" s="14" t="n"/>
      <c r="L47" s="22" t="n"/>
      <c r="M47" s="8" t="n"/>
    </row>
    <row r="48">
      <c r="A48" s="6" t="n"/>
      <c r="B48" s="8" t="n"/>
      <c r="C48" s="8" t="n"/>
      <c r="D48" s="6" t="n"/>
      <c r="E48" s="8" t="n"/>
      <c r="F48" s="22" t="n"/>
      <c r="G48" s="22" t="n"/>
      <c r="H48" s="14" t="n"/>
      <c r="I48" s="14" t="n"/>
      <c r="J48" s="9" t="n"/>
      <c r="K48" s="14" t="n"/>
      <c r="L48" s="22" t="n"/>
      <c r="M48" s="8" t="n"/>
    </row>
    <row r="49">
      <c r="A49" s="6" t="n"/>
      <c r="B49" s="8" t="n"/>
      <c r="C49" s="8" t="n"/>
      <c r="D49" s="6" t="n"/>
      <c r="E49" s="8" t="n"/>
      <c r="F49" s="22" t="n"/>
      <c r="G49" s="22" t="n"/>
      <c r="H49" s="14" t="n"/>
      <c r="I49" s="14" t="n"/>
      <c r="J49" s="9" t="n"/>
      <c r="K49" s="14" t="n"/>
      <c r="L49" s="22" t="n"/>
      <c r="M49" s="8" t="n"/>
    </row>
    <row r="50">
      <c r="A50" s="6" t="n"/>
      <c r="B50" s="8" t="n"/>
      <c r="C50" s="8" t="n"/>
      <c r="D50" s="6" t="n"/>
      <c r="E50" s="8" t="n"/>
      <c r="F50" s="22" t="n"/>
      <c r="G50" s="22" t="n"/>
      <c r="H50" s="14" t="n"/>
      <c r="I50" s="14" t="n"/>
      <c r="J50" s="9" t="n"/>
      <c r="K50" s="14" t="n"/>
      <c r="L50" s="22" t="n"/>
      <c r="M50" s="8" t="n"/>
    </row>
    <row r="51">
      <c r="A51" s="6" t="n"/>
      <c r="B51" s="8" t="n"/>
      <c r="C51" s="8" t="n"/>
      <c r="D51" s="6" t="n"/>
      <c r="E51" s="8" t="n"/>
      <c r="F51" s="22" t="n"/>
      <c r="G51" s="22" t="n"/>
      <c r="H51" s="14" t="n"/>
      <c r="I51" s="14" t="n"/>
      <c r="J51" s="9" t="n"/>
      <c r="K51" s="14" t="n"/>
      <c r="L51" s="22" t="n"/>
      <c r="M51" s="8" t="n"/>
    </row>
    <row r="52">
      <c r="A52" s="6" t="n"/>
      <c r="B52" s="8" t="n"/>
      <c r="C52" s="8" t="n"/>
      <c r="D52" s="6" t="n"/>
      <c r="E52" s="8" t="n"/>
      <c r="F52" s="22" t="n"/>
      <c r="G52" s="22" t="n"/>
      <c r="H52" s="14" t="n"/>
      <c r="I52" s="14" t="n"/>
      <c r="J52" s="9" t="n"/>
      <c r="K52" s="14" t="n"/>
      <c r="L52" s="22" t="n"/>
      <c r="M52" s="8" t="n"/>
    </row>
    <row r="53">
      <c r="A53" s="6" t="n"/>
      <c r="B53" s="8" t="n"/>
      <c r="C53" s="8" t="n"/>
      <c r="D53" s="6" t="n"/>
      <c r="E53" s="8" t="n"/>
      <c r="F53" s="22" t="n"/>
      <c r="G53" s="22" t="n"/>
      <c r="H53" s="14" t="n"/>
      <c r="I53" s="14" t="n"/>
      <c r="J53" s="9" t="n"/>
      <c r="K53" s="14" t="n"/>
      <c r="L53" s="22" t="n"/>
      <c r="M53" s="8" t="n"/>
    </row>
    <row r="54">
      <c r="A54" s="6" t="n"/>
      <c r="B54" s="8" t="n"/>
      <c r="C54" s="8" t="n"/>
      <c r="D54" s="6" t="n"/>
      <c r="E54" s="8" t="n"/>
      <c r="F54" s="22" t="n"/>
      <c r="G54" s="22" t="n"/>
      <c r="H54" s="14" t="n"/>
      <c r="I54" s="14" t="n"/>
      <c r="J54" s="9" t="n"/>
      <c r="K54" s="14" t="n"/>
      <c r="L54" s="22" t="n"/>
      <c r="M54" s="8" t="n"/>
    </row>
    <row r="55">
      <c r="A55" s="6" t="n"/>
      <c r="B55" s="8" t="n"/>
      <c r="C55" s="8" t="n"/>
      <c r="D55" s="6" t="n"/>
      <c r="E55" s="8" t="n"/>
      <c r="F55" s="22" t="n"/>
      <c r="G55" s="22" t="n"/>
      <c r="H55" s="14" t="n"/>
      <c r="I55" s="14" t="n"/>
      <c r="J55" s="9" t="n"/>
      <c r="K55" s="14" t="n"/>
      <c r="L55" s="22" t="n"/>
      <c r="M55" s="8" t="n"/>
    </row>
    <row r="56">
      <c r="A56" s="6" t="n"/>
      <c r="B56" s="8" t="n"/>
      <c r="C56" s="8" t="n"/>
      <c r="D56" s="6" t="n"/>
      <c r="E56" s="8" t="n"/>
      <c r="F56" s="22" t="n"/>
      <c r="G56" s="22" t="n"/>
      <c r="H56" s="14" t="n"/>
      <c r="I56" s="14" t="n"/>
      <c r="J56" s="9" t="n"/>
      <c r="K56" s="14" t="n"/>
      <c r="L56" s="22" t="n"/>
      <c r="M56" s="8" t="n"/>
    </row>
    <row r="57">
      <c r="A57" s="6" t="n"/>
      <c r="B57" s="8" t="n"/>
      <c r="C57" s="8" t="n"/>
      <c r="D57" s="6" t="n"/>
      <c r="E57" s="8" t="n"/>
      <c r="F57" s="22" t="n"/>
      <c r="G57" s="22" t="n"/>
      <c r="H57" s="14" t="n"/>
      <c r="I57" s="14" t="n"/>
      <c r="J57" s="9" t="n"/>
      <c r="K57" s="14" t="n"/>
      <c r="L57" s="22" t="n"/>
      <c r="M57" s="8" t="n"/>
    </row>
    <row r="58">
      <c r="A58" s="6" t="n"/>
      <c r="B58" s="8" t="n"/>
      <c r="C58" s="8" t="n"/>
      <c r="D58" s="6" t="n"/>
      <c r="E58" s="8" t="n"/>
      <c r="F58" s="22" t="n"/>
      <c r="G58" s="22" t="n"/>
      <c r="H58" s="14" t="n"/>
      <c r="I58" s="14" t="n"/>
      <c r="J58" s="9" t="n"/>
      <c r="K58" s="14" t="n"/>
      <c r="L58" s="22" t="n"/>
      <c r="M58" s="8" t="n"/>
    </row>
    <row r="59">
      <c r="A59" s="6" t="n"/>
      <c r="B59" s="8" t="n"/>
      <c r="C59" s="8" t="n"/>
      <c r="D59" s="6" t="n"/>
      <c r="E59" s="8" t="n"/>
      <c r="F59" s="22" t="n"/>
      <c r="G59" s="22" t="n"/>
      <c r="H59" s="14" t="n"/>
      <c r="I59" s="14" t="n"/>
      <c r="J59" s="9" t="n"/>
      <c r="K59" s="14" t="n"/>
      <c r="L59" s="22" t="n"/>
      <c r="M59" s="8" t="n"/>
    </row>
    <row r="60">
      <c r="A60" s="6" t="n"/>
      <c r="B60" s="8" t="n"/>
      <c r="C60" s="8" t="n"/>
      <c r="D60" s="6" t="n"/>
      <c r="E60" s="8" t="n"/>
      <c r="F60" s="22" t="n"/>
      <c r="G60" s="22" t="n"/>
      <c r="H60" s="14" t="n"/>
      <c r="I60" s="14" t="n"/>
      <c r="J60" s="9" t="n"/>
      <c r="K60" s="14" t="n"/>
      <c r="L60" s="22" t="n"/>
      <c r="M60" s="8" t="n"/>
    </row>
    <row r="61">
      <c r="A61" s="6" t="n"/>
      <c r="B61" s="8" t="n"/>
      <c r="C61" s="8" t="n"/>
      <c r="D61" s="6" t="n"/>
      <c r="E61" s="8" t="n"/>
      <c r="F61" s="22" t="n"/>
      <c r="G61" s="22" t="n"/>
      <c r="H61" s="14" t="n"/>
      <c r="I61" s="14" t="n"/>
      <c r="J61" s="9" t="n"/>
      <c r="K61" s="14" t="n"/>
      <c r="L61" s="22" t="n"/>
      <c r="M61" s="8" t="n"/>
    </row>
    <row r="62">
      <c r="A62" s="6" t="n"/>
      <c r="B62" s="8" t="n"/>
      <c r="C62" s="8" t="n"/>
      <c r="D62" s="6" t="n"/>
      <c r="E62" s="8" t="n"/>
      <c r="F62" s="22" t="n"/>
      <c r="G62" s="22" t="n"/>
      <c r="H62" s="14" t="n"/>
      <c r="I62" s="14" t="n"/>
      <c r="J62" s="9" t="n"/>
      <c r="K62" s="14" t="n"/>
      <c r="L62" s="22" t="n"/>
      <c r="M62" s="8" t="n"/>
    </row>
    <row r="63">
      <c r="A63" s="6" t="n"/>
      <c r="B63" s="8" t="n"/>
      <c r="C63" s="8" t="n"/>
      <c r="D63" s="6" t="n"/>
      <c r="E63" s="8" t="n"/>
      <c r="F63" s="22" t="n"/>
      <c r="G63" s="22" t="n"/>
      <c r="H63" s="14" t="n"/>
      <c r="I63" s="14" t="n"/>
      <c r="J63" s="9" t="n"/>
      <c r="K63" s="14" t="n"/>
      <c r="L63" s="22" t="n"/>
      <c r="M63" s="8" t="n"/>
    </row>
    <row r="64">
      <c r="A64" s="6" t="n"/>
      <c r="B64" s="8" t="n"/>
      <c r="C64" s="8" t="n"/>
      <c r="D64" s="6" t="n"/>
      <c r="E64" s="8" t="n"/>
      <c r="F64" s="22" t="n"/>
      <c r="G64" s="22" t="n"/>
      <c r="H64" s="14" t="n"/>
      <c r="I64" s="14" t="n"/>
      <c r="J64" s="9" t="n"/>
      <c r="K64" s="14" t="n"/>
      <c r="L64" s="22" t="n"/>
      <c r="M64" s="8" t="n"/>
    </row>
    <row r="65">
      <c r="A65" s="6" t="n"/>
      <c r="B65" s="8" t="n"/>
      <c r="C65" s="8" t="n"/>
      <c r="D65" s="6" t="n"/>
      <c r="E65" s="8" t="n"/>
      <c r="F65" s="22" t="n"/>
      <c r="G65" s="22" t="n"/>
      <c r="H65" s="14" t="n"/>
      <c r="I65" s="14" t="n"/>
      <c r="J65" s="9" t="n"/>
      <c r="K65" s="14" t="n"/>
      <c r="L65" s="22" t="n"/>
      <c r="M65" s="8" t="n"/>
    </row>
    <row r="66">
      <c r="A66" s="6" t="n"/>
      <c r="B66" s="8" t="n"/>
      <c r="C66" s="8" t="n"/>
      <c r="D66" s="6" t="n"/>
      <c r="E66" s="8" t="n"/>
      <c r="F66" s="22" t="n"/>
      <c r="G66" s="22" t="n"/>
      <c r="H66" s="14" t="n"/>
      <c r="I66" s="14" t="n"/>
      <c r="J66" s="9" t="n"/>
      <c r="K66" s="14" t="n"/>
      <c r="L66" s="22" t="n"/>
      <c r="M66" s="8" t="n"/>
    </row>
    <row r="67">
      <c r="A67" s="6" t="n"/>
      <c r="B67" s="8" t="n"/>
      <c r="C67" s="8" t="n"/>
      <c r="D67" s="6" t="n"/>
      <c r="E67" s="8" t="n"/>
      <c r="F67" s="22" t="n"/>
      <c r="G67" s="22" t="n"/>
      <c r="H67" s="14" t="n"/>
      <c r="I67" s="14" t="n"/>
      <c r="J67" s="9" t="n"/>
      <c r="K67" s="14" t="n"/>
      <c r="L67" s="22" t="n"/>
      <c r="M67" s="8" t="n"/>
    </row>
    <row r="68">
      <c r="A68" s="6" t="n"/>
      <c r="B68" s="8" t="n"/>
      <c r="C68" s="8" t="n"/>
      <c r="D68" s="6" t="n"/>
      <c r="E68" s="8" t="n"/>
      <c r="F68" s="22" t="n"/>
      <c r="G68" s="22" t="n"/>
      <c r="H68" s="14" t="n"/>
      <c r="I68" s="14" t="n"/>
      <c r="J68" s="9" t="n"/>
      <c r="K68" s="14" t="n"/>
      <c r="L68" s="22" t="n"/>
      <c r="M68" s="8" t="n"/>
    </row>
    <row r="69">
      <c r="A69" s="6" t="n"/>
      <c r="B69" s="8" t="n"/>
      <c r="C69" s="8" t="n"/>
      <c r="D69" s="6" t="n"/>
      <c r="E69" s="8" t="n"/>
      <c r="F69" s="22" t="n"/>
      <c r="G69" s="22" t="n"/>
      <c r="H69" s="14" t="n"/>
      <c r="I69" s="14" t="n"/>
      <c r="J69" s="9" t="n"/>
      <c r="K69" s="14" t="n"/>
      <c r="L69" s="22" t="n"/>
      <c r="M69" s="8" t="n"/>
    </row>
    <row r="70">
      <c r="A70" s="6" t="n"/>
      <c r="B70" s="8" t="n"/>
      <c r="C70" s="8" t="n"/>
      <c r="D70" s="6" t="n"/>
      <c r="E70" s="8" t="n"/>
      <c r="F70" s="22" t="n"/>
      <c r="G70" s="22" t="n"/>
      <c r="H70" s="14" t="n"/>
      <c r="I70" s="14" t="n"/>
      <c r="J70" s="9" t="n"/>
      <c r="K70" s="14" t="n"/>
      <c r="L70" s="22" t="n"/>
      <c r="M70" s="8" t="n"/>
    </row>
    <row r="71">
      <c r="A71" s="6" t="n"/>
      <c r="B71" s="8" t="n"/>
      <c r="C71" s="8" t="n"/>
      <c r="D71" s="6" t="n"/>
      <c r="E71" s="8" t="n"/>
      <c r="F71" s="22" t="n"/>
      <c r="G71" s="22" t="n"/>
      <c r="H71" s="14" t="n"/>
      <c r="I71" s="14" t="n"/>
      <c r="J71" s="9" t="n"/>
      <c r="K71" s="14" t="n"/>
      <c r="L71" s="22" t="n"/>
      <c r="M71" s="8" t="n"/>
    </row>
    <row r="72">
      <c r="A72" s="6" t="n"/>
      <c r="B72" s="8" t="n"/>
      <c r="C72" s="8" t="n"/>
      <c r="D72" s="6" t="n"/>
      <c r="E72" s="8" t="n"/>
      <c r="F72" s="22" t="n"/>
      <c r="G72" s="22" t="n"/>
      <c r="H72" s="14" t="n"/>
      <c r="I72" s="14" t="n"/>
      <c r="J72" s="9" t="n"/>
      <c r="K72" s="14" t="n"/>
      <c r="L72" s="22" t="n"/>
      <c r="M72" s="8" t="n"/>
    </row>
    <row r="73">
      <c r="A73" s="6" t="n"/>
      <c r="B73" s="8" t="n"/>
      <c r="C73" s="8" t="n"/>
      <c r="D73" s="6" t="n"/>
      <c r="E73" s="8" t="n"/>
      <c r="F73" s="22" t="n"/>
      <c r="G73" s="22" t="n"/>
      <c r="H73" s="14" t="n"/>
      <c r="I73" s="14" t="n"/>
      <c r="J73" s="9" t="n"/>
      <c r="K73" s="14" t="n"/>
      <c r="L73" s="22" t="n"/>
      <c r="M73" s="8" t="n"/>
    </row>
    <row r="74">
      <c r="A74" s="6" t="n"/>
      <c r="B74" s="8" t="n"/>
      <c r="C74" s="8" t="n"/>
      <c r="D74" s="6" t="n"/>
      <c r="E74" s="8" t="n"/>
      <c r="F74" s="22" t="n"/>
      <c r="G74" s="22" t="n"/>
      <c r="H74" s="14" t="n"/>
      <c r="I74" s="14" t="n"/>
      <c r="J74" s="9" t="n"/>
      <c r="K74" s="14" t="n"/>
      <c r="L74" s="22" t="n"/>
      <c r="M74" s="8" t="n"/>
    </row>
    <row r="75">
      <c r="A75" s="6" t="n"/>
      <c r="B75" s="8" t="n"/>
      <c r="C75" s="8" t="n"/>
      <c r="D75" s="6" t="n"/>
      <c r="E75" s="8" t="n"/>
      <c r="F75" s="22" t="n"/>
      <c r="G75" s="22" t="n"/>
      <c r="H75" s="14" t="n"/>
      <c r="I75" s="14" t="n"/>
      <c r="J75" s="9" t="n"/>
      <c r="K75" s="14" t="n"/>
      <c r="L75" s="22" t="n"/>
      <c r="M75" s="8" t="n"/>
    </row>
    <row r="76">
      <c r="A76" s="6" t="n"/>
      <c r="B76" s="8" t="n"/>
      <c r="C76" s="8" t="n"/>
      <c r="D76" s="6" t="n"/>
      <c r="E76" s="8" t="n"/>
      <c r="F76" s="22" t="n"/>
      <c r="G76" s="22" t="n"/>
      <c r="H76" s="14" t="n"/>
      <c r="I76" s="14" t="n"/>
      <c r="J76" s="9" t="n"/>
      <c r="K76" s="14" t="n"/>
      <c r="L76" s="22" t="n"/>
      <c r="M76" s="8" t="n"/>
    </row>
    <row r="77">
      <c r="A77" s="6" t="n"/>
      <c r="B77" s="8" t="n"/>
      <c r="C77" s="8" t="n"/>
      <c r="D77" s="6" t="n"/>
      <c r="E77" s="8" t="n"/>
      <c r="F77" s="22" t="n"/>
      <c r="G77" s="22" t="n"/>
      <c r="H77" s="14" t="n"/>
      <c r="I77" s="14" t="n"/>
      <c r="J77" s="9" t="n"/>
      <c r="K77" s="14" t="n"/>
      <c r="L77" s="22" t="n"/>
      <c r="M77" s="8" t="n"/>
    </row>
    <row r="78">
      <c r="A78" s="6" t="n"/>
      <c r="B78" s="8" t="n"/>
      <c r="C78" s="8" t="n"/>
      <c r="D78" s="6" t="n"/>
      <c r="E78" s="8" t="n"/>
      <c r="F78" s="22" t="n"/>
      <c r="G78" s="22" t="n"/>
      <c r="H78" s="14" t="n"/>
      <c r="I78" s="14" t="n"/>
      <c r="J78" s="9" t="n"/>
      <c r="K78" s="14" t="n"/>
      <c r="L78" s="22" t="n"/>
      <c r="M78" s="8" t="n"/>
    </row>
    <row r="79">
      <c r="A79" s="6" t="n"/>
      <c r="B79" s="8" t="n"/>
      <c r="C79" s="8" t="n"/>
      <c r="D79" s="6" t="n"/>
      <c r="E79" s="8" t="n"/>
      <c r="F79" s="22" t="n"/>
      <c r="G79" s="22" t="n"/>
      <c r="H79" s="14" t="n"/>
      <c r="I79" s="14" t="n"/>
      <c r="J79" s="9" t="n"/>
      <c r="K79" s="14" t="n"/>
      <c r="L79" s="22" t="n"/>
      <c r="M79" s="8" t="n"/>
    </row>
    <row r="80">
      <c r="A80" s="6" t="n"/>
      <c r="B80" s="8" t="n"/>
      <c r="C80" s="8" t="n"/>
      <c r="D80" s="6" t="n"/>
      <c r="E80" s="8" t="n"/>
      <c r="F80" s="22" t="n"/>
      <c r="G80" s="22" t="n"/>
      <c r="H80" s="14" t="n"/>
      <c r="I80" s="14" t="n"/>
      <c r="J80" s="9" t="n"/>
      <c r="K80" s="14" t="n"/>
      <c r="L80" s="22" t="n"/>
      <c r="M80" s="8" t="n"/>
    </row>
    <row r="81">
      <c r="A81" s="6" t="n"/>
      <c r="B81" s="8" t="n"/>
      <c r="C81" s="8" t="n"/>
      <c r="D81" s="6" t="n"/>
      <c r="E81" s="8" t="n"/>
      <c r="F81" s="22" t="n"/>
      <c r="G81" s="22" t="n"/>
      <c r="H81" s="14" t="n"/>
      <c r="I81" s="14" t="n"/>
      <c r="J81" s="9" t="n"/>
      <c r="K81" s="14" t="n"/>
      <c r="L81" s="22" t="n"/>
      <c r="M81" s="8" t="n"/>
    </row>
    <row r="82">
      <c r="A82" s="6" t="n"/>
      <c r="B82" s="8" t="n"/>
      <c r="C82" s="8" t="n"/>
      <c r="D82" s="6" t="n"/>
      <c r="E82" s="8" t="n"/>
      <c r="F82" s="22" t="n"/>
      <c r="G82" s="22" t="n"/>
      <c r="H82" s="14" t="n"/>
      <c r="I82" s="14" t="n"/>
      <c r="J82" s="9" t="n"/>
      <c r="K82" s="14" t="n"/>
      <c r="L82" s="22" t="n"/>
      <c r="M82" s="8" t="n"/>
    </row>
    <row r="83">
      <c r="A83" s="6" t="n"/>
      <c r="B83" s="8" t="n"/>
      <c r="C83" s="8" t="n"/>
      <c r="D83" s="6" t="n"/>
      <c r="E83" s="8" t="n"/>
      <c r="F83" s="22" t="n"/>
      <c r="G83" s="22" t="n"/>
      <c r="H83" s="14" t="n"/>
      <c r="I83" s="14" t="n"/>
      <c r="J83" s="9" t="n"/>
      <c r="K83" s="14" t="n"/>
      <c r="L83" s="22" t="n"/>
      <c r="M83" s="8" t="n"/>
    </row>
    <row r="84">
      <c r="A84" s="6" t="n"/>
      <c r="B84" s="8" t="n"/>
      <c r="C84" s="8" t="n"/>
      <c r="D84" s="6" t="n"/>
      <c r="E84" s="8" t="n"/>
      <c r="F84" s="22" t="n"/>
      <c r="G84" s="22" t="n"/>
      <c r="H84" s="14" t="n"/>
      <c r="I84" s="14" t="n"/>
      <c r="J84" s="9" t="n"/>
      <c r="K84" s="14" t="n"/>
      <c r="L84" s="22" t="n"/>
      <c r="M84" s="8" t="n"/>
    </row>
    <row r="85">
      <c r="A85" s="6" t="n"/>
      <c r="B85" s="8" t="n"/>
      <c r="C85" s="8" t="n"/>
      <c r="D85" s="6" t="n"/>
      <c r="E85" s="8" t="n"/>
      <c r="F85" s="22" t="n"/>
      <c r="G85" s="22" t="n"/>
      <c r="H85" s="14" t="n"/>
      <c r="I85" s="14" t="n"/>
      <c r="J85" s="9" t="n"/>
      <c r="K85" s="14" t="n"/>
      <c r="L85" s="22" t="n"/>
      <c r="M85" s="8" t="n"/>
    </row>
    <row r="86">
      <c r="A86" s="6" t="n"/>
      <c r="B86" s="8" t="n"/>
      <c r="C86" s="8" t="n"/>
      <c r="D86" s="6" t="n"/>
      <c r="E86" s="8" t="n"/>
      <c r="F86" s="22" t="n"/>
      <c r="G86" s="22" t="n"/>
      <c r="H86" s="14" t="n"/>
      <c r="I86" s="14" t="n"/>
      <c r="J86" s="9" t="n"/>
      <c r="K86" s="14" t="n"/>
      <c r="L86" s="22" t="n"/>
      <c r="M86" s="8" t="n"/>
    </row>
    <row r="87">
      <c r="A87" s="6" t="n"/>
      <c r="B87" s="8" t="n"/>
      <c r="C87" s="8" t="n"/>
      <c r="D87" s="6" t="n"/>
      <c r="E87" s="8" t="n"/>
      <c r="F87" s="22" t="n"/>
      <c r="G87" s="22" t="n"/>
      <c r="H87" s="14" t="n"/>
      <c r="I87" s="14" t="n"/>
      <c r="J87" s="9" t="n"/>
      <c r="K87" s="14" t="n"/>
      <c r="L87" s="22" t="n"/>
      <c r="M87" s="8" t="n"/>
    </row>
    <row r="88">
      <c r="A88" s="6" t="n"/>
      <c r="B88" s="8" t="n"/>
      <c r="C88" s="8" t="n"/>
      <c r="D88" s="6" t="n"/>
      <c r="E88" s="8" t="n"/>
      <c r="F88" s="22" t="n"/>
      <c r="G88" s="22" t="n"/>
      <c r="H88" s="14" t="n"/>
      <c r="I88" s="14" t="n"/>
      <c r="J88" s="9" t="n"/>
      <c r="K88" s="14" t="n"/>
      <c r="L88" s="22" t="n"/>
      <c r="M88" s="8" t="n"/>
    </row>
    <row r="89">
      <c r="A89" s="6" t="n"/>
      <c r="B89" s="8" t="n"/>
      <c r="C89" s="8" t="n"/>
      <c r="D89" s="6" t="n"/>
      <c r="E89" s="8" t="n"/>
      <c r="F89" s="22" t="n"/>
      <c r="G89" s="22" t="n"/>
      <c r="H89" s="14" t="n"/>
      <c r="I89" s="14" t="n"/>
      <c r="J89" s="9" t="n"/>
      <c r="K89" s="14" t="n"/>
      <c r="L89" s="22" t="n"/>
      <c r="M89" s="8" t="n"/>
    </row>
    <row r="90">
      <c r="A90" s="6" t="n"/>
      <c r="B90" s="8" t="n"/>
      <c r="C90" s="8" t="n"/>
      <c r="D90" s="6" t="n"/>
      <c r="E90" s="8" t="n"/>
      <c r="F90" s="22" t="n"/>
      <c r="G90" s="22" t="n"/>
      <c r="H90" s="14" t="n"/>
      <c r="I90" s="14" t="n"/>
      <c r="J90" s="9" t="n"/>
      <c r="K90" s="14" t="n"/>
      <c r="L90" s="22" t="n"/>
      <c r="M90" s="8" t="n"/>
    </row>
    <row r="91">
      <c r="A91" s="6" t="n"/>
      <c r="B91" s="8" t="n"/>
      <c r="C91" s="8" t="n"/>
      <c r="D91" s="6" t="n"/>
      <c r="E91" s="8" t="n"/>
      <c r="F91" s="22" t="n"/>
      <c r="G91" s="22" t="n"/>
      <c r="H91" s="14" t="n"/>
      <c r="I91" s="14" t="n"/>
      <c r="J91" s="9" t="n"/>
      <c r="K91" s="14" t="n"/>
      <c r="L91" s="22" t="n"/>
      <c r="M91" s="8" t="n"/>
    </row>
    <row r="92">
      <c r="A92" s="6" t="n"/>
      <c r="B92" s="8" t="n"/>
      <c r="C92" s="8" t="n"/>
      <c r="D92" s="6" t="n"/>
      <c r="E92" s="8" t="n"/>
      <c r="F92" s="22" t="n"/>
      <c r="G92" s="22" t="n"/>
      <c r="H92" s="14" t="n"/>
      <c r="I92" s="14" t="n"/>
      <c r="J92" s="9" t="n"/>
      <c r="K92" s="14" t="n"/>
      <c r="L92" s="22" t="n"/>
      <c r="M92" s="8" t="n"/>
    </row>
    <row r="93">
      <c r="A93" s="6" t="n"/>
      <c r="B93" s="8" t="n"/>
      <c r="C93" s="8" t="n"/>
      <c r="D93" s="6" t="n"/>
      <c r="E93" s="8" t="n"/>
      <c r="F93" s="22" t="n"/>
      <c r="G93" s="22" t="n"/>
      <c r="H93" s="14" t="n"/>
      <c r="I93" s="14" t="n"/>
      <c r="J93" s="9" t="n"/>
      <c r="K93" s="14" t="n"/>
      <c r="L93" s="22" t="n"/>
      <c r="M93" s="8" t="n"/>
    </row>
    <row r="94">
      <c r="A94" s="6" t="n"/>
      <c r="B94" s="8" t="n"/>
      <c r="C94" s="8" t="n"/>
      <c r="D94" s="6" t="n"/>
      <c r="E94" s="8" t="n"/>
      <c r="F94" s="22" t="n"/>
      <c r="G94" s="22" t="n"/>
      <c r="H94" s="14" t="n"/>
      <c r="I94" s="14" t="n"/>
      <c r="J94" s="9" t="n"/>
      <c r="K94" s="14" t="n"/>
      <c r="L94" s="22" t="n"/>
      <c r="M94" s="8" t="n"/>
    </row>
    <row r="95">
      <c r="A95" s="6" t="n"/>
      <c r="B95" s="8" t="n"/>
      <c r="C95" s="8" t="n"/>
      <c r="D95" s="6" t="n"/>
      <c r="E95" s="8" t="n"/>
      <c r="F95" s="22" t="n"/>
      <c r="G95" s="22" t="n"/>
      <c r="H95" s="14" t="n"/>
      <c r="I95" s="14" t="n"/>
      <c r="J95" s="9" t="n"/>
      <c r="K95" s="14" t="n"/>
      <c r="L95" s="22" t="n"/>
      <c r="M95" s="8" t="n"/>
    </row>
    <row r="96">
      <c r="A96" s="6" t="n"/>
      <c r="B96" s="8" t="n"/>
      <c r="C96" s="8" t="n"/>
      <c r="D96" s="6" t="n"/>
      <c r="E96" s="8" t="n"/>
      <c r="F96" s="22" t="n"/>
      <c r="G96" s="22" t="n"/>
      <c r="H96" s="14" t="n"/>
      <c r="I96" s="14" t="n"/>
      <c r="J96" s="9" t="n"/>
      <c r="K96" s="14" t="n"/>
      <c r="L96" s="22" t="n"/>
      <c r="M96" s="8" t="n"/>
    </row>
    <row r="97">
      <c r="A97" s="6" t="n"/>
      <c r="B97" s="8" t="n"/>
      <c r="C97" s="8" t="n"/>
      <c r="D97" s="6" t="n"/>
      <c r="E97" s="8" t="n"/>
      <c r="F97" s="22" t="n"/>
      <c r="G97" s="22" t="n"/>
      <c r="H97" s="14" t="n"/>
      <c r="I97" s="14" t="n"/>
      <c r="J97" s="9" t="n"/>
      <c r="K97" s="14" t="n"/>
      <c r="L97" s="22" t="n"/>
      <c r="M97" s="8" t="n"/>
    </row>
    <row r="98">
      <c r="A98" s="6" t="n"/>
      <c r="B98" s="8" t="n"/>
      <c r="C98" s="8" t="n"/>
      <c r="D98" s="6" t="n"/>
      <c r="E98" s="8" t="n"/>
      <c r="F98" s="22" t="n"/>
      <c r="G98" s="22" t="n"/>
      <c r="H98" s="14" t="n"/>
      <c r="I98" s="14" t="n"/>
      <c r="J98" s="9" t="n"/>
      <c r="K98" s="14" t="n"/>
      <c r="L98" s="22" t="n"/>
      <c r="M98" s="8" t="n"/>
    </row>
    <row r="99">
      <c r="A99" s="6" t="n"/>
      <c r="B99" s="8" t="n"/>
      <c r="C99" s="8" t="n"/>
      <c r="D99" s="6" t="n"/>
      <c r="E99" s="8" t="n"/>
      <c r="F99" s="22" t="n"/>
      <c r="G99" s="22" t="n"/>
      <c r="H99" s="14" t="n"/>
      <c r="I99" s="14" t="n"/>
      <c r="J99" s="9" t="n"/>
      <c r="K99" s="14" t="n"/>
      <c r="L99" s="22" t="n"/>
      <c r="M99" s="8" t="n"/>
    </row>
    <row r="100">
      <c r="A100" s="6" t="n"/>
      <c r="B100" s="8" t="n"/>
      <c r="C100" s="8" t="n"/>
      <c r="D100" s="6" t="n"/>
      <c r="E100" s="8" t="n"/>
      <c r="F100" s="22" t="n"/>
      <c r="G100" s="22" t="n"/>
      <c r="H100" s="14" t="n"/>
      <c r="I100" s="14" t="n"/>
      <c r="J100" s="9" t="n"/>
      <c r="K100" s="14" t="n"/>
      <c r="L100" s="22" t="n"/>
      <c r="M100" s="8" t="n"/>
    </row>
    <row r="101">
      <c r="A101" s="6" t="n"/>
      <c r="B101" s="8" t="n"/>
      <c r="C101" s="8" t="n"/>
      <c r="D101" s="6" t="n"/>
      <c r="E101" s="8" t="n"/>
      <c r="F101" s="22" t="n"/>
      <c r="G101" s="22" t="n"/>
      <c r="H101" s="14" t="n"/>
      <c r="I101" s="14" t="n"/>
      <c r="J101" s="9" t="n"/>
      <c r="K101" s="14" t="n"/>
      <c r="L101" s="22" t="n"/>
      <c r="M101" s="8" t="n"/>
    </row>
    <row r="102">
      <c r="A102" s="6" t="n"/>
      <c r="B102" s="8" t="n"/>
      <c r="C102" s="8" t="n"/>
      <c r="D102" s="6" t="n"/>
      <c r="E102" s="8" t="n"/>
      <c r="F102" s="22" t="n"/>
      <c r="G102" s="22" t="n"/>
      <c r="H102" s="14" t="n"/>
      <c r="I102" s="14" t="n"/>
      <c r="J102" s="9" t="n"/>
      <c r="K102" s="14" t="n"/>
      <c r="L102" s="22" t="n"/>
      <c r="M102" s="8" t="n"/>
    </row>
  </sheetData>
  <sheetProtection selectLockedCells="0" selectUnlockedCells="0" sheet="1" objects="0" insertRows="1" insertHyperlinks="1" autoFilter="1" scenarios="0" formatColumns="1" deleteColumns="1" insertColumns="1" pivotTables="1" deleteRows="1" formatCells="1" formatRows="1" sort="1"/>
  <mergeCells count="1">
    <mergeCell ref="A2:M2"/>
  </mergeCells>
  <dataValidations count="13">
    <dataValidation sqref="A3:A102" showDropDown="0" showInputMessage="0" showErrorMessage="1" allowBlank="1" errorTitle="Formells regnskapsmal" error="Skriv organisasjonsnummeret med ni sifre." type="custom">
      <formula1>AND(LEN(A3)=9,ISNUMBER(--A3))</formula1>
    </dataValidation>
    <dataValidation sqref="B3:B102" showDropDown="0" showInputMessage="0" showErrorMessage="1" allowBlank="1" type="textLength" operator="lessThanOrEqual">
      <formula1>255</formula1>
    </dataValidation>
    <dataValidation sqref="C3:C102" showDropDown="0" showInputMessage="1" showErrorMessage="1" allowBlank="1" errorTitle="Formells regnskapsmal" error="Velg landkode, for eksempel NO for Norge." prompt="NO for Norge." type="list">
      <formula1>'_lister'!$H$2:$H$250</formula1>
    </dataValidation>
    <dataValidation sqref="D3:D102" showDropDown="0" showInputMessage="0" showErrorMessage="1" allowBlank="1" type="textLength" operator="lessThanOrEqual">
      <formula1>100</formula1>
    </dataValidation>
    <dataValidation sqref="E3:E102" showDropDown="0" showInputMessage="0" showErrorMessage="1" allowBlank="1" errorTitle="Formells regnskapsmal" error="Velg fra listen." type="list">
      <formula1>'_lister'!$I$2:$I$6</formula1>
    </dataValidation>
    <dataValidation sqref="F3:F102" showDropDown="0" showInputMessage="0" showErrorMessage="1" allowBlank="1" errorTitle="Formells regnskapsmal" error="Skriv en prosent mellom 0 og 100." type="decimal" operator="between">
      <formula1>0</formula1>
      <formula2>100</formula2>
    </dataValidation>
    <dataValidation sqref="G3:G102" showDropDown="0" showInputMessage="0" showErrorMessage="1" allowBlank="1" errorTitle="Formells regnskapsmal" error="Skriv en prosent mellom 0 og 100." type="decimal" operator="between">
      <formula1>0</formula1>
      <formula2>100</formula2>
    </dataValidation>
    <dataValidation sqref="L3:L102" showDropDown="0" showInputMessage="0" showErrorMessage="1" allowBlank="1" errorTitle="Formells regnskapsmal" error="Skriv en prosent mellom 0 og 100." type="decimal" operator="between">
      <formula1>0</formula1>
      <formula2>100</formula2>
    </dataValidation>
    <dataValidation sqref="H3:H102" showDropDown="0" showInputMessage="0" showErrorMessage="1" allowBlank="1" errorTitle="Formells regnskapsmal" error="Skriv beløpet som et positivt tall." type="decimal" operator="greaterThanOrEqual">
      <formula1>0</formula1>
    </dataValidation>
    <dataValidation sqref="I3:I102" showDropDown="0" showInputMessage="0" showErrorMessage="1" allowBlank="1" errorTitle="Formells regnskapsmal" error="Skriv beløpet som et positivt tall." type="decimal" operator="greaterThanOrEqual">
      <formula1>0</formula1>
    </dataValidation>
    <dataValidation sqref="K3:K102" showDropDown="0" showInputMessage="0" showErrorMessage="1" allowBlank="1" errorTitle="Formells regnskapsmal" error="Skriv beløpet som et positivt tall." type="decimal" operator="greaterThanOrEqual">
      <formula1>0</formula1>
    </dataValidation>
    <dataValidation sqref="J3:J102" showDropDown="0" showInputMessage="0" showErrorMessage="1" allowBlank="1" errorTitle="Formells regnskapsmal" error="Skriv en dato." type="date" operator="greaterThan">
      <formula1>DATE(2000,1,1)</formula1>
    </dataValidation>
    <dataValidation sqref="M3:M102" showDropDown="0" showInputMessage="0" showErrorMessage="1" allowBlank="1" type="textLength" operator="lessThanOrEqual">
      <formula1>500</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2"/>
  <sheetViews>
    <sheetView workbookViewId="0">
      <pane ySplit="2" topLeftCell="A3" activePane="bottomLeft" state="frozen"/>
      <selection pane="bottomLeft" activeCell="A1" sqref="A1"/>
    </sheetView>
  </sheetViews>
  <sheetFormatPr baseColWidth="8" defaultRowHeight="15"/>
  <cols>
    <col width="40" customWidth="1" min="1" max="1"/>
    <col width="28" customWidth="1" min="2" max="2"/>
    <col width="14" customWidth="1" min="3" max="3"/>
    <col width="24" customWidth="1" min="4" max="4"/>
    <col width="18" customWidth="1" min="5" max="5"/>
    <col width="10" customWidth="1" min="6" max="6"/>
    <col width="12" customWidth="1" min="7" max="7"/>
    <col width="30" customWidth="1" min="8" max="8"/>
  </cols>
  <sheetData>
    <row r="1">
      <c r="A1" s="10" t="inlineStr">
        <is>
          <t>Konto</t>
        </is>
      </c>
      <c r="B1" s="10" t="inlineStr">
        <is>
          <t>Hvem (navn)</t>
        </is>
      </c>
      <c r="C1" s="10" t="inlineStr">
        <is>
          <t>Org.nr. (hvis selskap)</t>
        </is>
      </c>
      <c r="D1" s="10" t="inlineStr">
        <is>
          <t>Hvem er det?</t>
        </is>
      </c>
      <c r="E1" s="10" t="inlineStr">
        <is>
          <t>Saldo 31.12.2027 (bare ved delt konto)</t>
        </is>
      </c>
      <c r="F1" s="10" t="inlineStr">
        <is>
          <t>Rente (%)</t>
        </is>
      </c>
      <c r="G1" s="10" t="inlineStr">
        <is>
          <t>Er det stilt sikkerhet?</t>
        </is>
      </c>
      <c r="H1" s="10" t="inlineStr">
        <is>
          <t>Merknad</t>
        </is>
      </c>
    </row>
    <row r="2" ht="30" customHeight="1">
      <c r="A2" s="11" t="inlineStr">
        <is>
          <t>Én rad per lån til eller fra eiere, styremedlemmer, familie eller selskaper i samme konsern. Saldoen henter vi fra «Journal». Ikke skriv fødselsnummer.</t>
        </is>
      </c>
    </row>
    <row r="3">
      <c r="A3" s="8" t="n"/>
      <c r="B3" s="8" t="n"/>
      <c r="C3" s="6" t="n"/>
      <c r="D3" s="8" t="n"/>
      <c r="E3" s="14" t="n"/>
      <c r="F3" s="22" t="n"/>
      <c r="G3" s="8" t="n"/>
      <c r="H3" s="8" t="n"/>
    </row>
    <row r="4">
      <c r="A4" s="8" t="n"/>
      <c r="B4" s="8" t="n"/>
      <c r="C4" s="6" t="n"/>
      <c r="D4" s="8" t="n"/>
      <c r="E4" s="14" t="n"/>
      <c r="F4" s="22" t="n"/>
      <c r="G4" s="8" t="n"/>
      <c r="H4" s="8" t="n"/>
    </row>
    <row r="5">
      <c r="A5" s="8" t="n"/>
      <c r="B5" s="8" t="n"/>
      <c r="C5" s="6" t="n"/>
      <c r="D5" s="8" t="n"/>
      <c r="E5" s="14" t="n"/>
      <c r="F5" s="22" t="n"/>
      <c r="G5" s="8" t="n"/>
      <c r="H5" s="8" t="n"/>
    </row>
    <row r="6">
      <c r="A6" s="8" t="n"/>
      <c r="B6" s="8" t="n"/>
      <c r="C6" s="6" t="n"/>
      <c r="D6" s="8" t="n"/>
      <c r="E6" s="14" t="n"/>
      <c r="F6" s="22" t="n"/>
      <c r="G6" s="8" t="n"/>
      <c r="H6" s="8" t="n"/>
    </row>
    <row r="7">
      <c r="A7" s="8" t="n"/>
      <c r="B7" s="8" t="n"/>
      <c r="C7" s="6" t="n"/>
      <c r="D7" s="8" t="n"/>
      <c r="E7" s="14" t="n"/>
      <c r="F7" s="22" t="n"/>
      <c r="G7" s="8" t="n"/>
      <c r="H7" s="8" t="n"/>
    </row>
    <row r="8">
      <c r="A8" s="8" t="n"/>
      <c r="B8" s="8" t="n"/>
      <c r="C8" s="6" t="n"/>
      <c r="D8" s="8" t="n"/>
      <c r="E8" s="14" t="n"/>
      <c r="F8" s="22" t="n"/>
      <c r="G8" s="8" t="n"/>
      <c r="H8" s="8" t="n"/>
    </row>
    <row r="9">
      <c r="A9" s="8" t="n"/>
      <c r="B9" s="8" t="n"/>
      <c r="C9" s="6" t="n"/>
      <c r="D9" s="8" t="n"/>
      <c r="E9" s="14" t="n"/>
      <c r="F9" s="22" t="n"/>
      <c r="G9" s="8" t="n"/>
      <c r="H9" s="8" t="n"/>
    </row>
    <row r="10">
      <c r="A10" s="8" t="n"/>
      <c r="B10" s="8" t="n"/>
      <c r="C10" s="6" t="n"/>
      <c r="D10" s="8" t="n"/>
      <c r="E10" s="14" t="n"/>
      <c r="F10" s="22" t="n"/>
      <c r="G10" s="8" t="n"/>
      <c r="H10" s="8" t="n"/>
    </row>
    <row r="11">
      <c r="A11" s="8" t="n"/>
      <c r="B11" s="8" t="n"/>
      <c r="C11" s="6" t="n"/>
      <c r="D11" s="8" t="n"/>
      <c r="E11" s="14" t="n"/>
      <c r="F11" s="22" t="n"/>
      <c r="G11" s="8" t="n"/>
      <c r="H11" s="8" t="n"/>
    </row>
    <row r="12">
      <c r="A12" s="8" t="n"/>
      <c r="B12" s="8" t="n"/>
      <c r="C12" s="6" t="n"/>
      <c r="D12" s="8" t="n"/>
      <c r="E12" s="14" t="n"/>
      <c r="F12" s="22" t="n"/>
      <c r="G12" s="8" t="n"/>
      <c r="H12" s="8" t="n"/>
    </row>
    <row r="13">
      <c r="A13" s="8" t="n"/>
      <c r="B13" s="8" t="n"/>
      <c r="C13" s="6" t="n"/>
      <c r="D13" s="8" t="n"/>
      <c r="E13" s="14" t="n"/>
      <c r="F13" s="22" t="n"/>
      <c r="G13" s="8" t="n"/>
      <c r="H13" s="8" t="n"/>
    </row>
    <row r="14">
      <c r="A14" s="8" t="n"/>
      <c r="B14" s="8" t="n"/>
      <c r="C14" s="6" t="n"/>
      <c r="D14" s="8" t="n"/>
      <c r="E14" s="14" t="n"/>
      <c r="F14" s="22" t="n"/>
      <c r="G14" s="8" t="n"/>
      <c r="H14" s="8" t="n"/>
    </row>
    <row r="15">
      <c r="A15" s="8" t="n"/>
      <c r="B15" s="8" t="n"/>
      <c r="C15" s="6" t="n"/>
      <c r="D15" s="8" t="n"/>
      <c r="E15" s="14" t="n"/>
      <c r="F15" s="22" t="n"/>
      <c r="G15" s="8" t="n"/>
      <c r="H15" s="8" t="n"/>
    </row>
    <row r="16">
      <c r="A16" s="8" t="n"/>
      <c r="B16" s="8" t="n"/>
      <c r="C16" s="6" t="n"/>
      <c r="D16" s="8" t="n"/>
      <c r="E16" s="14" t="n"/>
      <c r="F16" s="22" t="n"/>
      <c r="G16" s="8" t="n"/>
      <c r="H16" s="8" t="n"/>
    </row>
    <row r="17">
      <c r="A17" s="8" t="n"/>
      <c r="B17" s="8" t="n"/>
      <c r="C17" s="6" t="n"/>
      <c r="D17" s="8" t="n"/>
      <c r="E17" s="14" t="n"/>
      <c r="F17" s="22" t="n"/>
      <c r="G17" s="8" t="n"/>
      <c r="H17" s="8" t="n"/>
    </row>
    <row r="18">
      <c r="A18" s="8" t="n"/>
      <c r="B18" s="8" t="n"/>
      <c r="C18" s="6" t="n"/>
      <c r="D18" s="8" t="n"/>
      <c r="E18" s="14" t="n"/>
      <c r="F18" s="22" t="n"/>
      <c r="G18" s="8" t="n"/>
      <c r="H18" s="8" t="n"/>
    </row>
    <row r="19">
      <c r="A19" s="8" t="n"/>
      <c r="B19" s="8" t="n"/>
      <c r="C19" s="6" t="n"/>
      <c r="D19" s="8" t="n"/>
      <c r="E19" s="14" t="n"/>
      <c r="F19" s="22" t="n"/>
      <c r="G19" s="8" t="n"/>
      <c r="H19" s="8" t="n"/>
    </row>
    <row r="20">
      <c r="A20" s="8" t="n"/>
      <c r="B20" s="8" t="n"/>
      <c r="C20" s="6" t="n"/>
      <c r="D20" s="8" t="n"/>
      <c r="E20" s="14" t="n"/>
      <c r="F20" s="22" t="n"/>
      <c r="G20" s="8" t="n"/>
      <c r="H20" s="8" t="n"/>
    </row>
    <row r="21">
      <c r="A21" s="8" t="n"/>
      <c r="B21" s="8" t="n"/>
      <c r="C21" s="6" t="n"/>
      <c r="D21" s="8" t="n"/>
      <c r="E21" s="14" t="n"/>
      <c r="F21" s="22" t="n"/>
      <c r="G21" s="8" t="n"/>
      <c r="H21" s="8" t="n"/>
    </row>
    <row r="22">
      <c r="A22" s="8" t="n"/>
      <c r="B22" s="8" t="n"/>
      <c r="C22" s="6" t="n"/>
      <c r="D22" s="8" t="n"/>
      <c r="E22" s="14" t="n"/>
      <c r="F22" s="22" t="n"/>
      <c r="G22" s="8" t="n"/>
      <c r="H22" s="8" t="n"/>
    </row>
    <row r="23">
      <c r="A23" s="8" t="n"/>
      <c r="B23" s="8" t="n"/>
      <c r="C23" s="6" t="n"/>
      <c r="D23" s="8" t="n"/>
      <c r="E23" s="14" t="n"/>
      <c r="F23" s="22" t="n"/>
      <c r="G23" s="8" t="n"/>
      <c r="H23" s="8" t="n"/>
    </row>
    <row r="24">
      <c r="A24" s="8" t="n"/>
      <c r="B24" s="8" t="n"/>
      <c r="C24" s="6" t="n"/>
      <c r="D24" s="8" t="n"/>
      <c r="E24" s="14" t="n"/>
      <c r="F24" s="22" t="n"/>
      <c r="G24" s="8" t="n"/>
      <c r="H24" s="8" t="n"/>
    </row>
    <row r="25">
      <c r="A25" s="8" t="n"/>
      <c r="B25" s="8" t="n"/>
      <c r="C25" s="6" t="n"/>
      <c r="D25" s="8" t="n"/>
      <c r="E25" s="14" t="n"/>
      <c r="F25" s="22" t="n"/>
      <c r="G25" s="8" t="n"/>
      <c r="H25" s="8" t="n"/>
    </row>
    <row r="26">
      <c r="A26" s="8" t="n"/>
      <c r="B26" s="8" t="n"/>
      <c r="C26" s="6" t="n"/>
      <c r="D26" s="8" t="n"/>
      <c r="E26" s="14" t="n"/>
      <c r="F26" s="22" t="n"/>
      <c r="G26" s="8" t="n"/>
      <c r="H26" s="8" t="n"/>
    </row>
    <row r="27">
      <c r="A27" s="8" t="n"/>
      <c r="B27" s="8" t="n"/>
      <c r="C27" s="6" t="n"/>
      <c r="D27" s="8" t="n"/>
      <c r="E27" s="14" t="n"/>
      <c r="F27" s="22" t="n"/>
      <c r="G27" s="8" t="n"/>
      <c r="H27" s="8" t="n"/>
    </row>
    <row r="28">
      <c r="A28" s="8" t="n"/>
      <c r="B28" s="8" t="n"/>
      <c r="C28" s="6" t="n"/>
      <c r="D28" s="8" t="n"/>
      <c r="E28" s="14" t="n"/>
      <c r="F28" s="22" t="n"/>
      <c r="G28" s="8" t="n"/>
      <c r="H28" s="8" t="n"/>
    </row>
    <row r="29">
      <c r="A29" s="8" t="n"/>
      <c r="B29" s="8" t="n"/>
      <c r="C29" s="6" t="n"/>
      <c r="D29" s="8" t="n"/>
      <c r="E29" s="14" t="n"/>
      <c r="F29" s="22" t="n"/>
      <c r="G29" s="8" t="n"/>
      <c r="H29" s="8" t="n"/>
    </row>
    <row r="30">
      <c r="A30" s="8" t="n"/>
      <c r="B30" s="8" t="n"/>
      <c r="C30" s="6" t="n"/>
      <c r="D30" s="8" t="n"/>
      <c r="E30" s="14" t="n"/>
      <c r="F30" s="22" t="n"/>
      <c r="G30" s="8" t="n"/>
      <c r="H30" s="8" t="n"/>
    </row>
    <row r="31">
      <c r="A31" s="8" t="n"/>
      <c r="B31" s="8" t="n"/>
      <c r="C31" s="6" t="n"/>
      <c r="D31" s="8" t="n"/>
      <c r="E31" s="14" t="n"/>
      <c r="F31" s="22" t="n"/>
      <c r="G31" s="8" t="n"/>
      <c r="H31" s="8" t="n"/>
    </row>
    <row r="32">
      <c r="A32" s="8" t="n"/>
      <c r="B32" s="8" t="n"/>
      <c r="C32" s="6" t="n"/>
      <c r="D32" s="8" t="n"/>
      <c r="E32" s="14" t="n"/>
      <c r="F32" s="22" t="n"/>
      <c r="G32" s="8" t="n"/>
      <c r="H32" s="8" t="n"/>
    </row>
    <row r="33">
      <c r="A33" s="8" t="n"/>
      <c r="B33" s="8" t="n"/>
      <c r="C33" s="6" t="n"/>
      <c r="D33" s="8" t="n"/>
      <c r="E33" s="14" t="n"/>
      <c r="F33" s="22" t="n"/>
      <c r="G33" s="8" t="n"/>
      <c r="H33" s="8" t="n"/>
    </row>
    <row r="34">
      <c r="A34" s="8" t="n"/>
      <c r="B34" s="8" t="n"/>
      <c r="C34" s="6" t="n"/>
      <c r="D34" s="8" t="n"/>
      <c r="E34" s="14" t="n"/>
      <c r="F34" s="22" t="n"/>
      <c r="G34" s="8" t="n"/>
      <c r="H34" s="8" t="n"/>
    </row>
    <row r="35">
      <c r="A35" s="8" t="n"/>
      <c r="B35" s="8" t="n"/>
      <c r="C35" s="6" t="n"/>
      <c r="D35" s="8" t="n"/>
      <c r="E35" s="14" t="n"/>
      <c r="F35" s="22" t="n"/>
      <c r="G35" s="8" t="n"/>
      <c r="H35" s="8" t="n"/>
    </row>
    <row r="36">
      <c r="A36" s="8" t="n"/>
      <c r="B36" s="8" t="n"/>
      <c r="C36" s="6" t="n"/>
      <c r="D36" s="8" t="n"/>
      <c r="E36" s="14" t="n"/>
      <c r="F36" s="22" t="n"/>
      <c r="G36" s="8" t="n"/>
      <c r="H36" s="8" t="n"/>
    </row>
    <row r="37">
      <c r="A37" s="8" t="n"/>
      <c r="B37" s="8" t="n"/>
      <c r="C37" s="6" t="n"/>
      <c r="D37" s="8" t="n"/>
      <c r="E37" s="14" t="n"/>
      <c r="F37" s="22" t="n"/>
      <c r="G37" s="8" t="n"/>
      <c r="H37" s="8" t="n"/>
    </row>
    <row r="38">
      <c r="A38" s="8" t="n"/>
      <c r="B38" s="8" t="n"/>
      <c r="C38" s="6" t="n"/>
      <c r="D38" s="8" t="n"/>
      <c r="E38" s="14" t="n"/>
      <c r="F38" s="22" t="n"/>
      <c r="G38" s="8" t="n"/>
      <c r="H38" s="8" t="n"/>
    </row>
    <row r="39">
      <c r="A39" s="8" t="n"/>
      <c r="B39" s="8" t="n"/>
      <c r="C39" s="6" t="n"/>
      <c r="D39" s="8" t="n"/>
      <c r="E39" s="14" t="n"/>
      <c r="F39" s="22" t="n"/>
      <c r="G39" s="8" t="n"/>
      <c r="H39" s="8" t="n"/>
    </row>
    <row r="40">
      <c r="A40" s="8" t="n"/>
      <c r="B40" s="8" t="n"/>
      <c r="C40" s="6" t="n"/>
      <c r="D40" s="8" t="n"/>
      <c r="E40" s="14" t="n"/>
      <c r="F40" s="22" t="n"/>
      <c r="G40" s="8" t="n"/>
      <c r="H40" s="8" t="n"/>
    </row>
    <row r="41">
      <c r="A41" s="8" t="n"/>
      <c r="B41" s="8" t="n"/>
      <c r="C41" s="6" t="n"/>
      <c r="D41" s="8" t="n"/>
      <c r="E41" s="14" t="n"/>
      <c r="F41" s="22" t="n"/>
      <c r="G41" s="8" t="n"/>
      <c r="H41" s="8" t="n"/>
    </row>
    <row r="42">
      <c r="A42" s="8" t="n"/>
      <c r="B42" s="8" t="n"/>
      <c r="C42" s="6" t="n"/>
      <c r="D42" s="8" t="n"/>
      <c r="E42" s="14" t="n"/>
      <c r="F42" s="22" t="n"/>
      <c r="G42" s="8" t="n"/>
      <c r="H42" s="8" t="n"/>
    </row>
    <row r="43">
      <c r="A43" s="8" t="n"/>
      <c r="B43" s="8" t="n"/>
      <c r="C43" s="6" t="n"/>
      <c r="D43" s="8" t="n"/>
      <c r="E43" s="14" t="n"/>
      <c r="F43" s="22" t="n"/>
      <c r="G43" s="8" t="n"/>
      <c r="H43" s="8" t="n"/>
    </row>
    <row r="44">
      <c r="A44" s="8" t="n"/>
      <c r="B44" s="8" t="n"/>
      <c r="C44" s="6" t="n"/>
      <c r="D44" s="8" t="n"/>
      <c r="E44" s="14" t="n"/>
      <c r="F44" s="22" t="n"/>
      <c r="G44" s="8" t="n"/>
      <c r="H44" s="8" t="n"/>
    </row>
    <row r="45">
      <c r="A45" s="8" t="n"/>
      <c r="B45" s="8" t="n"/>
      <c r="C45" s="6" t="n"/>
      <c r="D45" s="8" t="n"/>
      <c r="E45" s="14" t="n"/>
      <c r="F45" s="22" t="n"/>
      <c r="G45" s="8" t="n"/>
      <c r="H45" s="8" t="n"/>
    </row>
    <row r="46">
      <c r="A46" s="8" t="n"/>
      <c r="B46" s="8" t="n"/>
      <c r="C46" s="6" t="n"/>
      <c r="D46" s="8" t="n"/>
      <c r="E46" s="14" t="n"/>
      <c r="F46" s="22" t="n"/>
      <c r="G46" s="8" t="n"/>
      <c r="H46" s="8" t="n"/>
    </row>
    <row r="47">
      <c r="A47" s="8" t="n"/>
      <c r="B47" s="8" t="n"/>
      <c r="C47" s="6" t="n"/>
      <c r="D47" s="8" t="n"/>
      <c r="E47" s="14" t="n"/>
      <c r="F47" s="22" t="n"/>
      <c r="G47" s="8" t="n"/>
      <c r="H47" s="8" t="n"/>
    </row>
    <row r="48">
      <c r="A48" s="8" t="n"/>
      <c r="B48" s="8" t="n"/>
      <c r="C48" s="6" t="n"/>
      <c r="D48" s="8" t="n"/>
      <c r="E48" s="14" t="n"/>
      <c r="F48" s="22" t="n"/>
      <c r="G48" s="8" t="n"/>
      <c r="H48" s="8" t="n"/>
    </row>
    <row r="49">
      <c r="A49" s="8" t="n"/>
      <c r="B49" s="8" t="n"/>
      <c r="C49" s="6" t="n"/>
      <c r="D49" s="8" t="n"/>
      <c r="E49" s="14" t="n"/>
      <c r="F49" s="22" t="n"/>
      <c r="G49" s="8" t="n"/>
      <c r="H49" s="8" t="n"/>
    </row>
    <row r="50">
      <c r="A50" s="8" t="n"/>
      <c r="B50" s="8" t="n"/>
      <c r="C50" s="6" t="n"/>
      <c r="D50" s="8" t="n"/>
      <c r="E50" s="14" t="n"/>
      <c r="F50" s="22" t="n"/>
      <c r="G50" s="8" t="n"/>
      <c r="H50" s="8" t="n"/>
    </row>
    <row r="51">
      <c r="A51" s="8" t="n"/>
      <c r="B51" s="8" t="n"/>
      <c r="C51" s="6" t="n"/>
      <c r="D51" s="8" t="n"/>
      <c r="E51" s="14" t="n"/>
      <c r="F51" s="22" t="n"/>
      <c r="G51" s="8" t="n"/>
      <c r="H51" s="8" t="n"/>
    </row>
    <row r="52">
      <c r="A52" s="8" t="n"/>
      <c r="B52" s="8" t="n"/>
      <c r="C52" s="6" t="n"/>
      <c r="D52" s="8" t="n"/>
      <c r="E52" s="14" t="n"/>
      <c r="F52" s="22" t="n"/>
      <c r="G52" s="8" t="n"/>
      <c r="H52" s="8" t="n"/>
    </row>
  </sheetData>
  <sheetProtection selectLockedCells="0" selectUnlockedCells="0" sheet="1" objects="0" insertRows="1" insertHyperlinks="1" autoFilter="1" scenarios="0" formatColumns="1" deleteColumns="1" insertColumns="1" pivotTables="1" deleteRows="1" formatCells="1" formatRows="1" sort="1"/>
  <mergeCells count="1">
    <mergeCell ref="A2:H2"/>
  </mergeCells>
  <dataValidations count="8">
    <dataValidation sqref="A3:A52" showDropDown="0" showInputMessage="0" showErrorMessage="1" allowBlank="1" errorTitle="Formells regnskapsmal" error="Velg en lånekonto fra «Kontoplan»." type="list">
      <formula1>'_lister'!$M$2:$M$41</formula1>
    </dataValidation>
    <dataValidation sqref="B3:B52" showDropDown="0" showInputMessage="0" showErrorMessage="1" allowBlank="1" type="textLength" operator="lessThanOrEqual">
      <formula1>255</formula1>
    </dataValidation>
    <dataValidation sqref="C3:C52" showDropDown="0" showInputMessage="0" showErrorMessage="1" allowBlank="1" errorTitle="Formells regnskapsmal" error="Skriv organisasjonsnummeret med ni sifre." type="custom">
      <formula1>AND(LEN(C3)=9,ISNUMBER(--C3))</formula1>
    </dataValidation>
    <dataValidation sqref="D3:D52" showDropDown="0" showInputMessage="0" showErrorMessage="1" allowBlank="1" errorTitle="Formells regnskapsmal" error="Velg fra listen." type="list">
      <formula1>'_lister'!$J$2:$J$10</formula1>
    </dataValidation>
    <dataValidation sqref="E3:E52" showDropDown="0" showInputMessage="0" showErrorMessage="1" allowBlank="1" errorTitle="Formells regnskapsmal" error="Skriv beløpet som et positivt tall." type="decimal" operator="greaterThanOrEqual">
      <formula1>0</formula1>
    </dataValidation>
    <dataValidation sqref="F3:F52" showDropDown="0" showInputMessage="0" showErrorMessage="1" allowBlank="1" errorTitle="Formells regnskapsmal" error="Skriv en prosent mellom 0 og 100." type="decimal" operator="between">
      <formula1>0</formula1>
      <formula2>100</formula2>
    </dataValidation>
    <dataValidation sqref="G3:G52" showDropDown="0" showInputMessage="0" showErrorMessage="1" allowBlank="1" errorTitle="Formells regnskapsmal" error="Velg Ja eller Nei." type="list">
      <formula1>'_lister'!$F$2:$F$3</formula1>
    </dataValidation>
    <dataValidation sqref="H3:H52" showDropDown="0" showInputMessage="0" showErrorMessage="1" allowBlank="1" type="textLength" operator="lessThanOrEqual">
      <formula1>500</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26" customWidth="1" min="1" max="1"/>
    <col width="14" customWidth="1" min="2" max="2"/>
    <col width="20" customWidth="1" min="3" max="3"/>
    <col width="20" customWidth="1" min="4" max="4"/>
    <col width="12" customWidth="1" min="5" max="5"/>
    <col width="30" customWidth="1" min="6" max="6"/>
    <col width="12" customWidth="1" min="7" max="7"/>
    <col width="20" customWidth="1" min="8" max="8"/>
  </cols>
  <sheetData>
    <row r="1" ht="21" customHeight="1">
      <c r="A1" s="1" t="inlineStr">
        <is>
          <t>Slik låser du en periode</t>
        </is>
      </c>
    </row>
    <row r="2" ht="30" customHeight="1">
      <c r="A2" s="23" t="inlineStr">
        <is>
          <t>Reglene sier at regnskapet skal være sikret mot endring. I et regneark gjør du det ved å ta vare på en kopi som ikke endres. Vi anbefaler at du låser hver måned, og minst hver fjerde måned.</t>
        </is>
      </c>
    </row>
    <row r="3" ht="15" customHeight="1">
      <c r="A3" s="23" t="inlineStr">
        <is>
          <t>1. Før alle bilag for perioden, og sjekk at differansen i «Bankavstemming» er 0.</t>
        </is>
      </c>
    </row>
    <row r="4" ht="30" customHeight="1">
      <c r="A4" s="23" t="inlineStr">
        <is>
          <t>2. Lagre arkene «Bokføringsspesifikasjon», «Saldobalanse» og «Bankavstemming» som PDF: Fil → Skriv ut → Lagre som PDF. Kall filen {orgnr}-{år}-{måned}-låst.pdf.</t>
        </is>
      </c>
    </row>
    <row r="5" ht="15" customHeight="1">
      <c r="A5" s="23" t="inlineStr">
        <is>
          <t>3. Lagre en kopi av hele regnearket med navnet {orgnr}-{år}-{måned}-låst.xlsx. Ikke åpne og endre kopien senere.</t>
        </is>
      </c>
    </row>
    <row r="6" ht="30" customHeight="1">
      <c r="A6" s="23" t="inlineStr">
        <is>
          <t>4. Kopier tallet i kolonnen «Kontrollsum» for måneden, og lim det inn som verdi (Lim inn spesielt → Verdier) i «Kontrollsum ved låsing». Skriv dato og initialene dine.</t>
        </is>
      </c>
    </row>
    <row r="7" ht="30" customHeight="1">
      <c r="A7" s="23" t="inlineStr">
        <is>
          <t>5. Ta vare på PDF-ene, kopiene og bilagene i minst fem år etter årets slutt. Ha en ekstra kopi et annet sted enn på PC-en. Reglene om oppbevaring gjelder også skylagring, så sjekk hvor tjenesten lagrer filene.</t>
        </is>
      </c>
    </row>
    <row r="8" ht="15" customHeight="1">
      <c r="A8" s="23" t="inlineStr">
        <is>
          <t>6. Fra våren 2027 kan du også laste opp en kopi i Formell. Vi lagrer den låst i fem år.</t>
        </is>
      </c>
    </row>
    <row r="9" ht="30" customHeight="1">
      <c r="A9" s="23" t="inlineStr">
        <is>
          <t>7. Finner du en feil i en låst periode? Ikke endre raden. Før et nytt bilag i en åpen periode som retter feilen, og skriv i «Merknad» hvilket bilag det retter.</t>
        </is>
      </c>
    </row>
    <row r="10" ht="15" customHeight="1">
      <c r="A10" s="23" t="inlineStr">
        <is>
          <t>Status viser «Endret etter låsing» hvis noe i en låst måned er endret. Da stemmer ikke regnskapet med kopien du har tatt vare på.</t>
        </is>
      </c>
    </row>
    <row r="16">
      <c r="A16" s="10" t="inlineStr">
        <is>
          <t>Periode</t>
        </is>
      </c>
      <c r="B16" s="10" t="inlineStr">
        <is>
          <t>Siste bilagsnr.</t>
        </is>
      </c>
      <c r="C16" s="10" t="inlineStr">
        <is>
          <t>Kontrollsum</t>
        </is>
      </c>
      <c r="D16" s="10" t="inlineStr">
        <is>
          <t>Kontrollsum ved låsing</t>
        </is>
      </c>
      <c r="E16" s="10" t="inlineStr">
        <is>
          <t>Låst dato</t>
        </is>
      </c>
      <c r="F16" s="10" t="inlineStr">
        <is>
          <t>PDF-fil</t>
        </is>
      </c>
      <c r="G16" s="10" t="inlineStr">
        <is>
          <t>Låst av</t>
        </is>
      </c>
      <c r="H16" s="10" t="inlineStr">
        <is>
          <t>Status</t>
        </is>
      </c>
    </row>
    <row r="17">
      <c r="A17" s="5" t="inlineStr">
        <is>
          <t>Januar</t>
        </is>
      </c>
      <c r="B17" s="18">
        <f t="array" ref="B17">IFERROR(_xlfn.AGGREGATE(14,6,'Journal'!$A$3:$A$2002/(('Journal'!$B$3:$B$2002&lt;&gt;"")*('Journal'!$B$3:$B$2002&lt;=DATE(2027,1,31))*ISNUMBER('Journal'!$A$3:$A$2002)),1),"")</f>
        <v/>
      </c>
      <c r="C17" s="18">
        <f t="array" ref="C17">SUMPRODUCT(('Journal'!$B$3:$B$2002&lt;&gt;"")*('Journal'!$B$3:$B$2002&lt;=DATE(2027,1,31))*('Journal'!$A$3:$A$2002*1000003+ROUND(('Journal'!$F$3:$F$2002-'Journal'!$G$3:$G$2002)*100,0)*7+('Journal'!$B$3:$B$2002-DATE(2000,1,1))*13+IFERROR(MATCH('Journal'!$D$3:$D$2002,'Kontoplan'!$H$3:$H$302,0),0)*19+IFERROR(MATCH('Journal'!$E$3:$E$2002,'Kontoplan'!$H$3:$H$302,0),0)*23+ROW('Journal'!$A$3:$A$2002)*29))</f>
        <v/>
      </c>
      <c r="D17" s="17" t="n"/>
      <c r="E17" s="9" t="n"/>
      <c r="F17" s="8" t="n"/>
      <c r="G17" s="8" t="n"/>
      <c r="H17" s="5">
        <f>IF(D17="","Ikke låst",IF(D17=C17,"Låst","Endret etter låsing"))</f>
        <v/>
      </c>
    </row>
    <row r="18">
      <c r="A18" s="5" t="inlineStr">
        <is>
          <t>Februar</t>
        </is>
      </c>
      <c r="B18" s="18">
        <f t="array" ref="B18">IFERROR(_xlfn.AGGREGATE(14,6,'Journal'!$A$3:$A$2002/(('Journal'!$B$3:$B$2002&lt;&gt;"")*('Journal'!$B$3:$B$2002&lt;=DATE(2027,2,28))*ISNUMBER('Journal'!$A$3:$A$2002)),1),"")</f>
        <v/>
      </c>
      <c r="C18" s="18">
        <f t="array" ref="C18">SUMPRODUCT(('Journal'!$B$3:$B$2002&lt;&gt;"")*('Journal'!$B$3:$B$2002&lt;=DATE(2027,2,28))*('Journal'!$A$3:$A$2002*1000003+ROUND(('Journal'!$F$3:$F$2002-'Journal'!$G$3:$G$2002)*100,0)*7+('Journal'!$B$3:$B$2002-DATE(2000,1,1))*13+IFERROR(MATCH('Journal'!$D$3:$D$2002,'Kontoplan'!$H$3:$H$302,0),0)*19+IFERROR(MATCH('Journal'!$E$3:$E$2002,'Kontoplan'!$H$3:$H$302,0),0)*23+ROW('Journal'!$A$3:$A$2002)*29))</f>
        <v/>
      </c>
      <c r="D18" s="17" t="n"/>
      <c r="E18" s="9" t="n"/>
      <c r="F18" s="8" t="n"/>
      <c r="G18" s="8" t="n"/>
      <c r="H18" s="5">
        <f>IF(D18="","Ikke låst",IF(D18=C18,"Låst","Endret etter låsing"))</f>
        <v/>
      </c>
    </row>
    <row r="19">
      <c r="A19" s="5" t="inlineStr">
        <is>
          <t>Mars</t>
        </is>
      </c>
      <c r="B19" s="18">
        <f t="array" ref="B19">IFERROR(_xlfn.AGGREGATE(14,6,'Journal'!$A$3:$A$2002/(('Journal'!$B$3:$B$2002&lt;&gt;"")*('Journal'!$B$3:$B$2002&lt;=DATE(2027,3,31))*ISNUMBER('Journal'!$A$3:$A$2002)),1),"")</f>
        <v/>
      </c>
      <c r="C19" s="18">
        <f t="array" ref="C19">SUMPRODUCT(('Journal'!$B$3:$B$2002&lt;&gt;"")*('Journal'!$B$3:$B$2002&lt;=DATE(2027,3,31))*('Journal'!$A$3:$A$2002*1000003+ROUND(('Journal'!$F$3:$F$2002-'Journal'!$G$3:$G$2002)*100,0)*7+('Journal'!$B$3:$B$2002-DATE(2000,1,1))*13+IFERROR(MATCH('Journal'!$D$3:$D$2002,'Kontoplan'!$H$3:$H$302,0),0)*19+IFERROR(MATCH('Journal'!$E$3:$E$2002,'Kontoplan'!$H$3:$H$302,0),0)*23+ROW('Journal'!$A$3:$A$2002)*29))</f>
        <v/>
      </c>
      <c r="D19" s="17" t="n"/>
      <c r="E19" s="9" t="n"/>
      <c r="F19" s="8" t="n"/>
      <c r="G19" s="8" t="n"/>
      <c r="H19" s="5">
        <f>IF(D19="","Ikke låst",IF(D19=C19,"Låst","Endret etter låsing"))</f>
        <v/>
      </c>
    </row>
    <row r="20">
      <c r="A20" s="5" t="inlineStr">
        <is>
          <t>April</t>
        </is>
      </c>
      <c r="B20" s="18">
        <f t="array" ref="B20">IFERROR(_xlfn.AGGREGATE(14,6,'Journal'!$A$3:$A$2002/(('Journal'!$B$3:$B$2002&lt;&gt;"")*('Journal'!$B$3:$B$2002&lt;=DATE(2027,4,30))*ISNUMBER('Journal'!$A$3:$A$2002)),1),"")</f>
        <v/>
      </c>
      <c r="C20" s="18">
        <f t="array" ref="C20">SUMPRODUCT(('Journal'!$B$3:$B$2002&lt;&gt;"")*('Journal'!$B$3:$B$2002&lt;=DATE(2027,4,30))*('Journal'!$A$3:$A$2002*1000003+ROUND(('Journal'!$F$3:$F$2002-'Journal'!$G$3:$G$2002)*100,0)*7+('Journal'!$B$3:$B$2002-DATE(2000,1,1))*13+IFERROR(MATCH('Journal'!$D$3:$D$2002,'Kontoplan'!$H$3:$H$302,0),0)*19+IFERROR(MATCH('Journal'!$E$3:$E$2002,'Kontoplan'!$H$3:$H$302,0),0)*23+ROW('Journal'!$A$3:$A$2002)*29))</f>
        <v/>
      </c>
      <c r="D20" s="17" t="n"/>
      <c r="E20" s="9" t="n"/>
      <c r="F20" s="8" t="n"/>
      <c r="G20" s="8" t="n"/>
      <c r="H20" s="5">
        <f>IF(D20="","Ikke låst",IF(D20=C20,"Låst","Endret etter låsing"))</f>
        <v/>
      </c>
    </row>
    <row r="21">
      <c r="A21" s="5" t="inlineStr">
        <is>
          <t>Mai</t>
        </is>
      </c>
      <c r="B21" s="18">
        <f t="array" ref="B21">IFERROR(_xlfn.AGGREGATE(14,6,'Journal'!$A$3:$A$2002/(('Journal'!$B$3:$B$2002&lt;&gt;"")*('Journal'!$B$3:$B$2002&lt;=DATE(2027,5,31))*ISNUMBER('Journal'!$A$3:$A$2002)),1),"")</f>
        <v/>
      </c>
      <c r="C21" s="18">
        <f t="array" ref="C21">SUMPRODUCT(('Journal'!$B$3:$B$2002&lt;&gt;"")*('Journal'!$B$3:$B$2002&lt;=DATE(2027,5,31))*('Journal'!$A$3:$A$2002*1000003+ROUND(('Journal'!$F$3:$F$2002-'Journal'!$G$3:$G$2002)*100,0)*7+('Journal'!$B$3:$B$2002-DATE(2000,1,1))*13+IFERROR(MATCH('Journal'!$D$3:$D$2002,'Kontoplan'!$H$3:$H$302,0),0)*19+IFERROR(MATCH('Journal'!$E$3:$E$2002,'Kontoplan'!$H$3:$H$302,0),0)*23+ROW('Journal'!$A$3:$A$2002)*29))</f>
        <v/>
      </c>
      <c r="D21" s="17" t="n"/>
      <c r="E21" s="9" t="n"/>
      <c r="F21" s="8" t="n"/>
      <c r="G21" s="8" t="n"/>
      <c r="H21" s="5">
        <f>IF(D21="","Ikke låst",IF(D21=C21,"Låst","Endret etter låsing"))</f>
        <v/>
      </c>
    </row>
    <row r="22">
      <c r="A22" s="5" t="inlineStr">
        <is>
          <t>Juni</t>
        </is>
      </c>
      <c r="B22" s="18">
        <f t="array" ref="B22">IFERROR(_xlfn.AGGREGATE(14,6,'Journal'!$A$3:$A$2002/(('Journal'!$B$3:$B$2002&lt;&gt;"")*('Journal'!$B$3:$B$2002&lt;=DATE(2027,6,30))*ISNUMBER('Journal'!$A$3:$A$2002)),1),"")</f>
        <v/>
      </c>
      <c r="C22" s="18">
        <f t="array" ref="C22">SUMPRODUCT(('Journal'!$B$3:$B$2002&lt;&gt;"")*('Journal'!$B$3:$B$2002&lt;=DATE(2027,6,30))*('Journal'!$A$3:$A$2002*1000003+ROUND(('Journal'!$F$3:$F$2002-'Journal'!$G$3:$G$2002)*100,0)*7+('Journal'!$B$3:$B$2002-DATE(2000,1,1))*13+IFERROR(MATCH('Journal'!$D$3:$D$2002,'Kontoplan'!$H$3:$H$302,0),0)*19+IFERROR(MATCH('Journal'!$E$3:$E$2002,'Kontoplan'!$H$3:$H$302,0),0)*23+ROW('Journal'!$A$3:$A$2002)*29))</f>
        <v/>
      </c>
      <c r="D22" s="17" t="n"/>
      <c r="E22" s="9" t="n"/>
      <c r="F22" s="8" t="n"/>
      <c r="G22" s="8" t="n"/>
      <c r="H22" s="5">
        <f>IF(D22="","Ikke låst",IF(D22=C22,"Låst","Endret etter låsing"))</f>
        <v/>
      </c>
    </row>
    <row r="23">
      <c r="A23" s="5" t="inlineStr">
        <is>
          <t>Juli</t>
        </is>
      </c>
      <c r="B23" s="18">
        <f t="array" ref="B23">IFERROR(_xlfn.AGGREGATE(14,6,'Journal'!$A$3:$A$2002/(('Journal'!$B$3:$B$2002&lt;&gt;"")*('Journal'!$B$3:$B$2002&lt;=DATE(2027,7,31))*ISNUMBER('Journal'!$A$3:$A$2002)),1),"")</f>
        <v/>
      </c>
      <c r="C23" s="18">
        <f t="array" ref="C23">SUMPRODUCT(('Journal'!$B$3:$B$2002&lt;&gt;"")*('Journal'!$B$3:$B$2002&lt;=DATE(2027,7,31))*('Journal'!$A$3:$A$2002*1000003+ROUND(('Journal'!$F$3:$F$2002-'Journal'!$G$3:$G$2002)*100,0)*7+('Journal'!$B$3:$B$2002-DATE(2000,1,1))*13+IFERROR(MATCH('Journal'!$D$3:$D$2002,'Kontoplan'!$H$3:$H$302,0),0)*19+IFERROR(MATCH('Journal'!$E$3:$E$2002,'Kontoplan'!$H$3:$H$302,0),0)*23+ROW('Journal'!$A$3:$A$2002)*29))</f>
        <v/>
      </c>
      <c r="D23" s="17" t="n"/>
      <c r="E23" s="9" t="n"/>
      <c r="F23" s="8" t="n"/>
      <c r="G23" s="8" t="n"/>
      <c r="H23" s="5">
        <f>IF(D23="","Ikke låst",IF(D23=C23,"Låst","Endret etter låsing"))</f>
        <v/>
      </c>
    </row>
    <row r="24">
      <c r="A24" s="5" t="inlineStr">
        <is>
          <t>August</t>
        </is>
      </c>
      <c r="B24" s="18">
        <f t="array" ref="B24">IFERROR(_xlfn.AGGREGATE(14,6,'Journal'!$A$3:$A$2002/(('Journal'!$B$3:$B$2002&lt;&gt;"")*('Journal'!$B$3:$B$2002&lt;=DATE(2027,8,31))*ISNUMBER('Journal'!$A$3:$A$2002)),1),"")</f>
        <v/>
      </c>
      <c r="C24" s="18">
        <f t="array" ref="C24">SUMPRODUCT(('Journal'!$B$3:$B$2002&lt;&gt;"")*('Journal'!$B$3:$B$2002&lt;=DATE(2027,8,31))*('Journal'!$A$3:$A$2002*1000003+ROUND(('Journal'!$F$3:$F$2002-'Journal'!$G$3:$G$2002)*100,0)*7+('Journal'!$B$3:$B$2002-DATE(2000,1,1))*13+IFERROR(MATCH('Journal'!$D$3:$D$2002,'Kontoplan'!$H$3:$H$302,0),0)*19+IFERROR(MATCH('Journal'!$E$3:$E$2002,'Kontoplan'!$H$3:$H$302,0),0)*23+ROW('Journal'!$A$3:$A$2002)*29))</f>
        <v/>
      </c>
      <c r="D24" s="17" t="n"/>
      <c r="E24" s="9" t="n"/>
      <c r="F24" s="8" t="n"/>
      <c r="G24" s="8" t="n"/>
      <c r="H24" s="5">
        <f>IF(D24="","Ikke låst",IF(D24=C24,"Låst","Endret etter låsing"))</f>
        <v/>
      </c>
    </row>
    <row r="25">
      <c r="A25" s="5" t="inlineStr">
        <is>
          <t>September</t>
        </is>
      </c>
      <c r="B25" s="18">
        <f t="array" ref="B25">IFERROR(_xlfn.AGGREGATE(14,6,'Journal'!$A$3:$A$2002/(('Journal'!$B$3:$B$2002&lt;&gt;"")*('Journal'!$B$3:$B$2002&lt;=DATE(2027,9,30))*ISNUMBER('Journal'!$A$3:$A$2002)),1),"")</f>
        <v/>
      </c>
      <c r="C25" s="18">
        <f t="array" ref="C25">SUMPRODUCT(('Journal'!$B$3:$B$2002&lt;&gt;"")*('Journal'!$B$3:$B$2002&lt;=DATE(2027,9,30))*('Journal'!$A$3:$A$2002*1000003+ROUND(('Journal'!$F$3:$F$2002-'Journal'!$G$3:$G$2002)*100,0)*7+('Journal'!$B$3:$B$2002-DATE(2000,1,1))*13+IFERROR(MATCH('Journal'!$D$3:$D$2002,'Kontoplan'!$H$3:$H$302,0),0)*19+IFERROR(MATCH('Journal'!$E$3:$E$2002,'Kontoplan'!$H$3:$H$302,0),0)*23+ROW('Journal'!$A$3:$A$2002)*29))</f>
        <v/>
      </c>
      <c r="D25" s="17" t="n"/>
      <c r="E25" s="9" t="n"/>
      <c r="F25" s="8" t="n"/>
      <c r="G25" s="8" t="n"/>
      <c r="H25" s="5">
        <f>IF(D25="","Ikke låst",IF(D25=C25,"Låst","Endret etter låsing"))</f>
        <v/>
      </c>
    </row>
    <row r="26">
      <c r="A26" s="5" t="inlineStr">
        <is>
          <t>Oktober</t>
        </is>
      </c>
      <c r="B26" s="18">
        <f t="array" ref="B26">IFERROR(_xlfn.AGGREGATE(14,6,'Journal'!$A$3:$A$2002/(('Journal'!$B$3:$B$2002&lt;&gt;"")*('Journal'!$B$3:$B$2002&lt;=DATE(2027,10,31))*ISNUMBER('Journal'!$A$3:$A$2002)),1),"")</f>
        <v/>
      </c>
      <c r="C26" s="18">
        <f t="array" ref="C26">SUMPRODUCT(('Journal'!$B$3:$B$2002&lt;&gt;"")*('Journal'!$B$3:$B$2002&lt;=DATE(2027,10,31))*('Journal'!$A$3:$A$2002*1000003+ROUND(('Journal'!$F$3:$F$2002-'Journal'!$G$3:$G$2002)*100,0)*7+('Journal'!$B$3:$B$2002-DATE(2000,1,1))*13+IFERROR(MATCH('Journal'!$D$3:$D$2002,'Kontoplan'!$H$3:$H$302,0),0)*19+IFERROR(MATCH('Journal'!$E$3:$E$2002,'Kontoplan'!$H$3:$H$302,0),0)*23+ROW('Journal'!$A$3:$A$2002)*29))</f>
        <v/>
      </c>
      <c r="D26" s="17" t="n"/>
      <c r="E26" s="9" t="n"/>
      <c r="F26" s="8" t="n"/>
      <c r="G26" s="8" t="n"/>
      <c r="H26" s="5">
        <f>IF(D26="","Ikke låst",IF(D26=C26,"Låst","Endret etter låsing"))</f>
        <v/>
      </c>
    </row>
    <row r="27">
      <c r="A27" s="5" t="inlineStr">
        <is>
          <t>November</t>
        </is>
      </c>
      <c r="B27" s="18">
        <f t="array" ref="B27">IFERROR(_xlfn.AGGREGATE(14,6,'Journal'!$A$3:$A$2002/(('Journal'!$B$3:$B$2002&lt;&gt;"")*('Journal'!$B$3:$B$2002&lt;=DATE(2027,11,30))*ISNUMBER('Journal'!$A$3:$A$2002)),1),"")</f>
        <v/>
      </c>
      <c r="C27" s="18">
        <f t="array" ref="C27">SUMPRODUCT(('Journal'!$B$3:$B$2002&lt;&gt;"")*('Journal'!$B$3:$B$2002&lt;=DATE(2027,11,30))*('Journal'!$A$3:$A$2002*1000003+ROUND(('Journal'!$F$3:$F$2002-'Journal'!$G$3:$G$2002)*100,0)*7+('Journal'!$B$3:$B$2002-DATE(2000,1,1))*13+IFERROR(MATCH('Journal'!$D$3:$D$2002,'Kontoplan'!$H$3:$H$302,0),0)*19+IFERROR(MATCH('Journal'!$E$3:$E$2002,'Kontoplan'!$H$3:$H$302,0),0)*23+ROW('Journal'!$A$3:$A$2002)*29))</f>
        <v/>
      </c>
      <c r="D27" s="17" t="n"/>
      <c r="E27" s="9" t="n"/>
      <c r="F27" s="8" t="n"/>
      <c r="G27" s="8" t="n"/>
      <c r="H27" s="5">
        <f>IF(D27="","Ikke låst",IF(D27=C27,"Låst","Endret etter låsing"))</f>
        <v/>
      </c>
    </row>
    <row r="28">
      <c r="A28" s="5" t="inlineStr">
        <is>
          <t>Desember</t>
        </is>
      </c>
      <c r="B28" s="18">
        <f t="array" ref="B28">IFERROR(_xlfn.AGGREGATE(14,6,'Journal'!$A$3:$A$2002/(('Journal'!$B$3:$B$2002&lt;&gt;"")*('Journal'!$B$3:$B$2002&lt;=DATE(2027,12,31))*ISNUMBER('Journal'!$A$3:$A$2002)),1),"")</f>
        <v/>
      </c>
      <c r="C28" s="18">
        <f t="array" ref="C28">SUMPRODUCT(('Journal'!$B$3:$B$2002&lt;&gt;"")*('Journal'!$B$3:$B$2002&lt;=DATE(2027,12,31))*('Journal'!$A$3:$A$2002*1000003+ROUND(('Journal'!$F$3:$F$2002-'Journal'!$G$3:$G$2002)*100,0)*7+('Journal'!$B$3:$B$2002-DATE(2000,1,1))*13+IFERROR(MATCH('Journal'!$D$3:$D$2002,'Kontoplan'!$H$3:$H$302,0),0)*19+IFERROR(MATCH('Journal'!$E$3:$E$2002,'Kontoplan'!$H$3:$H$302,0),0)*23+ROW('Journal'!$A$3:$A$2002)*29))</f>
        <v/>
      </c>
      <c r="D28" s="17" t="n"/>
      <c r="E28" s="9" t="n"/>
      <c r="F28" s="8" t="n"/>
      <c r="G28" s="8" t="n"/>
      <c r="H28" s="5">
        <f>IF(D28="","Ikke låst",IF(D28=C28,"Låst","Endret etter låsing"))</f>
        <v/>
      </c>
    </row>
    <row r="29">
      <c r="A29" s="5" t="inlineStr">
        <is>
          <t>Årsavslutning (31.12)</t>
        </is>
      </c>
      <c r="B29" s="18">
        <f t="array" ref="B29">IFERROR(_xlfn.AGGREGATE(14,6,'Journal'!$A$3:$A$2002/(('Journal'!$B$3:$B$2002&lt;&gt;"")*('Journal'!$B$3:$B$2002&lt;=DATE(2027,12,31))*ISNUMBER('Journal'!$A$3:$A$2002)),1),"")</f>
        <v/>
      </c>
      <c r="C29" s="18">
        <f t="array" ref="C29">SUMPRODUCT(('Journal'!$B$3:$B$2002&lt;&gt;"")*('Journal'!$B$3:$B$2002&lt;=DATE(2027,12,31))*('Journal'!$A$3:$A$2002*1000003+ROUND(('Journal'!$F$3:$F$2002-'Journal'!$G$3:$G$2002)*100,0)*7+('Journal'!$B$3:$B$2002-DATE(2000,1,1))*13+IFERROR(MATCH('Journal'!$D$3:$D$2002,'Kontoplan'!$H$3:$H$302,0),0)*19+IFERROR(MATCH('Journal'!$E$3:$E$2002,'Kontoplan'!$H$3:$H$302,0),0)*23+ROW('Journal'!$A$3:$A$2002)*29))</f>
        <v/>
      </c>
      <c r="D29" s="17" t="n"/>
      <c r="E29" s="9" t="n"/>
      <c r="F29" s="8" t="n"/>
      <c r="G29" s="8" t="n"/>
      <c r="H29" s="5">
        <f>IF(D29="","Ikke låst",IF(D29=C29,"Låst","Endret etter låsing"))</f>
        <v/>
      </c>
    </row>
  </sheetData>
  <sheetProtection selectLockedCells="0" selectUnlockedCells="0" sheet="1" objects="0" insertRows="1" insertHyperlinks="1" autoFilter="1" scenarios="0" formatColumns="1" deleteColumns="1" insertColumns="1" pivotTables="1" deleteRows="1" formatCells="1" formatRows="1" sort="1"/>
  <mergeCells count="10">
    <mergeCell ref="A1:H1"/>
    <mergeCell ref="A4:H4"/>
    <mergeCell ref="A9:H9"/>
    <mergeCell ref="A3:H3"/>
    <mergeCell ref="A7:H7"/>
    <mergeCell ref="A2:H2"/>
    <mergeCell ref="A10:H10"/>
    <mergeCell ref="A5:H5"/>
    <mergeCell ref="A8:H8"/>
    <mergeCell ref="A6:H6"/>
  </mergeCells>
  <conditionalFormatting sqref="H17:H29">
    <cfRule type="expression" priority="1" dxfId="0" stopIfTrue="0">
      <formula>$H17="Endret etter låsing"</formula>
    </cfRule>
  </conditionalFormatting>
  <dataValidations count="4">
    <dataValidation sqref="D17:D29" showDropDown="0" showInputMessage="0" showErrorMessage="1" allowBlank="1" errorTitle="Formells regnskapsmal" error="Lim inn kontrollsummen som et tall." type="decimal" operator="between">
      <formula1>-1000000000000000</formula1>
      <formula2>1000000000000000</formula2>
    </dataValidation>
    <dataValidation sqref="E17:E29" showDropDown="0" showInputMessage="0" showErrorMessage="1" allowBlank="1" errorTitle="Formells regnskapsmal" error="Skriv en dato." type="date" operator="greaterThan">
      <formula1>DATE(2000,1,1)</formula1>
    </dataValidation>
    <dataValidation sqref="F17:F29" showDropDown="0" showInputMessage="0" showErrorMessage="1" allowBlank="1" type="textLength" operator="lessThanOrEqual">
      <formula1>255</formula1>
    </dataValidation>
    <dataValidation sqref="G17:G29" showDropDown="0" showInputMessage="0" showErrorMessage="1" allowBlank="1" type="textLength" operator="lessThanOrEqual">
      <formula1>20</formula1>
    </dataValidation>
  </dataValidation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12"/>
  <sheetViews>
    <sheetView workbookViewId="0">
      <pane ySplit="2" topLeftCell="A3" activePane="bottomLeft" state="frozen"/>
      <selection pane="bottomLeft" activeCell="A1" sqref="A1"/>
    </sheetView>
  </sheetViews>
  <sheetFormatPr baseColWidth="8" defaultRowHeight="15"/>
  <cols>
    <col width="9" customWidth="1" min="1" max="1"/>
    <col width="12" customWidth="1" min="2" max="2"/>
    <col width="36" customWidth="1" min="3" max="3"/>
    <col width="34" customWidth="1" min="4" max="4"/>
    <col width="34" customWidth="1" min="5" max="5"/>
    <col width="14" customWidth="1" min="6" max="6"/>
    <col width="14" customWidth="1" min="7" max="7"/>
    <col width="24" customWidth="1" min="8" max="8"/>
    <col width="22" customWidth="1" min="9" max="9"/>
    <col width="60" customWidth="1" min="10" max="10"/>
  </cols>
  <sheetData>
    <row r="1">
      <c r="A1" s="10" t="inlineStr">
        <is>
          <t>Bilagsnr.</t>
        </is>
      </c>
      <c r="B1" s="10" t="inlineStr">
        <is>
          <t>Dato</t>
        </is>
      </c>
      <c r="C1" s="10" t="inlineStr">
        <is>
          <t>Tekst</t>
        </is>
      </c>
      <c r="D1" s="10" t="inlineStr">
        <is>
          <t>Konto</t>
        </is>
      </c>
      <c r="E1" s="10" t="inlineStr">
        <is>
          <t>Motkonto</t>
        </is>
      </c>
      <c r="F1" s="10" t="inlineStr">
        <is>
          <t>Inn</t>
        </is>
      </c>
      <c r="G1" s="10" t="inlineStr">
        <is>
          <t>Ut</t>
        </is>
      </c>
      <c r="H1" s="10" t="inlineStr">
        <is>
          <t>Motpart (org.nr. eller navn)</t>
        </is>
      </c>
      <c r="I1" s="10" t="inlineStr">
        <is>
          <t>Bilag (filnavn)</t>
        </is>
      </c>
      <c r="J1" s="10" t="inlineStr">
        <is>
          <t>Merknad</t>
        </is>
      </c>
    </row>
    <row r="2" ht="15" customHeight="1">
      <c r="A2" s="11" t="inlineStr">
        <is>
          <t>Slik kan et år i et holdingselskap se ut. Arket er bare et eksempel: før dine egne bilag i «Journal».</t>
        </is>
      </c>
    </row>
    <row r="3">
      <c r="A3" s="24" t="n">
        <v>1</v>
      </c>
      <c r="B3" s="25" t="n">
        <v>46397</v>
      </c>
      <c r="C3" s="26" t="inlineStr">
        <is>
          <t>Betaling av regnskapshonorar fra i fjor</t>
        </is>
      </c>
      <c r="D3" s="26" t="inlineStr">
        <is>
          <t>2400 Ubetalte regninger</t>
        </is>
      </c>
      <c r="E3" s="26" t="inlineStr">
        <is>
          <t>1920 Bankkonto</t>
        </is>
      </c>
      <c r="F3" s="27" t="n"/>
      <c r="G3" s="27" t="n">
        <v>6250</v>
      </c>
      <c r="H3" s="26" t="n"/>
      <c r="I3" s="26" t="inlineStr">
        <is>
          <t>1-regnskap.pdf</t>
        </is>
      </c>
      <c r="J3" s="23" t="inlineStr">
        <is>
          <t>Regningen sto som ubetalt i fjor (2400). Nå er den betalt fra banken.</t>
        </is>
      </c>
    </row>
    <row r="4">
      <c r="A4" s="24" t="n">
        <v>2</v>
      </c>
      <c r="B4" s="25" t="n">
        <v>46418</v>
      </c>
      <c r="C4" s="26" t="inlineStr">
        <is>
          <t>Bankgebyr januar</t>
        </is>
      </c>
      <c r="D4" s="26" t="inlineStr">
        <is>
          <t>7700 Andre kostnader (gebyrer o.l.)</t>
        </is>
      </c>
      <c r="E4" s="26" t="inlineStr">
        <is>
          <t>1920 Bankkonto</t>
        </is>
      </c>
      <c r="F4" s="27" t="n"/>
      <c r="G4" s="27" t="n">
        <v>45</v>
      </c>
      <c r="H4" s="26" t="n"/>
      <c r="I4" s="26" t="n"/>
      <c r="J4" s="23" t="inlineStr">
        <is>
          <t>Kontoutskriften fra banken er bilaget for gebyret.</t>
        </is>
      </c>
    </row>
    <row r="5">
      <c r="A5" s="24" t="n">
        <v>3</v>
      </c>
      <c r="B5" s="25" t="n">
        <v>46433</v>
      </c>
      <c r="C5" s="26" t="inlineStr">
        <is>
          <t>Forskuddsskatt for 2026, 1. termin</t>
        </is>
      </c>
      <c r="D5" s="26" t="inlineStr">
        <is>
          <t>2500 Skatt for i fjor (ikke betalt)</t>
        </is>
      </c>
      <c r="E5" s="26" t="inlineStr">
        <is>
          <t>1920 Bankkonto</t>
        </is>
      </c>
      <c r="F5" s="27" t="n"/>
      <c r="G5" s="27" t="n">
        <v>10000</v>
      </c>
      <c r="H5" s="26" t="n"/>
      <c r="I5" s="26" t="inlineStr">
        <is>
          <t>3-forskuddsskatt.pdf</t>
        </is>
      </c>
      <c r="J5" s="23" t="inlineStr">
        <is>
          <t>Et AS betaler forskuddsskatten for i fjor i februar og april. Den gjør opp skatten på 2500.</t>
        </is>
      </c>
    </row>
    <row r="6">
      <c r="A6" s="24" t="n">
        <v>4</v>
      </c>
      <c r="B6" s="25" t="n">
        <v>46535</v>
      </c>
      <c r="C6" s="26" t="inlineStr">
        <is>
          <t>Restskatt for 2026</t>
        </is>
      </c>
      <c r="D6" s="26" t="inlineStr">
        <is>
          <t>2500 Skatt for i fjor (ikke betalt)</t>
        </is>
      </c>
      <c r="E6" s="26" t="inlineStr">
        <is>
          <t>1920 Bankkonto</t>
        </is>
      </c>
      <c r="F6" s="27" t="n"/>
      <c r="G6" s="27" t="n">
        <v>12340</v>
      </c>
      <c r="H6" s="26" t="n"/>
      <c r="I6" s="26" t="inlineStr">
        <is>
          <t>4-restskatt.pdf</t>
        </is>
      </c>
      <c r="J6" s="23" t="inlineStr">
        <is>
          <t>Resten av skatten for i fjor.</t>
        </is>
      </c>
    </row>
    <row r="7">
      <c r="A7" s="24" t="n">
        <v>5</v>
      </c>
      <c r="B7" s="25" t="n">
        <v>46553</v>
      </c>
      <c r="C7" s="26" t="inlineStr">
        <is>
          <t>Utbytte fra Datter AS</t>
        </is>
      </c>
      <c r="D7" s="26" t="inlineStr">
        <is>
          <t>8090 Utbytte fra aksjer og fond</t>
        </is>
      </c>
      <c r="E7" s="26" t="inlineStr">
        <is>
          <t>1920 Bankkonto</t>
        </is>
      </c>
      <c r="F7" s="27" t="n">
        <v>500000</v>
      </c>
      <c r="G7" s="27" t="n"/>
      <c r="H7" s="26" t="inlineStr">
        <is>
          <t>Datter AS</t>
        </is>
      </c>
      <c r="I7" s="26" t="inlineStr">
        <is>
          <t>5-utbytte.pdf</t>
        </is>
      </c>
      <c r="J7" s="23" t="inlineStr">
        <is>
          <t>Skriv selskapet som betalte utbyttet i «Motpart».</t>
        </is>
      </c>
    </row>
    <row r="8">
      <c r="A8" s="24" t="n">
        <v>6</v>
      </c>
      <c r="B8" s="25" t="n">
        <v>46568</v>
      </c>
      <c r="C8" s="26" t="inlineStr">
        <is>
          <t>Renter fra banken</t>
        </is>
      </c>
      <c r="D8" s="26" t="inlineStr">
        <is>
          <t>8050 Renteinntekter</t>
        </is>
      </c>
      <c r="E8" s="26" t="inlineStr">
        <is>
          <t>1920 Bankkonto</t>
        </is>
      </c>
      <c r="F8" s="27" t="n">
        <v>1230</v>
      </c>
      <c r="G8" s="27" t="n"/>
      <c r="H8" s="26" t="n"/>
      <c r="I8" s="26" t="n"/>
      <c r="J8" s="23" t="inlineStr">
        <is>
          <t>Kontoutskriften fra banken er bilaget for rentene.</t>
        </is>
      </c>
    </row>
    <row r="9">
      <c r="A9" s="24" t="n">
        <v>7</v>
      </c>
      <c r="B9" s="25" t="n">
        <v>46631</v>
      </c>
      <c r="C9" s="26" t="inlineStr">
        <is>
          <t>Lån til Kari Eier</t>
        </is>
      </c>
      <c r="D9" s="26" t="inlineStr">
        <is>
          <t>1565 Lån til eier eller styremedlem (innen ett år)</t>
        </is>
      </c>
      <c r="E9" s="26" t="inlineStr">
        <is>
          <t>1920 Bankkonto</t>
        </is>
      </c>
      <c r="F9" s="27" t="n"/>
      <c r="G9" s="27" t="n">
        <v>50000</v>
      </c>
      <c r="H9" s="26" t="inlineStr">
        <is>
          <t>Kari Eier</t>
        </is>
      </c>
      <c r="I9" s="26" t="inlineStr">
        <is>
          <t>7-laneavtale.pdf</t>
        </is>
      </c>
      <c r="J9" s="23" t="inlineStr">
        <is>
          <t>Skriv hvem som fikk lånet i «Motpart». Låneavtalen er bilaget.</t>
        </is>
      </c>
    </row>
    <row r="10">
      <c r="A10" s="24" t="n">
        <v>8</v>
      </c>
      <c r="B10" s="25" t="n">
        <v>46675</v>
      </c>
      <c r="C10" s="26" t="inlineStr">
        <is>
          <t>Salg av fondsandeler</t>
        </is>
      </c>
      <c r="D10" s="26" t="inlineStr">
        <is>
          <t>1810 Børsnoterte aksjer og fond</t>
        </is>
      </c>
      <c r="E10" s="26" t="inlineStr">
        <is>
          <t>1920 Bankkonto</t>
        </is>
      </c>
      <c r="F10" s="27" t="n">
        <v>80000</v>
      </c>
      <c r="G10" s="27" t="n"/>
      <c r="H10" s="26" t="inlineStr">
        <is>
          <t>Eksempel Fond</t>
        </is>
      </c>
      <c r="I10" s="26" t="inlineStr">
        <is>
          <t>8-sluttseddel.pdf</t>
        </is>
      </c>
      <c r="J10" s="23" t="inlineStr">
        <is>
          <t>Ett bilag, to rader: først kostprisen for andelene som er solgt.</t>
        </is>
      </c>
    </row>
    <row r="11">
      <c r="A11" s="24" t="n">
        <v>8</v>
      </c>
      <c r="B11" s="25" t="n">
        <v>46675</v>
      </c>
      <c r="C11" s="26" t="inlineStr">
        <is>
          <t>Salg av fondsandeler</t>
        </is>
      </c>
      <c r="D11" s="26" t="inlineStr">
        <is>
          <t>8074 Gevinst ved salg av aksjer og fond</t>
        </is>
      </c>
      <c r="E11" s="26" t="inlineStr">
        <is>
          <t>1920 Bankkonto</t>
        </is>
      </c>
      <c r="F11" s="27" t="n">
        <v>20000</v>
      </c>
      <c r="G11" s="27" t="n"/>
      <c r="H11" s="26" t="inlineStr">
        <is>
          <t>Eksempel Fond</t>
        </is>
      </c>
      <c r="I11" s="26" t="inlineStr">
        <is>
          <t>8-sluttseddel.pdf</t>
        </is>
      </c>
      <c r="J11" s="23" t="inlineStr">
        <is>
          <t>… og så gevinsten. Til sammen kom det 100 000 kr inn på banken.</t>
        </is>
      </c>
    </row>
    <row r="12">
      <c r="A12" s="24" t="n">
        <v>9</v>
      </c>
      <c r="B12" s="25" t="n">
        <v>46752</v>
      </c>
      <c r="C12" s="26" t="inlineStr">
        <is>
          <t>Ubetalt regning fra regnskapsfører 31.12</t>
        </is>
      </c>
      <c r="D12" s="26" t="inlineStr">
        <is>
          <t>6700 Regnskap, revisjon og rådgivning</t>
        </is>
      </c>
      <c r="E12" s="26" t="inlineStr">
        <is>
          <t>2400 Ubetalte regninger</t>
        </is>
      </c>
      <c r="F12" s="27" t="n"/>
      <c r="G12" s="27" t="n">
        <v>7500</v>
      </c>
      <c r="H12" s="26" t="n"/>
      <c r="I12" s="26" t="inlineStr">
        <is>
          <t>9-regnskap.pdf</t>
        </is>
      </c>
      <c r="J12" s="23" t="inlineStr">
        <is>
          <t>Regningen gjelder i år, men betales i januar. Motkontoen er 2400, ikke banken.</t>
        </is>
      </c>
    </row>
  </sheetData>
  <sheetProtection selectLockedCells="0" selectUnlockedCells="0" sheet="1" objects="0" insertRows="1" insertHyperlinks="1" autoFilter="1" scenarios="0" formatColumns="1" deleteColumns="1" insertColumns="1" pivotTables="1" deleteRows="1" formatCells="1" formatRows="1" sort="1"/>
  <mergeCells count="1">
    <mergeCell ref="A2:J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N250"/>
  <sheetViews>
    <sheetView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40" customWidth="1" min="12" max="12"/>
    <col width="40" customWidth="1" min="13" max="13"/>
    <col width="40" customWidth="1" min="14" max="14"/>
  </cols>
  <sheetData>
    <row r="1">
      <c r="A1" s="15" t="inlineStr">
        <is>
          <t>Regnskapspost</t>
        </is>
      </c>
      <c r="B1" s="15" t="inlineStr">
        <is>
          <t>Type</t>
        </is>
      </c>
      <c r="C1" s="15" t="inlineStr">
        <is>
          <t>Fortegn (debet = 1)</t>
        </is>
      </c>
      <c r="D1" s="15" t="inlineStr">
        <is>
          <t>Kode</t>
        </is>
      </c>
      <c r="E1" s="15" t="inlineStr">
        <is>
          <t>Måneder</t>
        </is>
      </c>
      <c r="F1" s="15" t="inlineStr">
        <is>
          <t>Ja/Nei</t>
        </is>
      </c>
      <c r="G1" s="15" t="inlineStr">
        <is>
          <t>Slik fører du</t>
        </is>
      </c>
      <c r="H1" s="15" t="inlineStr">
        <is>
          <t>Land</t>
        </is>
      </c>
      <c r="I1" s="15" t="inlineStr">
        <is>
          <t>Type aksje eller fond</t>
        </is>
      </c>
      <c r="J1" s="15" t="inlineStr">
        <is>
          <t>Hvem er det?</t>
        </is>
      </c>
      <c r="K1" s="15" t="inlineStr">
        <is>
          <t>Kilde for tallene</t>
        </is>
      </c>
      <c r="L1" s="15" t="inlineStr">
        <is>
          <t>Bankkontoer (fra Kontoplan)</t>
        </is>
      </c>
      <c r="M1" s="15" t="inlineStr">
        <is>
          <t>Lånekontoer (fra Kontoplan)</t>
        </is>
      </c>
      <c r="N1" s="15" t="inlineStr">
        <is>
          <t>Resultatkontoer (fra Kontoplan)</t>
        </is>
      </c>
    </row>
    <row r="2">
      <c r="A2" t="inlineStr">
        <is>
          <t>1313 – Aksjer i datterselskap (over 50 %)</t>
        </is>
      </c>
      <c r="B2" t="inlineStr">
        <is>
          <t>Aksjer</t>
        </is>
      </c>
      <c r="C2" t="n">
        <v>1</v>
      </c>
      <c r="D2" t="inlineStr">
        <is>
          <t>1313</t>
        </is>
      </c>
      <c r="E2" t="inlineStr">
        <is>
          <t>Januar</t>
        </is>
      </c>
      <c r="F2" t="inlineStr">
        <is>
          <t>Ja</t>
        </is>
      </c>
      <c r="G2" t="inlineStr">
        <is>
          <t>Bilag i Journal</t>
        </is>
      </c>
      <c r="H2" t="inlineStr">
        <is>
          <t>NO</t>
        </is>
      </c>
      <c r="I2" t="inlineStr">
        <is>
          <t>Aksjer</t>
        </is>
      </c>
      <c r="J2" t="inlineStr">
        <is>
          <t>Eier</t>
        </is>
      </c>
      <c r="K2" t="inlineStr">
        <is>
          <t>Fjorårets årsregnskap</t>
        </is>
      </c>
      <c r="L2">
        <f t="array" ref="L2">IFERROR(INDEX('Kontoplan'!$H$3:$H$302,_xlfn.AGGREGATE(15,6,(ROW('Kontoplan'!$H$3:$H$302)-2)/(('Kontoplan'!$D$3:$D$302="Bank")),1)),"")</f>
        <v/>
      </c>
      <c r="M2">
        <f t="array" ref="M2">IFERROR(INDEX('Kontoplan'!$H$3:$H$302,_xlfn.AGGREGATE(15,6,(ROW('Kontoplan'!$H$3:$H$302)-2)/(('Kontoplan'!$D$3:$D$302="Lån")),1)),"")</f>
        <v/>
      </c>
      <c r="N2">
        <f t="array" ref="N2">IFERROR(INDEX('Kontoplan'!$H$3:$H$302,_xlfn.AGGREGATE(15,6,(ROW('Kontoplan'!$H$3:$H$302)-2)/((LEFT('Kontoplan'!$A$3:$A$302,1)&gt;="3")*('Kontoplan'!$A$3:$A$302&lt;&gt;"")*('Kontoplan'!$D$3:$D$302&lt;&gt;"Støttes ikke")),1)),"")</f>
        <v/>
      </c>
    </row>
    <row r="3">
      <c r="A3" t="inlineStr">
        <is>
          <t>1320 – Lån til datterselskap</t>
        </is>
      </c>
      <c r="B3" t="inlineStr">
        <is>
          <t>Lån</t>
        </is>
      </c>
      <c r="C3" t="n">
        <v>1</v>
      </c>
      <c r="D3" t="inlineStr">
        <is>
          <t>1320</t>
        </is>
      </c>
      <c r="E3" t="inlineStr">
        <is>
          <t>Februar</t>
        </is>
      </c>
      <c r="F3" t="inlineStr">
        <is>
          <t>Nei</t>
        </is>
      </c>
      <c r="G3" t="inlineStr">
        <is>
          <t>Bare saldobalanse</t>
        </is>
      </c>
      <c r="H3" t="inlineStr">
        <is>
          <t>AD</t>
        </is>
      </c>
      <c r="I3" t="inlineStr">
        <is>
          <t>Børsnoterte aksjer</t>
        </is>
      </c>
      <c r="J3" t="inlineStr">
        <is>
          <t>Familie av en eier</t>
        </is>
      </c>
      <c r="K3" t="inlineStr">
        <is>
          <t>Formell (fjoråret)</t>
        </is>
      </c>
      <c r="L3">
        <f t="array" ref="L3">IFERROR(INDEX('Kontoplan'!$H$3:$H$302,_xlfn.AGGREGATE(15,6,(ROW('Kontoplan'!$H$3:$H$302)-2)/(('Kontoplan'!$D$3:$D$302="Bank")),2)),"")</f>
        <v/>
      </c>
      <c r="M3">
        <f t="array" ref="M3">IFERROR(INDEX('Kontoplan'!$H$3:$H$302,_xlfn.AGGREGATE(15,6,(ROW('Kontoplan'!$H$3:$H$302)-2)/(('Kontoplan'!$D$3:$D$302="Lån")),2)),"")</f>
        <v/>
      </c>
      <c r="N3">
        <f t="array" ref="N3">IFERROR(INDEX('Kontoplan'!$H$3:$H$302,_xlfn.AGGREGATE(15,6,(ROW('Kontoplan'!$H$3:$H$302)-2)/((LEFT('Kontoplan'!$A$3:$A$302,1)&gt;="3")*('Kontoplan'!$A$3:$A$302&lt;&gt;"")*('Kontoplan'!$D$3:$D$302&lt;&gt;"Støttes ikke")),2)),"")</f>
        <v/>
      </c>
    </row>
    <row r="4">
      <c r="A4" t="inlineStr">
        <is>
          <t>1332 – Aksjer i tilknyttet selskap (20–50 %)</t>
        </is>
      </c>
      <c r="B4" t="inlineStr">
        <is>
          <t>Aksjer</t>
        </is>
      </c>
      <c r="C4" t="n">
        <v>1</v>
      </c>
      <c r="D4" t="inlineStr">
        <is>
          <t>1332</t>
        </is>
      </c>
      <c r="E4" t="inlineStr">
        <is>
          <t>Mars</t>
        </is>
      </c>
      <c r="H4" t="inlineStr">
        <is>
          <t>AE</t>
        </is>
      </c>
      <c r="I4" t="inlineStr">
        <is>
          <t>Aksjefond</t>
        </is>
      </c>
      <c r="J4" t="inlineStr">
        <is>
          <t>Styremedlem</t>
        </is>
      </c>
      <c r="K4" t="inlineStr">
        <is>
          <t>Regnskapsfører</t>
        </is>
      </c>
      <c r="L4">
        <f t="array" ref="L4">IFERROR(INDEX('Kontoplan'!$H$3:$H$302,_xlfn.AGGREGATE(15,6,(ROW('Kontoplan'!$H$3:$H$302)-2)/(('Kontoplan'!$D$3:$D$302="Bank")),3)),"")</f>
        <v/>
      </c>
      <c r="M4">
        <f t="array" ref="M4">IFERROR(INDEX('Kontoplan'!$H$3:$H$302,_xlfn.AGGREGATE(15,6,(ROW('Kontoplan'!$H$3:$H$302)-2)/(('Kontoplan'!$D$3:$D$302="Lån")),3)),"")</f>
        <v/>
      </c>
      <c r="N4">
        <f t="array" ref="N4">IFERROR(INDEX('Kontoplan'!$H$3:$H$302,_xlfn.AGGREGATE(15,6,(ROW('Kontoplan'!$H$3:$H$302)-2)/((LEFT('Kontoplan'!$A$3:$A$302,1)&gt;="3")*('Kontoplan'!$A$3:$A$302&lt;&gt;"")*('Kontoplan'!$D$3:$D$302&lt;&gt;"Støttes ikke")),3)),"")</f>
        <v/>
      </c>
    </row>
    <row r="5">
      <c r="A5" t="inlineStr">
        <is>
          <t>1350 – Andre aksjer og fond</t>
        </is>
      </c>
      <c r="B5" t="inlineStr">
        <is>
          <t>Aksjer</t>
        </is>
      </c>
      <c r="C5" t="n">
        <v>1</v>
      </c>
      <c r="D5" t="inlineStr">
        <is>
          <t>1350</t>
        </is>
      </c>
      <c r="E5" t="inlineStr">
        <is>
          <t>April</t>
        </is>
      </c>
      <c r="H5" t="inlineStr">
        <is>
          <t>AF</t>
        </is>
      </c>
      <c r="I5" t="inlineStr">
        <is>
          <t>Kombinasjonsfond</t>
        </is>
      </c>
      <c r="J5" t="inlineStr">
        <is>
          <t>Daglig leder</t>
        </is>
      </c>
      <c r="K5" t="inlineStr">
        <is>
          <t>Nytt selskap – ingen tall</t>
        </is>
      </c>
      <c r="L5">
        <f t="array" ref="L5">IFERROR(INDEX('Kontoplan'!$H$3:$H$302,_xlfn.AGGREGATE(15,6,(ROW('Kontoplan'!$H$3:$H$302)-2)/(('Kontoplan'!$D$3:$D$302="Bank")),4)),"")</f>
        <v/>
      </c>
      <c r="M5">
        <f t="array" ref="M5">IFERROR(INDEX('Kontoplan'!$H$3:$H$302,_xlfn.AGGREGATE(15,6,(ROW('Kontoplan'!$H$3:$H$302)-2)/(('Kontoplan'!$D$3:$D$302="Lån")),4)),"")</f>
        <v/>
      </c>
      <c r="N5">
        <f t="array" ref="N5">IFERROR(INDEX('Kontoplan'!$H$3:$H$302,_xlfn.AGGREGATE(15,6,(ROW('Kontoplan'!$H$3:$H$302)-2)/((LEFT('Kontoplan'!$A$3:$A$302,1)&gt;="3")*('Kontoplan'!$A$3:$A$302&lt;&gt;"")*('Kontoplan'!$D$3:$D$302&lt;&gt;"Støttes ikke")),4)),"")</f>
        <v/>
      </c>
    </row>
    <row r="6">
      <c r="A6" t="inlineStr">
        <is>
          <t>1370 – Lån til eier eller styremedlem (lengre enn ett år)</t>
        </is>
      </c>
      <c r="B6" t="inlineStr">
        <is>
          <t>Lån</t>
        </is>
      </c>
      <c r="C6" t="n">
        <v>1</v>
      </c>
      <c r="D6" t="inlineStr">
        <is>
          <t>1370</t>
        </is>
      </c>
      <c r="E6" t="inlineStr">
        <is>
          <t>Mai</t>
        </is>
      </c>
      <c r="H6" t="inlineStr">
        <is>
          <t>AG</t>
        </is>
      </c>
      <c r="I6" t="inlineStr">
        <is>
          <t>Rentefond</t>
        </is>
      </c>
      <c r="J6" t="inlineStr">
        <is>
          <t>Selskap som eier aksjer</t>
        </is>
      </c>
      <c r="L6">
        <f t="array" ref="L6">IFERROR(INDEX('Kontoplan'!$H$3:$H$302,_xlfn.AGGREGATE(15,6,(ROW('Kontoplan'!$H$3:$H$302)-2)/(('Kontoplan'!$D$3:$D$302="Bank")),5)),"")</f>
        <v/>
      </c>
      <c r="M6">
        <f t="array" ref="M6">IFERROR(INDEX('Kontoplan'!$H$3:$H$302,_xlfn.AGGREGATE(15,6,(ROW('Kontoplan'!$H$3:$H$302)-2)/(('Kontoplan'!$D$3:$D$302="Lån")),5)),"")</f>
        <v/>
      </c>
      <c r="N6">
        <f t="array" ref="N6">IFERROR(INDEX('Kontoplan'!$H$3:$H$302,_xlfn.AGGREGATE(15,6,(ROW('Kontoplan'!$H$3:$H$302)-2)/((LEFT('Kontoplan'!$A$3:$A$302,1)&gt;="3")*('Kontoplan'!$A$3:$A$302&lt;&gt;"")*('Kontoplan'!$D$3:$D$302&lt;&gt;"Støttes ikke")),5)),"")</f>
        <v/>
      </c>
    </row>
    <row r="7">
      <c r="A7" t="inlineStr">
        <is>
          <t>1390 – Andre langsiktige fordringer</t>
        </is>
      </c>
      <c r="B7" t="inlineStr">
        <is>
          <t>Fordring</t>
        </is>
      </c>
      <c r="C7" t="n">
        <v>1</v>
      </c>
      <c r="D7" t="inlineStr">
        <is>
          <t>1390</t>
        </is>
      </c>
      <c r="E7" t="inlineStr">
        <is>
          <t>Juni</t>
        </is>
      </c>
      <c r="H7" t="inlineStr">
        <is>
          <t>AI</t>
        </is>
      </c>
      <c r="J7" t="inlineStr">
        <is>
          <t>Datterselskap</t>
        </is>
      </c>
      <c r="L7">
        <f t="array" ref="L7">IFERROR(INDEX('Kontoplan'!$H$3:$H$302,_xlfn.AGGREGATE(15,6,(ROW('Kontoplan'!$H$3:$H$302)-2)/(('Kontoplan'!$D$3:$D$302="Bank")),6)),"")</f>
        <v/>
      </c>
      <c r="M7">
        <f t="array" ref="M7">IFERROR(INDEX('Kontoplan'!$H$3:$H$302,_xlfn.AGGREGATE(15,6,(ROW('Kontoplan'!$H$3:$H$302)-2)/(('Kontoplan'!$D$3:$D$302="Lån")),6)),"")</f>
        <v/>
      </c>
      <c r="N7">
        <f t="array" ref="N7">IFERROR(INDEX('Kontoplan'!$H$3:$H$302,_xlfn.AGGREGATE(15,6,(ROW('Kontoplan'!$H$3:$H$302)-2)/((LEFT('Kontoplan'!$A$3:$A$302,1)&gt;="3")*('Kontoplan'!$A$3:$A$302&lt;&gt;"")*('Kontoplan'!$D$3:$D$302&lt;&gt;"Støttes ikke")),6)),"")</f>
        <v/>
      </c>
    </row>
    <row r="8">
      <c r="A8" t="inlineStr">
        <is>
          <t>1560 – Kortsiktig fordring på selskap i samme konsern</t>
        </is>
      </c>
      <c r="B8" t="inlineStr">
        <is>
          <t>Lån</t>
        </is>
      </c>
      <c r="C8" t="n">
        <v>1</v>
      </c>
      <c r="D8" t="inlineStr">
        <is>
          <t>1560</t>
        </is>
      </c>
      <c r="E8" t="inlineStr">
        <is>
          <t>Juli</t>
        </is>
      </c>
      <c r="H8" t="inlineStr">
        <is>
          <t>AL</t>
        </is>
      </c>
      <c r="J8" t="inlineStr">
        <is>
          <t>Morselskap</t>
        </is>
      </c>
      <c r="L8">
        <f t="array" ref="L8">IFERROR(INDEX('Kontoplan'!$H$3:$H$302,_xlfn.AGGREGATE(15,6,(ROW('Kontoplan'!$H$3:$H$302)-2)/(('Kontoplan'!$D$3:$D$302="Bank")),7)),"")</f>
        <v/>
      </c>
      <c r="M8">
        <f t="array" ref="M8">IFERROR(INDEX('Kontoplan'!$H$3:$H$302,_xlfn.AGGREGATE(15,6,(ROW('Kontoplan'!$H$3:$H$302)-2)/(('Kontoplan'!$D$3:$D$302="Lån")),7)),"")</f>
        <v/>
      </c>
      <c r="N8">
        <f t="array" ref="N8">IFERROR(INDEX('Kontoplan'!$H$3:$H$302,_xlfn.AGGREGATE(15,6,(ROW('Kontoplan'!$H$3:$H$302)-2)/((LEFT('Kontoplan'!$A$3:$A$302,1)&gt;="3")*('Kontoplan'!$A$3:$A$302&lt;&gt;"")*('Kontoplan'!$D$3:$D$302&lt;&gt;"Støttes ikke")),7)),"")</f>
        <v/>
      </c>
    </row>
    <row r="9">
      <c r="A9" t="inlineStr">
        <is>
          <t>1565 – Lån til eier eller styremedlem (innen ett år)</t>
        </is>
      </c>
      <c r="B9" t="inlineStr">
        <is>
          <t>Lån</t>
        </is>
      </c>
      <c r="C9" t="n">
        <v>1</v>
      </c>
      <c r="D9" t="inlineStr">
        <is>
          <t>1565</t>
        </is>
      </c>
      <c r="E9" t="inlineStr">
        <is>
          <t>August</t>
        </is>
      </c>
      <c r="H9" t="inlineStr">
        <is>
          <t>AM</t>
        </is>
      </c>
      <c r="J9" t="inlineStr">
        <is>
          <t>Annet selskap i konsernet</t>
        </is>
      </c>
      <c r="L9">
        <f t="array" ref="L9">IFERROR(INDEX('Kontoplan'!$H$3:$H$302,_xlfn.AGGREGATE(15,6,(ROW('Kontoplan'!$H$3:$H$302)-2)/(('Kontoplan'!$D$3:$D$302="Bank")),8)),"")</f>
        <v/>
      </c>
      <c r="M9">
        <f t="array" ref="M9">IFERROR(INDEX('Kontoplan'!$H$3:$H$302,_xlfn.AGGREGATE(15,6,(ROW('Kontoplan'!$H$3:$H$302)-2)/(('Kontoplan'!$D$3:$D$302="Lån")),8)),"")</f>
        <v/>
      </c>
      <c r="N9">
        <f t="array" ref="N9">IFERROR(INDEX('Kontoplan'!$H$3:$H$302,_xlfn.AGGREGATE(15,6,(ROW('Kontoplan'!$H$3:$H$302)-2)/((LEFT('Kontoplan'!$A$3:$A$302,1)&gt;="3")*('Kontoplan'!$A$3:$A$302&lt;&gt;"")*('Kontoplan'!$D$3:$D$302&lt;&gt;"Støttes ikke")),8)),"")</f>
        <v/>
      </c>
    </row>
    <row r="10">
      <c r="A10" t="inlineStr">
        <is>
          <t>1570 – Andre kortsiktige fordringer</t>
        </is>
      </c>
      <c r="B10" t="inlineStr">
        <is>
          <t>Fordring</t>
        </is>
      </c>
      <c r="C10" t="n">
        <v>1</v>
      </c>
      <c r="D10" t="inlineStr">
        <is>
          <t>1570</t>
        </is>
      </c>
      <c r="E10" t="inlineStr">
        <is>
          <t>September</t>
        </is>
      </c>
      <c r="H10" t="inlineStr">
        <is>
          <t>AO</t>
        </is>
      </c>
      <c r="J10" t="inlineStr">
        <is>
          <t>Annen nærstående</t>
        </is>
      </c>
      <c r="L10">
        <f t="array" ref="L10">IFERROR(INDEX('Kontoplan'!$H$3:$H$302,_xlfn.AGGREGATE(15,6,(ROW('Kontoplan'!$H$3:$H$302)-2)/(('Kontoplan'!$D$3:$D$302="Bank")),9)),"")</f>
        <v/>
      </c>
      <c r="M10">
        <f t="array" ref="M10">IFERROR(INDEX('Kontoplan'!$H$3:$H$302,_xlfn.AGGREGATE(15,6,(ROW('Kontoplan'!$H$3:$H$302)-2)/(('Kontoplan'!$D$3:$D$302="Lån")),9)),"")</f>
        <v/>
      </c>
      <c r="N10">
        <f t="array" ref="N10">IFERROR(INDEX('Kontoplan'!$H$3:$H$302,_xlfn.AGGREGATE(15,6,(ROW('Kontoplan'!$H$3:$H$302)-2)/((LEFT('Kontoplan'!$A$3:$A$302,1)&gt;="3")*('Kontoplan'!$A$3:$A$302&lt;&gt;"")*('Kontoplan'!$D$3:$D$302&lt;&gt;"Støttes ikke")),9)),"")</f>
        <v/>
      </c>
    </row>
    <row r="11">
      <c r="A11" t="inlineStr">
        <is>
          <t>1780 – Aksjekapital som ikke er innbetalt</t>
        </is>
      </c>
      <c r="B11" t="inlineStr">
        <is>
          <t>Fordring</t>
        </is>
      </c>
      <c r="C11" t="n">
        <v>1</v>
      </c>
      <c r="D11" t="inlineStr">
        <is>
          <t>1780</t>
        </is>
      </c>
      <c r="E11" t="inlineStr">
        <is>
          <t>Oktober</t>
        </is>
      </c>
      <c r="H11" t="inlineStr">
        <is>
          <t>AQ</t>
        </is>
      </c>
      <c r="L11">
        <f t="array" ref="L11">IFERROR(INDEX('Kontoplan'!$H$3:$H$302,_xlfn.AGGREGATE(15,6,(ROW('Kontoplan'!$H$3:$H$302)-2)/(('Kontoplan'!$D$3:$D$302="Bank")),10)),"")</f>
        <v/>
      </c>
      <c r="M11">
        <f t="array" ref="M11">IFERROR(INDEX('Kontoplan'!$H$3:$H$302,_xlfn.AGGREGATE(15,6,(ROW('Kontoplan'!$H$3:$H$302)-2)/(('Kontoplan'!$D$3:$D$302="Lån")),10)),"")</f>
        <v/>
      </c>
      <c r="N11">
        <f t="array" ref="N11">IFERROR(INDEX('Kontoplan'!$H$3:$H$302,_xlfn.AGGREGATE(15,6,(ROW('Kontoplan'!$H$3:$H$302)-2)/((LEFT('Kontoplan'!$A$3:$A$302,1)&gt;="3")*('Kontoplan'!$A$3:$A$302&lt;&gt;"")*('Kontoplan'!$D$3:$D$302&lt;&gt;"Støttes ikke")),10)),"")</f>
        <v/>
      </c>
    </row>
    <row r="12">
      <c r="A12" t="inlineStr">
        <is>
          <t>1810 – Børsnoterte aksjer og fond</t>
        </is>
      </c>
      <c r="B12" t="inlineStr">
        <is>
          <t>Aksjer</t>
        </is>
      </c>
      <c r="C12" t="n">
        <v>1</v>
      </c>
      <c r="D12" t="inlineStr">
        <is>
          <t>1810</t>
        </is>
      </c>
      <c r="E12" t="inlineStr">
        <is>
          <t>November</t>
        </is>
      </c>
      <c r="H12" t="inlineStr">
        <is>
          <t>AR</t>
        </is>
      </c>
      <c r="L12">
        <f t="array" ref="L12">IFERROR(INDEX('Kontoplan'!$H$3:$H$302,_xlfn.AGGREGATE(15,6,(ROW('Kontoplan'!$H$3:$H$302)-2)/(('Kontoplan'!$D$3:$D$302="Bank")),11)),"")</f>
        <v/>
      </c>
      <c r="M12">
        <f t="array" ref="M12">IFERROR(INDEX('Kontoplan'!$H$3:$H$302,_xlfn.AGGREGATE(15,6,(ROW('Kontoplan'!$H$3:$H$302)-2)/(('Kontoplan'!$D$3:$D$302="Lån")),11)),"")</f>
        <v/>
      </c>
      <c r="N12">
        <f t="array" ref="N12">IFERROR(INDEX('Kontoplan'!$H$3:$H$302,_xlfn.AGGREGATE(15,6,(ROW('Kontoplan'!$H$3:$H$302)-2)/((LEFT('Kontoplan'!$A$3:$A$302,1)&gt;="3")*('Kontoplan'!$A$3:$A$302&lt;&gt;"")*('Kontoplan'!$D$3:$D$302&lt;&gt;"Støttes ikke")),11)),"")</f>
        <v/>
      </c>
    </row>
    <row r="13">
      <c r="A13" t="inlineStr">
        <is>
          <t>1920 – Bankkonto</t>
        </is>
      </c>
      <c r="B13" t="inlineStr">
        <is>
          <t>Bank</t>
        </is>
      </c>
      <c r="C13" t="n">
        <v>1</v>
      </c>
      <c r="D13" t="inlineStr">
        <is>
          <t>1920</t>
        </is>
      </c>
      <c r="E13" t="inlineStr">
        <is>
          <t>Desember</t>
        </is>
      </c>
      <c r="H13" t="inlineStr">
        <is>
          <t>AS</t>
        </is>
      </c>
      <c r="L13">
        <f t="array" ref="L13">IFERROR(INDEX('Kontoplan'!$H$3:$H$302,_xlfn.AGGREGATE(15,6,(ROW('Kontoplan'!$H$3:$H$302)-2)/(('Kontoplan'!$D$3:$D$302="Bank")),12)),"")</f>
        <v/>
      </c>
      <c r="M13">
        <f t="array" ref="M13">IFERROR(INDEX('Kontoplan'!$H$3:$H$302,_xlfn.AGGREGATE(15,6,(ROW('Kontoplan'!$H$3:$H$302)-2)/(('Kontoplan'!$D$3:$D$302="Lån")),12)),"")</f>
        <v/>
      </c>
      <c r="N13">
        <f t="array" ref="N13">IFERROR(INDEX('Kontoplan'!$H$3:$H$302,_xlfn.AGGREGATE(15,6,(ROW('Kontoplan'!$H$3:$H$302)-2)/((LEFT('Kontoplan'!$A$3:$A$302,1)&gt;="3")*('Kontoplan'!$A$3:$A$302&lt;&gt;"")*('Kontoplan'!$D$3:$D$302&lt;&gt;"Støttes ikke")),12)),"")</f>
        <v/>
      </c>
    </row>
    <row r="14">
      <c r="A14" t="inlineStr">
        <is>
          <t>2000 – Aksjekapital</t>
        </is>
      </c>
      <c r="B14" t="inlineStr">
        <is>
          <t>Egenkapital</t>
        </is>
      </c>
      <c r="C14" t="n">
        <v>-1</v>
      </c>
      <c r="D14" t="inlineStr">
        <is>
          <t>2000</t>
        </is>
      </c>
      <c r="H14" t="inlineStr">
        <is>
          <t>AT</t>
        </is>
      </c>
      <c r="L14">
        <f t="array" ref="L14">IFERROR(INDEX('Kontoplan'!$H$3:$H$302,_xlfn.AGGREGATE(15,6,(ROW('Kontoplan'!$H$3:$H$302)-2)/(('Kontoplan'!$D$3:$D$302="Bank")),13)),"")</f>
        <v/>
      </c>
      <c r="M14">
        <f t="array" ref="M14">IFERROR(INDEX('Kontoplan'!$H$3:$H$302,_xlfn.AGGREGATE(15,6,(ROW('Kontoplan'!$H$3:$H$302)-2)/(('Kontoplan'!$D$3:$D$302="Lån")),13)),"")</f>
        <v/>
      </c>
      <c r="N14">
        <f t="array" ref="N14">IFERROR(INDEX('Kontoplan'!$H$3:$H$302,_xlfn.AGGREGATE(15,6,(ROW('Kontoplan'!$H$3:$H$302)-2)/((LEFT('Kontoplan'!$A$3:$A$302,1)&gt;="3")*('Kontoplan'!$A$3:$A$302&lt;&gt;"")*('Kontoplan'!$D$3:$D$302&lt;&gt;"Støttes ikke")),13)),"")</f>
        <v/>
      </c>
    </row>
    <row r="15">
      <c r="A15" t="inlineStr">
        <is>
          <t>2020 – Overkurs</t>
        </is>
      </c>
      <c r="B15" t="inlineStr">
        <is>
          <t>Egenkapital</t>
        </is>
      </c>
      <c r="C15" t="n">
        <v>-1</v>
      </c>
      <c r="D15" t="inlineStr">
        <is>
          <t>2020</t>
        </is>
      </c>
      <c r="H15" t="inlineStr">
        <is>
          <t>AU</t>
        </is>
      </c>
      <c r="L15">
        <f t="array" ref="L15">IFERROR(INDEX('Kontoplan'!$H$3:$H$302,_xlfn.AGGREGATE(15,6,(ROW('Kontoplan'!$H$3:$H$302)-2)/(('Kontoplan'!$D$3:$D$302="Bank")),14)),"")</f>
        <v/>
      </c>
      <c r="M15">
        <f t="array" ref="M15">IFERROR(INDEX('Kontoplan'!$H$3:$H$302,_xlfn.AGGREGATE(15,6,(ROW('Kontoplan'!$H$3:$H$302)-2)/(('Kontoplan'!$D$3:$D$302="Lån")),14)),"")</f>
        <v/>
      </c>
      <c r="N15">
        <f t="array" ref="N15">IFERROR(INDEX('Kontoplan'!$H$3:$H$302,_xlfn.AGGREGATE(15,6,(ROW('Kontoplan'!$H$3:$H$302)-2)/((LEFT('Kontoplan'!$A$3:$A$302,1)&gt;="3")*('Kontoplan'!$A$3:$A$302&lt;&gt;"")*('Kontoplan'!$D$3:$D$302&lt;&gt;"Støttes ikke")),14)),"")</f>
        <v/>
      </c>
    </row>
    <row r="16">
      <c r="A16" t="inlineStr">
        <is>
          <t>2030 – Annen innskutt egenkapital</t>
        </is>
      </c>
      <c r="B16" t="inlineStr">
        <is>
          <t>Egenkapital</t>
        </is>
      </c>
      <c r="C16" t="n">
        <v>-1</v>
      </c>
      <c r="D16" t="inlineStr">
        <is>
          <t>2030</t>
        </is>
      </c>
      <c r="H16" t="inlineStr">
        <is>
          <t>AW</t>
        </is>
      </c>
      <c r="L16">
        <f t="array" ref="L16">IFERROR(INDEX('Kontoplan'!$H$3:$H$302,_xlfn.AGGREGATE(15,6,(ROW('Kontoplan'!$H$3:$H$302)-2)/(('Kontoplan'!$D$3:$D$302="Bank")),15)),"")</f>
        <v/>
      </c>
      <c r="M16">
        <f t="array" ref="M16">IFERROR(INDEX('Kontoplan'!$H$3:$H$302,_xlfn.AGGREGATE(15,6,(ROW('Kontoplan'!$H$3:$H$302)-2)/(('Kontoplan'!$D$3:$D$302="Lån")),15)),"")</f>
        <v/>
      </c>
      <c r="N16">
        <f t="array" ref="N16">IFERROR(INDEX('Kontoplan'!$H$3:$H$302,_xlfn.AGGREGATE(15,6,(ROW('Kontoplan'!$H$3:$H$302)-2)/((LEFT('Kontoplan'!$A$3:$A$302,1)&gt;="3")*('Kontoplan'!$A$3:$A$302&lt;&gt;"")*('Kontoplan'!$D$3:$D$302&lt;&gt;"Støttes ikke")),15)),"")</f>
        <v/>
      </c>
    </row>
    <row r="17">
      <c r="A17" t="inlineStr">
        <is>
          <t>2050 – Annen egenkapital</t>
        </is>
      </c>
      <c r="B17" t="inlineStr">
        <is>
          <t>Egenkapital</t>
        </is>
      </c>
      <c r="C17" t="n">
        <v>-1</v>
      </c>
      <c r="D17" t="inlineStr">
        <is>
          <t>2050</t>
        </is>
      </c>
      <c r="H17" t="inlineStr">
        <is>
          <t>AX</t>
        </is>
      </c>
      <c r="L17">
        <f t="array" ref="L17">IFERROR(INDEX('Kontoplan'!$H$3:$H$302,_xlfn.AGGREGATE(15,6,(ROW('Kontoplan'!$H$3:$H$302)-2)/(('Kontoplan'!$D$3:$D$302="Bank")),16)),"")</f>
        <v/>
      </c>
      <c r="M17">
        <f t="array" ref="M17">IFERROR(INDEX('Kontoplan'!$H$3:$H$302,_xlfn.AGGREGATE(15,6,(ROW('Kontoplan'!$H$3:$H$302)-2)/(('Kontoplan'!$D$3:$D$302="Lån")),16)),"")</f>
        <v/>
      </c>
      <c r="N17">
        <f t="array" ref="N17">IFERROR(INDEX('Kontoplan'!$H$3:$H$302,_xlfn.AGGREGATE(15,6,(ROW('Kontoplan'!$H$3:$H$302)-2)/((LEFT('Kontoplan'!$A$3:$A$302,1)&gt;="3")*('Kontoplan'!$A$3:$A$302&lt;&gt;"")*('Kontoplan'!$D$3:$D$302&lt;&gt;"Støttes ikke")),16)),"")</f>
        <v/>
      </c>
    </row>
    <row r="18">
      <c r="A18" t="inlineStr">
        <is>
          <t>2080 – Udekket tap</t>
        </is>
      </c>
      <c r="B18" t="inlineStr">
        <is>
          <t>Egenkapital</t>
        </is>
      </c>
      <c r="C18" t="n">
        <v>1</v>
      </c>
      <c r="D18" t="inlineStr">
        <is>
          <t>2080</t>
        </is>
      </c>
      <c r="H18" t="inlineStr">
        <is>
          <t>AZ</t>
        </is>
      </c>
      <c r="L18">
        <f t="array" ref="L18">IFERROR(INDEX('Kontoplan'!$H$3:$H$302,_xlfn.AGGREGATE(15,6,(ROW('Kontoplan'!$H$3:$H$302)-2)/(('Kontoplan'!$D$3:$D$302="Bank")),17)),"")</f>
        <v/>
      </c>
      <c r="M18">
        <f t="array" ref="M18">IFERROR(INDEX('Kontoplan'!$H$3:$H$302,_xlfn.AGGREGATE(15,6,(ROW('Kontoplan'!$H$3:$H$302)-2)/(('Kontoplan'!$D$3:$D$302="Lån")),17)),"")</f>
        <v/>
      </c>
      <c r="N18">
        <f t="array" ref="N18">IFERROR(INDEX('Kontoplan'!$H$3:$H$302,_xlfn.AGGREGATE(15,6,(ROW('Kontoplan'!$H$3:$H$302)-2)/((LEFT('Kontoplan'!$A$3:$A$302,1)&gt;="3")*('Kontoplan'!$A$3:$A$302&lt;&gt;"")*('Kontoplan'!$D$3:$D$302&lt;&gt;"Støttes ikke")),17)),"")</f>
        <v/>
      </c>
    </row>
    <row r="19">
      <c r="A19" t="inlineStr">
        <is>
          <t>2220 – Lån i bank (lengre enn ett år)</t>
        </is>
      </c>
      <c r="B19" t="inlineStr">
        <is>
          <t>Gjeld</t>
        </is>
      </c>
      <c r="C19" t="n">
        <v>-1</v>
      </c>
      <c r="D19" t="inlineStr">
        <is>
          <t>2220</t>
        </is>
      </c>
      <c r="H19" t="inlineStr">
        <is>
          <t>BA</t>
        </is>
      </c>
      <c r="L19">
        <f t="array" ref="L19">IFERROR(INDEX('Kontoplan'!$H$3:$H$302,_xlfn.AGGREGATE(15,6,(ROW('Kontoplan'!$H$3:$H$302)-2)/(('Kontoplan'!$D$3:$D$302="Bank")),18)),"")</f>
        <v/>
      </c>
      <c r="M19">
        <f t="array" ref="M19">IFERROR(INDEX('Kontoplan'!$H$3:$H$302,_xlfn.AGGREGATE(15,6,(ROW('Kontoplan'!$H$3:$H$302)-2)/(('Kontoplan'!$D$3:$D$302="Lån")),18)),"")</f>
        <v/>
      </c>
      <c r="N19">
        <f t="array" ref="N19">IFERROR(INDEX('Kontoplan'!$H$3:$H$302,_xlfn.AGGREGATE(15,6,(ROW('Kontoplan'!$H$3:$H$302)-2)/((LEFT('Kontoplan'!$A$3:$A$302,1)&gt;="3")*('Kontoplan'!$A$3:$A$302&lt;&gt;"")*('Kontoplan'!$D$3:$D$302&lt;&gt;"Støttes ikke")),18)),"")</f>
        <v/>
      </c>
    </row>
    <row r="20">
      <c r="A20" t="inlineStr">
        <is>
          <t>2250 – Lån fra eier (lengre enn ett år)</t>
        </is>
      </c>
      <c r="B20" t="inlineStr">
        <is>
          <t>Lån</t>
        </is>
      </c>
      <c r="C20" t="n">
        <v>-1</v>
      </c>
      <c r="D20" t="inlineStr">
        <is>
          <t>2250</t>
        </is>
      </c>
      <c r="H20" t="inlineStr">
        <is>
          <t>BB</t>
        </is>
      </c>
      <c r="L20">
        <f t="array" ref="L20">IFERROR(INDEX('Kontoplan'!$H$3:$H$302,_xlfn.AGGREGATE(15,6,(ROW('Kontoplan'!$H$3:$H$302)-2)/(('Kontoplan'!$D$3:$D$302="Bank")),19)),"")</f>
        <v/>
      </c>
      <c r="M20">
        <f t="array" ref="M20">IFERROR(INDEX('Kontoplan'!$H$3:$H$302,_xlfn.AGGREGATE(15,6,(ROW('Kontoplan'!$H$3:$H$302)-2)/(('Kontoplan'!$D$3:$D$302="Lån")),19)),"")</f>
        <v/>
      </c>
      <c r="N20">
        <f t="array" ref="N20">IFERROR(INDEX('Kontoplan'!$H$3:$H$302,_xlfn.AGGREGATE(15,6,(ROW('Kontoplan'!$H$3:$H$302)-2)/((LEFT('Kontoplan'!$A$3:$A$302,1)&gt;="3")*('Kontoplan'!$A$3:$A$302&lt;&gt;"")*('Kontoplan'!$D$3:$D$302&lt;&gt;"Støttes ikke")),19)),"")</f>
        <v/>
      </c>
    </row>
    <row r="21">
      <c r="A21" t="inlineStr">
        <is>
          <t>2260 – Gjeld til selskap i samme konsern (lengre enn ett år)</t>
        </is>
      </c>
      <c r="B21" t="inlineStr">
        <is>
          <t>Lån</t>
        </is>
      </c>
      <c r="C21" t="n">
        <v>-1</v>
      </c>
      <c r="D21" t="inlineStr">
        <is>
          <t>2260</t>
        </is>
      </c>
      <c r="H21" t="inlineStr">
        <is>
          <t>BD</t>
        </is>
      </c>
      <c r="L21">
        <f t="array" ref="L21">IFERROR(INDEX('Kontoplan'!$H$3:$H$302,_xlfn.AGGREGATE(15,6,(ROW('Kontoplan'!$H$3:$H$302)-2)/(('Kontoplan'!$D$3:$D$302="Bank")),20)),"")</f>
        <v/>
      </c>
      <c r="M21">
        <f t="array" ref="M21">IFERROR(INDEX('Kontoplan'!$H$3:$H$302,_xlfn.AGGREGATE(15,6,(ROW('Kontoplan'!$H$3:$H$302)-2)/(('Kontoplan'!$D$3:$D$302="Lån")),20)),"")</f>
        <v/>
      </c>
      <c r="N21">
        <f t="array" ref="N21">IFERROR(INDEX('Kontoplan'!$H$3:$H$302,_xlfn.AGGREGATE(15,6,(ROW('Kontoplan'!$H$3:$H$302)-2)/((LEFT('Kontoplan'!$A$3:$A$302,1)&gt;="3")*('Kontoplan'!$A$3:$A$302&lt;&gt;"")*('Kontoplan'!$D$3:$D$302&lt;&gt;"Støttes ikke")),20)),"")</f>
        <v/>
      </c>
    </row>
    <row r="22">
      <c r="A22" t="inlineStr">
        <is>
          <t>2290 – Annen langsiktig gjeld</t>
        </is>
      </c>
      <c r="B22" t="inlineStr">
        <is>
          <t>Gjeld</t>
        </is>
      </c>
      <c r="C22" t="n">
        <v>-1</v>
      </c>
      <c r="D22" t="inlineStr">
        <is>
          <t>2290</t>
        </is>
      </c>
      <c r="H22" t="inlineStr">
        <is>
          <t>BE</t>
        </is>
      </c>
      <c r="M22">
        <f t="array" ref="M22">IFERROR(INDEX('Kontoplan'!$H$3:$H$302,_xlfn.AGGREGATE(15,6,(ROW('Kontoplan'!$H$3:$H$302)-2)/(('Kontoplan'!$D$3:$D$302="Lån")),21)),"")</f>
        <v/>
      </c>
      <c r="N22">
        <f t="array" ref="N22">IFERROR(INDEX('Kontoplan'!$H$3:$H$302,_xlfn.AGGREGATE(15,6,(ROW('Kontoplan'!$H$3:$H$302)-2)/((LEFT('Kontoplan'!$A$3:$A$302,1)&gt;="3")*('Kontoplan'!$A$3:$A$302&lt;&gt;"")*('Kontoplan'!$D$3:$D$302&lt;&gt;"Støttes ikke")),21)),"")</f>
        <v/>
      </c>
    </row>
    <row r="23">
      <c r="A23" t="inlineStr">
        <is>
          <t>2380 – Lån i bank (innen ett år)</t>
        </is>
      </c>
      <c r="B23" t="inlineStr">
        <is>
          <t>Gjeld</t>
        </is>
      </c>
      <c r="C23" t="n">
        <v>-1</v>
      </c>
      <c r="D23" t="inlineStr">
        <is>
          <t>2380</t>
        </is>
      </c>
      <c r="H23" t="inlineStr">
        <is>
          <t>BF</t>
        </is>
      </c>
      <c r="M23">
        <f t="array" ref="M23">IFERROR(INDEX('Kontoplan'!$H$3:$H$302,_xlfn.AGGREGATE(15,6,(ROW('Kontoplan'!$H$3:$H$302)-2)/(('Kontoplan'!$D$3:$D$302="Lån")),22)),"")</f>
        <v/>
      </c>
      <c r="N23">
        <f t="array" ref="N23">IFERROR(INDEX('Kontoplan'!$H$3:$H$302,_xlfn.AGGREGATE(15,6,(ROW('Kontoplan'!$H$3:$H$302)-2)/((LEFT('Kontoplan'!$A$3:$A$302,1)&gt;="3")*('Kontoplan'!$A$3:$A$302&lt;&gt;"")*('Kontoplan'!$D$3:$D$302&lt;&gt;"Støttes ikke")),22)),"")</f>
        <v/>
      </c>
    </row>
    <row r="24">
      <c r="A24" t="inlineStr">
        <is>
          <t>2400 – Ubetalte regninger</t>
        </is>
      </c>
      <c r="B24" t="inlineStr">
        <is>
          <t>Gjeld</t>
        </is>
      </c>
      <c r="C24" t="n">
        <v>-1</v>
      </c>
      <c r="D24" t="inlineStr">
        <is>
          <t>2400</t>
        </is>
      </c>
      <c r="H24" t="inlineStr">
        <is>
          <t>BG</t>
        </is>
      </c>
      <c r="M24">
        <f t="array" ref="M24">IFERROR(INDEX('Kontoplan'!$H$3:$H$302,_xlfn.AGGREGATE(15,6,(ROW('Kontoplan'!$H$3:$H$302)-2)/(('Kontoplan'!$D$3:$D$302="Lån")),23)),"")</f>
        <v/>
      </c>
      <c r="N24">
        <f t="array" ref="N24">IFERROR(INDEX('Kontoplan'!$H$3:$H$302,_xlfn.AGGREGATE(15,6,(ROW('Kontoplan'!$H$3:$H$302)-2)/((LEFT('Kontoplan'!$A$3:$A$302,1)&gt;="3")*('Kontoplan'!$A$3:$A$302&lt;&gt;"")*('Kontoplan'!$D$3:$D$302&lt;&gt;"Støttes ikke")),23)),"")</f>
        <v/>
      </c>
    </row>
    <row r="25">
      <c r="A25" t="inlineStr">
        <is>
          <t>2500 – Skatt for i fjor (ikke betalt)</t>
        </is>
      </c>
      <c r="B25" t="inlineStr">
        <is>
          <t>Skatt</t>
        </is>
      </c>
      <c r="C25" t="n">
        <v>-1</v>
      </c>
      <c r="D25" t="inlineStr">
        <is>
          <t>2500</t>
        </is>
      </c>
      <c r="H25" t="inlineStr">
        <is>
          <t>BH</t>
        </is>
      </c>
      <c r="M25">
        <f t="array" ref="M25">IFERROR(INDEX('Kontoplan'!$H$3:$H$302,_xlfn.AGGREGATE(15,6,(ROW('Kontoplan'!$H$3:$H$302)-2)/(('Kontoplan'!$D$3:$D$302="Lån")),24)),"")</f>
        <v/>
      </c>
      <c r="N25">
        <f t="array" ref="N25">IFERROR(INDEX('Kontoplan'!$H$3:$H$302,_xlfn.AGGREGATE(15,6,(ROW('Kontoplan'!$H$3:$H$302)-2)/((LEFT('Kontoplan'!$A$3:$A$302,1)&gt;="3")*('Kontoplan'!$A$3:$A$302&lt;&gt;"")*('Kontoplan'!$D$3:$D$302&lt;&gt;"Støttes ikke")),24)),"")</f>
        <v/>
      </c>
    </row>
    <row r="26">
      <c r="A26" t="inlineStr">
        <is>
          <t>2800 – Utbytte som skal betales</t>
        </is>
      </c>
      <c r="B26" t="inlineStr">
        <is>
          <t>Gjeld</t>
        </is>
      </c>
      <c r="C26" t="n">
        <v>-1</v>
      </c>
      <c r="D26" t="inlineStr">
        <is>
          <t>2800</t>
        </is>
      </c>
      <c r="H26" t="inlineStr">
        <is>
          <t>BI</t>
        </is>
      </c>
      <c r="M26">
        <f t="array" ref="M26">IFERROR(INDEX('Kontoplan'!$H$3:$H$302,_xlfn.AGGREGATE(15,6,(ROW('Kontoplan'!$H$3:$H$302)-2)/(('Kontoplan'!$D$3:$D$302="Lån")),25)),"")</f>
        <v/>
      </c>
      <c r="N26">
        <f t="array" ref="N26">IFERROR(INDEX('Kontoplan'!$H$3:$H$302,_xlfn.AGGREGATE(15,6,(ROW('Kontoplan'!$H$3:$H$302)-2)/((LEFT('Kontoplan'!$A$3:$A$302,1)&gt;="3")*('Kontoplan'!$A$3:$A$302&lt;&gt;"")*('Kontoplan'!$D$3:$D$302&lt;&gt;"Støttes ikke")),25)),"")</f>
        <v/>
      </c>
    </row>
    <row r="27">
      <c r="A27" t="inlineStr">
        <is>
          <t>2910 – Lån fra eier (innen ett år)</t>
        </is>
      </c>
      <c r="B27" t="inlineStr">
        <is>
          <t>Lån</t>
        </is>
      </c>
      <c r="C27" t="n">
        <v>-1</v>
      </c>
      <c r="D27" t="inlineStr">
        <is>
          <t>2910</t>
        </is>
      </c>
      <c r="H27" t="inlineStr">
        <is>
          <t>BJ</t>
        </is>
      </c>
      <c r="M27">
        <f t="array" ref="M27">IFERROR(INDEX('Kontoplan'!$H$3:$H$302,_xlfn.AGGREGATE(15,6,(ROW('Kontoplan'!$H$3:$H$302)-2)/(('Kontoplan'!$D$3:$D$302="Lån")),26)),"")</f>
        <v/>
      </c>
      <c r="N27">
        <f t="array" ref="N27">IFERROR(INDEX('Kontoplan'!$H$3:$H$302,_xlfn.AGGREGATE(15,6,(ROW('Kontoplan'!$H$3:$H$302)-2)/((LEFT('Kontoplan'!$A$3:$A$302,1)&gt;="3")*('Kontoplan'!$A$3:$A$302&lt;&gt;"")*('Kontoplan'!$D$3:$D$302&lt;&gt;"Støttes ikke")),26)),"")</f>
        <v/>
      </c>
    </row>
    <row r="28">
      <c r="A28" t="inlineStr">
        <is>
          <t>2920 – Gjeld til selskap i samme konsern (innen ett år)</t>
        </is>
      </c>
      <c r="B28" t="inlineStr">
        <is>
          <t>Lån</t>
        </is>
      </c>
      <c r="C28" t="n">
        <v>-1</v>
      </c>
      <c r="D28" t="inlineStr">
        <is>
          <t>2920</t>
        </is>
      </c>
      <c r="H28" t="inlineStr">
        <is>
          <t>BL</t>
        </is>
      </c>
      <c r="M28">
        <f t="array" ref="M28">IFERROR(INDEX('Kontoplan'!$H$3:$H$302,_xlfn.AGGREGATE(15,6,(ROW('Kontoplan'!$H$3:$H$302)-2)/(('Kontoplan'!$D$3:$D$302="Lån")),27)),"")</f>
        <v/>
      </c>
      <c r="N28">
        <f t="array" ref="N28">IFERROR(INDEX('Kontoplan'!$H$3:$H$302,_xlfn.AGGREGATE(15,6,(ROW('Kontoplan'!$H$3:$H$302)-2)/((LEFT('Kontoplan'!$A$3:$A$302,1)&gt;="3")*('Kontoplan'!$A$3:$A$302&lt;&gt;"")*('Kontoplan'!$D$3:$D$302&lt;&gt;"Støttes ikke")),27)),"")</f>
        <v/>
      </c>
    </row>
    <row r="29">
      <c r="A29" t="inlineStr">
        <is>
          <t>2950 – Skyldige renter</t>
        </is>
      </c>
      <c r="B29" t="inlineStr">
        <is>
          <t>Gjeld</t>
        </is>
      </c>
      <c r="C29" t="n">
        <v>-1</v>
      </c>
      <c r="D29" t="inlineStr">
        <is>
          <t>2950</t>
        </is>
      </c>
      <c r="H29" t="inlineStr">
        <is>
          <t>BM</t>
        </is>
      </c>
      <c r="M29">
        <f t="array" ref="M29">IFERROR(INDEX('Kontoplan'!$H$3:$H$302,_xlfn.AGGREGATE(15,6,(ROW('Kontoplan'!$H$3:$H$302)-2)/(('Kontoplan'!$D$3:$D$302="Lån")),28)),"")</f>
        <v/>
      </c>
      <c r="N29">
        <f t="array" ref="N29">IFERROR(INDEX('Kontoplan'!$H$3:$H$302,_xlfn.AGGREGATE(15,6,(ROW('Kontoplan'!$H$3:$H$302)-2)/((LEFT('Kontoplan'!$A$3:$A$302,1)&gt;="3")*('Kontoplan'!$A$3:$A$302&lt;&gt;"")*('Kontoplan'!$D$3:$D$302&lt;&gt;"Støttes ikke")),28)),"")</f>
        <v/>
      </c>
    </row>
    <row r="30">
      <c r="A30" t="inlineStr">
        <is>
          <t>2990 – Annen kortsiktig gjeld</t>
        </is>
      </c>
      <c r="B30" t="inlineStr">
        <is>
          <t>Gjeld</t>
        </is>
      </c>
      <c r="C30" t="n">
        <v>-1</v>
      </c>
      <c r="D30" t="inlineStr">
        <is>
          <t>2990</t>
        </is>
      </c>
      <c r="H30" t="inlineStr">
        <is>
          <t>BN</t>
        </is>
      </c>
      <c r="M30">
        <f t="array" ref="M30">IFERROR(INDEX('Kontoplan'!$H$3:$H$302,_xlfn.AGGREGATE(15,6,(ROW('Kontoplan'!$H$3:$H$302)-2)/(('Kontoplan'!$D$3:$D$302="Lån")),29)),"")</f>
        <v/>
      </c>
      <c r="N30">
        <f t="array" ref="N30">IFERROR(INDEX('Kontoplan'!$H$3:$H$302,_xlfn.AGGREGATE(15,6,(ROW('Kontoplan'!$H$3:$H$302)-2)/((LEFT('Kontoplan'!$A$3:$A$302,1)&gt;="3")*('Kontoplan'!$A$3:$A$302&lt;&gt;"")*('Kontoplan'!$D$3:$D$302&lt;&gt;"Støttes ikke")),29)),"")</f>
        <v/>
      </c>
    </row>
    <row r="31">
      <c r="A31" t="inlineStr">
        <is>
          <t>3200 – Salg og honorar uten MVA</t>
        </is>
      </c>
      <c r="B31" t="inlineStr">
        <is>
          <t>Inntekt</t>
        </is>
      </c>
      <c r="C31" t="n">
        <v>-1</v>
      </c>
      <c r="D31" t="inlineStr">
        <is>
          <t>3200</t>
        </is>
      </c>
      <c r="H31" t="inlineStr">
        <is>
          <t>BO</t>
        </is>
      </c>
      <c r="M31">
        <f t="array" ref="M31">IFERROR(INDEX('Kontoplan'!$H$3:$H$302,_xlfn.AGGREGATE(15,6,(ROW('Kontoplan'!$H$3:$H$302)-2)/(('Kontoplan'!$D$3:$D$302="Lån")),30)),"")</f>
        <v/>
      </c>
      <c r="N31">
        <f t="array" ref="N31">IFERROR(INDEX('Kontoplan'!$H$3:$H$302,_xlfn.AGGREGATE(15,6,(ROW('Kontoplan'!$H$3:$H$302)-2)/((LEFT('Kontoplan'!$A$3:$A$302,1)&gt;="3")*('Kontoplan'!$A$3:$A$302&lt;&gt;"")*('Kontoplan'!$D$3:$D$302&lt;&gt;"Støttes ikke")),30)),"")</f>
        <v/>
      </c>
    </row>
    <row r="32">
      <c r="A32" t="inlineStr">
        <is>
          <t>3900 – Andre driftsinntekter</t>
        </is>
      </c>
      <c r="B32" t="inlineStr">
        <is>
          <t>Inntekt</t>
        </is>
      </c>
      <c r="C32" t="n">
        <v>-1</v>
      </c>
      <c r="D32" t="inlineStr">
        <is>
          <t>3900</t>
        </is>
      </c>
      <c r="H32" t="inlineStr">
        <is>
          <t>BQ</t>
        </is>
      </c>
      <c r="M32">
        <f t="array" ref="M32">IFERROR(INDEX('Kontoplan'!$H$3:$H$302,_xlfn.AGGREGATE(15,6,(ROW('Kontoplan'!$H$3:$H$302)-2)/(('Kontoplan'!$D$3:$D$302="Lån")),31)),"")</f>
        <v/>
      </c>
      <c r="N32">
        <f t="array" ref="N32">IFERROR(INDEX('Kontoplan'!$H$3:$H$302,_xlfn.AGGREGATE(15,6,(ROW('Kontoplan'!$H$3:$H$302)-2)/((LEFT('Kontoplan'!$A$3:$A$302,1)&gt;="3")*('Kontoplan'!$A$3:$A$302&lt;&gt;"")*('Kontoplan'!$D$3:$D$302&lt;&gt;"Støttes ikke")),31)),"")</f>
        <v/>
      </c>
    </row>
    <row r="33">
      <c r="A33" t="inlineStr">
        <is>
          <t>6500 – Utstyr under 30 000 kr</t>
        </is>
      </c>
      <c r="B33" t="inlineStr">
        <is>
          <t>Kostnad</t>
        </is>
      </c>
      <c r="C33" t="n">
        <v>1</v>
      </c>
      <c r="D33" t="inlineStr">
        <is>
          <t>6500</t>
        </is>
      </c>
      <c r="H33" t="inlineStr">
        <is>
          <t>BR</t>
        </is>
      </c>
      <c r="M33">
        <f t="array" ref="M33">IFERROR(INDEX('Kontoplan'!$H$3:$H$302,_xlfn.AGGREGATE(15,6,(ROW('Kontoplan'!$H$3:$H$302)-2)/(('Kontoplan'!$D$3:$D$302="Lån")),32)),"")</f>
        <v/>
      </c>
      <c r="N33">
        <f t="array" ref="N33">IFERROR(INDEX('Kontoplan'!$H$3:$H$302,_xlfn.AGGREGATE(15,6,(ROW('Kontoplan'!$H$3:$H$302)-2)/((LEFT('Kontoplan'!$A$3:$A$302,1)&gt;="3")*('Kontoplan'!$A$3:$A$302&lt;&gt;"")*('Kontoplan'!$D$3:$D$302&lt;&gt;"Støttes ikke")),32)),"")</f>
        <v/>
      </c>
    </row>
    <row r="34">
      <c r="A34" t="inlineStr">
        <is>
          <t>6700 – Regnskap, revisjon og rådgivning</t>
        </is>
      </c>
      <c r="B34" t="inlineStr">
        <is>
          <t>Kostnad</t>
        </is>
      </c>
      <c r="C34" t="n">
        <v>1</v>
      </c>
      <c r="D34" t="inlineStr">
        <is>
          <t>6700</t>
        </is>
      </c>
      <c r="H34" t="inlineStr">
        <is>
          <t>BS</t>
        </is>
      </c>
      <c r="M34">
        <f t="array" ref="M34">IFERROR(INDEX('Kontoplan'!$H$3:$H$302,_xlfn.AGGREGATE(15,6,(ROW('Kontoplan'!$H$3:$H$302)-2)/(('Kontoplan'!$D$3:$D$302="Lån")),33)),"")</f>
        <v/>
      </c>
      <c r="N34">
        <f t="array" ref="N34">IFERROR(INDEX('Kontoplan'!$H$3:$H$302,_xlfn.AGGREGATE(15,6,(ROW('Kontoplan'!$H$3:$H$302)-2)/((LEFT('Kontoplan'!$A$3:$A$302,1)&gt;="3")*('Kontoplan'!$A$3:$A$302&lt;&gt;"")*('Kontoplan'!$D$3:$D$302&lt;&gt;"Støttes ikke")),33)),"")</f>
        <v/>
      </c>
    </row>
    <row r="35">
      <c r="A35" t="inlineStr">
        <is>
          <t>6995 – Kontorrekvisita, programvare, telefon og porto</t>
        </is>
      </c>
      <c r="B35" t="inlineStr">
        <is>
          <t>Kostnad</t>
        </is>
      </c>
      <c r="C35" t="n">
        <v>1</v>
      </c>
      <c r="D35" t="inlineStr">
        <is>
          <t>6995</t>
        </is>
      </c>
      <c r="H35" t="inlineStr">
        <is>
          <t>BT</t>
        </is>
      </c>
      <c r="M35">
        <f t="array" ref="M35">IFERROR(INDEX('Kontoplan'!$H$3:$H$302,_xlfn.AGGREGATE(15,6,(ROW('Kontoplan'!$H$3:$H$302)-2)/(('Kontoplan'!$D$3:$D$302="Lån")),34)),"")</f>
        <v/>
      </c>
      <c r="N35">
        <f t="array" ref="N35">IFERROR(INDEX('Kontoplan'!$H$3:$H$302,_xlfn.AGGREGATE(15,6,(ROW('Kontoplan'!$H$3:$H$302)-2)/((LEFT('Kontoplan'!$A$3:$A$302,1)&gt;="3")*('Kontoplan'!$A$3:$A$302&lt;&gt;"")*('Kontoplan'!$D$3:$D$302&lt;&gt;"Støttes ikke")),34)),"")</f>
        <v/>
      </c>
    </row>
    <row r="36">
      <c r="A36" t="inlineStr">
        <is>
          <t>7370 – Representasjon</t>
        </is>
      </c>
      <c r="B36" t="inlineStr">
        <is>
          <t>Kostnad</t>
        </is>
      </c>
      <c r="C36" t="n">
        <v>1</v>
      </c>
      <c r="D36" t="inlineStr">
        <is>
          <t>7370</t>
        </is>
      </c>
      <c r="H36" t="inlineStr">
        <is>
          <t>BV</t>
        </is>
      </c>
      <c r="M36">
        <f t="array" ref="M36">IFERROR(INDEX('Kontoplan'!$H$3:$H$302,_xlfn.AGGREGATE(15,6,(ROW('Kontoplan'!$H$3:$H$302)-2)/(('Kontoplan'!$D$3:$D$302="Lån")),35)),"")</f>
        <v/>
      </c>
      <c r="N36">
        <f t="array" ref="N36">IFERROR(INDEX('Kontoplan'!$H$3:$H$302,_xlfn.AGGREGATE(15,6,(ROW('Kontoplan'!$H$3:$H$302)-2)/((LEFT('Kontoplan'!$A$3:$A$302,1)&gt;="3")*('Kontoplan'!$A$3:$A$302&lt;&gt;"")*('Kontoplan'!$D$3:$D$302&lt;&gt;"Støttes ikke")),35)),"")</f>
        <v/>
      </c>
    </row>
    <row r="37">
      <c r="A37" t="inlineStr">
        <is>
          <t>7440 – Gaver</t>
        </is>
      </c>
      <c r="B37" t="inlineStr">
        <is>
          <t>Kostnad</t>
        </is>
      </c>
      <c r="C37" t="n">
        <v>1</v>
      </c>
      <c r="D37" t="inlineStr">
        <is>
          <t>7440</t>
        </is>
      </c>
      <c r="H37" t="inlineStr">
        <is>
          <t>BW</t>
        </is>
      </c>
      <c r="M37">
        <f t="array" ref="M37">IFERROR(INDEX('Kontoplan'!$H$3:$H$302,_xlfn.AGGREGATE(15,6,(ROW('Kontoplan'!$H$3:$H$302)-2)/(('Kontoplan'!$D$3:$D$302="Lån")),36)),"")</f>
        <v/>
      </c>
      <c r="N37">
        <f t="array" ref="N37">IFERROR(INDEX('Kontoplan'!$H$3:$H$302,_xlfn.AGGREGATE(15,6,(ROW('Kontoplan'!$H$3:$H$302)-2)/((LEFT('Kontoplan'!$A$3:$A$302,1)&gt;="3")*('Kontoplan'!$A$3:$A$302&lt;&gt;"")*('Kontoplan'!$D$3:$D$302&lt;&gt;"Støttes ikke")),36)),"")</f>
        <v/>
      </c>
    </row>
    <row r="38">
      <c r="A38" t="inlineStr">
        <is>
          <t>7490 – Kontingenter</t>
        </is>
      </c>
      <c r="B38" t="inlineStr">
        <is>
          <t>Kostnad</t>
        </is>
      </c>
      <c r="C38" t="n">
        <v>1</v>
      </c>
      <c r="D38" t="inlineStr">
        <is>
          <t>7490</t>
        </is>
      </c>
      <c r="H38" t="inlineStr">
        <is>
          <t>BY</t>
        </is>
      </c>
      <c r="M38">
        <f t="array" ref="M38">IFERROR(INDEX('Kontoplan'!$H$3:$H$302,_xlfn.AGGREGATE(15,6,(ROW('Kontoplan'!$H$3:$H$302)-2)/(('Kontoplan'!$D$3:$D$302="Lån")),37)),"")</f>
        <v/>
      </c>
      <c r="N38">
        <f t="array" ref="N38">IFERROR(INDEX('Kontoplan'!$H$3:$H$302,_xlfn.AGGREGATE(15,6,(ROW('Kontoplan'!$H$3:$H$302)-2)/((LEFT('Kontoplan'!$A$3:$A$302,1)&gt;="3")*('Kontoplan'!$A$3:$A$302&lt;&gt;"")*('Kontoplan'!$D$3:$D$302&lt;&gt;"Støttes ikke")),37)),"")</f>
        <v/>
      </c>
    </row>
    <row r="39">
      <c r="A39" t="inlineStr">
        <is>
          <t>7500 – Forsikring</t>
        </is>
      </c>
      <c r="B39" t="inlineStr">
        <is>
          <t>Kostnad</t>
        </is>
      </c>
      <c r="C39" t="n">
        <v>1</v>
      </c>
      <c r="D39" t="inlineStr">
        <is>
          <t>7500</t>
        </is>
      </c>
      <c r="H39" t="inlineStr">
        <is>
          <t>BZ</t>
        </is>
      </c>
      <c r="M39">
        <f t="array" ref="M39">IFERROR(INDEX('Kontoplan'!$H$3:$H$302,_xlfn.AGGREGATE(15,6,(ROW('Kontoplan'!$H$3:$H$302)-2)/(('Kontoplan'!$D$3:$D$302="Lån")),38)),"")</f>
        <v/>
      </c>
      <c r="N39">
        <f t="array" ref="N39">IFERROR(INDEX('Kontoplan'!$H$3:$H$302,_xlfn.AGGREGATE(15,6,(ROW('Kontoplan'!$H$3:$H$302)-2)/((LEFT('Kontoplan'!$A$3:$A$302,1)&gt;="3")*('Kontoplan'!$A$3:$A$302&lt;&gt;"")*('Kontoplan'!$D$3:$D$302&lt;&gt;"Støttes ikke")),38)),"")</f>
        <v/>
      </c>
    </row>
    <row r="40">
      <c r="A40" t="inlineStr">
        <is>
          <t>7700 – Andre kostnader (gebyrer o.l.)</t>
        </is>
      </c>
      <c r="B40" t="inlineStr">
        <is>
          <t>Kostnad</t>
        </is>
      </c>
      <c r="C40" t="n">
        <v>1</v>
      </c>
      <c r="D40" t="inlineStr">
        <is>
          <t>7700</t>
        </is>
      </c>
      <c r="H40" t="inlineStr">
        <is>
          <t>CA</t>
        </is>
      </c>
      <c r="M40">
        <f t="array" ref="M40">IFERROR(INDEX('Kontoplan'!$H$3:$H$302,_xlfn.AGGREGATE(15,6,(ROW('Kontoplan'!$H$3:$H$302)-2)/(('Kontoplan'!$D$3:$D$302="Lån")),39)),"")</f>
        <v/>
      </c>
      <c r="N40">
        <f t="array" ref="N40">IFERROR(INDEX('Kontoplan'!$H$3:$H$302,_xlfn.AGGREGATE(15,6,(ROW('Kontoplan'!$H$3:$H$302)-2)/((LEFT('Kontoplan'!$A$3:$A$302,1)&gt;="3")*('Kontoplan'!$A$3:$A$302&lt;&gt;"")*('Kontoplan'!$D$3:$D$302&lt;&gt;"Støttes ikke")),39)),"")</f>
        <v/>
      </c>
    </row>
    <row r="41">
      <c r="A41" t="inlineStr">
        <is>
          <t>8030 – Renter fra selskap i samme konsern</t>
        </is>
      </c>
      <c r="B41" t="inlineStr">
        <is>
          <t>Finans</t>
        </is>
      </c>
      <c r="C41" t="n">
        <v>-1</v>
      </c>
      <c r="D41" t="inlineStr">
        <is>
          <t>8030</t>
        </is>
      </c>
      <c r="H41" t="inlineStr">
        <is>
          <t>CC</t>
        </is>
      </c>
      <c r="M41">
        <f t="array" ref="M41">IFERROR(INDEX('Kontoplan'!$H$3:$H$302,_xlfn.AGGREGATE(15,6,(ROW('Kontoplan'!$H$3:$H$302)-2)/(('Kontoplan'!$D$3:$D$302="Lån")),40)),"")</f>
        <v/>
      </c>
      <c r="N41">
        <f t="array" ref="N41">IFERROR(INDEX('Kontoplan'!$H$3:$H$302,_xlfn.AGGREGATE(15,6,(ROW('Kontoplan'!$H$3:$H$302)-2)/((LEFT('Kontoplan'!$A$3:$A$302,1)&gt;="3")*('Kontoplan'!$A$3:$A$302&lt;&gt;"")*('Kontoplan'!$D$3:$D$302&lt;&gt;"Støttes ikke")),40)),"")</f>
        <v/>
      </c>
    </row>
    <row r="42">
      <c r="A42" t="inlineStr">
        <is>
          <t>8050 – Renteinntekter</t>
        </is>
      </c>
      <c r="B42" t="inlineStr">
        <is>
          <t>Finans</t>
        </is>
      </c>
      <c r="C42" t="n">
        <v>-1</v>
      </c>
      <c r="D42" t="inlineStr">
        <is>
          <t>8050</t>
        </is>
      </c>
      <c r="H42" t="inlineStr">
        <is>
          <t>CD</t>
        </is>
      </c>
      <c r="N42">
        <f t="array" ref="N42">IFERROR(INDEX('Kontoplan'!$H$3:$H$302,_xlfn.AGGREGATE(15,6,(ROW('Kontoplan'!$H$3:$H$302)-2)/((LEFT('Kontoplan'!$A$3:$A$302,1)&gt;="3")*('Kontoplan'!$A$3:$A$302&lt;&gt;"")*('Kontoplan'!$D$3:$D$302&lt;&gt;"Støttes ikke")),41)),"")</f>
        <v/>
      </c>
    </row>
    <row r="43">
      <c r="A43" t="inlineStr">
        <is>
          <t>8074 – Gevinst ved salg av aksjer og fond</t>
        </is>
      </c>
      <c r="B43" t="inlineStr">
        <is>
          <t>Finans</t>
        </is>
      </c>
      <c r="C43" t="n">
        <v>-1</v>
      </c>
      <c r="D43" t="inlineStr">
        <is>
          <t>8074</t>
        </is>
      </c>
      <c r="H43" t="inlineStr">
        <is>
          <t>CF</t>
        </is>
      </c>
      <c r="N43">
        <f t="array" ref="N43">IFERROR(INDEX('Kontoplan'!$H$3:$H$302,_xlfn.AGGREGATE(15,6,(ROW('Kontoplan'!$H$3:$H$302)-2)/((LEFT('Kontoplan'!$A$3:$A$302,1)&gt;="3")*('Kontoplan'!$A$3:$A$302&lt;&gt;"")*('Kontoplan'!$D$3:$D$302&lt;&gt;"Støttes ikke")),42)),"")</f>
        <v/>
      </c>
    </row>
    <row r="44">
      <c r="A44" t="inlineStr">
        <is>
          <t>8079 – Andre finansinntekter</t>
        </is>
      </c>
      <c r="B44" t="inlineStr">
        <is>
          <t>Finans</t>
        </is>
      </c>
      <c r="C44" t="n">
        <v>-1</v>
      </c>
      <c r="D44" t="inlineStr">
        <is>
          <t>8079</t>
        </is>
      </c>
      <c r="H44" t="inlineStr">
        <is>
          <t>CG</t>
        </is>
      </c>
      <c r="N44">
        <f t="array" ref="N44">IFERROR(INDEX('Kontoplan'!$H$3:$H$302,_xlfn.AGGREGATE(15,6,(ROW('Kontoplan'!$H$3:$H$302)-2)/((LEFT('Kontoplan'!$A$3:$A$302,1)&gt;="3")*('Kontoplan'!$A$3:$A$302&lt;&gt;"")*('Kontoplan'!$D$3:$D$302&lt;&gt;"Støttes ikke")),43)),"")</f>
        <v/>
      </c>
    </row>
    <row r="45">
      <c r="A45" t="inlineStr">
        <is>
          <t>8090 – Utbytte fra aksjer og fond</t>
        </is>
      </c>
      <c r="B45" t="inlineStr">
        <is>
          <t>Finans</t>
        </is>
      </c>
      <c r="C45" t="n">
        <v>-1</v>
      </c>
      <c r="D45" t="inlineStr">
        <is>
          <t>8090</t>
        </is>
      </c>
      <c r="H45" t="inlineStr">
        <is>
          <t>CH</t>
        </is>
      </c>
      <c r="N45">
        <f t="array" ref="N45">IFERROR(INDEX('Kontoplan'!$H$3:$H$302,_xlfn.AGGREGATE(15,6,(ROW('Kontoplan'!$H$3:$H$302)-2)/((LEFT('Kontoplan'!$A$3:$A$302,1)&gt;="3")*('Kontoplan'!$A$3:$A$302&lt;&gt;"")*('Kontoplan'!$D$3:$D$302&lt;&gt;"Støttes ikke")),44)),"")</f>
        <v/>
      </c>
    </row>
    <row r="46">
      <c r="A46" t="inlineStr">
        <is>
          <t>8115 – Nedskrivning av aksjer</t>
        </is>
      </c>
      <c r="B46" t="inlineStr">
        <is>
          <t>Finans</t>
        </is>
      </c>
      <c r="C46" t="n">
        <v>1</v>
      </c>
      <c r="D46" t="inlineStr">
        <is>
          <t>8115</t>
        </is>
      </c>
      <c r="H46" t="inlineStr">
        <is>
          <t>CI</t>
        </is>
      </c>
      <c r="N46">
        <f t="array" ref="N46">IFERROR(INDEX('Kontoplan'!$H$3:$H$302,_xlfn.AGGREGATE(15,6,(ROW('Kontoplan'!$H$3:$H$302)-2)/((LEFT('Kontoplan'!$A$3:$A$302,1)&gt;="3")*('Kontoplan'!$A$3:$A$302&lt;&gt;"")*('Kontoplan'!$D$3:$D$302&lt;&gt;"Støttes ikke")),45)),"")</f>
        <v/>
      </c>
    </row>
    <row r="47">
      <c r="A47" t="inlineStr">
        <is>
          <t>8130 – Renter til selskap i samme konsern</t>
        </is>
      </c>
      <c r="B47" t="inlineStr">
        <is>
          <t>Finans</t>
        </is>
      </c>
      <c r="C47" t="n">
        <v>1</v>
      </c>
      <c r="D47" t="inlineStr">
        <is>
          <t>8130</t>
        </is>
      </c>
      <c r="H47" t="inlineStr">
        <is>
          <t>CK</t>
        </is>
      </c>
      <c r="N47">
        <f t="array" ref="N47">IFERROR(INDEX('Kontoplan'!$H$3:$H$302,_xlfn.AGGREGATE(15,6,(ROW('Kontoplan'!$H$3:$H$302)-2)/((LEFT('Kontoplan'!$A$3:$A$302,1)&gt;="3")*('Kontoplan'!$A$3:$A$302&lt;&gt;"")*('Kontoplan'!$D$3:$D$302&lt;&gt;"Støttes ikke")),46)),"")</f>
        <v/>
      </c>
    </row>
    <row r="48">
      <c r="A48" t="inlineStr">
        <is>
          <t>8150 – Rentekostnader</t>
        </is>
      </c>
      <c r="B48" t="inlineStr">
        <is>
          <t>Finans</t>
        </is>
      </c>
      <c r="C48" t="n">
        <v>1</v>
      </c>
      <c r="D48" t="inlineStr">
        <is>
          <t>8150</t>
        </is>
      </c>
      <c r="H48" t="inlineStr">
        <is>
          <t>CL</t>
        </is>
      </c>
      <c r="N48">
        <f t="array" ref="N48">IFERROR(INDEX('Kontoplan'!$H$3:$H$302,_xlfn.AGGREGATE(15,6,(ROW('Kontoplan'!$H$3:$H$302)-2)/((LEFT('Kontoplan'!$A$3:$A$302,1)&gt;="3")*('Kontoplan'!$A$3:$A$302&lt;&gt;"")*('Kontoplan'!$D$3:$D$302&lt;&gt;"Støttes ikke")),47)),"")</f>
        <v/>
      </c>
    </row>
    <row r="49">
      <c r="A49" t="inlineStr">
        <is>
          <t>8174 – Tap ved salg av aksjer og fond</t>
        </is>
      </c>
      <c r="B49" t="inlineStr">
        <is>
          <t>Finans</t>
        </is>
      </c>
      <c r="C49" t="n">
        <v>1</v>
      </c>
      <c r="D49" t="inlineStr">
        <is>
          <t>8174</t>
        </is>
      </c>
      <c r="H49" t="inlineStr">
        <is>
          <t>CM</t>
        </is>
      </c>
      <c r="N49">
        <f t="array" ref="N49">IFERROR(INDEX('Kontoplan'!$H$3:$H$302,_xlfn.AGGREGATE(15,6,(ROW('Kontoplan'!$H$3:$H$302)-2)/((LEFT('Kontoplan'!$A$3:$A$302,1)&gt;="3")*('Kontoplan'!$A$3:$A$302&lt;&gt;"")*('Kontoplan'!$D$3:$D$302&lt;&gt;"Støttes ikke")),48)),"")</f>
        <v/>
      </c>
    </row>
    <row r="50">
      <c r="A50" t="inlineStr">
        <is>
          <t>8179 – Andre finanskostnader</t>
        </is>
      </c>
      <c r="B50" t="inlineStr">
        <is>
          <t>Finans</t>
        </is>
      </c>
      <c r="C50" t="n">
        <v>1</v>
      </c>
      <c r="D50" t="inlineStr">
        <is>
          <t>8179</t>
        </is>
      </c>
      <c r="H50" t="inlineStr">
        <is>
          <t>CN</t>
        </is>
      </c>
      <c r="N50">
        <f t="array" ref="N50">IFERROR(INDEX('Kontoplan'!$H$3:$H$302,_xlfn.AGGREGATE(15,6,(ROW('Kontoplan'!$H$3:$H$302)-2)/((LEFT('Kontoplan'!$A$3:$A$302,1)&gt;="3")*('Kontoplan'!$A$3:$A$302&lt;&gt;"")*('Kontoplan'!$D$3:$D$302&lt;&gt;"Støttes ikke")),49)),"")</f>
        <v/>
      </c>
    </row>
    <row r="51">
      <c r="A51" t="inlineStr">
        <is>
          <t>8323 – For lite skatt avsatt i fjor</t>
        </is>
      </c>
      <c r="B51" t="inlineStr">
        <is>
          <t>Skatt</t>
        </is>
      </c>
      <c r="C51" t="n">
        <v>1</v>
      </c>
      <c r="D51" t="inlineStr">
        <is>
          <t>8323</t>
        </is>
      </c>
      <c r="H51" t="inlineStr">
        <is>
          <t>CO</t>
        </is>
      </c>
      <c r="N51">
        <f t="array" ref="N51">IFERROR(INDEX('Kontoplan'!$H$3:$H$302,_xlfn.AGGREGATE(15,6,(ROW('Kontoplan'!$H$3:$H$302)-2)/((LEFT('Kontoplan'!$A$3:$A$302,1)&gt;="3")*('Kontoplan'!$A$3:$A$302&lt;&gt;"")*('Kontoplan'!$D$3:$D$302&lt;&gt;"Støttes ikke")),50)),"")</f>
        <v/>
      </c>
    </row>
    <row r="52">
      <c r="A52" t="inlineStr">
        <is>
          <t>8324 – For mye skatt avsatt i fjor</t>
        </is>
      </c>
      <c r="B52" t="inlineStr">
        <is>
          <t>Skatt</t>
        </is>
      </c>
      <c r="C52" t="n">
        <v>-1</v>
      </c>
      <c r="D52" t="inlineStr">
        <is>
          <t>8324</t>
        </is>
      </c>
      <c r="H52" t="inlineStr">
        <is>
          <t>CR</t>
        </is>
      </c>
      <c r="N52">
        <f t="array" ref="N52">IFERROR(INDEX('Kontoplan'!$H$3:$H$302,_xlfn.AGGREGATE(15,6,(ROW('Kontoplan'!$H$3:$H$302)-2)/((LEFT('Kontoplan'!$A$3:$A$302,1)&gt;="3")*('Kontoplan'!$A$3:$A$302&lt;&gt;"")*('Kontoplan'!$D$3:$D$302&lt;&gt;"Støttes ikke")),51)),"")</f>
        <v/>
      </c>
    </row>
    <row r="53">
      <c r="A53" t="inlineStr">
        <is>
          <t>1205 – Biler, maskiner og inventar (støttes ikke)</t>
        </is>
      </c>
      <c r="B53" t="inlineStr">
        <is>
          <t>Støttes ikke</t>
        </is>
      </c>
      <c r="C53" t="n">
        <v>1</v>
      </c>
      <c r="D53" t="inlineStr">
        <is>
          <t>1205</t>
        </is>
      </c>
      <c r="H53" t="inlineStr">
        <is>
          <t>CU</t>
        </is>
      </c>
      <c r="N53">
        <f t="array" ref="N53">IFERROR(INDEX('Kontoplan'!$H$3:$H$302,_xlfn.AGGREGATE(15,6,(ROW('Kontoplan'!$H$3:$H$302)-2)/((LEFT('Kontoplan'!$A$3:$A$302,1)&gt;="3")*('Kontoplan'!$A$3:$A$302&lt;&gt;"")*('Kontoplan'!$D$3:$D$302&lt;&gt;"Støttes ikke")),52)),"")</f>
        <v/>
      </c>
    </row>
    <row r="54">
      <c r="A54" t="inlineStr">
        <is>
          <t>1400 – Varelager (støttes ikke)</t>
        </is>
      </c>
      <c r="B54" t="inlineStr">
        <is>
          <t>Støttes ikke</t>
        </is>
      </c>
      <c r="C54" t="n">
        <v>1</v>
      </c>
      <c r="D54" t="inlineStr">
        <is>
          <t>1400</t>
        </is>
      </c>
      <c r="H54" t="inlineStr">
        <is>
          <t>CV</t>
        </is>
      </c>
      <c r="N54">
        <f t="array" ref="N54">IFERROR(INDEX('Kontoplan'!$H$3:$H$302,_xlfn.AGGREGATE(15,6,(ROW('Kontoplan'!$H$3:$H$302)-2)/((LEFT('Kontoplan'!$A$3:$A$302,1)&gt;="3")*('Kontoplan'!$A$3:$A$302&lt;&gt;"")*('Kontoplan'!$D$3:$D$302&lt;&gt;"Støttes ikke")),53)),"")</f>
        <v/>
      </c>
    </row>
    <row r="55">
      <c r="A55" t="inlineStr">
        <is>
          <t>1500 – Kundefordringer (fakturaer) (støttes ikke)</t>
        </is>
      </c>
      <c r="B55" t="inlineStr">
        <is>
          <t>Støttes ikke</t>
        </is>
      </c>
      <c r="C55" t="n">
        <v>1</v>
      </c>
      <c r="D55" t="inlineStr">
        <is>
          <t>1500</t>
        </is>
      </c>
      <c r="H55" t="inlineStr">
        <is>
          <t>CW</t>
        </is>
      </c>
      <c r="N55">
        <f t="array" ref="N55">IFERROR(INDEX('Kontoplan'!$H$3:$H$302,_xlfn.AGGREGATE(15,6,(ROW('Kontoplan'!$H$3:$H$302)-2)/((LEFT('Kontoplan'!$A$3:$A$302,1)&gt;="3")*('Kontoplan'!$A$3:$A$302&lt;&gt;"")*('Kontoplan'!$D$3:$D$302&lt;&gt;"Støttes ikke")),54)),"")</f>
        <v/>
      </c>
    </row>
    <row r="56">
      <c r="A56" t="inlineStr">
        <is>
          <t>2600 – Skattetrekk (støttes ikke)</t>
        </is>
      </c>
      <c r="B56" t="inlineStr">
        <is>
          <t>Støttes ikke</t>
        </is>
      </c>
      <c r="C56" t="n">
        <v>-1</v>
      </c>
      <c r="D56" t="inlineStr">
        <is>
          <t>2600</t>
        </is>
      </c>
      <c r="H56" t="inlineStr">
        <is>
          <t>CX</t>
        </is>
      </c>
      <c r="N56">
        <f t="array" ref="N56">IFERROR(INDEX('Kontoplan'!$H$3:$H$302,_xlfn.AGGREGATE(15,6,(ROW('Kontoplan'!$H$3:$H$302)-2)/((LEFT('Kontoplan'!$A$3:$A$302,1)&gt;="3")*('Kontoplan'!$A$3:$A$302&lt;&gt;"")*('Kontoplan'!$D$3:$D$302&lt;&gt;"Støttes ikke")),55)),"")</f>
        <v/>
      </c>
    </row>
    <row r="57">
      <c r="A57" t="inlineStr">
        <is>
          <t>2740 – Skyldig MVA (støttes ikke)</t>
        </is>
      </c>
      <c r="B57" t="inlineStr">
        <is>
          <t>Støttes ikke</t>
        </is>
      </c>
      <c r="C57" t="n">
        <v>-1</v>
      </c>
      <c r="D57" t="inlineStr">
        <is>
          <t>2740</t>
        </is>
      </c>
      <c r="H57" t="inlineStr">
        <is>
          <t>CY</t>
        </is>
      </c>
      <c r="N57">
        <f t="array" ref="N57">IFERROR(INDEX('Kontoplan'!$H$3:$H$302,_xlfn.AGGREGATE(15,6,(ROW('Kontoplan'!$H$3:$H$302)-2)/((LEFT('Kontoplan'!$A$3:$A$302,1)&gt;="3")*('Kontoplan'!$A$3:$A$302&lt;&gt;"")*('Kontoplan'!$D$3:$D$302&lt;&gt;"Støttes ikke")),56)),"")</f>
        <v/>
      </c>
    </row>
    <row r="58">
      <c r="A58" t="inlineStr">
        <is>
          <t>2770 – Skyldig arbeidsgiveravgift (støttes ikke)</t>
        </is>
      </c>
      <c r="B58" t="inlineStr">
        <is>
          <t>Støttes ikke</t>
        </is>
      </c>
      <c r="C58" t="n">
        <v>-1</v>
      </c>
      <c r="D58" t="inlineStr">
        <is>
          <t>2770</t>
        </is>
      </c>
      <c r="H58" t="inlineStr">
        <is>
          <t>CZ</t>
        </is>
      </c>
      <c r="N58">
        <f t="array" ref="N58">IFERROR(INDEX('Kontoplan'!$H$3:$H$302,_xlfn.AGGREGATE(15,6,(ROW('Kontoplan'!$H$3:$H$302)-2)/((LEFT('Kontoplan'!$A$3:$A$302,1)&gt;="3")*('Kontoplan'!$A$3:$A$302&lt;&gt;"")*('Kontoplan'!$D$3:$D$302&lt;&gt;"Støttes ikke")),57)),"")</f>
        <v/>
      </c>
    </row>
    <row r="59">
      <c r="A59" t="inlineStr">
        <is>
          <t>3000 – Salg med MVA (støttes ikke)</t>
        </is>
      </c>
      <c r="B59" t="inlineStr">
        <is>
          <t>Støttes ikke</t>
        </is>
      </c>
      <c r="C59" t="n">
        <v>-1</v>
      </c>
      <c r="D59" t="inlineStr">
        <is>
          <t>3000</t>
        </is>
      </c>
      <c r="H59" t="inlineStr">
        <is>
          <t>DE</t>
        </is>
      </c>
      <c r="N59">
        <f t="array" ref="N59">IFERROR(INDEX('Kontoplan'!$H$3:$H$302,_xlfn.AGGREGATE(15,6,(ROW('Kontoplan'!$H$3:$H$302)-2)/((LEFT('Kontoplan'!$A$3:$A$302,1)&gt;="3")*('Kontoplan'!$A$3:$A$302&lt;&gt;"")*('Kontoplan'!$D$3:$D$302&lt;&gt;"Støttes ikke")),58)),"")</f>
        <v/>
      </c>
    </row>
    <row r="60">
      <c r="A60" t="inlineStr">
        <is>
          <t>5000 – Lønn (støttes ikke)</t>
        </is>
      </c>
      <c r="B60" t="inlineStr">
        <is>
          <t>Støttes ikke</t>
        </is>
      </c>
      <c r="C60" t="n">
        <v>1</v>
      </c>
      <c r="D60" t="inlineStr">
        <is>
          <t>5000</t>
        </is>
      </c>
      <c r="H60" t="inlineStr">
        <is>
          <t>DJ</t>
        </is>
      </c>
      <c r="N60">
        <f t="array" ref="N60">IFERROR(INDEX('Kontoplan'!$H$3:$H$302,_xlfn.AGGREGATE(15,6,(ROW('Kontoplan'!$H$3:$H$302)-2)/((LEFT('Kontoplan'!$A$3:$A$302,1)&gt;="3")*('Kontoplan'!$A$3:$A$302&lt;&gt;"")*('Kontoplan'!$D$3:$D$302&lt;&gt;"Støttes ikke")),59)),"")</f>
        <v/>
      </c>
    </row>
    <row r="61">
      <c r="A61" t="inlineStr">
        <is>
          <t>5300 – Styrehonorar og andre honorarer (støttes ikke)</t>
        </is>
      </c>
      <c r="B61" t="inlineStr">
        <is>
          <t>Støttes ikke</t>
        </is>
      </c>
      <c r="C61" t="n">
        <v>1</v>
      </c>
      <c r="D61" t="inlineStr">
        <is>
          <t>5300</t>
        </is>
      </c>
      <c r="H61" t="inlineStr">
        <is>
          <t>DK</t>
        </is>
      </c>
      <c r="N61">
        <f t="array" ref="N61">IFERROR(INDEX('Kontoplan'!$H$3:$H$302,_xlfn.AGGREGATE(15,6,(ROW('Kontoplan'!$H$3:$H$302)-2)/((LEFT('Kontoplan'!$A$3:$A$302,1)&gt;="3")*('Kontoplan'!$A$3:$A$302&lt;&gt;"")*('Kontoplan'!$D$3:$D$302&lt;&gt;"Støttes ikke")),60)),"")</f>
        <v/>
      </c>
    </row>
    <row r="62">
      <c r="A62" t="inlineStr">
        <is>
          <t>5400 – Arbeidsgiveravgift (støttes ikke)</t>
        </is>
      </c>
      <c r="B62" t="inlineStr">
        <is>
          <t>Støttes ikke</t>
        </is>
      </c>
      <c r="C62" t="n">
        <v>1</v>
      </c>
      <c r="D62" t="inlineStr">
        <is>
          <t>5400</t>
        </is>
      </c>
      <c r="H62" t="inlineStr">
        <is>
          <t>DM</t>
        </is>
      </c>
      <c r="N62">
        <f t="array" ref="N62">IFERROR(INDEX('Kontoplan'!$H$3:$H$302,_xlfn.AGGREGATE(15,6,(ROW('Kontoplan'!$H$3:$H$302)-2)/((LEFT('Kontoplan'!$A$3:$A$302,1)&gt;="3")*('Kontoplan'!$A$3:$A$302&lt;&gt;"")*('Kontoplan'!$D$3:$D$302&lt;&gt;"Støttes ikke")),61)),"")</f>
        <v/>
      </c>
    </row>
    <row r="63">
      <c r="H63" t="inlineStr">
        <is>
          <t>DO</t>
        </is>
      </c>
      <c r="N63">
        <f t="array" ref="N63">IFERROR(INDEX('Kontoplan'!$H$3:$H$302,_xlfn.AGGREGATE(15,6,(ROW('Kontoplan'!$H$3:$H$302)-2)/((LEFT('Kontoplan'!$A$3:$A$302,1)&gt;="3")*('Kontoplan'!$A$3:$A$302&lt;&gt;"")*('Kontoplan'!$D$3:$D$302&lt;&gt;"Støttes ikke")),62)),"")</f>
        <v/>
      </c>
    </row>
    <row r="64">
      <c r="H64" t="inlineStr">
        <is>
          <t>DZ</t>
        </is>
      </c>
      <c r="N64">
        <f t="array" ref="N64">IFERROR(INDEX('Kontoplan'!$H$3:$H$302,_xlfn.AGGREGATE(15,6,(ROW('Kontoplan'!$H$3:$H$302)-2)/((LEFT('Kontoplan'!$A$3:$A$302,1)&gt;="3")*('Kontoplan'!$A$3:$A$302&lt;&gt;"")*('Kontoplan'!$D$3:$D$302&lt;&gt;"Støttes ikke")),63)),"")</f>
        <v/>
      </c>
    </row>
    <row r="65">
      <c r="H65" t="inlineStr">
        <is>
          <t>EC</t>
        </is>
      </c>
      <c r="N65">
        <f t="array" ref="N65">IFERROR(INDEX('Kontoplan'!$H$3:$H$302,_xlfn.AGGREGATE(15,6,(ROW('Kontoplan'!$H$3:$H$302)-2)/((LEFT('Kontoplan'!$A$3:$A$302,1)&gt;="3")*('Kontoplan'!$A$3:$A$302&lt;&gt;"")*('Kontoplan'!$D$3:$D$302&lt;&gt;"Støttes ikke")),64)),"")</f>
        <v/>
      </c>
    </row>
    <row r="66">
      <c r="H66" t="inlineStr">
        <is>
          <t>EE</t>
        </is>
      </c>
      <c r="N66">
        <f t="array" ref="N66">IFERROR(INDEX('Kontoplan'!$H$3:$H$302,_xlfn.AGGREGATE(15,6,(ROW('Kontoplan'!$H$3:$H$302)-2)/((LEFT('Kontoplan'!$A$3:$A$302,1)&gt;="3")*('Kontoplan'!$A$3:$A$302&lt;&gt;"")*('Kontoplan'!$D$3:$D$302&lt;&gt;"Støttes ikke")),65)),"")</f>
        <v/>
      </c>
    </row>
    <row r="67">
      <c r="H67" t="inlineStr">
        <is>
          <t>EG</t>
        </is>
      </c>
      <c r="N67">
        <f t="array" ref="N67">IFERROR(INDEX('Kontoplan'!$H$3:$H$302,_xlfn.AGGREGATE(15,6,(ROW('Kontoplan'!$H$3:$H$302)-2)/((LEFT('Kontoplan'!$A$3:$A$302,1)&gt;="3")*('Kontoplan'!$A$3:$A$302&lt;&gt;"")*('Kontoplan'!$D$3:$D$302&lt;&gt;"Støttes ikke")),66)),"")</f>
        <v/>
      </c>
    </row>
    <row r="68">
      <c r="H68" t="inlineStr">
        <is>
          <t>EH</t>
        </is>
      </c>
      <c r="N68">
        <f t="array" ref="N68">IFERROR(INDEX('Kontoplan'!$H$3:$H$302,_xlfn.AGGREGATE(15,6,(ROW('Kontoplan'!$H$3:$H$302)-2)/((LEFT('Kontoplan'!$A$3:$A$302,1)&gt;="3")*('Kontoplan'!$A$3:$A$302&lt;&gt;"")*('Kontoplan'!$D$3:$D$302&lt;&gt;"Støttes ikke")),67)),"")</f>
        <v/>
      </c>
    </row>
    <row r="69">
      <c r="H69" t="inlineStr">
        <is>
          <t>ER</t>
        </is>
      </c>
      <c r="N69">
        <f t="array" ref="N69">IFERROR(INDEX('Kontoplan'!$H$3:$H$302,_xlfn.AGGREGATE(15,6,(ROW('Kontoplan'!$H$3:$H$302)-2)/((LEFT('Kontoplan'!$A$3:$A$302,1)&gt;="3")*('Kontoplan'!$A$3:$A$302&lt;&gt;"")*('Kontoplan'!$D$3:$D$302&lt;&gt;"Støttes ikke")),68)),"")</f>
        <v/>
      </c>
    </row>
    <row r="70">
      <c r="H70" t="inlineStr">
        <is>
          <t>ES</t>
        </is>
      </c>
      <c r="N70">
        <f t="array" ref="N70">IFERROR(INDEX('Kontoplan'!$H$3:$H$302,_xlfn.AGGREGATE(15,6,(ROW('Kontoplan'!$H$3:$H$302)-2)/((LEFT('Kontoplan'!$A$3:$A$302,1)&gt;="3")*('Kontoplan'!$A$3:$A$302&lt;&gt;"")*('Kontoplan'!$D$3:$D$302&lt;&gt;"Støttes ikke")),69)),"")</f>
        <v/>
      </c>
    </row>
    <row r="71">
      <c r="H71" t="inlineStr">
        <is>
          <t>ET</t>
        </is>
      </c>
      <c r="N71">
        <f t="array" ref="N71">IFERROR(INDEX('Kontoplan'!$H$3:$H$302,_xlfn.AGGREGATE(15,6,(ROW('Kontoplan'!$H$3:$H$302)-2)/((LEFT('Kontoplan'!$A$3:$A$302,1)&gt;="3")*('Kontoplan'!$A$3:$A$302&lt;&gt;"")*('Kontoplan'!$D$3:$D$302&lt;&gt;"Støttes ikke")),70)),"")</f>
        <v/>
      </c>
    </row>
    <row r="72">
      <c r="H72" t="inlineStr">
        <is>
          <t>FI</t>
        </is>
      </c>
      <c r="N72">
        <f t="array" ref="N72">IFERROR(INDEX('Kontoplan'!$H$3:$H$302,_xlfn.AGGREGATE(15,6,(ROW('Kontoplan'!$H$3:$H$302)-2)/((LEFT('Kontoplan'!$A$3:$A$302,1)&gt;="3")*('Kontoplan'!$A$3:$A$302&lt;&gt;"")*('Kontoplan'!$D$3:$D$302&lt;&gt;"Støttes ikke")),71)),"")</f>
        <v/>
      </c>
    </row>
    <row r="73">
      <c r="H73" t="inlineStr">
        <is>
          <t>FJ</t>
        </is>
      </c>
      <c r="N73">
        <f t="array" ref="N73">IFERROR(INDEX('Kontoplan'!$H$3:$H$302,_xlfn.AGGREGATE(15,6,(ROW('Kontoplan'!$H$3:$H$302)-2)/((LEFT('Kontoplan'!$A$3:$A$302,1)&gt;="3")*('Kontoplan'!$A$3:$A$302&lt;&gt;"")*('Kontoplan'!$D$3:$D$302&lt;&gt;"Støttes ikke")),72)),"")</f>
        <v/>
      </c>
    </row>
    <row r="74">
      <c r="H74" t="inlineStr">
        <is>
          <t>FK</t>
        </is>
      </c>
      <c r="N74">
        <f t="array" ref="N74">IFERROR(INDEX('Kontoplan'!$H$3:$H$302,_xlfn.AGGREGATE(15,6,(ROW('Kontoplan'!$H$3:$H$302)-2)/((LEFT('Kontoplan'!$A$3:$A$302,1)&gt;="3")*('Kontoplan'!$A$3:$A$302&lt;&gt;"")*('Kontoplan'!$D$3:$D$302&lt;&gt;"Støttes ikke")),73)),"")</f>
        <v/>
      </c>
    </row>
    <row r="75">
      <c r="H75" t="inlineStr">
        <is>
          <t>FM</t>
        </is>
      </c>
      <c r="N75">
        <f t="array" ref="N75">IFERROR(INDEX('Kontoplan'!$H$3:$H$302,_xlfn.AGGREGATE(15,6,(ROW('Kontoplan'!$H$3:$H$302)-2)/((LEFT('Kontoplan'!$A$3:$A$302,1)&gt;="3")*('Kontoplan'!$A$3:$A$302&lt;&gt;"")*('Kontoplan'!$D$3:$D$302&lt;&gt;"Støttes ikke")),74)),"")</f>
        <v/>
      </c>
    </row>
    <row r="76">
      <c r="H76" t="inlineStr">
        <is>
          <t>FO</t>
        </is>
      </c>
      <c r="N76">
        <f t="array" ref="N76">IFERROR(INDEX('Kontoplan'!$H$3:$H$302,_xlfn.AGGREGATE(15,6,(ROW('Kontoplan'!$H$3:$H$302)-2)/((LEFT('Kontoplan'!$A$3:$A$302,1)&gt;="3")*('Kontoplan'!$A$3:$A$302&lt;&gt;"")*('Kontoplan'!$D$3:$D$302&lt;&gt;"Støttes ikke")),75)),"")</f>
        <v/>
      </c>
    </row>
    <row r="77">
      <c r="H77" t="inlineStr">
        <is>
          <t>FR</t>
        </is>
      </c>
      <c r="N77">
        <f t="array" ref="N77">IFERROR(INDEX('Kontoplan'!$H$3:$H$302,_xlfn.AGGREGATE(15,6,(ROW('Kontoplan'!$H$3:$H$302)-2)/((LEFT('Kontoplan'!$A$3:$A$302,1)&gt;="3")*('Kontoplan'!$A$3:$A$302&lt;&gt;"")*('Kontoplan'!$D$3:$D$302&lt;&gt;"Støttes ikke")),76)),"")</f>
        <v/>
      </c>
    </row>
    <row r="78">
      <c r="H78" t="inlineStr">
        <is>
          <t>GA</t>
        </is>
      </c>
      <c r="N78">
        <f t="array" ref="N78">IFERROR(INDEX('Kontoplan'!$H$3:$H$302,_xlfn.AGGREGATE(15,6,(ROW('Kontoplan'!$H$3:$H$302)-2)/((LEFT('Kontoplan'!$A$3:$A$302,1)&gt;="3")*('Kontoplan'!$A$3:$A$302&lt;&gt;"")*('Kontoplan'!$D$3:$D$302&lt;&gt;"Støttes ikke")),77)),"")</f>
        <v/>
      </c>
    </row>
    <row r="79">
      <c r="H79" t="inlineStr">
        <is>
          <t>GB</t>
        </is>
      </c>
      <c r="N79">
        <f t="array" ref="N79">IFERROR(INDEX('Kontoplan'!$H$3:$H$302,_xlfn.AGGREGATE(15,6,(ROW('Kontoplan'!$H$3:$H$302)-2)/((LEFT('Kontoplan'!$A$3:$A$302,1)&gt;="3")*('Kontoplan'!$A$3:$A$302&lt;&gt;"")*('Kontoplan'!$D$3:$D$302&lt;&gt;"Støttes ikke")),78)),"")</f>
        <v/>
      </c>
    </row>
    <row r="80">
      <c r="H80" t="inlineStr">
        <is>
          <t>GD</t>
        </is>
      </c>
      <c r="N80">
        <f t="array" ref="N80">IFERROR(INDEX('Kontoplan'!$H$3:$H$302,_xlfn.AGGREGATE(15,6,(ROW('Kontoplan'!$H$3:$H$302)-2)/((LEFT('Kontoplan'!$A$3:$A$302,1)&gt;="3")*('Kontoplan'!$A$3:$A$302&lt;&gt;"")*('Kontoplan'!$D$3:$D$302&lt;&gt;"Støttes ikke")),79)),"")</f>
        <v/>
      </c>
    </row>
    <row r="81">
      <c r="H81" t="inlineStr">
        <is>
          <t>GE</t>
        </is>
      </c>
      <c r="N81">
        <f t="array" ref="N81">IFERROR(INDEX('Kontoplan'!$H$3:$H$302,_xlfn.AGGREGATE(15,6,(ROW('Kontoplan'!$H$3:$H$302)-2)/((LEFT('Kontoplan'!$A$3:$A$302,1)&gt;="3")*('Kontoplan'!$A$3:$A$302&lt;&gt;"")*('Kontoplan'!$D$3:$D$302&lt;&gt;"Støttes ikke")),80)),"")</f>
        <v/>
      </c>
    </row>
    <row r="82">
      <c r="H82" t="inlineStr">
        <is>
          <t>GF</t>
        </is>
      </c>
      <c r="N82">
        <f t="array" ref="N82">IFERROR(INDEX('Kontoplan'!$H$3:$H$302,_xlfn.AGGREGATE(15,6,(ROW('Kontoplan'!$H$3:$H$302)-2)/((LEFT('Kontoplan'!$A$3:$A$302,1)&gt;="3")*('Kontoplan'!$A$3:$A$302&lt;&gt;"")*('Kontoplan'!$D$3:$D$302&lt;&gt;"Støttes ikke")),81)),"")</f>
        <v/>
      </c>
    </row>
    <row r="83">
      <c r="H83" t="inlineStr">
        <is>
          <t>GG</t>
        </is>
      </c>
      <c r="N83">
        <f t="array" ref="N83">IFERROR(INDEX('Kontoplan'!$H$3:$H$302,_xlfn.AGGREGATE(15,6,(ROW('Kontoplan'!$H$3:$H$302)-2)/((LEFT('Kontoplan'!$A$3:$A$302,1)&gt;="3")*('Kontoplan'!$A$3:$A$302&lt;&gt;"")*('Kontoplan'!$D$3:$D$302&lt;&gt;"Støttes ikke")),82)),"")</f>
        <v/>
      </c>
    </row>
    <row r="84">
      <c r="H84" t="inlineStr">
        <is>
          <t>GH</t>
        </is>
      </c>
      <c r="N84">
        <f t="array" ref="N84">IFERROR(INDEX('Kontoplan'!$H$3:$H$302,_xlfn.AGGREGATE(15,6,(ROW('Kontoplan'!$H$3:$H$302)-2)/((LEFT('Kontoplan'!$A$3:$A$302,1)&gt;="3")*('Kontoplan'!$A$3:$A$302&lt;&gt;"")*('Kontoplan'!$D$3:$D$302&lt;&gt;"Støttes ikke")),83)),"")</f>
        <v/>
      </c>
    </row>
    <row r="85">
      <c r="H85" t="inlineStr">
        <is>
          <t>GI</t>
        </is>
      </c>
      <c r="N85">
        <f t="array" ref="N85">IFERROR(INDEX('Kontoplan'!$H$3:$H$302,_xlfn.AGGREGATE(15,6,(ROW('Kontoplan'!$H$3:$H$302)-2)/((LEFT('Kontoplan'!$A$3:$A$302,1)&gt;="3")*('Kontoplan'!$A$3:$A$302&lt;&gt;"")*('Kontoplan'!$D$3:$D$302&lt;&gt;"Støttes ikke")),84)),"")</f>
        <v/>
      </c>
    </row>
    <row r="86">
      <c r="H86" t="inlineStr">
        <is>
          <t>GL</t>
        </is>
      </c>
      <c r="N86">
        <f t="array" ref="N86">IFERROR(INDEX('Kontoplan'!$H$3:$H$302,_xlfn.AGGREGATE(15,6,(ROW('Kontoplan'!$H$3:$H$302)-2)/((LEFT('Kontoplan'!$A$3:$A$302,1)&gt;="3")*('Kontoplan'!$A$3:$A$302&lt;&gt;"")*('Kontoplan'!$D$3:$D$302&lt;&gt;"Støttes ikke")),85)),"")</f>
        <v/>
      </c>
    </row>
    <row r="87">
      <c r="H87" t="inlineStr">
        <is>
          <t>GM</t>
        </is>
      </c>
      <c r="N87">
        <f t="array" ref="N87">IFERROR(INDEX('Kontoplan'!$H$3:$H$302,_xlfn.AGGREGATE(15,6,(ROW('Kontoplan'!$H$3:$H$302)-2)/((LEFT('Kontoplan'!$A$3:$A$302,1)&gt;="3")*('Kontoplan'!$A$3:$A$302&lt;&gt;"")*('Kontoplan'!$D$3:$D$302&lt;&gt;"Støttes ikke")),86)),"")</f>
        <v/>
      </c>
    </row>
    <row r="88">
      <c r="H88" t="inlineStr">
        <is>
          <t>GN</t>
        </is>
      </c>
      <c r="N88">
        <f t="array" ref="N88">IFERROR(INDEX('Kontoplan'!$H$3:$H$302,_xlfn.AGGREGATE(15,6,(ROW('Kontoplan'!$H$3:$H$302)-2)/((LEFT('Kontoplan'!$A$3:$A$302,1)&gt;="3")*('Kontoplan'!$A$3:$A$302&lt;&gt;"")*('Kontoplan'!$D$3:$D$302&lt;&gt;"Støttes ikke")),87)),"")</f>
        <v/>
      </c>
    </row>
    <row r="89">
      <c r="H89" t="inlineStr">
        <is>
          <t>GP</t>
        </is>
      </c>
      <c r="N89">
        <f t="array" ref="N89">IFERROR(INDEX('Kontoplan'!$H$3:$H$302,_xlfn.AGGREGATE(15,6,(ROW('Kontoplan'!$H$3:$H$302)-2)/((LEFT('Kontoplan'!$A$3:$A$302,1)&gt;="3")*('Kontoplan'!$A$3:$A$302&lt;&gt;"")*('Kontoplan'!$D$3:$D$302&lt;&gt;"Støttes ikke")),88)),"")</f>
        <v/>
      </c>
    </row>
    <row r="90">
      <c r="H90" t="inlineStr">
        <is>
          <t>GQ</t>
        </is>
      </c>
      <c r="N90">
        <f t="array" ref="N90">IFERROR(INDEX('Kontoplan'!$H$3:$H$302,_xlfn.AGGREGATE(15,6,(ROW('Kontoplan'!$H$3:$H$302)-2)/((LEFT('Kontoplan'!$A$3:$A$302,1)&gt;="3")*('Kontoplan'!$A$3:$A$302&lt;&gt;"")*('Kontoplan'!$D$3:$D$302&lt;&gt;"Støttes ikke")),89)),"")</f>
        <v/>
      </c>
    </row>
    <row r="91">
      <c r="H91" t="inlineStr">
        <is>
          <t>GR</t>
        </is>
      </c>
      <c r="N91">
        <f t="array" ref="N91">IFERROR(INDEX('Kontoplan'!$H$3:$H$302,_xlfn.AGGREGATE(15,6,(ROW('Kontoplan'!$H$3:$H$302)-2)/((LEFT('Kontoplan'!$A$3:$A$302,1)&gt;="3")*('Kontoplan'!$A$3:$A$302&lt;&gt;"")*('Kontoplan'!$D$3:$D$302&lt;&gt;"Støttes ikke")),90)),"")</f>
        <v/>
      </c>
    </row>
    <row r="92">
      <c r="H92" t="inlineStr">
        <is>
          <t>GS</t>
        </is>
      </c>
      <c r="N92">
        <f t="array" ref="N92">IFERROR(INDEX('Kontoplan'!$H$3:$H$302,_xlfn.AGGREGATE(15,6,(ROW('Kontoplan'!$H$3:$H$302)-2)/((LEFT('Kontoplan'!$A$3:$A$302,1)&gt;="3")*('Kontoplan'!$A$3:$A$302&lt;&gt;"")*('Kontoplan'!$D$3:$D$302&lt;&gt;"Støttes ikke")),91)),"")</f>
        <v/>
      </c>
    </row>
    <row r="93">
      <c r="H93" t="inlineStr">
        <is>
          <t>GT</t>
        </is>
      </c>
      <c r="N93">
        <f t="array" ref="N93">IFERROR(INDEX('Kontoplan'!$H$3:$H$302,_xlfn.AGGREGATE(15,6,(ROW('Kontoplan'!$H$3:$H$302)-2)/((LEFT('Kontoplan'!$A$3:$A$302,1)&gt;="3")*('Kontoplan'!$A$3:$A$302&lt;&gt;"")*('Kontoplan'!$D$3:$D$302&lt;&gt;"Støttes ikke")),92)),"")</f>
        <v/>
      </c>
    </row>
    <row r="94">
      <c r="H94" t="inlineStr">
        <is>
          <t>GU</t>
        </is>
      </c>
      <c r="N94">
        <f t="array" ref="N94">IFERROR(INDEX('Kontoplan'!$H$3:$H$302,_xlfn.AGGREGATE(15,6,(ROW('Kontoplan'!$H$3:$H$302)-2)/((LEFT('Kontoplan'!$A$3:$A$302,1)&gt;="3")*('Kontoplan'!$A$3:$A$302&lt;&gt;"")*('Kontoplan'!$D$3:$D$302&lt;&gt;"Støttes ikke")),93)),"")</f>
        <v/>
      </c>
    </row>
    <row r="95">
      <c r="H95" t="inlineStr">
        <is>
          <t>GW</t>
        </is>
      </c>
      <c r="N95">
        <f t="array" ref="N95">IFERROR(INDEX('Kontoplan'!$H$3:$H$302,_xlfn.AGGREGATE(15,6,(ROW('Kontoplan'!$H$3:$H$302)-2)/((LEFT('Kontoplan'!$A$3:$A$302,1)&gt;="3")*('Kontoplan'!$A$3:$A$302&lt;&gt;"")*('Kontoplan'!$D$3:$D$302&lt;&gt;"Støttes ikke")),94)),"")</f>
        <v/>
      </c>
    </row>
    <row r="96">
      <c r="H96" t="inlineStr">
        <is>
          <t>GY</t>
        </is>
      </c>
      <c r="N96">
        <f t="array" ref="N96">IFERROR(INDEX('Kontoplan'!$H$3:$H$302,_xlfn.AGGREGATE(15,6,(ROW('Kontoplan'!$H$3:$H$302)-2)/((LEFT('Kontoplan'!$A$3:$A$302,1)&gt;="3")*('Kontoplan'!$A$3:$A$302&lt;&gt;"")*('Kontoplan'!$D$3:$D$302&lt;&gt;"Støttes ikke")),95)),"")</f>
        <v/>
      </c>
    </row>
    <row r="97">
      <c r="H97" t="inlineStr">
        <is>
          <t>HK</t>
        </is>
      </c>
      <c r="N97">
        <f t="array" ref="N97">IFERROR(INDEX('Kontoplan'!$H$3:$H$302,_xlfn.AGGREGATE(15,6,(ROW('Kontoplan'!$H$3:$H$302)-2)/((LEFT('Kontoplan'!$A$3:$A$302,1)&gt;="3")*('Kontoplan'!$A$3:$A$302&lt;&gt;"")*('Kontoplan'!$D$3:$D$302&lt;&gt;"Støttes ikke")),96)),"")</f>
        <v/>
      </c>
    </row>
    <row r="98">
      <c r="H98" t="inlineStr">
        <is>
          <t>HM</t>
        </is>
      </c>
      <c r="N98">
        <f t="array" ref="N98">IFERROR(INDEX('Kontoplan'!$H$3:$H$302,_xlfn.AGGREGATE(15,6,(ROW('Kontoplan'!$H$3:$H$302)-2)/((LEFT('Kontoplan'!$A$3:$A$302,1)&gt;="3")*('Kontoplan'!$A$3:$A$302&lt;&gt;"")*('Kontoplan'!$D$3:$D$302&lt;&gt;"Støttes ikke")),97)),"")</f>
        <v/>
      </c>
    </row>
    <row r="99">
      <c r="H99" t="inlineStr">
        <is>
          <t>HN</t>
        </is>
      </c>
      <c r="N99">
        <f t="array" ref="N99">IFERROR(INDEX('Kontoplan'!$H$3:$H$302,_xlfn.AGGREGATE(15,6,(ROW('Kontoplan'!$H$3:$H$302)-2)/((LEFT('Kontoplan'!$A$3:$A$302,1)&gt;="3")*('Kontoplan'!$A$3:$A$302&lt;&gt;"")*('Kontoplan'!$D$3:$D$302&lt;&gt;"Støttes ikke")),98)),"")</f>
        <v/>
      </c>
    </row>
    <row r="100">
      <c r="H100" t="inlineStr">
        <is>
          <t>HR</t>
        </is>
      </c>
      <c r="N100">
        <f t="array" ref="N100">IFERROR(INDEX('Kontoplan'!$H$3:$H$302,_xlfn.AGGREGATE(15,6,(ROW('Kontoplan'!$H$3:$H$302)-2)/((LEFT('Kontoplan'!$A$3:$A$302,1)&gt;="3")*('Kontoplan'!$A$3:$A$302&lt;&gt;"")*('Kontoplan'!$D$3:$D$302&lt;&gt;"Støttes ikke")),99)),"")</f>
        <v/>
      </c>
    </row>
    <row r="101">
      <c r="H101" t="inlineStr">
        <is>
          <t>HT</t>
        </is>
      </c>
      <c r="N101">
        <f t="array" ref="N101">IFERROR(INDEX('Kontoplan'!$H$3:$H$302,_xlfn.AGGREGATE(15,6,(ROW('Kontoplan'!$H$3:$H$302)-2)/((LEFT('Kontoplan'!$A$3:$A$302,1)&gt;="3")*('Kontoplan'!$A$3:$A$302&lt;&gt;"")*('Kontoplan'!$D$3:$D$302&lt;&gt;"Støttes ikke")),100)),"")</f>
        <v/>
      </c>
    </row>
    <row r="102">
      <c r="H102" t="inlineStr">
        <is>
          <t>HU</t>
        </is>
      </c>
      <c r="N102">
        <f t="array" ref="N102">IFERROR(INDEX('Kontoplan'!$H$3:$H$302,_xlfn.AGGREGATE(15,6,(ROW('Kontoplan'!$H$3:$H$302)-2)/((LEFT('Kontoplan'!$A$3:$A$302,1)&gt;="3")*('Kontoplan'!$A$3:$A$302&lt;&gt;"")*('Kontoplan'!$D$3:$D$302&lt;&gt;"Støttes ikke")),101)),"")</f>
        <v/>
      </c>
    </row>
    <row r="103">
      <c r="H103" t="inlineStr">
        <is>
          <t>ID</t>
        </is>
      </c>
      <c r="N103">
        <f t="array" ref="N103">IFERROR(INDEX('Kontoplan'!$H$3:$H$302,_xlfn.AGGREGATE(15,6,(ROW('Kontoplan'!$H$3:$H$302)-2)/((LEFT('Kontoplan'!$A$3:$A$302,1)&gt;="3")*('Kontoplan'!$A$3:$A$302&lt;&gt;"")*('Kontoplan'!$D$3:$D$302&lt;&gt;"Støttes ikke")),102)),"")</f>
        <v/>
      </c>
    </row>
    <row r="104">
      <c r="H104" t="inlineStr">
        <is>
          <t>IE</t>
        </is>
      </c>
      <c r="N104">
        <f t="array" ref="N104">IFERROR(INDEX('Kontoplan'!$H$3:$H$302,_xlfn.AGGREGATE(15,6,(ROW('Kontoplan'!$H$3:$H$302)-2)/((LEFT('Kontoplan'!$A$3:$A$302,1)&gt;="3")*('Kontoplan'!$A$3:$A$302&lt;&gt;"")*('Kontoplan'!$D$3:$D$302&lt;&gt;"Støttes ikke")),103)),"")</f>
        <v/>
      </c>
    </row>
    <row r="105">
      <c r="H105" t="inlineStr">
        <is>
          <t>IL</t>
        </is>
      </c>
      <c r="N105">
        <f t="array" ref="N105">IFERROR(INDEX('Kontoplan'!$H$3:$H$302,_xlfn.AGGREGATE(15,6,(ROW('Kontoplan'!$H$3:$H$302)-2)/((LEFT('Kontoplan'!$A$3:$A$302,1)&gt;="3")*('Kontoplan'!$A$3:$A$302&lt;&gt;"")*('Kontoplan'!$D$3:$D$302&lt;&gt;"Støttes ikke")),104)),"")</f>
        <v/>
      </c>
    </row>
    <row r="106">
      <c r="H106" t="inlineStr">
        <is>
          <t>IM</t>
        </is>
      </c>
      <c r="N106">
        <f t="array" ref="N106">IFERROR(INDEX('Kontoplan'!$H$3:$H$302,_xlfn.AGGREGATE(15,6,(ROW('Kontoplan'!$H$3:$H$302)-2)/((LEFT('Kontoplan'!$A$3:$A$302,1)&gt;="3")*('Kontoplan'!$A$3:$A$302&lt;&gt;"")*('Kontoplan'!$D$3:$D$302&lt;&gt;"Støttes ikke")),105)),"")</f>
        <v/>
      </c>
    </row>
    <row r="107">
      <c r="H107" t="inlineStr">
        <is>
          <t>IN</t>
        </is>
      </c>
      <c r="N107">
        <f t="array" ref="N107">IFERROR(INDEX('Kontoplan'!$H$3:$H$302,_xlfn.AGGREGATE(15,6,(ROW('Kontoplan'!$H$3:$H$302)-2)/((LEFT('Kontoplan'!$A$3:$A$302,1)&gt;="3")*('Kontoplan'!$A$3:$A$302&lt;&gt;"")*('Kontoplan'!$D$3:$D$302&lt;&gt;"Støttes ikke")),106)),"")</f>
        <v/>
      </c>
    </row>
    <row r="108">
      <c r="H108" t="inlineStr">
        <is>
          <t>IO</t>
        </is>
      </c>
      <c r="N108">
        <f t="array" ref="N108">IFERROR(INDEX('Kontoplan'!$H$3:$H$302,_xlfn.AGGREGATE(15,6,(ROW('Kontoplan'!$H$3:$H$302)-2)/((LEFT('Kontoplan'!$A$3:$A$302,1)&gt;="3")*('Kontoplan'!$A$3:$A$302&lt;&gt;"")*('Kontoplan'!$D$3:$D$302&lt;&gt;"Støttes ikke")),107)),"")</f>
        <v/>
      </c>
    </row>
    <row r="109">
      <c r="H109" t="inlineStr">
        <is>
          <t>IQ</t>
        </is>
      </c>
      <c r="N109">
        <f t="array" ref="N109">IFERROR(INDEX('Kontoplan'!$H$3:$H$302,_xlfn.AGGREGATE(15,6,(ROW('Kontoplan'!$H$3:$H$302)-2)/((LEFT('Kontoplan'!$A$3:$A$302,1)&gt;="3")*('Kontoplan'!$A$3:$A$302&lt;&gt;"")*('Kontoplan'!$D$3:$D$302&lt;&gt;"Støttes ikke")),108)),"")</f>
        <v/>
      </c>
    </row>
    <row r="110">
      <c r="H110" t="inlineStr">
        <is>
          <t>IR</t>
        </is>
      </c>
      <c r="N110">
        <f t="array" ref="N110">IFERROR(INDEX('Kontoplan'!$H$3:$H$302,_xlfn.AGGREGATE(15,6,(ROW('Kontoplan'!$H$3:$H$302)-2)/((LEFT('Kontoplan'!$A$3:$A$302,1)&gt;="3")*('Kontoplan'!$A$3:$A$302&lt;&gt;"")*('Kontoplan'!$D$3:$D$302&lt;&gt;"Støttes ikke")),109)),"")</f>
        <v/>
      </c>
    </row>
    <row r="111">
      <c r="H111" t="inlineStr">
        <is>
          <t>IS</t>
        </is>
      </c>
      <c r="N111">
        <f t="array" ref="N111">IFERROR(INDEX('Kontoplan'!$H$3:$H$302,_xlfn.AGGREGATE(15,6,(ROW('Kontoplan'!$H$3:$H$302)-2)/((LEFT('Kontoplan'!$A$3:$A$302,1)&gt;="3")*('Kontoplan'!$A$3:$A$302&lt;&gt;"")*('Kontoplan'!$D$3:$D$302&lt;&gt;"Støttes ikke")),110)),"")</f>
        <v/>
      </c>
    </row>
    <row r="112">
      <c r="H112" t="inlineStr">
        <is>
          <t>IT</t>
        </is>
      </c>
      <c r="N112">
        <f t="array" ref="N112">IFERROR(INDEX('Kontoplan'!$H$3:$H$302,_xlfn.AGGREGATE(15,6,(ROW('Kontoplan'!$H$3:$H$302)-2)/((LEFT('Kontoplan'!$A$3:$A$302,1)&gt;="3")*('Kontoplan'!$A$3:$A$302&lt;&gt;"")*('Kontoplan'!$D$3:$D$302&lt;&gt;"Støttes ikke")),111)),"")</f>
        <v/>
      </c>
    </row>
    <row r="113">
      <c r="H113" t="inlineStr">
        <is>
          <t>JE</t>
        </is>
      </c>
      <c r="N113">
        <f t="array" ref="N113">IFERROR(INDEX('Kontoplan'!$H$3:$H$302,_xlfn.AGGREGATE(15,6,(ROW('Kontoplan'!$H$3:$H$302)-2)/((LEFT('Kontoplan'!$A$3:$A$302,1)&gt;="3")*('Kontoplan'!$A$3:$A$302&lt;&gt;"")*('Kontoplan'!$D$3:$D$302&lt;&gt;"Støttes ikke")),112)),"")</f>
        <v/>
      </c>
    </row>
    <row r="114">
      <c r="H114" t="inlineStr">
        <is>
          <t>JM</t>
        </is>
      </c>
      <c r="N114">
        <f t="array" ref="N114">IFERROR(INDEX('Kontoplan'!$H$3:$H$302,_xlfn.AGGREGATE(15,6,(ROW('Kontoplan'!$H$3:$H$302)-2)/((LEFT('Kontoplan'!$A$3:$A$302,1)&gt;="3")*('Kontoplan'!$A$3:$A$302&lt;&gt;"")*('Kontoplan'!$D$3:$D$302&lt;&gt;"Støttes ikke")),113)),"")</f>
        <v/>
      </c>
    </row>
    <row r="115">
      <c r="H115" t="inlineStr">
        <is>
          <t>JO</t>
        </is>
      </c>
      <c r="N115">
        <f t="array" ref="N115">IFERROR(INDEX('Kontoplan'!$H$3:$H$302,_xlfn.AGGREGATE(15,6,(ROW('Kontoplan'!$H$3:$H$302)-2)/((LEFT('Kontoplan'!$A$3:$A$302,1)&gt;="3")*('Kontoplan'!$A$3:$A$302&lt;&gt;"")*('Kontoplan'!$D$3:$D$302&lt;&gt;"Støttes ikke")),114)),"")</f>
        <v/>
      </c>
    </row>
    <row r="116">
      <c r="H116" t="inlineStr">
        <is>
          <t>JP</t>
        </is>
      </c>
      <c r="N116">
        <f t="array" ref="N116">IFERROR(INDEX('Kontoplan'!$H$3:$H$302,_xlfn.AGGREGATE(15,6,(ROW('Kontoplan'!$H$3:$H$302)-2)/((LEFT('Kontoplan'!$A$3:$A$302,1)&gt;="3")*('Kontoplan'!$A$3:$A$302&lt;&gt;"")*('Kontoplan'!$D$3:$D$302&lt;&gt;"Støttes ikke")),115)),"")</f>
        <v/>
      </c>
    </row>
    <row r="117">
      <c r="H117" t="inlineStr">
        <is>
          <t>KE</t>
        </is>
      </c>
      <c r="N117">
        <f t="array" ref="N117">IFERROR(INDEX('Kontoplan'!$H$3:$H$302,_xlfn.AGGREGATE(15,6,(ROW('Kontoplan'!$H$3:$H$302)-2)/((LEFT('Kontoplan'!$A$3:$A$302,1)&gt;="3")*('Kontoplan'!$A$3:$A$302&lt;&gt;"")*('Kontoplan'!$D$3:$D$302&lt;&gt;"Støttes ikke")),116)),"")</f>
        <v/>
      </c>
    </row>
    <row r="118">
      <c r="H118" t="inlineStr">
        <is>
          <t>KG</t>
        </is>
      </c>
      <c r="N118">
        <f t="array" ref="N118">IFERROR(INDEX('Kontoplan'!$H$3:$H$302,_xlfn.AGGREGATE(15,6,(ROW('Kontoplan'!$H$3:$H$302)-2)/((LEFT('Kontoplan'!$A$3:$A$302,1)&gt;="3")*('Kontoplan'!$A$3:$A$302&lt;&gt;"")*('Kontoplan'!$D$3:$D$302&lt;&gt;"Støttes ikke")),117)),"")</f>
        <v/>
      </c>
    </row>
    <row r="119">
      <c r="H119" t="inlineStr">
        <is>
          <t>KH</t>
        </is>
      </c>
      <c r="N119">
        <f t="array" ref="N119">IFERROR(INDEX('Kontoplan'!$H$3:$H$302,_xlfn.AGGREGATE(15,6,(ROW('Kontoplan'!$H$3:$H$302)-2)/((LEFT('Kontoplan'!$A$3:$A$302,1)&gt;="3")*('Kontoplan'!$A$3:$A$302&lt;&gt;"")*('Kontoplan'!$D$3:$D$302&lt;&gt;"Støttes ikke")),118)),"")</f>
        <v/>
      </c>
    </row>
    <row r="120">
      <c r="H120" t="inlineStr">
        <is>
          <t>KI</t>
        </is>
      </c>
      <c r="N120">
        <f t="array" ref="N120">IFERROR(INDEX('Kontoplan'!$H$3:$H$302,_xlfn.AGGREGATE(15,6,(ROW('Kontoplan'!$H$3:$H$302)-2)/((LEFT('Kontoplan'!$A$3:$A$302,1)&gt;="3")*('Kontoplan'!$A$3:$A$302&lt;&gt;"")*('Kontoplan'!$D$3:$D$302&lt;&gt;"Støttes ikke")),119)),"")</f>
        <v/>
      </c>
    </row>
    <row r="121">
      <c r="H121" t="inlineStr">
        <is>
          <t>KM</t>
        </is>
      </c>
      <c r="N121">
        <f t="array" ref="N121">IFERROR(INDEX('Kontoplan'!$H$3:$H$302,_xlfn.AGGREGATE(15,6,(ROW('Kontoplan'!$H$3:$H$302)-2)/((LEFT('Kontoplan'!$A$3:$A$302,1)&gt;="3")*('Kontoplan'!$A$3:$A$302&lt;&gt;"")*('Kontoplan'!$D$3:$D$302&lt;&gt;"Støttes ikke")),120)),"")</f>
        <v/>
      </c>
    </row>
    <row r="122">
      <c r="H122" t="inlineStr">
        <is>
          <t>KN</t>
        </is>
      </c>
      <c r="N122">
        <f t="array" ref="N122">IFERROR(INDEX('Kontoplan'!$H$3:$H$302,_xlfn.AGGREGATE(15,6,(ROW('Kontoplan'!$H$3:$H$302)-2)/((LEFT('Kontoplan'!$A$3:$A$302,1)&gt;="3")*('Kontoplan'!$A$3:$A$302&lt;&gt;"")*('Kontoplan'!$D$3:$D$302&lt;&gt;"Støttes ikke")),121)),"")</f>
        <v/>
      </c>
    </row>
    <row r="123">
      <c r="H123" t="inlineStr">
        <is>
          <t>KP</t>
        </is>
      </c>
      <c r="N123">
        <f t="array" ref="N123">IFERROR(INDEX('Kontoplan'!$H$3:$H$302,_xlfn.AGGREGATE(15,6,(ROW('Kontoplan'!$H$3:$H$302)-2)/((LEFT('Kontoplan'!$A$3:$A$302,1)&gt;="3")*('Kontoplan'!$A$3:$A$302&lt;&gt;"")*('Kontoplan'!$D$3:$D$302&lt;&gt;"Støttes ikke")),122)),"")</f>
        <v/>
      </c>
    </row>
    <row r="124">
      <c r="H124" t="inlineStr">
        <is>
          <t>KR</t>
        </is>
      </c>
      <c r="N124">
        <f t="array" ref="N124">IFERROR(INDEX('Kontoplan'!$H$3:$H$302,_xlfn.AGGREGATE(15,6,(ROW('Kontoplan'!$H$3:$H$302)-2)/((LEFT('Kontoplan'!$A$3:$A$302,1)&gt;="3")*('Kontoplan'!$A$3:$A$302&lt;&gt;"")*('Kontoplan'!$D$3:$D$302&lt;&gt;"Støttes ikke")),123)),"")</f>
        <v/>
      </c>
    </row>
    <row r="125">
      <c r="H125" t="inlineStr">
        <is>
          <t>KW</t>
        </is>
      </c>
      <c r="N125">
        <f t="array" ref="N125">IFERROR(INDEX('Kontoplan'!$H$3:$H$302,_xlfn.AGGREGATE(15,6,(ROW('Kontoplan'!$H$3:$H$302)-2)/((LEFT('Kontoplan'!$A$3:$A$302,1)&gt;="3")*('Kontoplan'!$A$3:$A$302&lt;&gt;"")*('Kontoplan'!$D$3:$D$302&lt;&gt;"Støttes ikke")),124)),"")</f>
        <v/>
      </c>
    </row>
    <row r="126">
      <c r="H126" t="inlineStr">
        <is>
          <t>KY</t>
        </is>
      </c>
      <c r="N126">
        <f t="array" ref="N126">IFERROR(INDEX('Kontoplan'!$H$3:$H$302,_xlfn.AGGREGATE(15,6,(ROW('Kontoplan'!$H$3:$H$302)-2)/((LEFT('Kontoplan'!$A$3:$A$302,1)&gt;="3")*('Kontoplan'!$A$3:$A$302&lt;&gt;"")*('Kontoplan'!$D$3:$D$302&lt;&gt;"Støttes ikke")),125)),"")</f>
        <v/>
      </c>
    </row>
    <row r="127">
      <c r="H127" t="inlineStr">
        <is>
          <t>KZ</t>
        </is>
      </c>
      <c r="N127">
        <f t="array" ref="N127">IFERROR(INDEX('Kontoplan'!$H$3:$H$302,_xlfn.AGGREGATE(15,6,(ROW('Kontoplan'!$H$3:$H$302)-2)/((LEFT('Kontoplan'!$A$3:$A$302,1)&gt;="3")*('Kontoplan'!$A$3:$A$302&lt;&gt;"")*('Kontoplan'!$D$3:$D$302&lt;&gt;"Støttes ikke")),126)),"")</f>
        <v/>
      </c>
    </row>
    <row r="128">
      <c r="H128" t="inlineStr">
        <is>
          <t>LA</t>
        </is>
      </c>
      <c r="N128">
        <f t="array" ref="N128">IFERROR(INDEX('Kontoplan'!$H$3:$H$302,_xlfn.AGGREGATE(15,6,(ROW('Kontoplan'!$H$3:$H$302)-2)/((LEFT('Kontoplan'!$A$3:$A$302,1)&gt;="3")*('Kontoplan'!$A$3:$A$302&lt;&gt;"")*('Kontoplan'!$D$3:$D$302&lt;&gt;"Støttes ikke")),127)),"")</f>
        <v/>
      </c>
    </row>
    <row r="129">
      <c r="H129" t="inlineStr">
        <is>
          <t>LB</t>
        </is>
      </c>
      <c r="N129">
        <f t="array" ref="N129">IFERROR(INDEX('Kontoplan'!$H$3:$H$302,_xlfn.AGGREGATE(15,6,(ROW('Kontoplan'!$H$3:$H$302)-2)/((LEFT('Kontoplan'!$A$3:$A$302,1)&gt;="3")*('Kontoplan'!$A$3:$A$302&lt;&gt;"")*('Kontoplan'!$D$3:$D$302&lt;&gt;"Støttes ikke")),128)),"")</f>
        <v/>
      </c>
    </row>
    <row r="130">
      <c r="H130" t="inlineStr">
        <is>
          <t>LC</t>
        </is>
      </c>
      <c r="N130">
        <f t="array" ref="N130">IFERROR(INDEX('Kontoplan'!$H$3:$H$302,_xlfn.AGGREGATE(15,6,(ROW('Kontoplan'!$H$3:$H$302)-2)/((LEFT('Kontoplan'!$A$3:$A$302,1)&gt;="3")*('Kontoplan'!$A$3:$A$302&lt;&gt;"")*('Kontoplan'!$D$3:$D$302&lt;&gt;"Støttes ikke")),129)),"")</f>
        <v/>
      </c>
    </row>
    <row r="131">
      <c r="H131" t="inlineStr">
        <is>
          <t>LI</t>
        </is>
      </c>
      <c r="N131">
        <f t="array" ref="N131">IFERROR(INDEX('Kontoplan'!$H$3:$H$302,_xlfn.AGGREGATE(15,6,(ROW('Kontoplan'!$H$3:$H$302)-2)/((LEFT('Kontoplan'!$A$3:$A$302,1)&gt;="3")*('Kontoplan'!$A$3:$A$302&lt;&gt;"")*('Kontoplan'!$D$3:$D$302&lt;&gt;"Støttes ikke")),130)),"")</f>
        <v/>
      </c>
    </row>
    <row r="132">
      <c r="H132" t="inlineStr">
        <is>
          <t>LK</t>
        </is>
      </c>
      <c r="N132">
        <f t="array" ref="N132">IFERROR(INDEX('Kontoplan'!$H$3:$H$302,_xlfn.AGGREGATE(15,6,(ROW('Kontoplan'!$H$3:$H$302)-2)/((LEFT('Kontoplan'!$A$3:$A$302,1)&gt;="3")*('Kontoplan'!$A$3:$A$302&lt;&gt;"")*('Kontoplan'!$D$3:$D$302&lt;&gt;"Støttes ikke")),131)),"")</f>
        <v/>
      </c>
    </row>
    <row r="133">
      <c r="H133" t="inlineStr">
        <is>
          <t>LR</t>
        </is>
      </c>
      <c r="N133">
        <f t="array" ref="N133">IFERROR(INDEX('Kontoplan'!$H$3:$H$302,_xlfn.AGGREGATE(15,6,(ROW('Kontoplan'!$H$3:$H$302)-2)/((LEFT('Kontoplan'!$A$3:$A$302,1)&gt;="3")*('Kontoplan'!$A$3:$A$302&lt;&gt;"")*('Kontoplan'!$D$3:$D$302&lt;&gt;"Støttes ikke")),132)),"")</f>
        <v/>
      </c>
    </row>
    <row r="134">
      <c r="H134" t="inlineStr">
        <is>
          <t>LS</t>
        </is>
      </c>
      <c r="N134">
        <f t="array" ref="N134">IFERROR(INDEX('Kontoplan'!$H$3:$H$302,_xlfn.AGGREGATE(15,6,(ROW('Kontoplan'!$H$3:$H$302)-2)/((LEFT('Kontoplan'!$A$3:$A$302,1)&gt;="3")*('Kontoplan'!$A$3:$A$302&lt;&gt;"")*('Kontoplan'!$D$3:$D$302&lt;&gt;"Støttes ikke")),133)),"")</f>
        <v/>
      </c>
    </row>
    <row r="135">
      <c r="H135" t="inlineStr">
        <is>
          <t>LT</t>
        </is>
      </c>
      <c r="N135">
        <f t="array" ref="N135">IFERROR(INDEX('Kontoplan'!$H$3:$H$302,_xlfn.AGGREGATE(15,6,(ROW('Kontoplan'!$H$3:$H$302)-2)/((LEFT('Kontoplan'!$A$3:$A$302,1)&gt;="3")*('Kontoplan'!$A$3:$A$302&lt;&gt;"")*('Kontoplan'!$D$3:$D$302&lt;&gt;"Støttes ikke")),134)),"")</f>
        <v/>
      </c>
    </row>
    <row r="136">
      <c r="H136" t="inlineStr">
        <is>
          <t>LU</t>
        </is>
      </c>
      <c r="N136">
        <f t="array" ref="N136">IFERROR(INDEX('Kontoplan'!$H$3:$H$302,_xlfn.AGGREGATE(15,6,(ROW('Kontoplan'!$H$3:$H$302)-2)/((LEFT('Kontoplan'!$A$3:$A$302,1)&gt;="3")*('Kontoplan'!$A$3:$A$302&lt;&gt;"")*('Kontoplan'!$D$3:$D$302&lt;&gt;"Støttes ikke")),135)),"")</f>
        <v/>
      </c>
    </row>
    <row r="137">
      <c r="H137" t="inlineStr">
        <is>
          <t>LV</t>
        </is>
      </c>
      <c r="N137">
        <f t="array" ref="N137">IFERROR(INDEX('Kontoplan'!$H$3:$H$302,_xlfn.AGGREGATE(15,6,(ROW('Kontoplan'!$H$3:$H$302)-2)/((LEFT('Kontoplan'!$A$3:$A$302,1)&gt;="3")*('Kontoplan'!$A$3:$A$302&lt;&gt;"")*('Kontoplan'!$D$3:$D$302&lt;&gt;"Støttes ikke")),136)),"")</f>
        <v/>
      </c>
    </row>
    <row r="138">
      <c r="H138" t="inlineStr">
        <is>
          <t>LY</t>
        </is>
      </c>
      <c r="N138">
        <f t="array" ref="N138">IFERROR(INDEX('Kontoplan'!$H$3:$H$302,_xlfn.AGGREGATE(15,6,(ROW('Kontoplan'!$H$3:$H$302)-2)/((LEFT('Kontoplan'!$A$3:$A$302,1)&gt;="3")*('Kontoplan'!$A$3:$A$302&lt;&gt;"")*('Kontoplan'!$D$3:$D$302&lt;&gt;"Støttes ikke")),137)),"")</f>
        <v/>
      </c>
    </row>
    <row r="139">
      <c r="H139" t="inlineStr">
        <is>
          <t>MA</t>
        </is>
      </c>
      <c r="N139">
        <f t="array" ref="N139">IFERROR(INDEX('Kontoplan'!$H$3:$H$302,_xlfn.AGGREGATE(15,6,(ROW('Kontoplan'!$H$3:$H$302)-2)/((LEFT('Kontoplan'!$A$3:$A$302,1)&gt;="3")*('Kontoplan'!$A$3:$A$302&lt;&gt;"")*('Kontoplan'!$D$3:$D$302&lt;&gt;"Støttes ikke")),138)),"")</f>
        <v/>
      </c>
    </row>
    <row r="140">
      <c r="H140" t="inlineStr">
        <is>
          <t>MC</t>
        </is>
      </c>
      <c r="N140">
        <f t="array" ref="N140">IFERROR(INDEX('Kontoplan'!$H$3:$H$302,_xlfn.AGGREGATE(15,6,(ROW('Kontoplan'!$H$3:$H$302)-2)/((LEFT('Kontoplan'!$A$3:$A$302,1)&gt;="3")*('Kontoplan'!$A$3:$A$302&lt;&gt;"")*('Kontoplan'!$D$3:$D$302&lt;&gt;"Støttes ikke")),139)),"")</f>
        <v/>
      </c>
    </row>
    <row r="141">
      <c r="H141" t="inlineStr">
        <is>
          <t>MD</t>
        </is>
      </c>
      <c r="N141">
        <f t="array" ref="N141">IFERROR(INDEX('Kontoplan'!$H$3:$H$302,_xlfn.AGGREGATE(15,6,(ROW('Kontoplan'!$H$3:$H$302)-2)/((LEFT('Kontoplan'!$A$3:$A$302,1)&gt;="3")*('Kontoplan'!$A$3:$A$302&lt;&gt;"")*('Kontoplan'!$D$3:$D$302&lt;&gt;"Støttes ikke")),140)),"")</f>
        <v/>
      </c>
    </row>
    <row r="142">
      <c r="H142" t="inlineStr">
        <is>
          <t>ME</t>
        </is>
      </c>
      <c r="N142">
        <f t="array" ref="N142">IFERROR(INDEX('Kontoplan'!$H$3:$H$302,_xlfn.AGGREGATE(15,6,(ROW('Kontoplan'!$H$3:$H$302)-2)/((LEFT('Kontoplan'!$A$3:$A$302,1)&gt;="3")*('Kontoplan'!$A$3:$A$302&lt;&gt;"")*('Kontoplan'!$D$3:$D$302&lt;&gt;"Støttes ikke")),141)),"")</f>
        <v/>
      </c>
    </row>
    <row r="143">
      <c r="H143" t="inlineStr">
        <is>
          <t>MF</t>
        </is>
      </c>
      <c r="N143">
        <f t="array" ref="N143">IFERROR(INDEX('Kontoplan'!$H$3:$H$302,_xlfn.AGGREGATE(15,6,(ROW('Kontoplan'!$H$3:$H$302)-2)/((LEFT('Kontoplan'!$A$3:$A$302,1)&gt;="3")*('Kontoplan'!$A$3:$A$302&lt;&gt;"")*('Kontoplan'!$D$3:$D$302&lt;&gt;"Støttes ikke")),142)),"")</f>
        <v/>
      </c>
    </row>
    <row r="144">
      <c r="H144" t="inlineStr">
        <is>
          <t>MG</t>
        </is>
      </c>
      <c r="N144">
        <f t="array" ref="N144">IFERROR(INDEX('Kontoplan'!$H$3:$H$302,_xlfn.AGGREGATE(15,6,(ROW('Kontoplan'!$H$3:$H$302)-2)/((LEFT('Kontoplan'!$A$3:$A$302,1)&gt;="3")*('Kontoplan'!$A$3:$A$302&lt;&gt;"")*('Kontoplan'!$D$3:$D$302&lt;&gt;"Støttes ikke")),143)),"")</f>
        <v/>
      </c>
    </row>
    <row r="145">
      <c r="H145" t="inlineStr">
        <is>
          <t>MH</t>
        </is>
      </c>
      <c r="N145">
        <f t="array" ref="N145">IFERROR(INDEX('Kontoplan'!$H$3:$H$302,_xlfn.AGGREGATE(15,6,(ROW('Kontoplan'!$H$3:$H$302)-2)/((LEFT('Kontoplan'!$A$3:$A$302,1)&gt;="3")*('Kontoplan'!$A$3:$A$302&lt;&gt;"")*('Kontoplan'!$D$3:$D$302&lt;&gt;"Støttes ikke")),144)),"")</f>
        <v/>
      </c>
    </row>
    <row r="146">
      <c r="H146" t="inlineStr">
        <is>
          <t>MK</t>
        </is>
      </c>
      <c r="N146">
        <f t="array" ref="N146">IFERROR(INDEX('Kontoplan'!$H$3:$H$302,_xlfn.AGGREGATE(15,6,(ROW('Kontoplan'!$H$3:$H$302)-2)/((LEFT('Kontoplan'!$A$3:$A$302,1)&gt;="3")*('Kontoplan'!$A$3:$A$302&lt;&gt;"")*('Kontoplan'!$D$3:$D$302&lt;&gt;"Støttes ikke")),145)),"")</f>
        <v/>
      </c>
    </row>
    <row r="147">
      <c r="H147" t="inlineStr">
        <is>
          <t>ML</t>
        </is>
      </c>
      <c r="N147">
        <f t="array" ref="N147">IFERROR(INDEX('Kontoplan'!$H$3:$H$302,_xlfn.AGGREGATE(15,6,(ROW('Kontoplan'!$H$3:$H$302)-2)/((LEFT('Kontoplan'!$A$3:$A$302,1)&gt;="3")*('Kontoplan'!$A$3:$A$302&lt;&gt;"")*('Kontoplan'!$D$3:$D$302&lt;&gt;"Støttes ikke")),146)),"")</f>
        <v/>
      </c>
    </row>
    <row r="148">
      <c r="H148" t="inlineStr">
        <is>
          <t>MM</t>
        </is>
      </c>
      <c r="N148">
        <f t="array" ref="N148">IFERROR(INDEX('Kontoplan'!$H$3:$H$302,_xlfn.AGGREGATE(15,6,(ROW('Kontoplan'!$H$3:$H$302)-2)/((LEFT('Kontoplan'!$A$3:$A$302,1)&gt;="3")*('Kontoplan'!$A$3:$A$302&lt;&gt;"")*('Kontoplan'!$D$3:$D$302&lt;&gt;"Støttes ikke")),147)),"")</f>
        <v/>
      </c>
    </row>
    <row r="149">
      <c r="H149" t="inlineStr">
        <is>
          <t>MN</t>
        </is>
      </c>
      <c r="N149">
        <f t="array" ref="N149">IFERROR(INDEX('Kontoplan'!$H$3:$H$302,_xlfn.AGGREGATE(15,6,(ROW('Kontoplan'!$H$3:$H$302)-2)/((LEFT('Kontoplan'!$A$3:$A$302,1)&gt;="3")*('Kontoplan'!$A$3:$A$302&lt;&gt;"")*('Kontoplan'!$D$3:$D$302&lt;&gt;"Støttes ikke")),148)),"")</f>
        <v/>
      </c>
    </row>
    <row r="150">
      <c r="H150" t="inlineStr">
        <is>
          <t>MO</t>
        </is>
      </c>
      <c r="N150">
        <f t="array" ref="N150">IFERROR(INDEX('Kontoplan'!$H$3:$H$302,_xlfn.AGGREGATE(15,6,(ROW('Kontoplan'!$H$3:$H$302)-2)/((LEFT('Kontoplan'!$A$3:$A$302,1)&gt;="3")*('Kontoplan'!$A$3:$A$302&lt;&gt;"")*('Kontoplan'!$D$3:$D$302&lt;&gt;"Støttes ikke")),149)),"")</f>
        <v/>
      </c>
    </row>
    <row r="151">
      <c r="H151" t="inlineStr">
        <is>
          <t>MP</t>
        </is>
      </c>
      <c r="N151">
        <f t="array" ref="N151">IFERROR(INDEX('Kontoplan'!$H$3:$H$302,_xlfn.AGGREGATE(15,6,(ROW('Kontoplan'!$H$3:$H$302)-2)/((LEFT('Kontoplan'!$A$3:$A$302,1)&gt;="3")*('Kontoplan'!$A$3:$A$302&lt;&gt;"")*('Kontoplan'!$D$3:$D$302&lt;&gt;"Støttes ikke")),150)),"")</f>
        <v/>
      </c>
    </row>
    <row r="152">
      <c r="H152" t="inlineStr">
        <is>
          <t>MQ</t>
        </is>
      </c>
    </row>
    <row r="153">
      <c r="H153" t="inlineStr">
        <is>
          <t>MR</t>
        </is>
      </c>
    </row>
    <row r="154">
      <c r="H154" t="inlineStr">
        <is>
          <t>MS</t>
        </is>
      </c>
    </row>
    <row r="155">
      <c r="H155" t="inlineStr">
        <is>
          <t>MT</t>
        </is>
      </c>
    </row>
    <row r="156">
      <c r="H156" t="inlineStr">
        <is>
          <t>MU</t>
        </is>
      </c>
    </row>
    <row r="157">
      <c r="H157" t="inlineStr">
        <is>
          <t>MV</t>
        </is>
      </c>
    </row>
    <row r="158">
      <c r="H158" t="inlineStr">
        <is>
          <t>MW</t>
        </is>
      </c>
    </row>
    <row r="159">
      <c r="H159" t="inlineStr">
        <is>
          <t>MX</t>
        </is>
      </c>
    </row>
    <row r="160">
      <c r="H160" t="inlineStr">
        <is>
          <t>MY</t>
        </is>
      </c>
    </row>
    <row r="161">
      <c r="H161" t="inlineStr">
        <is>
          <t>MZ</t>
        </is>
      </c>
    </row>
    <row r="162">
      <c r="H162" t="inlineStr">
        <is>
          <t>NA</t>
        </is>
      </c>
    </row>
    <row r="163">
      <c r="H163" t="inlineStr">
        <is>
          <t>NC</t>
        </is>
      </c>
    </row>
    <row r="164">
      <c r="H164" t="inlineStr">
        <is>
          <t>NE</t>
        </is>
      </c>
    </row>
    <row r="165">
      <c r="H165" t="inlineStr">
        <is>
          <t>NF</t>
        </is>
      </c>
    </row>
    <row r="166">
      <c r="H166" t="inlineStr">
        <is>
          <t>NG</t>
        </is>
      </c>
    </row>
    <row r="167">
      <c r="H167" t="inlineStr">
        <is>
          <t>NI</t>
        </is>
      </c>
    </row>
    <row r="168">
      <c r="H168" t="inlineStr">
        <is>
          <t>NL</t>
        </is>
      </c>
    </row>
    <row r="169">
      <c r="H169" t="inlineStr">
        <is>
          <t>NP</t>
        </is>
      </c>
    </row>
    <row r="170">
      <c r="H170" t="inlineStr">
        <is>
          <t>NR</t>
        </is>
      </c>
    </row>
    <row r="171">
      <c r="H171" t="inlineStr">
        <is>
          <t>NU</t>
        </is>
      </c>
    </row>
    <row r="172">
      <c r="H172" t="inlineStr">
        <is>
          <t>NZ</t>
        </is>
      </c>
    </row>
    <row r="173">
      <c r="H173" t="inlineStr">
        <is>
          <t>OM</t>
        </is>
      </c>
    </row>
    <row r="174">
      <c r="H174" t="inlineStr">
        <is>
          <t>PA</t>
        </is>
      </c>
    </row>
    <row r="175">
      <c r="H175" t="inlineStr">
        <is>
          <t>PE</t>
        </is>
      </c>
    </row>
    <row r="176">
      <c r="H176" t="inlineStr">
        <is>
          <t>PF</t>
        </is>
      </c>
    </row>
    <row r="177">
      <c r="H177" t="inlineStr">
        <is>
          <t>PG</t>
        </is>
      </c>
    </row>
    <row r="178">
      <c r="H178" t="inlineStr">
        <is>
          <t>PH</t>
        </is>
      </c>
    </row>
    <row r="179">
      <c r="H179" t="inlineStr">
        <is>
          <t>PK</t>
        </is>
      </c>
    </row>
    <row r="180">
      <c r="H180" t="inlineStr">
        <is>
          <t>PL</t>
        </is>
      </c>
    </row>
    <row r="181">
      <c r="H181" t="inlineStr">
        <is>
          <t>PM</t>
        </is>
      </c>
    </row>
    <row r="182">
      <c r="H182" t="inlineStr">
        <is>
          <t>PN</t>
        </is>
      </c>
    </row>
    <row r="183">
      <c r="H183" t="inlineStr">
        <is>
          <t>PR</t>
        </is>
      </c>
    </row>
    <row r="184">
      <c r="H184" t="inlineStr">
        <is>
          <t>PS</t>
        </is>
      </c>
    </row>
    <row r="185">
      <c r="H185" t="inlineStr">
        <is>
          <t>PT</t>
        </is>
      </c>
    </row>
    <row r="186">
      <c r="H186" t="inlineStr">
        <is>
          <t>PW</t>
        </is>
      </c>
    </row>
    <row r="187">
      <c r="H187" t="inlineStr">
        <is>
          <t>PY</t>
        </is>
      </c>
    </row>
    <row r="188">
      <c r="H188" t="inlineStr">
        <is>
          <t>QA</t>
        </is>
      </c>
    </row>
    <row r="189">
      <c r="H189" t="inlineStr">
        <is>
          <t>RE</t>
        </is>
      </c>
    </row>
    <row r="190">
      <c r="H190" t="inlineStr">
        <is>
          <t>RO</t>
        </is>
      </c>
    </row>
    <row r="191">
      <c r="H191" t="inlineStr">
        <is>
          <t>RS</t>
        </is>
      </c>
    </row>
    <row r="192">
      <c r="H192" t="inlineStr">
        <is>
          <t>RU</t>
        </is>
      </c>
    </row>
    <row r="193">
      <c r="H193" t="inlineStr">
        <is>
          <t>RW</t>
        </is>
      </c>
    </row>
    <row r="194">
      <c r="H194" t="inlineStr">
        <is>
          <t>SA</t>
        </is>
      </c>
    </row>
    <row r="195">
      <c r="H195" t="inlineStr">
        <is>
          <t>SB</t>
        </is>
      </c>
    </row>
    <row r="196">
      <c r="H196" t="inlineStr">
        <is>
          <t>SC</t>
        </is>
      </c>
    </row>
    <row r="197">
      <c r="H197" t="inlineStr">
        <is>
          <t>SD</t>
        </is>
      </c>
    </row>
    <row r="198">
      <c r="H198" t="inlineStr">
        <is>
          <t>SE</t>
        </is>
      </c>
    </row>
    <row r="199">
      <c r="H199" t="inlineStr">
        <is>
          <t>SG</t>
        </is>
      </c>
    </row>
    <row r="200">
      <c r="H200" t="inlineStr">
        <is>
          <t>SH</t>
        </is>
      </c>
    </row>
    <row r="201">
      <c r="H201" t="inlineStr">
        <is>
          <t>SI</t>
        </is>
      </c>
    </row>
    <row r="202">
      <c r="H202" t="inlineStr">
        <is>
          <t>SJ</t>
        </is>
      </c>
    </row>
    <row r="203">
      <c r="H203" t="inlineStr">
        <is>
          <t>SK</t>
        </is>
      </c>
    </row>
    <row r="204">
      <c r="H204" t="inlineStr">
        <is>
          <t>SL</t>
        </is>
      </c>
    </row>
    <row r="205">
      <c r="H205" t="inlineStr">
        <is>
          <t>SM</t>
        </is>
      </c>
    </row>
    <row r="206">
      <c r="H206" t="inlineStr">
        <is>
          <t>SN</t>
        </is>
      </c>
    </row>
    <row r="207">
      <c r="H207" t="inlineStr">
        <is>
          <t>SO</t>
        </is>
      </c>
    </row>
    <row r="208">
      <c r="H208" t="inlineStr">
        <is>
          <t>SR</t>
        </is>
      </c>
    </row>
    <row r="209">
      <c r="H209" t="inlineStr">
        <is>
          <t>SS</t>
        </is>
      </c>
    </row>
    <row r="210">
      <c r="H210" t="inlineStr">
        <is>
          <t>ST</t>
        </is>
      </c>
    </row>
    <row r="211">
      <c r="H211" t="inlineStr">
        <is>
          <t>SV</t>
        </is>
      </c>
    </row>
    <row r="212">
      <c r="H212" t="inlineStr">
        <is>
          <t>SX</t>
        </is>
      </c>
    </row>
    <row r="213">
      <c r="H213" t="inlineStr">
        <is>
          <t>SY</t>
        </is>
      </c>
    </row>
    <row r="214">
      <c r="H214" t="inlineStr">
        <is>
          <t>SZ</t>
        </is>
      </c>
    </row>
    <row r="215">
      <c r="H215" t="inlineStr">
        <is>
          <t>TC</t>
        </is>
      </c>
    </row>
    <row r="216">
      <c r="H216" t="inlineStr">
        <is>
          <t>TD</t>
        </is>
      </c>
    </row>
    <row r="217">
      <c r="H217" t="inlineStr">
        <is>
          <t>TF</t>
        </is>
      </c>
    </row>
    <row r="218">
      <c r="H218" t="inlineStr">
        <is>
          <t>TG</t>
        </is>
      </c>
    </row>
    <row r="219">
      <c r="H219" t="inlineStr">
        <is>
          <t>TH</t>
        </is>
      </c>
    </row>
    <row r="220">
      <c r="H220" t="inlineStr">
        <is>
          <t>TJ</t>
        </is>
      </c>
    </row>
    <row r="221">
      <c r="H221" t="inlineStr">
        <is>
          <t>TK</t>
        </is>
      </c>
    </row>
    <row r="222">
      <c r="H222" t="inlineStr">
        <is>
          <t>TL</t>
        </is>
      </c>
    </row>
    <row r="223">
      <c r="H223" t="inlineStr">
        <is>
          <t>TM</t>
        </is>
      </c>
    </row>
    <row r="224">
      <c r="H224" t="inlineStr">
        <is>
          <t>TN</t>
        </is>
      </c>
    </row>
    <row r="225">
      <c r="H225" t="inlineStr">
        <is>
          <t>TO</t>
        </is>
      </c>
    </row>
    <row r="226">
      <c r="H226" t="inlineStr">
        <is>
          <t>TR</t>
        </is>
      </c>
    </row>
    <row r="227">
      <c r="H227" t="inlineStr">
        <is>
          <t>TT</t>
        </is>
      </c>
    </row>
    <row r="228">
      <c r="H228" t="inlineStr">
        <is>
          <t>TV</t>
        </is>
      </c>
    </row>
    <row r="229">
      <c r="H229" t="inlineStr">
        <is>
          <t>TW</t>
        </is>
      </c>
    </row>
    <row r="230">
      <c r="H230" t="inlineStr">
        <is>
          <t>TZ</t>
        </is>
      </c>
    </row>
    <row r="231">
      <c r="H231" t="inlineStr">
        <is>
          <t>UA</t>
        </is>
      </c>
    </row>
    <row r="232">
      <c r="H232" t="inlineStr">
        <is>
          <t>UG</t>
        </is>
      </c>
    </row>
    <row r="233">
      <c r="H233" t="inlineStr">
        <is>
          <t>UM</t>
        </is>
      </c>
    </row>
    <row r="234">
      <c r="H234" t="inlineStr">
        <is>
          <t>US</t>
        </is>
      </c>
    </row>
    <row r="235">
      <c r="H235" t="inlineStr">
        <is>
          <t>UY</t>
        </is>
      </c>
    </row>
    <row r="236">
      <c r="H236" t="inlineStr">
        <is>
          <t>UZ</t>
        </is>
      </c>
    </row>
    <row r="237">
      <c r="H237" t="inlineStr">
        <is>
          <t>VA</t>
        </is>
      </c>
    </row>
    <row r="238">
      <c r="H238" t="inlineStr">
        <is>
          <t>VC</t>
        </is>
      </c>
    </row>
    <row r="239">
      <c r="H239" t="inlineStr">
        <is>
          <t>VE</t>
        </is>
      </c>
    </row>
    <row r="240">
      <c r="H240" t="inlineStr">
        <is>
          <t>VG</t>
        </is>
      </c>
    </row>
    <row r="241">
      <c r="H241" t="inlineStr">
        <is>
          <t>VI</t>
        </is>
      </c>
    </row>
    <row r="242">
      <c r="H242" t="inlineStr">
        <is>
          <t>VN</t>
        </is>
      </c>
    </row>
    <row r="243">
      <c r="H243" t="inlineStr">
        <is>
          <t>VU</t>
        </is>
      </c>
    </row>
    <row r="244">
      <c r="H244" t="inlineStr">
        <is>
          <t>WF</t>
        </is>
      </c>
    </row>
    <row r="245">
      <c r="H245" t="inlineStr">
        <is>
          <t>WS</t>
        </is>
      </c>
    </row>
    <row r="246">
      <c r="H246" t="inlineStr">
        <is>
          <t>YE</t>
        </is>
      </c>
    </row>
    <row r="247">
      <c r="H247" t="inlineStr">
        <is>
          <t>YT</t>
        </is>
      </c>
    </row>
    <row r="248">
      <c r="H248" t="inlineStr">
        <is>
          <t>ZA</t>
        </is>
      </c>
    </row>
    <row r="249">
      <c r="H249" t="inlineStr">
        <is>
          <t>ZM</t>
        </is>
      </c>
    </row>
    <row r="250">
      <c r="H250" t="inlineStr">
        <is>
          <t>ZW</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0" customWidth="1" min="1" max="1"/>
    <col width="40" customWidth="1" min="2" max="2"/>
  </cols>
  <sheetData>
    <row r="1">
      <c r="A1" t="inlineStr">
        <is>
          <t>template_id</t>
        </is>
      </c>
      <c r="B1" t="inlineStr">
        <is>
          <t>formell-regnskapsmal-holding</t>
        </is>
      </c>
    </row>
    <row r="2">
      <c r="A2" t="inlineStr">
        <is>
          <t>template_version</t>
        </is>
      </c>
      <c r="B2" t="inlineStr">
        <is>
          <t>2027.1</t>
        </is>
      </c>
    </row>
    <row r="3">
      <c r="A3" t="inlineStr">
        <is>
          <t>income_year</t>
        </is>
      </c>
      <c r="B3" t="n">
        <v>2027</v>
      </c>
    </row>
    <row r="4">
      <c r="A4" t="inlineStr">
        <is>
          <t>generated_at</t>
        </is>
      </c>
      <c r="B4" t="inlineStr">
        <is>
          <t>2026-10-16T00:00:00Z</t>
        </is>
      </c>
    </row>
    <row r="5">
      <c r="A5" t="inlineStr">
        <is>
          <t>download_id</t>
        </is>
      </c>
      <c r="B5" t="inlineStr">
        <is>
          <t>f19666fd-5aa6-58cb-a73b-cec68389efe6</t>
        </is>
      </c>
    </row>
    <row r="6">
      <c r="A6" t="inlineStr">
        <is>
          <t>company_id</t>
        </is>
      </c>
    </row>
    <row r="7">
      <c r="A7" t="inlineStr">
        <is>
          <t>codelist_source</t>
        </is>
      </c>
      <c r="B7" t="inlineStr">
        <is>
          <t>skatteetaten/saf-t@0517952</t>
        </is>
      </c>
    </row>
    <row r="8">
      <c r="A8" t="inlineStr">
        <is>
          <t>checksum_algo</t>
        </is>
      </c>
      <c r="B8" t="inlineStr">
        <is>
          <t>v1</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Formell</dc:creator>
  <dc:title xmlns:dc="http://purl.org/dc/elements/1.1/">Formells regnskapsmal for holdingselskap – 2027</dc:title>
  <dcterms:created xmlns:dcterms="http://purl.org/dc/terms/" xmlns:xsi="http://www.w3.org/2001/XMLSchema-instance" xsi:type="dcterms:W3CDTF">2026-10-16T00:00:00Z</dcterms:created>
  <dcterms:modified xmlns:dcterms="http://purl.org/dc/terms/" xmlns:xsi="http://www.w3.org/2001/XMLSchema-instance" xsi:type="dcterms:W3CDTF">2026-10-16T09:51:31Z</dcterms:modified>
  <cp:lastModifiedBy>Formell</cp:lastModifiedBy>
</cp:coreProperties>
</file>